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aerocivil-my.sharepoint.com/personal/erika_leguizamo_aerocivil_gov_co/Documents/Trabajo/PROCESOS/PROYECTOS ENERGIA 2024/UPS CGAC/EVALUACION/ULTIMOS 05-12-2024/"/>
    </mc:Choice>
  </mc:AlternateContent>
  <xr:revisionPtr revIDLastSave="808" documentId="13_ncr:1_{5F2FA686-3DB8-CB44-8D95-EA9075E1244B}" xr6:coauthVersionLast="47" xr6:coauthVersionMax="47" xr10:uidLastSave="{5232541D-6C5A-4B32-9BFE-901C747AF279}"/>
  <bookViews>
    <workbookView xWindow="-120" yWindow="-120" windowWidth="29040" windowHeight="15840" xr2:uid="{EC1C969E-BC05-40BA-9E8C-64AAD80294B2}"/>
  </bookViews>
  <sheets>
    <sheet name="RESUMEN" sheetId="2" r:id="rId1"/>
    <sheet name="1" sheetId="27" r:id="rId2"/>
    <sheet name="2" sheetId="26" r:id="rId3"/>
    <sheet name="3" sheetId="25" r:id="rId4"/>
    <sheet name="4" sheetId="24" r:id="rId5"/>
    <sheet name="5" sheetId="23" r:id="rId6"/>
    <sheet name="6" sheetId="22" r:id="rId7"/>
    <sheet name="7" sheetId="21" r:id="rId8"/>
    <sheet name="8" sheetId="13" r:id="rId9"/>
    <sheet name="F7 PROPUESTA ECONOMICA" sheetId="3" r:id="rId10"/>
    <sheet name="F7 PUNTAJE" sheetId="28" r:id="rId11"/>
    <sheet name="Serie Historica SMMLV" sheetId="6" r:id="rId12"/>
  </sheets>
  <externalReferences>
    <externalReference r:id="rId13"/>
    <externalReference r:id="rId14"/>
  </externalReferences>
  <definedNames>
    <definedName name="_xlnm._FilterDatabase" localSheetId="1" hidden="1">'1'!$A$1:$Q$10</definedName>
    <definedName name="_xlnm._FilterDatabase" localSheetId="2" hidden="1">'2'!$A$1:$Q$10</definedName>
    <definedName name="_xlnm._FilterDatabase" localSheetId="3" hidden="1">'3'!$A$1:$Q$10</definedName>
    <definedName name="_xlnm._FilterDatabase" localSheetId="4" hidden="1">'4'!$A$1:$Q$10</definedName>
    <definedName name="_xlnm._FilterDatabase" localSheetId="5" hidden="1">'5'!$A$1:$Q$10</definedName>
    <definedName name="_xlnm._FilterDatabase" localSheetId="6" hidden="1">'6'!$A$1:$Q$10</definedName>
    <definedName name="_xlnm._FilterDatabase" localSheetId="7" hidden="1">'7'!$A$1:$Q$10</definedName>
    <definedName name="_xlnm._FilterDatabase" localSheetId="8" hidden="1">'8'!$A$1:$Q$10</definedName>
    <definedName name="_xlnm.Print_Area" localSheetId="1">'1'!$A$1:$P$69</definedName>
    <definedName name="_xlnm.Print_Area" localSheetId="2">'2'!$A$1:$P$69</definedName>
    <definedName name="_xlnm.Print_Area" localSheetId="3">'3'!$A$1:$P$69</definedName>
    <definedName name="_xlnm.Print_Area" localSheetId="4">'4'!$A$1:$P$69</definedName>
    <definedName name="_xlnm.Print_Area" localSheetId="5">'5'!$A$1:$P$69</definedName>
    <definedName name="_xlnm.Print_Area" localSheetId="6">'6'!$A$1:$P$69</definedName>
    <definedName name="_xlnm.Print_Area" localSheetId="7">'7'!$A$1:$P$69</definedName>
    <definedName name="_xlnm.Print_Area" localSheetId="8">'8'!$A$1:$P$69</definedName>
    <definedName name="CARTA" localSheetId="1">'1'!$P$39</definedName>
    <definedName name="CARTA" localSheetId="2">'2'!$P$39</definedName>
    <definedName name="CARTA" localSheetId="3">'3'!$P$39</definedName>
    <definedName name="CARTA" localSheetId="4">'4'!$P$39</definedName>
    <definedName name="CARTA" localSheetId="5">'5'!$P$39</definedName>
    <definedName name="CARTA" localSheetId="6">'6'!$P$39</definedName>
    <definedName name="CARTA" localSheetId="7">'7'!$P$39</definedName>
    <definedName name="CARTA" localSheetId="8">'8'!$P$39</definedName>
    <definedName name="CARTA">#REF!</definedName>
    <definedName name="DISCAP" localSheetId="1">'1'!$P$61</definedName>
    <definedName name="DISCAP" localSheetId="2">'2'!$P$61</definedName>
    <definedName name="DISCAP" localSheetId="3">'3'!$P$61</definedName>
    <definedName name="DISCAP" localSheetId="4">'4'!$P$61</definedName>
    <definedName name="DISCAP" localSheetId="5">'5'!$P$61</definedName>
    <definedName name="DISCAP" localSheetId="6">'6'!$P$61</definedName>
    <definedName name="DISCAP" localSheetId="7">'7'!$P$61</definedName>
    <definedName name="DISCAP" localSheetId="8">'8'!$P$61</definedName>
    <definedName name="DISCAP">#REF!</definedName>
    <definedName name="EXPESP" localSheetId="1">'1'!$O$24</definedName>
    <definedName name="EXPESP" localSheetId="2">'2'!$O$24</definedName>
    <definedName name="EXPESP" localSheetId="3">'3'!$O$24</definedName>
    <definedName name="EXPESP" localSheetId="4">'4'!$O$24</definedName>
    <definedName name="EXPESP" localSheetId="5">'5'!$O$24</definedName>
    <definedName name="EXPESP" localSheetId="6">'6'!$O$24</definedName>
    <definedName name="EXPESP" localSheetId="7">'7'!$O$24</definedName>
    <definedName name="EXPESP" localSheetId="8">'8'!$O$24</definedName>
    <definedName name="EXPESP">#REF!</definedName>
    <definedName name="EXPGRAL" localSheetId="1">'1'!$O$13</definedName>
    <definedName name="EXPGRAL" localSheetId="2">'2'!$O$13</definedName>
    <definedName name="EXPGRAL" localSheetId="3">'3'!$O$13</definedName>
    <definedName name="EXPGRAL" localSheetId="4">'4'!$O$13</definedName>
    <definedName name="EXPGRAL" localSheetId="5">'5'!$O$13</definedName>
    <definedName name="EXPGRAL" localSheetId="6">'6'!$O$13</definedName>
    <definedName name="EXPGRAL" localSheetId="7">'7'!$O$13</definedName>
    <definedName name="EXPGRAL" localSheetId="8">'8'!$O$13</definedName>
    <definedName name="EXPGRAL">#REF!</definedName>
    <definedName name="FCALIDAD" localSheetId="1">'1'!$P$55</definedName>
    <definedName name="FCALIDAD" localSheetId="2">'2'!$P$55</definedName>
    <definedName name="FCALIDAD" localSheetId="3">'3'!$P$55</definedName>
    <definedName name="FCALIDAD" localSheetId="4">'4'!$P$55</definedName>
    <definedName name="FCALIDAD" localSheetId="5">'5'!$P$55</definedName>
    <definedName name="FCALIDAD" localSheetId="6">'6'!$P$55</definedName>
    <definedName name="FCALIDAD" localSheetId="7">'7'!$P$55</definedName>
    <definedName name="FCALIDAD" localSheetId="8">'8'!$P$55</definedName>
    <definedName name="FCALIDAD">#REF!</definedName>
    <definedName name="FORMATO8" localSheetId="1">'1'!$P$36</definedName>
    <definedName name="FORMATO8" localSheetId="2">'2'!$P$36</definedName>
    <definedName name="FORMATO8" localSheetId="3">'3'!$P$36</definedName>
    <definedName name="FORMATO8" localSheetId="4">'4'!$P$36</definedName>
    <definedName name="FORMATO8" localSheetId="5">'5'!$P$36</definedName>
    <definedName name="FORMATO8" localSheetId="6">'6'!$P$36</definedName>
    <definedName name="FORMATO8" localSheetId="7">'7'!$P$36</definedName>
    <definedName name="FORMATO8" localSheetId="8">'8'!$P$36</definedName>
    <definedName name="FORMATO8">#REF!</definedName>
    <definedName name="FTECNICAS" localSheetId="1">'1'!$P$48</definedName>
    <definedName name="FTECNICAS" localSheetId="2">'2'!$P$48</definedName>
    <definedName name="FTECNICAS" localSheetId="3">'3'!$P$48</definedName>
    <definedName name="FTECNICAS" localSheetId="4">'4'!$P$48</definedName>
    <definedName name="FTECNICAS" localSheetId="5">'5'!$P$48</definedName>
    <definedName name="FTECNICAS" localSheetId="6">'6'!$P$48</definedName>
    <definedName name="FTECNICAS" localSheetId="7">'7'!$P$48</definedName>
    <definedName name="FTECNICAS" localSheetId="8">'8'!$P$48</definedName>
    <definedName name="FTECNICAS">#REF!</definedName>
    <definedName name="GARANTIA" localSheetId="1">'1'!$P$45</definedName>
    <definedName name="GARANTIA" localSheetId="2">'2'!$P$45</definedName>
    <definedName name="GARANTIA" localSheetId="3">'3'!$P$45</definedName>
    <definedName name="GARANTIA" localSheetId="4">'4'!$P$45</definedName>
    <definedName name="GARANTIA" localSheetId="5">'5'!$P$45</definedName>
    <definedName name="GARANTIA" localSheetId="6">'6'!$P$45</definedName>
    <definedName name="GARANTIA" localSheetId="7">'7'!$P$45</definedName>
    <definedName name="GARANTIA" localSheetId="8">'8'!$P$45</definedName>
    <definedName name="GARANTIA">#REF!</definedName>
    <definedName name="INDNAL" localSheetId="1">'1'!$P$58</definedName>
    <definedName name="INDNAL" localSheetId="2">'2'!$P$58</definedName>
    <definedName name="INDNAL" localSheetId="3">'3'!$P$58</definedName>
    <definedName name="INDNAL" localSheetId="4">'4'!$P$58</definedName>
    <definedName name="INDNAL" localSheetId="5">'5'!$P$58</definedName>
    <definedName name="INDNAL" localSheetId="6">'6'!$P$58</definedName>
    <definedName name="INDNAL" localSheetId="7">'7'!$P$58</definedName>
    <definedName name="INDNAL" localSheetId="8">'8'!$P$58</definedName>
    <definedName name="INDNAL">#REF!</definedName>
    <definedName name="METODOS" localSheetId="10">'F7 PUNTAJE'!$U$1:$U$4</definedName>
    <definedName name="METODOS">'F7 PROPUESTA ECONOMICA'!$Q$1:$Q$1</definedName>
    <definedName name="MIPYME" localSheetId="1">'1'!$P$67</definedName>
    <definedName name="MIPYME" localSheetId="2">'2'!$P$67</definedName>
    <definedName name="MIPYME" localSheetId="3">'3'!$P$67</definedName>
    <definedName name="MIPYME" localSheetId="4">'4'!$P$67</definedName>
    <definedName name="MIPYME" localSheetId="5">'5'!$P$67</definedName>
    <definedName name="MIPYME" localSheetId="6">'6'!$P$67</definedName>
    <definedName name="MIPYME" localSheetId="7">'7'!$P$67</definedName>
    <definedName name="MIPYME" localSheetId="8">'8'!$P$67</definedName>
    <definedName name="MIPYME">#REF!</definedName>
    <definedName name="MUJERES" localSheetId="1">'1'!$P$64</definedName>
    <definedName name="MUJERES" localSheetId="2">'2'!$P$64</definedName>
    <definedName name="MUJERES" localSheetId="3">'3'!$P$64</definedName>
    <definedName name="MUJERES" localSheetId="4">'4'!$P$64</definedName>
    <definedName name="MUJERES" localSheetId="5">'5'!$P$64</definedName>
    <definedName name="MUJERES" localSheetId="6">'6'!$P$64</definedName>
    <definedName name="MUJERES" localSheetId="7">'7'!$P$64</definedName>
    <definedName name="MUJERES" localSheetId="8">'8'!$P$64</definedName>
    <definedName name="MUJERES">#REF!</definedName>
    <definedName name="PPTOOFICIAL" localSheetId="10">[1]RESUMEN!$W$5</definedName>
    <definedName name="PPTOOFICIAL">RESUMEN!$U$5</definedName>
    <definedName name="PTOTAL" localSheetId="1">'1'!$P$69</definedName>
    <definedName name="PTOTAL" localSheetId="2">'2'!$P$69</definedName>
    <definedName name="PTOTAL" localSheetId="3">'3'!$P$69</definedName>
    <definedName name="PTOTAL" localSheetId="4">'4'!$P$69</definedName>
    <definedName name="PTOTAL" localSheetId="5">'5'!$P$69</definedName>
    <definedName name="PTOTAL" localSheetId="6">'6'!$P$69</definedName>
    <definedName name="PTOTAL" localSheetId="7">'7'!$P$69</definedName>
    <definedName name="PTOTAL" localSheetId="8">'8'!$P$69</definedName>
    <definedName name="PTOTAL">#REF!</definedName>
    <definedName name="REPBIENES" localSheetId="1">'1'!$P$42</definedName>
    <definedName name="REPBIENES" localSheetId="2">'2'!$P$42</definedName>
    <definedName name="REPBIENES" localSheetId="3">'3'!$P$42</definedName>
    <definedName name="REPBIENES" localSheetId="4">'4'!$P$42</definedName>
    <definedName name="REPBIENES" localSheetId="5">'5'!$P$42</definedName>
    <definedName name="REPBIENES" localSheetId="6">'6'!$P$42</definedName>
    <definedName name="REPBIENES" localSheetId="7">'7'!$P$42</definedName>
    <definedName name="REPBIENES" localSheetId="8">'8'!$P$42</definedName>
    <definedName name="REPBIENES">#REF!</definedName>
    <definedName name="SUMEXPESP" localSheetId="1">'1'!$O$21</definedName>
    <definedName name="SUMEXPESP" localSheetId="2">'2'!$O$21</definedName>
    <definedName name="SUMEXPESP" localSheetId="3">'3'!$O$21</definedName>
    <definedName name="SUMEXPESP" localSheetId="4">'4'!$O$21</definedName>
    <definedName name="SUMEXPESP" localSheetId="5">'5'!$O$21</definedName>
    <definedName name="SUMEXPESP" localSheetId="6">'6'!$O$21</definedName>
    <definedName name="SUMEXPESP" localSheetId="7">'7'!$O$21</definedName>
    <definedName name="SUMEXPESP" localSheetId="8">'8'!$O$21</definedName>
    <definedName name="SUMEXPESP">#REF!</definedName>
    <definedName name="SUMEXPGRAL" localSheetId="1">'1'!$O$21</definedName>
    <definedName name="SUMEXPGRAL" localSheetId="2">'2'!$O$21</definedName>
    <definedName name="SUMEXPGRAL" localSheetId="3">'3'!$O$21</definedName>
    <definedName name="SUMEXPGRAL" localSheetId="4">'4'!$O$21</definedName>
    <definedName name="SUMEXPGRAL" localSheetId="5">'5'!$O$21</definedName>
    <definedName name="SUMEXPGRAL" localSheetId="6">'6'!$O$21</definedName>
    <definedName name="SUMEXPGRAL" localSheetId="7">'7'!$O$21</definedName>
    <definedName name="SUMEXPGRAL" localSheetId="8">'8'!$O$21</definedName>
    <definedName name="SUMEXPGRAL">#REF!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2" i="28" l="1"/>
  <c r="P69" i="27"/>
  <c r="U15" i="2"/>
  <c r="V15" i="2"/>
  <c r="T15" i="2"/>
  <c r="V14" i="2"/>
  <c r="V9" i="2"/>
  <c r="C40" i="3"/>
  <c r="D2" i="3"/>
  <c r="C37" i="3"/>
  <c r="Q17" i="3"/>
  <c r="M17" i="3"/>
  <c r="Q16" i="3"/>
  <c r="P16" i="3"/>
  <c r="P17" i="3"/>
  <c r="O16" i="3"/>
  <c r="O17" i="3"/>
  <c r="N16" i="3"/>
  <c r="N17" i="3"/>
  <c r="N18" i="3"/>
  <c r="M16" i="3"/>
  <c r="L16" i="3"/>
  <c r="L17" i="3"/>
  <c r="K16" i="3"/>
  <c r="K17" i="3"/>
  <c r="M18" i="3"/>
  <c r="Q18" i="3"/>
  <c r="K18" i="3"/>
  <c r="O18" i="3"/>
  <c r="L18" i="3"/>
  <c r="P18" i="3"/>
  <c r="L15" i="28"/>
  <c r="C5" i="28" a="1"/>
  <c r="C5" i="28" s="1"/>
  <c r="C6" i="28" s="1"/>
  <c r="D7" i="28" s="1"/>
  <c r="C17" i="28"/>
  <c r="F15" i="28" s="1"/>
  <c r="C20" i="28"/>
  <c r="H15" i="28" s="1"/>
  <c r="C24" i="28"/>
  <c r="K12" i="28" s="1"/>
  <c r="J8" i="28"/>
  <c r="L8" i="28"/>
  <c r="J12" i="28"/>
  <c r="L12" i="28"/>
  <c r="F12" i="28"/>
  <c r="F8" i="28"/>
  <c r="H8" i="28"/>
  <c r="O28" i="22"/>
  <c r="O27" i="22"/>
  <c r="B4" i="13"/>
  <c r="B4" i="21"/>
  <c r="B4" i="22"/>
  <c r="B4" i="23"/>
  <c r="B4" i="24"/>
  <c r="B4" i="25"/>
  <c r="B4" i="26"/>
  <c r="J5" i="26"/>
  <c r="B4" i="27"/>
  <c r="D4" i="3"/>
  <c r="V10" i="2"/>
  <c r="E2" i="3"/>
  <c r="E5" i="3"/>
  <c r="U9" i="2"/>
  <c r="O26" i="23"/>
  <c r="O27" i="23"/>
  <c r="O15" i="25"/>
  <c r="M26" i="25"/>
  <c r="O26" i="25"/>
  <c r="O27" i="25"/>
  <c r="O28" i="25"/>
  <c r="O16" i="25"/>
  <c r="O17" i="25"/>
  <c r="O18" i="25"/>
  <c r="O16" i="22"/>
  <c r="O17" i="22"/>
  <c r="O18" i="22"/>
  <c r="O15" i="22"/>
  <c r="J10" i="26"/>
  <c r="P10" i="26"/>
  <c r="A15" i="26"/>
  <c r="P69" i="26"/>
  <c r="N10" i="26"/>
  <c r="P55" i="26"/>
  <c r="O32" i="26"/>
  <c r="O31" i="26"/>
  <c r="O30" i="26"/>
  <c r="O29" i="26"/>
  <c r="O28" i="26"/>
  <c r="O27" i="26"/>
  <c r="O26" i="26"/>
  <c r="O21" i="26"/>
  <c r="O20" i="26"/>
  <c r="O19" i="26"/>
  <c r="O18" i="26"/>
  <c r="O17" i="26"/>
  <c r="O16" i="26"/>
  <c r="O15" i="26"/>
  <c r="H14" i="26"/>
  <c r="P9" i="26"/>
  <c r="A4" i="26"/>
  <c r="A3" i="26"/>
  <c r="A2" i="26"/>
  <c r="A4" i="27"/>
  <c r="A4" i="25"/>
  <c r="A4" i="24"/>
  <c r="A4" i="23"/>
  <c r="A4" i="22"/>
  <c r="A4" i="21"/>
  <c r="P55" i="27"/>
  <c r="N10" i="27"/>
  <c r="O26" i="27"/>
  <c r="O32" i="27"/>
  <c r="O31" i="27"/>
  <c r="O30" i="27"/>
  <c r="O29" i="27"/>
  <c r="O28" i="27"/>
  <c r="O20" i="27"/>
  <c r="O19" i="27"/>
  <c r="O18" i="27"/>
  <c r="O17" i="27"/>
  <c r="O21" i="27"/>
  <c r="O16" i="27"/>
  <c r="O15" i="27"/>
  <c r="H14" i="27"/>
  <c r="J10" i="27"/>
  <c r="P10" i="27"/>
  <c r="P9" i="27"/>
  <c r="A3" i="27"/>
  <c r="A2" i="27"/>
  <c r="P55" i="25"/>
  <c r="P69" i="25"/>
  <c r="N10" i="25"/>
  <c r="O32" i="25"/>
  <c r="O31" i="25"/>
  <c r="O30" i="25"/>
  <c r="O21" i="25"/>
  <c r="O20" i="25"/>
  <c r="O19" i="25"/>
  <c r="H14" i="25"/>
  <c r="J10" i="25"/>
  <c r="P10" i="25"/>
  <c r="P9" i="25"/>
  <c r="A3" i="25"/>
  <c r="A2" i="25"/>
  <c r="P69" i="24"/>
  <c r="N10" i="24"/>
  <c r="P55" i="24"/>
  <c r="O32" i="24"/>
  <c r="O31" i="24"/>
  <c r="O30" i="24"/>
  <c r="O29" i="24"/>
  <c r="O28" i="24"/>
  <c r="O27" i="24"/>
  <c r="O26" i="24"/>
  <c r="O21" i="24"/>
  <c r="O20" i="24"/>
  <c r="O19" i="24"/>
  <c r="O18" i="24"/>
  <c r="O17" i="24"/>
  <c r="O16" i="24"/>
  <c r="O15" i="24"/>
  <c r="H14" i="24"/>
  <c r="J10" i="24"/>
  <c r="P10" i="24"/>
  <c r="A15" i="24"/>
  <c r="P9" i="24"/>
  <c r="A3" i="24"/>
  <c r="A2" i="24"/>
  <c r="P55" i="23"/>
  <c r="P69" i="23"/>
  <c r="N10" i="23"/>
  <c r="O32" i="23"/>
  <c r="O31" i="23"/>
  <c r="O30" i="23"/>
  <c r="O29" i="23"/>
  <c r="O28" i="23"/>
  <c r="O20" i="23"/>
  <c r="O19" i="23"/>
  <c r="O18" i="23"/>
  <c r="O17" i="23"/>
  <c r="O16" i="23"/>
  <c r="O15" i="23"/>
  <c r="O21" i="23"/>
  <c r="H14" i="23"/>
  <c r="J10" i="23"/>
  <c r="P10" i="23"/>
  <c r="P9" i="23"/>
  <c r="A3" i="23"/>
  <c r="A2" i="23"/>
  <c r="P55" i="22"/>
  <c r="P69" i="22"/>
  <c r="N10" i="22"/>
  <c r="O31" i="22"/>
  <c r="O30" i="22"/>
  <c r="O29" i="22"/>
  <c r="O32" i="22"/>
  <c r="O21" i="22"/>
  <c r="O20" i="22"/>
  <c r="H14" i="22"/>
  <c r="J10" i="22"/>
  <c r="P10" i="22"/>
  <c r="P9" i="22"/>
  <c r="A3" i="22"/>
  <c r="A2" i="22"/>
  <c r="P55" i="21"/>
  <c r="P69" i="21"/>
  <c r="N10" i="21"/>
  <c r="O32" i="21"/>
  <c r="O31" i="21"/>
  <c r="O30" i="21"/>
  <c r="O29" i="21"/>
  <c r="O28" i="21"/>
  <c r="O27" i="21"/>
  <c r="O26" i="21"/>
  <c r="O21" i="21"/>
  <c r="O20" i="21"/>
  <c r="O19" i="21"/>
  <c r="O18" i="21"/>
  <c r="O17" i="21"/>
  <c r="O16" i="21"/>
  <c r="O15" i="21"/>
  <c r="H14" i="21"/>
  <c r="J10" i="21"/>
  <c r="P10" i="21"/>
  <c r="P9" i="21"/>
  <c r="A3" i="21"/>
  <c r="A2" i="21"/>
  <c r="P55" i="13"/>
  <c r="P69" i="13"/>
  <c r="N10" i="13"/>
  <c r="O32" i="13"/>
  <c r="O31" i="13"/>
  <c r="O30" i="13"/>
  <c r="O29" i="13"/>
  <c r="O28" i="13"/>
  <c r="O27" i="13"/>
  <c r="O26" i="13"/>
  <c r="O21" i="13"/>
  <c r="O20" i="13"/>
  <c r="O19" i="13"/>
  <c r="O18" i="13"/>
  <c r="O17" i="13"/>
  <c r="O16" i="13"/>
  <c r="O15" i="13"/>
  <c r="H14" i="13"/>
  <c r="J10" i="13"/>
  <c r="P10" i="13"/>
  <c r="A15" i="13"/>
  <c r="P9" i="13"/>
  <c r="A3" i="13"/>
  <c r="A2" i="13"/>
  <c r="B11" i="3"/>
  <c r="V11" i="2"/>
  <c r="V13" i="2"/>
  <c r="V12" i="2"/>
  <c r="B47" i="6"/>
  <c r="E9" i="3"/>
  <c r="U13" i="2"/>
  <c r="F4" i="3"/>
  <c r="E4" i="3"/>
  <c r="D6" i="3"/>
  <c r="T10" i="2"/>
  <c r="D5" i="3"/>
  <c r="T9" i="2"/>
  <c r="D9" i="3"/>
  <c r="T13" i="2"/>
  <c r="D7" i="3"/>
  <c r="T11" i="2"/>
  <c r="D8" i="3"/>
  <c r="T12" i="2"/>
  <c r="E6" i="3"/>
  <c r="U10" i="2"/>
  <c r="A15" i="27"/>
  <c r="O13" i="27"/>
  <c r="O24" i="27"/>
  <c r="A15" i="21"/>
  <c r="A15" i="22"/>
  <c r="O24" i="22"/>
  <c r="O13" i="22"/>
  <c r="O13" i="25"/>
  <c r="A15" i="25"/>
  <c r="O24" i="23"/>
  <c r="A15" i="23"/>
  <c r="O13" i="23"/>
  <c r="O13" i="21"/>
  <c r="E7" i="3"/>
  <c r="U11" i="2"/>
  <c r="E8" i="3"/>
  <c r="U12" i="2"/>
  <c r="E10" i="3"/>
  <c r="U14" i="2"/>
  <c r="T14" i="2"/>
  <c r="N16" i="2"/>
  <c r="N15" i="2" a="1"/>
  <c r="L15" i="2" a="1"/>
  <c r="N11" i="2" a="1"/>
  <c r="M10" i="2" a="1"/>
  <c r="H10" i="2" a="1"/>
  <c r="G9" i="2" a="1"/>
  <c r="M12" i="2" a="1"/>
  <c r="P12" i="2" a="1"/>
  <c r="Q15" i="2" a="1"/>
  <c r="O9" i="2" a="1"/>
  <c r="Q10" i="2" a="1"/>
  <c r="I12" i="2" a="1"/>
  <c r="J12" i="2" a="1"/>
  <c r="I15" i="2" a="1"/>
  <c r="I13" i="2" a="1"/>
  <c r="J13" i="2" a="1"/>
  <c r="I9" i="2" a="1"/>
  <c r="M14" i="2" a="1"/>
  <c r="O15" i="2" a="1"/>
  <c r="N12" i="2" a="1"/>
  <c r="R12" i="2" a="1"/>
  <c r="Q9" i="2" a="1"/>
  <c r="G13" i="2" a="1"/>
  <c r="Q13" i="2" a="1"/>
  <c r="M11" i="2" a="1"/>
  <c r="R15" i="2" a="1"/>
  <c r="K13" i="2" a="1"/>
  <c r="O10" i="2" a="1"/>
  <c r="H12" i="2" a="1"/>
  <c r="H13" i="2" a="1"/>
  <c r="I14" i="2" a="1"/>
  <c r="O14" i="2" a="1"/>
  <c r="M9" i="2" a="1"/>
  <c r="G11" i="2" a="1"/>
  <c r="G15" i="2" a="1"/>
  <c r="Q12" i="2" a="1"/>
  <c r="Q11" i="2" a="1"/>
  <c r="H11" i="2" a="1"/>
  <c r="K15" i="2" a="1"/>
  <c r="N10" i="2" a="1"/>
  <c r="O12" i="2" a="1"/>
  <c r="P13" i="2" a="1"/>
  <c r="M13" i="2" a="1"/>
  <c r="P10" i="2" a="1"/>
  <c r="G10" i="2" a="1"/>
  <c r="M15" i="2" a="1"/>
  <c r="K12" i="2" a="1"/>
  <c r="J15" i="2" a="1"/>
  <c r="L14" i="2" a="1"/>
  <c r="R9" i="2" a="1"/>
  <c r="R13" i="2" a="1"/>
  <c r="I10" i="2" a="1"/>
  <c r="G14" i="2" a="1"/>
  <c r="J11" i="2" a="1"/>
  <c r="H9" i="2" a="1"/>
  <c r="J10" i="2" a="1"/>
  <c r="H15" i="2" a="1"/>
  <c r="L9" i="2" a="1"/>
  <c r="L13" i="2" a="1"/>
  <c r="L10" i="2" a="1"/>
  <c r="P15" i="2" a="1"/>
  <c r="R14" i="2" a="1"/>
  <c r="P9" i="2" a="1"/>
  <c r="O11" i="2" a="1"/>
  <c r="I11" i="2" a="1"/>
  <c r="P14" i="2" a="1"/>
  <c r="N14" i="2" a="1"/>
  <c r="J14" i="2" a="1"/>
  <c r="N13" i="2" a="1"/>
  <c r="G12" i="2" a="1"/>
  <c r="R10" i="2" a="1"/>
  <c r="O13" i="2" a="1"/>
  <c r="K14" i="2" a="1"/>
  <c r="L11" i="2" a="1"/>
  <c r="L12" i="2" a="1"/>
  <c r="N9" i="2" a="1"/>
  <c r="J9" i="2" a="1"/>
  <c r="Q14" i="2" a="1"/>
  <c r="P11" i="2" a="1"/>
  <c r="R11" i="2" a="1"/>
  <c r="H14" i="2" a="1"/>
  <c r="K8" i="28" l="1"/>
  <c r="C18" i="28"/>
  <c r="G15" i="28" s="1"/>
  <c r="K15" i="28"/>
  <c r="H12" i="28"/>
  <c r="I8" i="28" s="1"/>
  <c r="J15" i="28"/>
  <c r="D15" i="28"/>
  <c r="X15" i="2" s="1"/>
  <c r="H9" i="2"/>
  <c r="R13" i="2"/>
  <c r="N9" i="2"/>
  <c r="H12" i="2"/>
  <c r="P14" i="2"/>
  <c r="N11" i="2"/>
  <c r="N13" i="2"/>
  <c r="G10" i="2"/>
  <c r="G11" i="2"/>
  <c r="G9" i="2"/>
  <c r="Q9" i="2"/>
  <c r="B10" i="3" s="1"/>
  <c r="L10" i="2"/>
  <c r="M14" i="2"/>
  <c r="Q11" i="2"/>
  <c r="B8" i="3" s="1"/>
  <c r="I12" i="2"/>
  <c r="P9" i="2"/>
  <c r="Q10" i="2"/>
  <c r="B9" i="3" s="1"/>
  <c r="H13" i="2"/>
  <c r="J10" i="2"/>
  <c r="H14" i="2"/>
  <c r="M15" i="2"/>
  <c r="O11" i="2"/>
  <c r="L14" i="2"/>
  <c r="G14" i="2"/>
  <c r="J15" i="2"/>
  <c r="P15" i="2"/>
  <c r="N15" i="2"/>
  <c r="M9" i="2"/>
  <c r="K11" i="2" s="1"/>
  <c r="P11" i="2"/>
  <c r="J13" i="2"/>
  <c r="K12" i="2"/>
  <c r="Q14" i="2"/>
  <c r="B5" i="3" s="1"/>
  <c r="O13" i="2"/>
  <c r="Q15" i="2"/>
  <c r="B4" i="3" s="1"/>
  <c r="G15" i="2"/>
  <c r="H10" i="2"/>
  <c r="M11" i="2"/>
  <c r="P10" i="2"/>
  <c r="O10" i="2"/>
  <c r="I13" i="2"/>
  <c r="N12" i="2"/>
  <c r="J11" i="2"/>
  <c r="R14" i="2"/>
  <c r="R10" i="2"/>
  <c r="L13" i="2"/>
  <c r="J9" i="2"/>
  <c r="R11" i="2"/>
  <c r="O12" i="2"/>
  <c r="I10" i="2"/>
  <c r="G12" i="2"/>
  <c r="I15" i="2"/>
  <c r="Q13" i="2"/>
  <c r="B6" i="3" s="1"/>
  <c r="M10" i="2"/>
  <c r="G13" i="2"/>
  <c r="M12" i="2"/>
  <c r="P12" i="2"/>
  <c r="J12" i="2"/>
  <c r="N14" i="2"/>
  <c r="P13" i="2"/>
  <c r="K15" i="2"/>
  <c r="H11" i="2"/>
  <c r="H15" i="2"/>
  <c r="K14" i="2"/>
  <c r="L11" i="2"/>
  <c r="I14" i="2"/>
  <c r="R9" i="2"/>
  <c r="L12" i="2"/>
  <c r="M13" i="2"/>
  <c r="I11" i="2"/>
  <c r="L15" i="2"/>
  <c r="J14" i="2"/>
  <c r="O14" i="2"/>
  <c r="K13" i="2"/>
  <c r="N10" i="2"/>
  <c r="R12" i="2"/>
  <c r="L9" i="2"/>
  <c r="I9" i="2"/>
  <c r="Q12" i="2"/>
  <c r="B7" i="3" s="1"/>
  <c r="R15" i="2"/>
  <c r="O15" i="2"/>
  <c r="O9" i="2"/>
  <c r="G8" i="28" l="1"/>
  <c r="G12" i="28"/>
  <c r="I12" i="28"/>
  <c r="I15" i="28"/>
  <c r="W13" i="2"/>
  <c r="X13" i="2"/>
  <c r="W12" i="2"/>
  <c r="X12" i="2"/>
  <c r="W11" i="2"/>
  <c r="X11" i="2"/>
  <c r="W14" i="2"/>
  <c r="X14" i="2"/>
  <c r="X9" i="2"/>
  <c r="K9" i="2"/>
  <c r="Y14" i="2"/>
  <c r="Y10" i="2"/>
  <c r="W9" i="2"/>
  <c r="Y9" i="2"/>
  <c r="Y13" i="2"/>
  <c r="K10" i="2"/>
  <c r="X10" i="2" s="1"/>
  <c r="Y11" i="2"/>
  <c r="Y12" i="2"/>
  <c r="W10" i="2"/>
  <c r="S12" i="2"/>
  <c r="S10" i="2"/>
  <c r="S14" i="2"/>
  <c r="S15" i="2"/>
  <c r="Y15" i="2" s="1"/>
  <c r="S13" i="2"/>
  <c r="S9" i="2"/>
  <c r="S11" i="2"/>
  <c r="W15" i="2"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<sst xmlns="http://schemas.openxmlformats.org/spreadsheetml/2006/main" count="1339" uniqueCount="251">
  <si>
    <t>INFORME EVALUACIÓN TÉCNICA GENERAL</t>
  </si>
  <si>
    <t>DIRECCIÓN DE TELECOMUNICACIONES Y AYUDAS A LA NAVEGACIÓN  AÉREA</t>
  </si>
  <si>
    <t>24001216 H3 DE 2024</t>
  </si>
  <si>
    <t>OBJETO</t>
  </si>
  <si>
    <t>REALIZAR MANTENIMIENTO A LOS SISTEMAS UPS DEL CENTRO DE GESTION AERONAUTICA
DE COLOMBIA CGAC, INCLUYE RENOVAR BANCOS DE BATERÍAS POR LOTES. (VIGENCIA FUTURA).</t>
  </si>
  <si>
    <t>VALOR PRESUPUESTO OFICIAL:</t>
  </si>
  <si>
    <t>REQUISITOS HABILITANTES</t>
  </si>
  <si>
    <t>PONDERACIÓN</t>
  </si>
  <si>
    <t>N°</t>
  </si>
  <si>
    <t>NOMBRE PROPONENTE</t>
  </si>
  <si>
    <t>¿SE PRESENTA AL LOTE 2?</t>
  </si>
  <si>
    <t>EXPERIENCIA GENERAL PROPONENTE</t>
  </si>
  <si>
    <t>EVALUACION EXPERIENCIA ESPECIFICA PROPONENTE</t>
  </si>
  <si>
    <t>FORMATO No. 8</t>
  </si>
  <si>
    <t>CARTA DE COMPROMISO</t>
  </si>
  <si>
    <t>Certificado de Representación y Distribución Autorizada de los Bienes.</t>
  </si>
  <si>
    <t>Certificado de Garantía de los Bienes o Servicios.</t>
  </si>
  <si>
    <t>Fichas Técnicas</t>
  </si>
  <si>
    <t xml:space="preserve">FACTOR DE CALIDAD (18,5 PUNTOS) </t>
  </si>
  <si>
    <t>APOYO A LA INDUSTRIA NACIONAL – LEY 816 DE 2003 (10 PUNTOS)</t>
  </si>
  <si>
    <t>PROPONENTES CON TRABAJADORES CON DISCAPACIDAD. (1 Punto)</t>
  </si>
  <si>
    <t>EMPRENDIMIENTO Y EMPRESAS DE MUJERES (0,25 PUNTOS)</t>
  </si>
  <si>
    <t>MIPYME DOMICILIADA EN COLOMBIA (0,25 PUNTOS)</t>
  </si>
  <si>
    <t>SUBTOTAL PUNTAJE</t>
  </si>
  <si>
    <t>F7 PROPUESTA ARTIFICIALMENTE BAJA</t>
  </si>
  <si>
    <t>SUPERA PRESUPUESTO</t>
  </si>
  <si>
    <t>EVALUACIÓN LISTA DE PRECIOS DE REFERENCIA</t>
  </si>
  <si>
    <t>SISELCOM SAS</t>
  </si>
  <si>
    <t>NO</t>
  </si>
  <si>
    <t>SUCOMPUTO SAS</t>
  </si>
  <si>
    <t>SI</t>
  </si>
  <si>
    <t>UT INVER TES AEROCIVIL MATTOS</t>
  </si>
  <si>
    <t>COTEL SAS</t>
  </si>
  <si>
    <t>ASAC SAS</t>
  </si>
  <si>
    <t>CONSORCIO E TX 2024</t>
  </si>
  <si>
    <t>GOURIYU SAS</t>
  </si>
  <si>
    <t>UT COMWSDT UPS</t>
  </si>
  <si>
    <t>PUNTAJE GANADOR</t>
  </si>
  <si>
    <t>UNIDAD ADMINISTRATIVA ESPECIAL DE AERONAUTICA CIVIL</t>
  </si>
  <si>
    <t>CONFORMACIÓN</t>
  </si>
  <si>
    <t>% PARTICIPACIÓN</t>
  </si>
  <si>
    <t>Soluciones De Tecnología E Ingenieria S.A.S</t>
  </si>
  <si>
    <t>Comware S. A</t>
  </si>
  <si>
    <t>TOTAL</t>
  </si>
  <si>
    <t>CÓDIGOS</t>
  </si>
  <si>
    <t>72151500
81101700
26111700</t>
  </si>
  <si>
    <t>PRESUPUESTO A EVALUAR  (P.O)</t>
  </si>
  <si>
    <t>PUNTAJE OBTENIDO:</t>
  </si>
  <si>
    <t>PO SMMLV</t>
  </si>
  <si>
    <t>REQUISITOS HABILITANTES (CUMPLE /NO CUMPLE)</t>
  </si>
  <si>
    <t>EVALUACIÓN</t>
  </si>
  <si>
    <t>La AEROCIVIL verificará la experiencia general del proponente con la información relacionada en el Formato No.19A – Experiencia General del Proponente, donde debe diligenciar la información de hasta cuatro (4) contratos registrados en el RUP e identificados en al menos dos (2) de los códigos UNSPSC requeridos y que, sumados su valor total, expresado en SMMLV, sea igual o mayor al cien por ciento (100%) del presupuesto del lote al que se presenta (Lote 1 correspondiente a 613,74 SMMLV) y (Lote 2 correspondiente a 1.482,66 SMMLV) Las consideraciones a tener en cuenta para la acreditación de la experiencia general se encuentran definidas en el complementario al pliego de condiciones. 
Nota 1: Los contratos presentados para la experiencia general podrán ser los mismos para acreditar la experiencia específica, siempre que cumplan los requisitos para dicha experiencia.
Nota 2: Si el oferente se presenta a los dos (2) lotes deberá acreditar el 100% del presupuesto total de los dos lotes (2.096,4 SMMLV) con un máximo de cinco (5) contratos.</t>
  </si>
  <si>
    <t>100% PO EN SMMLV</t>
  </si>
  <si>
    <t>CTO´S</t>
  </si>
  <si>
    <t>N° CONSECUTIVO EN EL RUP</t>
  </si>
  <si>
    <t>CONTRATANTE</t>
  </si>
  <si>
    <t>PRESENTA DOCUMENTOS EN LISTADOS</t>
  </si>
  <si>
    <t>CUMPLE EXPERIENCIA?</t>
  </si>
  <si>
    <t>QUIEN APORTA LA EXPERIENCIA?</t>
  </si>
  <si>
    <t>AÑO DE TERMINACION DEL CONTRATO</t>
  </si>
  <si>
    <t>VALOR TOTAL EN PESOS</t>
  </si>
  <si>
    <t>VALOR TOTAL SMMLV - RUP</t>
  </si>
  <si>
    <t>% PARTICIPACION</t>
  </si>
  <si>
    <t>VALOR TOTAL AFECTADO</t>
  </si>
  <si>
    <t>CUMPLE / NO CUMPLE</t>
  </si>
  <si>
    <t>CTO 1</t>
  </si>
  <si>
    <t>CONSORCIO CONSTRUCTOR NUEVO DORADO-CCND-CO-ST-SU-004-2013</t>
  </si>
  <si>
    <t>Instalacion , Sumnistro y puesta en  marcha de UPS para la Red Subestacion de la Torre de Control</t>
  </si>
  <si>
    <t>30/04/2014</t>
  </si>
  <si>
    <t>CUMPLE</t>
  </si>
  <si>
    <t>CTO 2</t>
  </si>
  <si>
    <t>CONSORCIO CONSTRUCTOR NUEVO DORADO-CCND-CO-PMA7-SI-035-2013</t>
  </si>
  <si>
    <t>Suministro e Instalacion y puesta en marcha de Ups conforme a la oferta para el plan maestro Hito 7 del aeropuerto internacional el Dorado de la Ciudad de Bogota</t>
  </si>
  <si>
    <t>30/09/2013</t>
  </si>
  <si>
    <t>CTO 3</t>
  </si>
  <si>
    <t>CONSORCIO CONSTRUCTOR NUEVO DORADO CCND</t>
  </si>
  <si>
    <t xml:space="preserve">Ingenieria de Detalle,Suministro, Instalacion y Puesta en servicio de UPS  conforme a las descripcion de la oferta en Paralelo redundante completo para terminal unificado de pasajeros del Aeropuerto el Dorado, actividades que Incluyen el Diseño, Fabricacion Emsamble, Suministro, Montaje, Pruebas y puesta en servicio de las unidades de potencia interrumpida -(10) UPS conformadas por (2) Modulos Redundantes .  </t>
  </si>
  <si>
    <t>30/10/2013</t>
  </si>
  <si>
    <t>CTO 4</t>
  </si>
  <si>
    <t>Secretaria distrital de hacienda 170332-0-2017</t>
  </si>
  <si>
    <t>Prestar los servicios de mantenimiento preventivo y correctivo de  elementos que soportan la infraestructura tecnológica del Centro de  cómputo y centros de cableado de la SDH.</t>
  </si>
  <si>
    <t>30/11/2020</t>
  </si>
  <si>
    <t>CTO 5</t>
  </si>
  <si>
    <t>CTO 6</t>
  </si>
  <si>
    <t>SUMATORIA CONTRATO EN SMMLV</t>
  </si>
  <si>
    <t xml:space="preserve">OBSERVACIONES: </t>
  </si>
  <si>
    <t>La AEROCIVIL verificará la experiencia específica del proponente con hasta cuatro (4) certificaciones de contratos o actas de liquidación o actas de terminación de contratos celebrados con entidades públicas o privadas, ejecutados y terminados; debidamente registrados en el RUP e identificados en al menos dos (2) de los códigos UNSPSC requeridos en la experiencia general; que sumados su valor total, expresado en SMMLV, sea igual o mayor al cien por ciento (100%) del presupuesto oficial (o del lote al que se presenta) (Lote 1 correspondiente a 613,74 SMMLV) y (Lote 2 correspondiente a 1.482,66 SMMLV), y cuyo objeto, actividades u obligaciones contractuales esté relacionadas con:
PRESTACIÓN DE SERVICIO DE MANTENIMIENTO DE UPS MÍNIMO DE 160 KVA
Y/O
• INSTALACIÓN Y PUESTA EN FUNCIONAMIENTO DE UPS MÍNIMO DE 160 KVA
Las consideraciones a tener en cuenta para la acreditación de la experiencia específica se encuentran definidas en el complementario al pliego de condiciones.</t>
  </si>
  <si>
    <t>CERTIFICACION No.</t>
  </si>
  <si>
    <t>PRESENTA DOCUMENTOS ENLISTADOS</t>
  </si>
  <si>
    <t>CUMPLE CODIGOS?</t>
  </si>
  <si>
    <t>OBJETO, ACTIVI U OBLIGACIONES RELACIONADAS CON ACTIVI REQUERIDAS</t>
  </si>
  <si>
    <t>VALOR TOTAL PESOS</t>
  </si>
  <si>
    <t>NO CUMPLE</t>
  </si>
  <si>
    <r>
      <rPr>
        <b/>
        <sz val="10"/>
        <color rgb="FFFF0000"/>
        <rFont val="Arial"/>
        <family val="2"/>
      </rPr>
      <t xml:space="preserve">RESULTADO DE EVALUACION PRELIMINAR 
</t>
    </r>
    <r>
      <rPr>
        <sz val="10"/>
        <color rgb="FFFF0000"/>
        <rFont val="Arial"/>
        <family val="2"/>
      </rPr>
      <t xml:space="preserve">
El documento aportado por el proponente para CTO1 y CTO2 indican UPS de 400 y 160 kVA respectivamente que "hacen parte del contrato" , no siendo claro el porcentaje  sobre el total del presupuesto de los contratos certificados que corresponde a dichas UPS, la certificacion no cumple con lo solicitado en el pliego de condiciones en el item 4.4.3.1 que indica: "iii. En el caso de que en los contratos acreditados, adicionalmente se hayan ejecutado otras adquisiciones o servicios, diferentes o no similares a los solicitados en el presente proceso de contratación, no se tendrán en cuenta estos valores para efectos de acreditar la experiencia requerida. Para lo anterior el proponente debe aportar los documentos contractuales que considere y en donde se pueda verificar claramente el valor discriminado de los bienes suministrados y/o servicios prestados". Se solicita la relacion del total de las actividades, bienes y/o servicios ejecutados en el contrato con el fin de discriminar los valores de cada una de las UPS.
</t>
    </r>
    <r>
      <rPr>
        <b/>
        <sz val="10"/>
        <color rgb="FFFF0000"/>
        <rFont val="Arial"/>
        <family val="2"/>
      </rPr>
      <t xml:space="preserve">RESULTADO DE EVALUACION SUBSANACIÓN 
</t>
    </r>
    <r>
      <rPr>
        <sz val="10"/>
        <color rgb="FFFF0000"/>
        <rFont val="Arial"/>
        <family val="2"/>
      </rPr>
      <t xml:space="preserve">EL contrato con numero de consecutivo RUP 159 indica instalación de ups de 150 KVA, el mínimo requerido es de 160 KVA según. Por ende la certificación no cumple con lo solicitado en el pliego de condiciones 4.4.3. Experiencia especifica del proponente,  ¨La AEROCIVIL verificará la experiencia específica del proponente con hasta cuatro (4) certificaciones de contratos o actas de liquidación o actas de terminación de contratos celebrados con entidades públicas o privadas, ejecutados y terminados; debidamente registrados en el RUP e identificados en al menos dos (2) de los códigos UNSPSC requeridos en la experiencia general; que sumados su valor total, expresado en SMMLV, sea igual o mayor al cien por ciento (100%) del presupuesto oficial (o del lote al que se presenta) (Lote 1 correspondiente a 613,74 SMMLV) y (Lote 2 correspondiente a 1.482,66 SMMLV), y cuyo objeto, actividades u obligaciones contractuales esté relacionadas con:
• PRESTACIÓN DE SERVICIO DE MANTENIMIENTO DE UPS MÍNIMO DE 160 KVA Y/O
• INSTALACIÓN Y PUESTA EN FUNCIONAMIENTO DE UPS MÍNIMO DE 160 KVÄ
</t>
    </r>
  </si>
  <si>
    <t>OTROS ASPECTOS TÉCNICOS DE OBLIGATORIO CUMPLIMIENTO</t>
  </si>
  <si>
    <t>Contiene la totalidad de condiciones y especificaciones técnicas de los bienes y/o servicios solicitados por la Entidad y que debe cumplir el contratista para el logro del objeto del presente proceso. Los requerimientos descritos en dicho formato técnico son los mínimos exigidos por la Entidad, de obligatorio cumplimiento y se constituirán en obligaciones para el contratista. Con la presentación y firma del “Formato 14 - Carta de Presentación de la Oferta”, se entiende que el proponente conoce y acepta todos los requisitos allí establecidos. En tal sentido, no será necesario aportar el “Formato No. 8 – Especificaciones Técnicas” con la propuesta y en consecuencia no será objeto de verificación del comité evaluador.</t>
  </si>
  <si>
    <t>El proponente debe anexar junto con la propuesta una Carta de Compromiso, suscrita por parte del representante legal, donde se compromete a presentar el personal requerido del formato 8 – Especificaciones Técnicas, el cual corresponde a:
REVISAR TAMBIÉN Numeral 4.4.5</t>
  </si>
  <si>
    <t>El proponente debe anexar junto con la propuesta el Certificado de Representación y Distribución Autorizada de los Bienes, expedido por el Fabricante o por el Distribuidor Autorizado por el Fabricante de los bienes ofrecidos, en el cual se indique que está autorizado para distribuir estos bienes objeto de la presente contratación. La fecha de expedición de la certificación debe ser de máximo seis (6) meses anteriores a la fecha de cierre del presente proceso de contratación. Este Certificado puede estar dirigido a cualquiera de los integrantes del Consorcio o Unión Temporal en caso de presentar la oferta bajo esta modalidad. En caso de que el proponente no sea fabricante y de presentarse más de un (1) distribuidor autorizado, el proponente deberá aportar toda la cadena de certificaciones que demuestren las autorizaciones iniciando desde el fabricante del bien. El certificado debe ser presentado por los fabricantes de las UPS objeto del contrato.</t>
  </si>
  <si>
    <t>El proponente debe anexar junto con la propuesta documento suscrito por el representante legal, mediante la cual se compromete, en caso de resultar adjudicatario, a otorgar un tiempo de garantía. La garantía técnica mínima para los elementos instalados en las UPS a excepción de las baterías será de seis (6) meses una vez instalados; la garantía técnica mínima de las baterías será de dos (2) años, y bajo las condiciones descritas en el Formato 8 Especificaciones Técnicas.</t>
  </si>
  <si>
    <t>El Proponente para cumplir con lo solicitado en las Fichas técnicas de la AEROCIVIL deberá aportar los catálogos del fabricante o la ficha del fabricante de los bienes ofertados, donde se pueda verificar el cumplimiento de cada uno de los requerimientos técnicos solicitados por la Entidad. El ofrecimiento técnico constituye un criterio de comparación de las ofertas, por lo tanto, el proponente deberá asegurarse de aportar dicho ofrecimiento técnico junto con la oferta so pena de rechazo. En el caso en que el catálogo o ficha técnica no contenga alguno de los requisitos solicitados, dicha verificación se podrá hacer contra certificación expedida por el fabricante de los bienes ofertados Cada bien ofrecido en los catálogos aportados o las fichas técnicas del fabricante, se confrontará con el formato 10 de las Fichas técnicas publicado de la AEROCIVIL.
Nota 1: La oferta no puede estar condicionada. Si el proponente en propuesta presenta algún condicionamiento, este no será tenido en cuenta por la Entidad Nota 2: Los requerimientos técnicos descritos en el formato 10 de las Fichas Técnicas publicado por la AEROCIVIL no podrán ser modificados.
En el evento que una o algunas de las características técnicas descritas en las fichas técnicas sean modificadas, se evaluará como no cumple.</t>
  </si>
  <si>
    <r>
      <rPr>
        <b/>
        <sz val="10"/>
        <color rgb="FFFF0000"/>
        <rFont val="Arial"/>
        <family val="2"/>
      </rPr>
      <t xml:space="preserve">RESULTADO EVALUACION PRELIMINAR 
</t>
    </r>
    <r>
      <rPr>
        <sz val="10"/>
        <color rgb="FFFF0000"/>
        <rFont val="Arial"/>
        <family val="2"/>
      </rPr>
      <t xml:space="preserve">No se cumple lo especificado en el formato 10. Ficha tecnica BATERIAS LOTE 2 UPS MARCA SCHNEIDER item 7, superando las dimensiones maximas que debe tener la bateria. 
</t>
    </r>
    <r>
      <rPr>
        <b/>
        <sz val="10"/>
        <color theme="9"/>
        <rFont val="Arial"/>
        <family val="2"/>
      </rPr>
      <t xml:space="preserve">RESULTADO EVALUACION  SUBSANACION </t>
    </r>
    <r>
      <rPr>
        <sz val="10"/>
        <color theme="9"/>
        <rFont val="Arial"/>
        <family val="2"/>
      </rPr>
      <t xml:space="preserve">
Subsanado </t>
    </r>
  </si>
  <si>
    <t xml:space="preserve">FACTOR DE CALIDAD (18,75 PUNTOS) </t>
  </si>
  <si>
    <t>PUNTAJE</t>
  </si>
  <si>
    <r>
      <t>1. Suministro de analizador de baterías:</t>
    </r>
    <r>
      <rPr>
        <b/>
        <sz val="14"/>
        <rFont val="Arial"/>
        <family val="2"/>
      </rPr>
      <t xml:space="preserve"> (Máximo 10 PUNTOS)</t>
    </r>
    <r>
      <rPr>
        <sz val="14"/>
        <rFont val="Arial"/>
        <family val="2"/>
      </rPr>
      <t xml:space="preserve">
-	Si ofrece dos (2) analizadores de baterías</t>
    </r>
    <r>
      <rPr>
        <b/>
        <sz val="14"/>
        <rFont val="Arial"/>
        <family val="2"/>
      </rPr>
      <t xml:space="preserve"> (10 PUNTOS)</t>
    </r>
    <r>
      <rPr>
        <sz val="14"/>
        <rFont val="Arial"/>
        <family val="2"/>
      </rPr>
      <t xml:space="preserve">
-	Si ofrece un (1) analizador de baterías </t>
    </r>
    <r>
      <rPr>
        <b/>
        <sz val="14"/>
        <rFont val="Arial"/>
        <family val="2"/>
      </rPr>
      <t>(5 PUNTOS)</t>
    </r>
  </si>
  <si>
    <r>
      <t xml:space="preserve">2. Curso con temática: Mantenimiento Preventivo, Correctivo y uso del sistema de gestión y monitoreo remoto de UPS SCHENEIDER </t>
    </r>
    <r>
      <rPr>
        <b/>
        <sz val="14"/>
        <rFont val="Arial"/>
        <family val="2"/>
      </rPr>
      <t>(5 PUNTOS)</t>
    </r>
  </si>
  <si>
    <r>
      <t xml:space="preserve">3. Diplomado en plataforma digital con temática: Mantenimiento Preventivo, Correctivo y uso del sistema de gestión y monitoreo remoto de UPS </t>
    </r>
    <r>
      <rPr>
        <b/>
        <sz val="14"/>
        <rFont val="Arial"/>
        <family val="2"/>
      </rPr>
      <t>(3,75 PUNTOS)</t>
    </r>
  </si>
  <si>
    <t>TOTAL PUNTAJE OBTENIDO</t>
  </si>
  <si>
    <t>Después de realizar el estudio de porcentajes de bienes se evidencia que ninguno de los bienes contemplados en el estudio de mercado se puede denominar como un bien relevante para el proceso, dado que no supera el 40% del presupuesto oficial, por tal motivo se otorgará el puntaje de apoyo a la Industria Nacional a los proponentes que se comprometan a vincular al desarrollo del objeto contractual un porcentaje de empleados o contratistas por prestación de servicios colombianos de al menos el ochenta por ciento (80%) del personal requerido para el cumplimiento del contrato.
Los Proponentes pueden obtener puntaje de apoyo a la industria nacional por: i) Servicios Nacionales o con Trato Nacional o por ii) la incorporación de componente nacional en servicios extranjeros. La Entidad en ningún caso otorgará simultáneamente el puntaje por ambos aspectos.Los puntajes para estimular a la industria nacional se relacionan en la siguiente tabla:
NOTA: A Las sucursales colombianas se les aplicará el mismo tratamiento que a las empresas extranjeras
(Ver concepto C-571 de 2022 Colombia Compra Eficiente)</t>
  </si>
  <si>
    <t>Conforme a lo dispuesto en el Decreto 392 de 2018, se otorgará un (1) punto a los proponentes que acrediten la vinculación de trabajadores con discapacidad en su planta de personal, de acuerdo con los siguientes requisitos: 1. La persona natural, el representante legal de la persona jurídica o el revisor fiscal, según corresponda. certificará el número total de trabajadores vinculados a la planta de personal del proponente o sus integrantes a la fecha de cierre del proceso de selección. 2. Acreditar el número mínimo de personas con discapacidad en su planta de personal, de conformidad con lo
señalado en el certificado expedido por el Ministerio de Trabajo, el cual deberá estar vigente a la fecha de cierre del proceso de selección. Verificados los anteriores requisitos, se asignará un punto a quienes acrediten el número mínimo de trabajadores con discapacidad, señalados a continuación:
Nota 1. Si la oferta es presentada por un consorcio o unión temporal, se tendrá en cuenta la planta de personal del integrante del proponente plural que aporte como mínimo el cuarenta por ciento (40%) de la experiencia general y/o ponderable requerida para la respectiva contratación.
Nota 2. El proponente podrá allegar la certificación relacionada en el numeral 1 en el “Formato 22 – Vinculación de Personas en Condición de Discapacidad” dispuesto por la entidad o en un formato diferente, no obstante, deberá contener la información mínima exigida por el Decreto 392 de 2018.</t>
  </si>
  <si>
    <t>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podrá presentar el “Formato 24 – Acreditación de emprendimiento y empresa de mujeres” o certificación con la información y documentación requeridas en el artículo 2.2.1.2.4.2.4 del Decreto 1082 de 2015, o la norma que lo modifique, complemente o sustituya. Si el Proponente debió subsanar dicho formato y/o los documentos requeridos para acreditar esta condición será válido para los criterios diferenciales en cuanto a los requisitos habilitantes relacionados con el número de contratos aportados para acreditar la
experiencia solicitada, pero no se tendrán en cuenta para la asignación de puntaje, por lo que obtendrá cero (0) puntos por este criterio de evaluación.
Tratándose de Proponentes Plurales este puntaje solo se otorgará si por lo menos uno de los integrantes acredita la calidad de emprendimientos y empresas de mujeres y tiene una participación igual o superior al diez por ciento (10%) en el Consorcio o en la Unión Temporal.
La asignación de este puntaje no excluye la aplicación del puntaje para Mipyme.
REVISAR TAMBIÉN Numeral 4.4.4</t>
  </si>
  <si>
    <t>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Para que el Proponente obtenga este puntaje podrá presentar el “Formato 23 - Acreditación de MiPymes” o certificación con la información y documentación requeridas en el artículo 2.2.1.2.4.2.4 del Decreto 1082 de 2015, o la norma que lo modifique, complemente o sustituya. Si el Proponente debió subsanar dicho formato y/o los documentos requeridos o el RUP para acreditar esta condición, será válido para los criterios diferenciales en cuanto a los requisitos habilitantes relacionados con el número de contratos aportados para acreditar
la experiencia solicitada, pero no se tendrán en cuenta para la asignación de puntaje, por lo que obtendrá cero (0) puntos por este criterio de evaluación.
REVISAR TAMBIÉN Numeral 4.4.4</t>
  </si>
  <si>
    <t>RECHAZADO</t>
  </si>
  <si>
    <t>El proponente no aclaro lo solicitado por la Entidad en la evaluación preliminar por tanto  incurrió en lo descrito en el numeral 3.17. CAUSALES DE RECHAZO , numeralal (i), asi:  “(…)(i) Cuando al Proponente en forma individual o conjunta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el presente documento.(…)”
CONCLUSION: RECHAZO</t>
  </si>
  <si>
    <t>ANEXA CARTA  DE PRESENTACION .</t>
  </si>
  <si>
    <r>
      <t xml:space="preserve">1. Curso con temática: Mantenimiento Preventivo, Correctivo y uso del sistema de gestión y monitoreo remoto de UPS EMERSON </t>
    </r>
    <r>
      <rPr>
        <b/>
        <sz val="14"/>
        <rFont val="Arial"/>
        <family val="2"/>
      </rPr>
      <t>(8 PUNTOS)</t>
    </r>
  </si>
  <si>
    <r>
      <t xml:space="preserve">2. Suministro de analizador de baterías </t>
    </r>
    <r>
      <rPr>
        <b/>
        <sz val="14"/>
        <rFont val="Arial"/>
        <family val="2"/>
      </rPr>
      <t>(6,75 PUNTOS)</t>
    </r>
  </si>
  <si>
    <r>
      <t xml:space="preserve">3. Diplomado en plataforma digital con temática: Mantenimiento Preventivo, Correctivo y uso del sistema de gestión y monitoreo remoto de UPS </t>
    </r>
    <r>
      <rPr>
        <b/>
        <sz val="14"/>
        <rFont val="Arial"/>
        <family val="2"/>
      </rPr>
      <t>(4 PUNTOS)</t>
    </r>
  </si>
  <si>
    <t xml:space="preserve">NO PRESENTA INFORMACIO9N </t>
  </si>
  <si>
    <t>NO ANEXA CERTIFICADOS</t>
  </si>
  <si>
    <t>1 UNE EPM
TELECOMUNICACIO
NES</t>
  </si>
  <si>
    <t>Suministro de servicios asociados a la
instalación de puntos de datos y/o eléctricos a
nivel nacional y elementos de bolsa acorde con especificaciones por 12 meses</t>
  </si>
  <si>
    <t>ENETEL</t>
  </si>
  <si>
    <t>4 754787583</t>
  </si>
  <si>
    <t>UNE EPM TELECOMUNICACIONES  S.A</t>
  </si>
  <si>
    <t>Mantenimiento preventivo, correctivo, adecuaciones y reformas
a la infraestructura eléctrica, aire acondicionado y civil
(infraestructura DC a sistemas de rectificación, baterías, UPS,
inversores, etc.), ubicadas en las zonas de influencia de UNE
EPM Telecomunicaciones S.A. A nivel nacional, además de
suministros y servicios conexos (Grupo 3).</t>
  </si>
  <si>
    <t>TRONEX S.A.S.</t>
  </si>
  <si>
    <t>31/12/2013</t>
  </si>
  <si>
    <t>Suministro e instalacion de 4 UPS de 150 kVA 480 VAC</t>
  </si>
  <si>
    <t>31/07/2019</t>
  </si>
  <si>
    <t xml:space="preserve">ECOPETROL </t>
  </si>
  <si>
    <t>SERVICIO PARA EL MANTENIMIENTO INTEGRAL DE LOS
CUARTOS TÉCNICOS DE LA REFINERÍA DE CARTAGENA.</t>
  </si>
  <si>
    <t>30/09/2018</t>
  </si>
  <si>
    <t>INSOL S.A.S</t>
  </si>
  <si>
    <t>SUMINISTRO E INSTALACION DE UPS DE 300 KVA PARA
LA PRESIDENCIA DE LA REPUBLICA COLOMBIANA</t>
  </si>
  <si>
    <t>22/06/2022</t>
  </si>
  <si>
    <t xml:space="preserve">En los documentos aportados por el proponente se encontro el Formato 14, el cual cumple con el formalismo solicitado													</t>
  </si>
  <si>
    <t xml:space="preserve">Es claro en la estructura del proceso que los bienes a adquirir son las baterías y repuestos para las UPS descritas en los documentos del presente proceso, la certificación aportada por el interesado fue únicamente de las baterias, faltando la certificación de representación y distribución autorizada por el fabricante de los repuestos de las UPS.
Se le informa al proponente que una vez revisadas las certificación de representación y distribución autorizada de los baterias,  no cumple con lo solicitado en el numeral 10.3.5 literal c del formato 1A Estudio previo que indica: “(…)El proponente debe anexar junto con la propuesta el Certificado de Representación y Distribución Autorizada de los Bienes, expedido por el Fabricante o por el Distribuidor Autorizado por el Fabricante de los bienes ofrecidos, en el cual se indique que está autorizado para distribuir estos bienes objeto de la presente contratación. La fecha de expedición de la certificación debe ser de máximo seis (6) meses anteriores a la fecha de cierre del presente proceso de contratación. Este Certificado puede estar dirigido a cualquiera de los integrantes del Consorcio o Unión Temporal en caso de presentar la oferta bajo esta modalidad.
En caso de que el proponente no sea fabricante y de presentarse más de un (1) distribuidor autorizado, el proponente deberá aportar toda la cadena de certificaciones que demuestren las autorizaciones iniciando desde el fabricante del bien(…)”.
El mencionado certificado tiene como fecha el 25 de agosto de 2023 y no cumple adicionalmente con lo solicitado en el complementario al respecto de certificaciones que provienen del exterior, asi: “(…) Los documentos públicos expedidos en el exterior, que se pretendan hacer valer en el presente proceso, deben cumplir con el requisito de apostilla o legalización (consularización), dependiendo si el país de origen es signatario del Convenio de La Haya de 1961, o es un país signatario de la Convención de Viena de 1963. Los documentos privados otorgados en el extranjero requieren reconocimiento de firma de la persona que expide o firma el documento ante un Notario o autoridad competente y la posterior apostille o legalización, según corresponda, de la firma de ese Notario o funcionario público que realiza dicho reconocimiento. Es decir, se debe apostillar o legalizar el acto notarial o de reconocimiento de firma.
Para el trámite de apostilla o legalización de documentos otorgados en el exterior, las Entidades aplicarán los parámetros establecidos en las normas que regulen la materia, en especial los previstos en el artículo 480 del Código de Comercio y artículo 251 del Código General del Proceso, la Resolución No. 1959 de 2020 del Ministerio de Relaciones Exteriores, o la norma que la modifique, sustituya o complemente y la Circular Única emitida por Colombia Compra Eficiente.
Los Manuales, fichas técnicas, catálogos, Data sheets, no serán objeto de apostilla o legalización, ni de traducción oficial, salvo las certificaciones, aclaraciones, o demás documentos expedidos en el exterior. Los sellos no serán objeto de traducción.
NOTA: El proponente tendrá la oportunidad de acreditar el requisito de Apostilla o Legalización hasta el día hábil anterior a la instalación de la audiencia pública de adjudicación. Si el (los) documento(s) objeto de apostilla o legalización, aportado(s) con la oferta o durante el término de traslado del informe de evaluación, no cumple finalmente con este requisito, la propuesta será RECHAZADA.(…)”.
</t>
  </si>
  <si>
    <t xml:space="preserve">Los documentos aportados cumplen con el formalismo para otorgar el puntaje </t>
  </si>
  <si>
    <t>ASESORÍAS Y ACABADOS ÁVILA S.A.S</t>
  </si>
  <si>
    <t>UNIVERSIDAD
DISTRITAL FRANCISCO JOSÉ DE CALDAS,</t>
  </si>
  <si>
    <t>Adquirir soporte técnico para atención a emergencias, mantenimientos preventivos periódicos, mantenimientos correctivos con cobertura total de repuestos (excepto baterías) para los equipos que conforman la infraestructura de los cuartos de equipos principales y cuartos de ups, a cargo de la red de datos UDNET.</t>
  </si>
  <si>
    <t>21/09/2021</t>
  </si>
  <si>
    <t>PROCURADURIA GENERAL DE LA NACION</t>
  </si>
  <si>
    <t>Adquirir, instalar y garantizar elementos que conforman los diferentes sistemas del centro de datos de la procuraduría general de la nación para cumplir con las mejores prácticas, acorde a las normas y estándares internacionales.</t>
  </si>
  <si>
    <t>25/05/2018</t>
  </si>
  <si>
    <t xml:space="preserve">CENTRO DE SERVICIOS COMPARTIDOS </t>
  </si>
  <si>
    <t>Servicio de mantenimiento preventivo y correctivo de 74 UPS para el contratante y para la empresa CARIBEMAR DE LA COSTA S.A.S E.SP /O AIR-E S.A.S E.S.P</t>
  </si>
  <si>
    <t>31/05/2022</t>
  </si>
  <si>
    <t>UNIVERSIDAD SAN BUENAVENTURA SECCIONAL CALI</t>
  </si>
  <si>
    <t>Servicio tecnico de mantenimiento preventivo y correctivo sin repuestos 7x24 de las UPS de la universidad san buenaventura seccional Cali</t>
  </si>
  <si>
    <t>31/12/2019</t>
  </si>
  <si>
    <t>ADQUISICION INSTALACION Y PUESTA EN FUNCIONAMIENTO DE UNA SALA TECNICA ESPECIALIZADA CON CENTRO DE MONITOREO Y GESTION PARA EL CGAC</t>
  </si>
  <si>
    <t>28/01/2016</t>
  </si>
  <si>
    <t>BT LATAM - SENCINET</t>
  </si>
  <si>
    <t>Realizó el diseño, suministro y construcción del Data Center BT NAOS para la prestación de servicios de data center y cableado estructurado para el área blanca del Data Center BT Nimbus.</t>
  </si>
  <si>
    <t>El proponente no aporta documentacion</t>
  </si>
  <si>
    <t>El proponente no aporta el Formato 23 - Acreditación de MiPymes</t>
  </si>
  <si>
    <t>INVERSER LTDA</t>
  </si>
  <si>
    <t>TESERACT SAS</t>
  </si>
  <si>
    <t>FISCALIA GENERAL DE LA NACION</t>
  </si>
  <si>
    <t>Adquisición, instalación, pruebas, y puesta en funcionamiento de sistemas de respaldo de energía eléctrica compúesto por UPS con destino a sedes seccionales de la Fiscalía General de la Nación a Nivel Nacional</t>
  </si>
  <si>
    <t>Inverser LTDA.</t>
  </si>
  <si>
    <t>15/12/2018</t>
  </si>
  <si>
    <t>FIRMAMENTO E IMAGEN SAS</t>
  </si>
  <si>
    <t>Suministro e instalación de un sistema paralelo redundante con 2 UPS ´s de 250 KVA  para los cuartos de cableado y puestos de trabajo de las oficinas de Call Center ubicado en el edificio Centro Comercial Fabricato Bello Antioquia.</t>
  </si>
  <si>
    <t>AERONAUTICA CIVIL</t>
  </si>
  <si>
    <t>Adquirir, instalar y dar en servicio sistemas ininterrumpidos de potencia UPS a nivel nacional</t>
  </si>
  <si>
    <t>30/01/2021</t>
  </si>
  <si>
    <t>FONDO NACIONAL DE AHORRO</t>
  </si>
  <si>
    <t>Prestación de Servicios integrales de administración de infraestructura tecnológica de redes LAN (Voz, Datos), redes eléctricas de puestos de trabajo, video presencia, telefonía IP y seguridad informática perimetral a nivel nacional.</t>
  </si>
  <si>
    <t>Teseract SAS</t>
  </si>
  <si>
    <t>17.374.869.274,8‬</t>
  </si>
  <si>
    <t>La informacion consignada en el formato 19A para las CTO 2 y CTO 3 no es congruente con lo indicado en el  RUP respecto  a los SMMLV, ni con lo indicado en el certificacion del contrato en cuantos al valor total en pesos.  
Respecto al CTO 4, en el formato 19A se relaciono este contrato con informacion de Teseract que al verificarse en el RUP no corresponde. Adicionalmente el certificado indica que la participancion de Teseract es del 35% y en el RUP dice que es de 40%.</t>
  </si>
  <si>
    <t>El documento aportado por el proponente para el CTO1 (RUP 82) relaciona un total de cinco UPS de las cuales solo una cumple con la exigencia de la capacidad la cual es minimo de 160kVA , la certificacion no cumple teniendo encuenta que no se logra identificar el valor ejecutado por la UPS de 250kVA. Esto conforme a lo solicitado en el pliego de condiciones en el item 4.4.3.1 que indica: "iii. En el caso de que en los contratos acreditados, adicionalmente se hayan ejecutado otras adquisiciones o servicios, diferentes o no similares a los solicitados en el presente proceso de contratación, no se tendrán en cuenta estos valores para efectos de acreditar la experiencia requerida. Para lo anterior el proponente debe aportar los documentos contractuales que considere y en donde se pueda verificar claramente el valor discriminado de los bienes suministrados y/o servicios prestados".</t>
  </si>
  <si>
    <t>CEMEX COLOMBIA SAS</t>
  </si>
  <si>
    <t>SUMINISTRO INCLUIDO INSTALACION A CERO METROS DE EQUIPO UPS APC GALAXY VM DE 180KVA</t>
  </si>
  <si>
    <t>POLICIA NACIONAL -DIRECCION ADMINISTRATIVA Y FINANCIERA</t>
  </si>
  <si>
    <t>MANTENIMIENTO UPS A NIVEL NACINAL</t>
  </si>
  <si>
    <t>TYCO SERVICES SA</t>
  </si>
  <si>
    <t>SUMIISTRO INSTALACION Y MANTENIMIENTO DE 5 UPS VERTIV EXM DE 200 KVA</t>
  </si>
  <si>
    <t>SODIMAC COLOMBIA SA</t>
  </si>
  <si>
    <t>MANTENIMIENTO PREVENTIVO Y CORRECTIVO  A 281 UPS Y MONITOREO DE 125 UPS A NIVEL NACIONAL</t>
  </si>
  <si>
    <t xml:space="preserve">COMSISTELCO </t>
  </si>
  <si>
    <t>MANTENIMIENTO PREVENTIVO Y CORRECTIVO  A EQUIPOS UPS DE 1 A 225 KVA A NIVEL NACIONAL, SUMINISTRO E INSTALACION DE BATERIAS</t>
  </si>
  <si>
    <r>
      <t>Se le informa al proponente que una vez revisada la certificación de representación y distribución autorizada de los bienes, no cumple en lo solicitado en el numeral 10.3.5 literal c del formato 1A Estudio previo que indica: 
“</t>
    </r>
    <r>
      <rPr>
        <i/>
        <sz val="10"/>
        <color rgb="FFFF0000"/>
        <rFont val="Arial"/>
        <family val="2"/>
      </rPr>
      <t>El proponente debe anexar junto con la propuesta el Certificado de Representación y Distribución Autorizada de los Bienes, expedido por el Fabricante o por el Distribuidor Autorizado por el Fabricante de los bienes ofrecidos, en el cual se indique que está autorizado para distribuir estos bienes objeto de la presente contratación. La fecha de expedición de la certificación debe ser de máximo seis (6) meses anteriores a la fecha de cierre del presente proceso de contratación. Este Certificado puede estar dirigido a cualquiera de los integrantes del Consorcio o Unión Temporal en caso de presentar la oferta bajo esta modalidad.
En caso de que el proponente no sea fabricante y de presentarse más de un (1) distribuidor autorizado, el proponente deberá aportar toda la cadena de certificaciones que demuestren las autorizaciones iniciando desde el fabricante del bien</t>
    </r>
    <r>
      <rPr>
        <sz val="10"/>
        <color rgb="FFFF0000"/>
        <rFont val="Arial"/>
        <family val="2"/>
      </rPr>
      <t>”.
Es claro en la estructura del proceso que los</t>
    </r>
    <r>
      <rPr>
        <b/>
        <sz val="10"/>
        <color rgb="FFFF0000"/>
        <rFont val="Arial"/>
        <family val="2"/>
      </rPr>
      <t xml:space="preserve"> bienes a adquirir son las baterías y repuestos para las UPS</t>
    </r>
    <r>
      <rPr>
        <sz val="10"/>
        <color rgb="FFFF0000"/>
        <rFont val="Arial"/>
        <family val="2"/>
      </rPr>
      <t xml:space="preserve"> descritas en los documentos del presente proceso, la certificación aportada por el interesado fue únicamente de los repuestos de las UPS, faltando la certificación de representación y distribución autorizada por el fabricante de las baterías ofertadas. El interesado presenta un documento que no sustenta la distribución autorizadas de los equipos Scheneirder, además es un documento expedido en el año 2022 por lo cual no cumple.
Por otra parte, se le recuerda que en el numeral 2.10 del documento Complementario al pliego de condiciones que indica:
</t>
    </r>
    <r>
      <rPr>
        <i/>
        <sz val="10"/>
        <color rgb="FFFF0000"/>
        <rFont val="Arial"/>
        <family val="2"/>
      </rPr>
      <t xml:space="preserve"> “Los documentos públicos expedidos en el exterior, que se pretendan hacer valer en el presente proceso, deben cumplir con el requisito de apostilla o legalización (consularización), dependiendo si el país de origen es signatario del Convenio de La Haya de 1961, o es un país signatario de la Convención de Viena de 1963. Los documentos privados otorgados en el extranjero requieren reconocimiento de firma de la persona que expide o firma el documento ante un Notario o autoridad competente y la posterior apostille o legalización, según corresponda, de la firma de ese Notario o funcionario público que realiza dicho reconocimiento. Es decir, se debe apostillar o legalizar el acto notarial o de reconocimiento de firma.
Para el trámite de apostilla o legalización de documentos otorgados en el exterior, las Entidades aplicarán los parámetros establecidos en las normas que regulen la materia, en especial los previstos en el artículo 480 del Código de Comercio y artículo 251 del Código General del Proceso, la Resolución No. 1959 de 2020 del Ministerio de Relaciones Exteriores, o la norma que la modifique, sustituya o complemente y la Circular Única emitida por Colombia Compra Eficiente.
Los Manuales, fichas técnicas, catálogos, Data sheets, no serán objeto de apostilla o legalización, ni de traducción oficial, salvo las certificaciones, aclaraciones, o demás documentos expedidos en el exterior. Los sellos no serán objeto de traducción.
NOTA: El proponente tendrá la oportunidad de acreditar el requisito de Apostilla o Legalización hasta el día hábil anterior a la instalación de la audiencia pública de adjudicación. Si el (los) documento(s) objeto de apostilla o legalización, aportado(s) con la oferta o durante el término de traslado del informe de evaluación, no cumple finalmente con este requisito, la propuesta será RECHAZADA.’’
</t>
    </r>
    <r>
      <rPr>
        <b/>
        <i/>
        <sz val="10"/>
        <color rgb="FFFF0000"/>
        <rFont val="Arial"/>
        <family val="2"/>
      </rPr>
      <t xml:space="preserve">RESULTADO EVALUACIÓN SUBSANACIÓN 28 NOV
</t>
    </r>
    <r>
      <rPr>
        <i/>
        <sz val="10"/>
        <color rgb="FFFF0000"/>
        <rFont val="Arial"/>
        <family val="2"/>
      </rPr>
      <t xml:space="preserve">El proponente presenta certificado de </t>
    </r>
    <r>
      <rPr>
        <b/>
        <i/>
        <sz val="10"/>
        <color rgb="FFFF0000"/>
        <rFont val="Arial"/>
        <family val="2"/>
      </rPr>
      <t>baterías</t>
    </r>
    <r>
      <rPr>
        <i/>
        <sz val="10"/>
        <color rgb="FFFF0000"/>
        <rFont val="Arial"/>
        <family val="2"/>
      </rPr>
      <t xml:space="preserve"> expedido por NICOMAR ELECTRONIC donde indica que la marca fulibattery es una marca registrada NICOMAR ELECTRONIC, el cual certifica a SUCOMPUTO para comercializador. Sin embargo NO adjunra el certificado de fábrica de las baterías fulibatery de la empresa Jiangxi Jingjiu Power Science &amp; Technology
Los documentos aportados de </t>
    </r>
    <r>
      <rPr>
        <b/>
        <i/>
        <sz val="10"/>
        <color rgb="FFFF0000"/>
        <rFont val="Arial"/>
        <family val="2"/>
      </rPr>
      <t>UPS</t>
    </r>
    <r>
      <rPr>
        <i/>
        <sz val="10"/>
        <color rgb="FFFF0000"/>
        <rFont val="Arial"/>
        <family val="2"/>
      </rPr>
      <t xml:space="preserve"> no corresponde a lo solicitado en el presente proceso, la misma esta dirigida a la Caja de Compensación Compensar y su contenido es diferente al presente proceso.
</t>
    </r>
  </si>
  <si>
    <t>ADJUNTA CARTA SUSCRITA POR EL REPRESENTANTE LEGAL</t>
  </si>
  <si>
    <t>Valor mínimo aceptable</t>
  </si>
  <si>
    <t>Presupusto Oficial</t>
  </si>
  <si>
    <t>Mediana con valor absoluto</t>
  </si>
  <si>
    <t>Propuesta No.</t>
  </si>
  <si>
    <t>PROPONENTES HABILITADOS</t>
  </si>
  <si>
    <t>VALOR TOTAL FORMATO 7</t>
  </si>
  <si>
    <t>PRECIO ARTIFICIALEMNTE BAJO</t>
  </si>
  <si>
    <t>OBSERVACIONES</t>
  </si>
  <si>
    <t>LOTE 2-MEDIANA</t>
  </si>
  <si>
    <t xml:space="preserve">En aras del principio de transparencia que debe regir los procesos de contratación pública, y con el fin de evitar prácticas colusorias, para el presente proceso la Entidad siguiendo lo descrito en GUÍA PARA EL MANEJO DE OFERTAS ARTIFICIALMENTE BAJAS en procesos de Contratación, “(…) La Entidad Estatal puede fijar un valor mínimo aceptable distinto de acuerdo con la información que tenga disponible y la pendiendo (sic) de los datos que esté analizando. La Entidad Estatal puede identificar como posibles ofertas artificialmente bajas a todas las ofertas que cuenten con valores por debajo del valor mínimo aceptable (…).”.
Amparada en este principio se procedió a calcular el valor mínimo aceptable por debajo del cual se requerirá a los proponentes que estén por debajo de este valor 
“(…) Para calcular la mediana, la Entidad Estatal debe ordenar los valores de mayor a menor y tomar el valor de la oferta en la mitad de la lista. Si el número de ofertas es par, debe tomar los dos valores de la mitad, sumarlos y dividirlos en dos (…)”.
Para el cálculo de la desviación estándar es el resultado de aplicar la siguiente formula:
El valor aceptable es igual a la mediana menos una desviación estándar
</t>
  </si>
  <si>
    <t>#</t>
  </si>
  <si>
    <t xml:space="preserve">PROPONENTE </t>
  </si>
  <si>
    <t xml:space="preserve">OFERTA ECONOMICA </t>
  </si>
  <si>
    <t xml:space="preserve">NO OFERTO </t>
  </si>
  <si>
    <t>LOTE 2-DESVIACION ESTANDAR</t>
  </si>
  <si>
    <t xml:space="preserve">Valor minimio aceptable </t>
  </si>
  <si>
    <t>Salario mínimo legal en Colombia</t>
  </si>
  <si>
    <t>1.1.1. Serie histórica en pesos colombianos_periodicidad anual</t>
  </si>
  <si>
    <t/>
  </si>
  <si>
    <t>Información disponible desde el 1 de julio de 1984.</t>
  </si>
  <si>
    <t>Año (aaaa)</t>
  </si>
  <si>
    <t>Salario mínimo diario (COP)</t>
  </si>
  <si>
    <t>Salario mínimo mensual (COP)</t>
  </si>
  <si>
    <r>
      <rPr>
        <b/>
        <sz val="9"/>
        <color theme="1"/>
        <rFont val="Helvetica"/>
        <family val="2"/>
      </rPr>
      <t xml:space="preserve">Fuente: </t>
    </r>
    <r>
      <rPr>
        <sz val="9"/>
        <color theme="1"/>
        <rFont val="Helvetica"/>
        <family val="2"/>
      </rPr>
      <t>Ministerio del Trabajo (</t>
    </r>
    <r>
      <rPr>
        <u/>
        <sz val="9"/>
        <color rgb="FF0000FF"/>
        <rFont val="Helvetica"/>
        <family val="2"/>
      </rPr>
      <t>www.mintrabajo.gov.co</t>
    </r>
    <r>
      <rPr>
        <sz val="9"/>
        <color theme="1"/>
        <rFont val="Helvetica"/>
        <family val="2"/>
      </rPr>
      <t>) y decretos del Gobierno Nacional (</t>
    </r>
    <r>
      <rPr>
        <u/>
        <sz val="9"/>
        <color rgb="FF0000FF"/>
        <rFont val="Helvetica"/>
        <family val="2"/>
      </rPr>
      <t>www.presidencia.gov.co</t>
    </r>
    <r>
      <rPr>
        <sz val="9"/>
        <color theme="1"/>
        <rFont val="Helvetica"/>
        <family val="2"/>
      </rPr>
      <t>).</t>
    </r>
  </si>
  <si>
    <r>
      <rPr>
        <sz val="9"/>
        <color theme="1"/>
        <rFont val="Helvetica"/>
        <family val="2"/>
      </rPr>
      <t xml:space="preserve"> </t>
    </r>
    <r>
      <rPr>
        <b/>
        <sz val="9"/>
        <color theme="1"/>
        <rFont val="Helvetica"/>
        <family val="2"/>
      </rPr>
      <t xml:space="preserve">Notas: </t>
    </r>
  </si>
  <si>
    <t xml:space="preserve"> </t>
  </si>
  <si>
    <t xml:space="preserve">desde el 1 de julio de 1984 se unificó el salario mínimo para todos los sectores de la economía. En los años en que se decretó el salario mínimo diario, este se multiplica por 30 días y se redondea a la unidad para determinar el valor mensual. Cuando se decretó el salario mínimo mensual, se divide por 30 y se redondea a dos decimales para obtener el salario diario. </t>
  </si>
  <si>
    <t xml:space="preserve">Variación porcentual con respecto al dato del año inmediatamente anterior. </t>
  </si>
  <si>
    <r>
      <rPr>
        <b/>
        <sz val="9"/>
        <color theme="1"/>
        <rFont val="Helvetica"/>
        <family val="2"/>
      </rPr>
      <t xml:space="preserve">(N/A) </t>
    </r>
    <r>
      <rPr>
        <sz val="9"/>
        <color theme="1"/>
        <rFont val="Helvetica"/>
        <family val="2"/>
      </rPr>
      <t xml:space="preserve"> No aplica</t>
    </r>
  </si>
  <si>
    <r>
      <rPr>
        <sz val="9"/>
        <color theme="1"/>
        <rFont val="Helvetica"/>
        <family val="2"/>
      </rPr>
      <t xml:space="preserve"> </t>
    </r>
    <r>
      <rPr>
        <i/>
        <sz val="9"/>
        <color theme="1"/>
        <rFont val="Helvetica"/>
        <family val="2"/>
      </rPr>
      <t>Banco de la República - Gerencia Técnica - información extraída de la bodega de datos -Serankua- el 08/11/2023 14:22:43</t>
    </r>
  </si>
  <si>
    <t xml:space="preserve">"En los documentos aportados por el proponente no se encontro la carta de garantia en los terminos descritos en el numeral 4.5.4. Certificado de Garantía de los Bienes o Servicios del FORMATO 2A - COMPLEMENTARIO PLIEGO DE CONDICIONES
LICITACIÓN PÚBLICA"	
El proponente no aclaro lo solicitado por la Entidad en la evaluación preliminar por tanto  incurrió en lo descrito en el numeral 3.17. CAUSALES DE RECHAZO , numeralal (i), asi:  “(…)(i) Cuando al Proponente en forma individual o conjunta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el presente documento.(…)”
CONCLUSION: RECHAZO												</t>
  </si>
  <si>
    <t>Fuente</t>
  </si>
  <si>
    <t>Superintendencia Financiera de Colombia (superfinanciera.gov.co)</t>
  </si>
  <si>
    <t>Media Geométrica</t>
  </si>
  <si>
    <t xml:space="preserve">TRM: </t>
  </si>
  <si>
    <t>Media Aritmética Baja</t>
  </si>
  <si>
    <t>Centavos de la TRM:</t>
  </si>
  <si>
    <t>Menor Valor</t>
  </si>
  <si>
    <t>Número de método de ponderación:</t>
  </si>
  <si>
    <t>Método de Ponderación:</t>
  </si>
  <si>
    <t>Me (Referencia Mediana)</t>
  </si>
  <si>
    <t>Ge (Referencia M. Geom.)</t>
  </si>
  <si>
    <t>Propuesta</t>
  </si>
  <si>
    <t>Mediana con valor absoluto:</t>
  </si>
  <si>
    <t>Valor Me o VMe (Central para impar o bajo para par):</t>
  </si>
  <si>
    <t>Media Geométrica:</t>
  </si>
  <si>
    <t>Media Aritmetica Baja:</t>
  </si>
  <si>
    <t>Menor Valor:</t>
  </si>
  <si>
    <t>Máximo puntaje a asignar:</t>
  </si>
  <si>
    <t>PUNTAJE FORMATO 7</t>
  </si>
  <si>
    <t>PUNTAJE FINAL</t>
  </si>
  <si>
    <t>EVALUACIÓN FINAL</t>
  </si>
  <si>
    <t>PROCESO</t>
  </si>
  <si>
    <r>
      <rPr>
        <sz val="10"/>
        <color rgb="FFFF0000"/>
        <rFont val="Arial"/>
        <family val="2"/>
      </rPr>
      <t xml:space="preserve">El propoentente anexa la ficha tecnica correspodniente a las baterias requeridas en el lote 2 sin embargo no cumple con el items Capacidad de descarga constate de corriente a 25°C ≥ 20h (0.45A, 10.5V), 10h (0.82A, 10.5V), 5h (1.54A, 10.5V), 1h (5.80A, 9.6V) descrito en el formaro 10 Fichas técnicas.											
</t>
    </r>
    <r>
      <rPr>
        <b/>
        <sz val="10"/>
        <color rgb="FFFF0000"/>
        <rFont val="Arial"/>
        <family val="2"/>
      </rPr>
      <t xml:space="preserve">RESULTADO EVALUACION  SUBSANACION
</t>
    </r>
    <r>
      <rPr>
        <sz val="10"/>
        <color rgb="FFFF0000"/>
        <rFont val="Arial"/>
        <family val="2"/>
      </rPr>
      <t xml:space="preserve">
El proponente no allega ficha tecnica. El proponente no aclaro lo solicitado por la Entidad en la evaluación preliminar por tanto  incurrió en lo descrito en el numeral 3.17. CAUSALES DE RECHAZO , numeralal (i), asi:  “(…)(i) Cuando al Proponente en forma individual o conjunta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el presente documento.(…)” esto debido a que no aporta una ficha tecnica donde se evidencia la capacidad de descarga constante de corriente requerida para este proceso.
CONCLUSION: RECHAZO</t>
    </r>
  </si>
  <si>
    <t xml:space="preserve">Se realiza correccion aritmetica, teniendo en cuenta la aclaracion dada en </t>
  </si>
  <si>
    <t>ITEM</t>
  </si>
  <si>
    <t>TOTAL DEL PROYECTO CON CORRECCION ARITMETICA</t>
  </si>
  <si>
    <t xml:space="preserve">
</t>
  </si>
  <si>
    <t>Teniendo en cuenta el numeral 3.9.1 lista de precios de referencia del Complementario Pliego de Condiciones, establece: "El proponente no podrá sobrepasar el valor establecido por ítem en la lista de precios so pena de rechazo". Se rechaza la oferta debido a que el Formato 7A supera el valor estblecido por la entidad de uno de los ítems</t>
  </si>
  <si>
    <r>
      <rPr>
        <b/>
        <sz val="12"/>
        <rFont val="Arial"/>
        <family val="2"/>
      </rPr>
      <t>NO CUMPLE</t>
    </r>
    <r>
      <rPr>
        <sz val="12"/>
        <rFont val="Arial"/>
        <family val="2"/>
      </rPr>
      <t xml:space="preserve"> LA BATERIA FULIBATTERY FL 12-9GS BATERIA SELLADA 12V-9AH, LA ALTURA DE LA BATERÍA ES DE 100 MM Y LO REQUERIDO POR LA ENTIDAD ES DE MÁXIMO 99.6 MM. 
</t>
    </r>
    <r>
      <rPr>
        <b/>
        <sz val="12"/>
        <color rgb="FFFF0000"/>
        <rFont val="Arial"/>
        <family val="2"/>
      </rPr>
      <t>RESULTADO EVALUACIÓN SUBSANACIÓN 28 NOV
La entidad requiere una altura de las baterías de 98.6 mm +/- 1 mm, por lo cual el proponente no cumple. El proponente adjunta certificado del diseño de las baterías indicando que la altura de la batería que están ofertando es de 100 mm +/- 2 mm.
 El proponente no aclaro lo solicitado por la Entidad en la evaluación preliminar por tanto  incurrió en lo descrito en el numeral 3.17. CAUSALES DE RECHAZO , numeralal (i), asi:  “(…)(i) Cuando al Proponente en forma individual o conjunta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el presente documento.(…)”
CONCLUSION: RECHAZO</t>
    </r>
  </si>
  <si>
    <t>Contrato 1(RUP 11), Esta experiencia en el formato 19B no guarda relación con el RUP y la certificación aportada, dado que el valor en SMMLV del RUP no coincide con los SMMLV en la certificación. Adicionalmente no es posible validar que el objeto de este contrato cumpla con lo solicitado por la Entidad (INSTALACIÓN Y PUESTA EN FUNCIONAMIENTO DE UPS MÍNIMO DE 160 KVA), dado que, aunque la certificación menciona: "(...)UPS: Equipos con capacidad desde 5 kVA hasta 160 kVA; diferentes marcas tales como: APC, Liebert, Delta, Powerware, Chloride, Trimax, AEC, etc.(...)" no establece una cantidad real de las UPS de 160 kVA.
Contrato 2 (RUP 41). Esta experiencia en el formato 19B no guarda relación con el RUP y la certificación aportada, dado que el valor en SMMLV del RUP no coincide con los SMMLV en la certificación. En cuanto al formalismo de la certificación no cumple con lo descrito en el Pliego de Condiciones en el numeral 4.4.3.1. Consideraciones para la Acreditación de la Experiencia Específica, literal ii, porque no indica el día de la fecha inicio y terminación del contrato.  Adicionalmente el objeto del contrato NO cumple con lo solicitado por la Entidad “(…) INSTALACIÓN Y PUESTA EN FUNCIONAMIENTO DE UPS MÍNIMO DE 160 KVA(…)", dado que menciona la instalación de UPS de 150 kVA
Contrato 3: Esta experiencia relacionada en el formato 19B, el proponente no tuvo en cuenta el porcentaje de participación dentro del CONSORCIO SIEP 01. Adicionalmente el objeto contractual no guarda relación con el solicitado por la Entidad. Para validar esta experiencia se requiere que el proponente allegue lo dispuesto en el numeral 4.4.3.1. Consideraciones para la Acreditación de la Experiencia Específica, “(…) literal iii. En el caso de que, en los contratos acreditados, adicionalmente se hayan ejecutado otras adquisiciones o servicios, diferentes o no similares a los solicitados en el presente proceso de contratación, no se tendrán en cuenta estos valores para efectos de acreditar la experiencia requerida. Para lo anterior el proponente debe aportar los documentos contractuales que considere y en donde se pueda verificar claramente el valor discriminado de los bienes suministrados y/o servicios prestados (…).”	
Nota: Se le solicita al proponente que en el termino para descorrer el informe aclara lo descrito anteriormente
El proponente no aclaro lo solicitado por la Entidad en la evaluación preliminar por tanto  incurrió en lo descrito en el numeral 3.17. CAUSALES DE RECHAZO , numeralal (i), asi:  “(…)(i) Cuando al Proponente en forma individual o conjunta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el presente documento.(…)”
CONCLUSION: RECHAZO
Dada las observaciones presentadas por el oferente UT INVER TES AEROCIVIL MATTOS fechado el  27 noviembre 2024 y subido a la plataforma Secop ll el 29 de noviembre, se realiza nuevamente revisión del parrafo indicado en el formato 2A complementario al pliego de condiciones: 
“4.4.3.1. Consideraciones para la Acreditación de la Experiencia Específica: 
“(...)xi. Para efectos de la acreditación de la experiencia requerida en el presente proceso de selección, no se aceptarán Subcontratos, ni contratos ejecutados bajo la modalidad de administración delegada u oferta mercantil. (...)” Fuera de texto. El subrayo es nuestro.”
Teniendo en cuenta lo anterior, se le aclara al oferente  CONSORCIO E TX 2024 que la certificacion aportada de objeto “SUMINISTRO E INSTALACION DE UPS DE 300 KVA PARA LA PRESIDENCIA DE LA REPLUBLICA COLOMBIANA” certificado por la empresa INSOL, la cual estaba en estado “Cumple” pasa al estado “No cumple”.</t>
  </si>
  <si>
    <t>El documento aportado por el proponente para el CTO1 (RUP26) relaciona la solución de tres UPS de 400 KVA, en la certificación no se encuentra el desglose del valor correspondiente a esta actividad, es por ello que la certificación no cumple según lo expuesto en lo solicitado en el pliego de condiciones en el item 4.4.3.1 que indica: "iii. En el caso de que en los contratos acreditados, adicionalmente se hayan ejecutado otras adquisiciones o servicios, diferentes o no similares a los solicitados en el presente proceso de contratación, no se tendrán en cuenta estos valores para efectos de acreditar la experiencia requerida. Para lo anterior el proponente debe aportar los documentos contractuales que considere y en donde se pueda verificar claramente el valor discriminado de los bienes suministrados y/o servicios prestados". Se solicita discriminar los valores de cada una de las UPS del contrato indicado.
Una vez realizado el proceso descrito en el item 2,17 del Formato 2A complementario al pliego de condiciones para la CTO 2 con codigo en el RUP 25, se obtiene el siguiente resultado basados en el documento de subsanacion allegado por el proponente en los terminos pertinentes de nombre "CERTIFICADO BT LATAM (USD)",:</t>
  </si>
  <si>
    <r>
      <t xml:space="preserve">
</t>
    </r>
    <r>
      <rPr>
        <b/>
        <sz val="10"/>
        <color rgb="FFFF0000"/>
        <rFont val="Arial"/>
        <family val="2"/>
      </rPr>
      <t xml:space="preserve">RESULTADO EVALUACION PRELIMINAR 
</t>
    </r>
    <r>
      <rPr>
        <sz val="10"/>
        <color rgb="FFFF0000"/>
        <rFont val="Arial"/>
        <family val="2"/>
      </rPr>
      <t xml:space="preserve">El certificado que aporta el proponente indica: "COMWARE S.A. identificado con NIT 860.045.379-1 (en adelante el “CANAL”), es uno de nuestros canales de distribución directo y Authorized Services Reseller para el Territorio Colombiano de nuestros productos y servicios APC by SCHNEIDER  ELECTRIC". Por lo que se entiende que el certificado no relaciona directamente la marca de los equipos objeto del contrato SCHNEIDER (referencias de UPS GALAXY VM), si no de los productos y servicios para la marca APC by SCHENEIDER, la cual no esta relacionada al proceso. 
Adicionalmente, Se le informa al proponente que una vez revisada la certificación de representación y distribución autorizada de los bienes, no cumple para lo que se solicita del numeral 10.3.5 literal c formato 1A Estudio previo que indica: “El proponente debe anexar junto con la propuesta el Certificado de Representación y Distribución Autorizada de los Bienes, expedido por el Fabricante o por el Distribuidor Autorizado por el Fabricante de los bienes ofrecidos, en el cual se indique que está autorizado para distribuir estos bienes objeto de la presente contratación. La fecha de expedición de la certificación debe ser de máximo seis (6) meses anteriores a la fecha de cierre del presente proceso de contratación. Este Certificado puede estar dirigido a cualquiera de los integrantes del p o Unión Temporal en caso de presentar la oferta bajo esta modalidad.
En caso de que el proponente no sea fabricante y de presentarse más de un (1) distribuidor autorizado, el proponente deberá aportar toda la cadena de certificaciones que demuestren las autorizaciones iniciando desde el fabricante del bien”.
Es claro en la estructura del proceso que los bienes a adquirir son las baterías y repuestos para las UPS descritas en los documentos del presente proceso, la certificación aportada por el interesado fue únicamente de los repuestos de las UPS, faltando la certificación de representación y distribución autorizada por el fabricante de las baterías ofertadas
Dado el caso, el documento sea expedido en el exterior . Se le recuerda que en el numeral 2.10 del documento Complementario al pliego de condiciones que indica: 
 “Los documentos públicos expedidos en el exterior, que se pretendan hacer valer en el presente proceso, deben cumplir con el requisito de apostilla o legalización (consularización), dependiendo si el país de origen es signatario del Convenio de La Haya de 1961, o es un país signatario de la Convención de Viena de 1963. Los documentos privados otorgados en el extranjero requieren reconocimiento de firma de la persona que expide o firma el documento ante un Notario o autoridad competente y la posterior apostille o legalización, según corresponda, de la firma de ese Notario o funcionario público que realiza dicho reconocimiento. Es decir, se debe apostillar o legalizar el acto notarial o de reconocimiento de firma. Para el trámite de apostilla o legalización de documentos otorgados en el exterior, las Entidades aplicarán los parámetros establecidos en las normas que regulen la materia, en especial los previstos en el artículo 480 del Código de Comercio y artículo 251 del Código General del Proceso, la Resolución No. 1959 de 2020 del Ministerio de Relaciones Exteriores, o la norma que la modifique, sustituya o complemente y la Circular Única emitida por Colombia Compra Eficiente. Los Manuales, fichas técnicas, catálogos, Data sheets, no serán objeto de apostilla o legalización, ni de traducción oficial, salvo las certificaciones, aclaraciones, o demás documentos expedidos en el exterior. Los sellos no serán objeto de traducción. NOTA: El proponente tendrá la oportunidad de acreditar el requisito de Apostilla o Legalización hasta el día hábil anterior a la instalación de la audiencia pública de adjudicación. Si el (los) documento(s) objeto de apostilla o legalización, aportado(s) con la oferta o durante el término de traslado del informe de evaluación, no cumple finalmente con este requisito, la propuesta será RECHAZADA.’’.
</t>
    </r>
    <r>
      <rPr>
        <b/>
        <sz val="10"/>
        <color rgb="FFFF0000"/>
        <rFont val="Arial"/>
        <family val="2"/>
      </rPr>
      <t xml:space="preserve">RESULTADO EVALUACION SUBSANACIÓN
</t>
    </r>
    <r>
      <rPr>
        <sz val="10"/>
        <color rgb="FFFF0000"/>
        <rFont val="Arial"/>
        <family val="2"/>
      </rPr>
      <t xml:space="preserve">
El certificado de representación y distribucion elaborado por  el fabricante de las baterías ofertadas se encuentra fuera de Colombia, no cuenta con el formalismo requeridido para los documentos emitidos en el exterior, por ende no cumple con lo solicitado en el numeral 2.10 del pliego de condiciones que indica:
Los documentos públicos expedidos en el exterior, que se pretendan hacer valer en el presente proceso, deben cumplir con el requisito de apostilla o legalización (consularización), dependiendo si el país de origen es signatario del Convenio de La Haya de 1961, o es un país signatario de la Convención de Viena de 1963. Los documentos privados otorgados en el extranjero requieren reconocimiento de firma de la persona que expide o firma el documento ante un Notario o autoridad competente y la posterior apostille o legalización, según corresponda, de la firma de ese Notario o funcionario público que realiza dicho reconocimiento. Es decir, se debe apostillar o legalizar el acto notarial o de reconocimiento de firma. Para el trámite de apostilla o legalización de documentos otorgados en el exterior, las Entidades aplicarán los parámetros establecidos en las normas que regulen la materia, en especial los previstos en el artículo 480 del Código de Comercio y artículo 251 del Código General del Proceso, la Resolución No. 1959 de 2020 del Ministerio de Relaciones Exteriores, o la norma que la modifique, sustituya o complemente y la Circular Única emitida por Colombia Compra Eficiente. Los Manuales, fichas técnicas, catálogos, Data sheets, no serán objeto de apostilla o legalización, ni de traducción oficial, salvo las certificaciones, aclaraciones, o demás documentos expedidos en el exterior. Los sellos no serán objeto de traducción. 
</t>
    </r>
    <r>
      <rPr>
        <b/>
        <sz val="10"/>
        <color rgb="FFFF0000"/>
        <rFont val="Arial"/>
        <family val="2"/>
      </rPr>
      <t xml:space="preserve">NOTA: El proponente tendrá la oportunidad de acreditar el requisito de Apostilla o Legalización hasta el día hábil anterior a la instalación de la audiencia pública de adjudicación. Si el (los) documento(s) objeto de apostilla o legalización, aportado(s) con la oferta o durante el término de traslado del informe de evaluación, no cumple finalmente con este requisito, la propuesta será RECHAZADA.’’.
</t>
    </r>
    <r>
      <rPr>
        <sz val="10"/>
        <color rgb="FFFF0000"/>
        <rFont val="Arial"/>
        <family val="2"/>
      </rPr>
      <t xml:space="preserve">
</t>
    </r>
    <r>
      <rPr>
        <b/>
        <sz val="10"/>
        <color rgb="FFFF0000"/>
        <rFont val="Arial"/>
        <family val="2"/>
      </rPr>
      <t>EVALUACION SUBSANACION FINAL</t>
    </r>
    <r>
      <rPr>
        <sz val="10"/>
        <color rgb="FFFF0000"/>
        <rFont val="Arial"/>
        <family val="2"/>
      </rPr>
      <t xml:space="preserve">
Una vez revisada la documentación, desde el comité evaluador se informa que el documento se encuentra apostillado en debida forma, por ende, el proponente CUMPLE con lo solicitado por la entidad respecto al certificado de Representación y Distribución de los Bienes.
 </t>
    </r>
  </si>
  <si>
    <r>
      <t>Se le informa al proponente que una vez revisada la certificación de representación y distribución autorizada de los bienes, no cumple para lo que se solicita del numeral 10.3.5 literal c formato 1A Estudio previo que indica: “El proponente debe anexar junto con la propuesta el Certificado de Representación y Distribución Autorizada de los Bienes, expedido por el Fabricante o por el Distribuidor Autorizado por el Fabricante de los bienes ofrecidos, en el cual se indique que está autorizado para distribuir estos bienes objeto de la presente contratación. La fecha de expedición de la certificación debe ser de máximo seis (6) meses anteriores a la fecha de cierre del presente proceso de contratación. Este Certificado puede estar dirigido a cualquiera de los integrantes del Consorcio o Unión Temporal en caso de presentar la oferta bajo esta modalidad.
En caso de que el proponente no sea fabricante y de presentarse más de un (1) distribuidor autorizado, el proponente deberá aportar toda la cadena de certificaciones que demuestren las autorizaciones iniciando desde el fabricante del bien”.
Es claro en la estructura del proceso que los bienes a adquirir son las baterías y repuestos para las UPS descritas en los documentos del presente proceso, la certificación aportada por el interesado fue únicamente de los repuestos de las UPS la cual cumple,</t>
    </r>
    <r>
      <rPr>
        <b/>
        <sz val="10"/>
        <color rgb="FFFF0000"/>
        <rFont val="Arial"/>
        <family val="2"/>
      </rPr>
      <t xml:space="preserve"> no obstante falta la certificación de representación y distribución autorizada por el fabricante de las baterías ofertadas</t>
    </r>
    <r>
      <rPr>
        <sz val="10"/>
        <color rgb="FFFF0000"/>
        <rFont val="Arial"/>
        <family val="2"/>
      </rPr>
      <t xml:space="preserve">.
. Se le recuerda que en el numeral 2.10 del documento Complementario al pliego de condiciones que indica:
 “Los documentos públicos expedidos en el exterior, que se pretendan hacer valer en el presente proceso, deben cumplir con el requisito de apostilla o legalización (consularización), dependiendo si el país de origen es signatario del Convenio de La Haya de 1961, o es un país signatario de la Convención de Viena de 1963. Los documentos privados otorgados en el extranjero requieren reconocimiento de firma de la persona que expide o firma el documento ante un Notario o autoridad competente y la posterior apostille o legalización, según corresponda, de la firma de ese Notario o funcionario público que realiza dicho reconocimiento. Es decir, se debe apostillar o legalizar el acto notarial o de reconocimiento de firma. Para el trámite de apostilla o legalización de documentos otorgados en el exterior, las Entidades aplicarán los parámetros establecidos en las normas que regulen la materia, en especial los previstos en el artículo 480 del Código de Comercio y artículo 251 del Código General del Proceso, la Resolución No. 1959 de 2020 del Ministerio de Relaciones Exteriores, o la norma que la modifique, sustituya o complemente y la Circular Única emitida por Colombia Compra Eficiente. Los Manuales, fichas técnicas, catálogos, Data sheets, no serán objeto de apostilla o legalización, ni de traducción oficial, salvo las certificaciones, aclaraciones, o demás documentos expedidos en el exterior. Los sellos no serán objeto de traducción. NOTA: El proponente tendrá la oportunidad de acreditar el requisito de Apostilla o Legalización hasta el día hábil anterior a la instalación de la audiencia pública de adjudicación. Si el (los) documento(s) objeto de apostilla o legalización, aportado(s) con la oferta o durante el término de traslado del informe de evaluación, no cumple finalmente con este requisito, la propuesta será RECHAZADA.’’
</t>
    </r>
    <r>
      <rPr>
        <b/>
        <sz val="10"/>
        <color rgb="FFFF0000"/>
        <rFont val="Arial"/>
        <family val="2"/>
      </rPr>
      <t xml:space="preserve">RESULTADO EVALUACION  SUBSANACION
</t>
    </r>
    <r>
      <rPr>
        <sz val="10"/>
        <color rgb="FFFF0000"/>
        <rFont val="Arial"/>
        <family val="2"/>
      </rPr>
      <t>El proponente allega certificado de distribucion de bienes para las baterias ofertadas, sin embar debe allegar toda la cadena de certificaciones que demuestren las autorizaciones iniciando desde el fabricante del
bien. Segun lo estipulado en el numeral  4.5.3. Certificado de Representación y Distribución Autorizada de los Bienes. del formato 2A COMPLEMENTARIO PLIEGO DE CONDICIONES
LICITACIÓN PÚBLICA</t>
    </r>
  </si>
  <si>
    <r>
      <t xml:space="preserve">
</t>
    </r>
    <r>
      <rPr>
        <b/>
        <sz val="10"/>
        <color rgb="FFFF0000"/>
        <rFont val="Arial"/>
        <family val="2"/>
      </rPr>
      <t xml:space="preserve">RESULTADO EVALUACION  PRELIMINAR
</t>
    </r>
    <r>
      <rPr>
        <sz val="10"/>
        <color rgb="FFFF0000"/>
        <rFont val="Arial"/>
        <family val="2"/>
      </rPr>
      <t xml:space="preserve">Se le informa al proponente que una vez revisada la certificación de representación y distribución autorizada de los bienes, no cumple para lo que se solicita del numeral 10.3.5 literal c formato 1A Estudio previo que indica: 
“El proponente debe anexar junto con la propuesta el Certificado de Representación y Distribución Autorizada de los Bienes, expedido por el Fabricante o por el Distribuidor Autorizado por el Fabricante de los bienes ofrecidos, en el cual se indique que está autorizado para distribuir estos bienes objeto de la presente contratación. La fecha de expedición de la certificación debe ser de máximo seis (6) meses anteriores a la fecha de cierre del presente proceso de contratación. Este Certificado puede estar dirigido a cualquiera de los integrantes del Consorcio o Unión Temporal en caso de presentar la oferta bajo esta modalidad. En caso de que el proponente no sea fabricante y de presentarse más de un (1) distribuidor autorizado, el proponente deberá aportar toda la cadena de certificaciones que demuestren las autorizaciones iniciando desde el fabricante del bien”.
Es claro en la estructura del proceso que los bienes a adquirir son las baterías y repuestos para las UPS descritas en los documentos del presente proceso, la certificación aportada por el interesado fue únicamente de los repuestos de las UPS, faltando la certificación de representación y distribución autorizada por el fabricante de las baterías ofertadas.
Por otra parte, se evidencia que el documento presenta inconsistencias, teniendo en cuenta que la firma electrónica fue realizada en Chicago, Estados Unidos y la carta relaciona que fue expedida en Colombia. Se le recuerda que en el numeral 2.10 del documento Complementario al pliego de condiciones que indica: 
“Los documentos públicos expedidos en el exterior, que se pretendan hacer valer en el presente proceso, deben cumplir con el requisito de apostilla o legalización (consularización), dependiendo si el país de origen es signatario del Convenio de La Haya de 1961, o es un país signatario de la Convención de Viena de 1963. Los documentos privados otorgados en el extranjero requieren reconocimiento de firma de la persona que expide o firma el documento ante un Notario o autoridad competente y la posterior apostille o legalización, según corresponda, de la firma de ese Notario o funcionario público que realiza dicho reconocimiento. Es decir, se debe apostillar o legalizar el acto notarial o de reconocimiento de firma. Para el trámite de apostilla o legalización de documentos otorgados en el exterior, las Entidades aplicarán los parámetros establecidos en las normas que regulen la materia, en especial los previstos en el artículo 480 del Código de Comercio y artículo 251 del Código General del Proceso, la Resolución No. 1959 de 2020 del Ministerio de Relaciones Exteriores, o la norma que la modifique, sustituya o complemente y la Circular Única emitida por Colombia Compra Eficiente. Los Manuales, fichas técnicas, catálogos, Data sheets, no serán objeto de apostilla o legalización, ni de traducción oficial, salvo las certificaciones, aclaraciones, o demás documentos expedidos en el exterior. Los sellos no serán objeto de traducción. NOTA: El proponente tendrá la oportunidad de acreditar el requisito de Apostilla o Legalización hasta el día hábil anterior a la instalación de la audiencia pública de adjudicación. Si el (los) documento(s) objeto de apostilla o legalización, aportado(s) con la oferta o durante el término de traslado del informe de evaluación, no cumple finalmente con este requisito, la propuesta será RECHAZADA.’’
</t>
    </r>
    <r>
      <rPr>
        <b/>
        <sz val="10"/>
        <color rgb="FFFF0000"/>
        <rFont val="Arial"/>
        <family val="2"/>
      </rPr>
      <t xml:space="preserve">RESULTADO EVALUACION  SUBSANACION
</t>
    </r>
    <r>
      <rPr>
        <sz val="10"/>
        <color theme="9"/>
        <rFont val="Arial"/>
        <family val="2"/>
      </rPr>
      <t xml:space="preserve">Cumple UPS </t>
    </r>
    <r>
      <rPr>
        <sz val="10"/>
        <color rgb="FFFF0000"/>
        <rFont val="Arial"/>
        <family val="2"/>
      </rPr>
      <t xml:space="preserve">
El certificado de representación y distribucion elaborado por  la marca vision se encuentra fuera de Colombiano, no cuenta con el formalismo requeridido para los documentos emitidos en el exterio, por ende no cumple con lo solicitado en el numeral 2.10 del pliego de condiciones que indica:
Los documentos públicos expedidos en el exterior, que se pretendan hacer valer en el presente proceso, deben cumplir con el requisito de apostilla o legalización (consularización), dependiendo si el país de origen es signatario del Convenio de La Haya de 1961, o es un país signatario de la Convención de Viena de 1963. Los documentos privados otorgados en el extranjero requieren reconocimiento de firma de la persona que expide o firma el documento ante un Notario o autoridad competente y la posterior apostille o legalización, según corresponda, de la firma de ese Notario o funcionario público que realiza dicho reconocimiento. Es decir, se debe apostillar o legalizar el acto notarial o de reconocimiento de firma. Para el trámite de apostilla o legalización de documentos otorgados en el exterior, las Entidades aplicarán los parámetros establecidos en las normas que regulen la materia, en especial los previstos en el artículo 480 del Código de Comercio y artículo 251 del Código General del Proceso, la Resolución No. 1959 de 2020 del Ministerio de Relaciones Exteriores, o la norma que la modifique, sustituya o complemente y la Circular Única emitida por Colombia Compra Eficiente. Los Manuales, fichas técnicas, catálogos, Data sheets, no serán objeto de apostilla o legalización, ni de traducción oficial, salvo las certificaciones, aclaraciones, o demás documentos expedidos en el exterior. Los sellos no serán objeto de traducción. 
NOTA: El proponente tendrá la oportunidad de acreditar el requisito de Apostilla o Legalización hasta el día hábil anterior a la instalación de la audiencia pública de adjudicación. Si el (los) documento(s) objeto de apostilla o legalización, aportado(s) con la oferta o durante el término de traslado del informe de evaluación, no cumple finalmente con este requisito, la propuesta será RECHAZADA.’’.
</t>
    </r>
    <r>
      <rPr>
        <b/>
        <sz val="10"/>
        <color rgb="FFFF0000"/>
        <rFont val="Arial"/>
        <family val="2"/>
      </rPr>
      <t xml:space="preserve">
EVALUACION SUBSANACION FINAL
</t>
    </r>
    <r>
      <rPr>
        <sz val="10"/>
        <color rgb="FFFF0000"/>
        <rFont val="Arial"/>
        <family val="2"/>
      </rPr>
      <t xml:space="preserve">Una vez analizados los documentos aportados, se evidencia que el documento denominado "Apostilla (1)", obedece a una traducción efectuada por JEANNETTE INSIGNARES MELO, de quien se efectúa presentación personal ante el Notario 33 de Bogotá y posteriormente se apostilla dicho acto notarial.
Teniendo en cuenta lo dispuesto en el formato 2A Complementario al pliego de condiciones en el item 2.10 DOCUMENTOS OTORGADOS EN EL EXTERIOR, especifica que: “Los documentos privados otorgados en el extranjero requieren reconocimiento de firma de la persona que expide o firma el documento ante un Notario o autoridad competente y la posterior apostille o legalización, según corresponda, de la firma de ese Notario o funcionario público que realiza dicho reconocimiento”. El documento aportado NO CUMPLE, toda vez que se legalizo la traducción del certificado y no el original.
De conformidad con lo anterior, el proponente se califica como RECHAZADO en el ítem de evaluación de certificado de representación y distribución de los bienes para los dos Lotes, de acuerdo con lo establecido en el formato 2A en el item 3.14 REGLAS DE SUBSANABILIDAD: “Los Proponentes deberán allegar las aclaraciones o documentos requeridos en el momento en el que fueron solicitados y a más tardar hasta el término de traslado del informe de evaluación, es decir, hasta cinco (5) días hábiles siguientes, contados a partir del día hábil siguiente a la publicación del informe de evaluación, so pena del rechazo de la propuesta”.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</si>
</sst>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 #,##0;\-&quot;$&quot;\ #,##0"/>
    <numFmt numFmtId="8" formatCode="&quot;$&quot;\ #,##0.00;[Red]\-&quot;$&quot;\ #,##0.00"/>
    <numFmt numFmtId="44" formatCode="_-&quot;$&quot;\ * #,##0.00_-;\-&quot;$&quot;\ * #,##0.00_-;_-&quot;$&quot;\ * &quot;-&quot;??_-;_-@_-"/>
    <numFmt numFmtId="43" formatCode="_-* #,##0.00_-;\-* #,##0.00_-;_-* &quot;-&quot;??_-;_-@_-"/>
    <numFmt numFmtId="164" formatCode="_-&quot;$&quot;* #,##0_-;\-&quot;$&quot;* #,##0_-;_-&quot;$&quot;* &quot;-&quot;_-;_-@_-"/>
    <numFmt numFmtId="165" formatCode="#,##0.00_ ;\-#,##0.00\ "/>
    <numFmt numFmtId="166" formatCode="_-&quot;$&quot;\ * #,##0_-;\-&quot;$&quot;\ * #,##0_-;_-&quot;$&quot;\ * &quot;-&quot;??_-;_-@_-"/>
    <numFmt numFmtId="167" formatCode="0;0;&quot;SIN REVISAR&quot;"/>
    <numFmt numFmtId="168" formatCode="_-&quot;$&quot;* #,##0.00_-;\-&quot;$&quot;* #,##0.00_-;_-&quot;$&quot;* &quot;-&quot;_-;_-@_-"/>
    <numFmt numFmtId="169" formatCode="#,##0_ ;\-#,##0\ "/>
  </numFmts>
  <fonts count="80">
    <font>
      <sz val="11"/>
      <color theme="1"/>
      <name val="Calibri"/>
      <family val="2"/>
      <scheme val="minor"/>
    </font>
    <font>
      <sz val="12"/>
      <color theme="1"/>
      <name val="Calibri"/>
      <family val="2"/>
      <scheme val="minor"/>
    </font>
    <font>
      <sz val="12"/>
      <color theme="1"/>
      <name val="Arial"/>
      <family val="2"/>
    </font>
    <font>
      <b/>
      <sz val="12"/>
      <color theme="1"/>
      <name val="Arial"/>
      <family val="2"/>
    </font>
    <font>
      <sz val="12"/>
      <name val="Arial"/>
      <family val="2"/>
    </font>
    <font>
      <b/>
      <sz val="10"/>
      <color theme="1"/>
      <name val="Arial"/>
      <family val="2"/>
    </font>
    <font>
      <b/>
      <sz val="10"/>
      <name val="Arial"/>
      <family val="2"/>
    </font>
    <font>
      <sz val="10"/>
      <color theme="1"/>
      <name val="Arial"/>
      <family val="2"/>
    </font>
    <font>
      <sz val="10"/>
      <name val="Arial"/>
      <family val="2"/>
    </font>
    <font>
      <b/>
      <sz val="10"/>
      <color rgb="FFFF0000"/>
      <name val="Arial"/>
      <family val="2"/>
    </font>
    <font>
      <b/>
      <sz val="10"/>
      <color rgb="FF002060"/>
      <name val="Arial"/>
      <family val="2"/>
    </font>
    <font>
      <sz val="10"/>
      <color theme="0"/>
      <name val="Arial"/>
      <family val="2"/>
    </font>
    <font>
      <b/>
      <sz val="11"/>
      <color theme="1"/>
      <name val="Calibri"/>
      <family val="2"/>
      <scheme val="minor"/>
    </font>
    <font>
      <sz val="11"/>
      <color theme="1"/>
      <name val="Calibri"/>
      <family val="2"/>
      <scheme val="minor"/>
    </font>
    <font>
      <sz val="11"/>
      <color theme="1"/>
      <name val="Tahoma"/>
      <family val="2"/>
    </font>
    <font>
      <b/>
      <sz val="14"/>
      <color theme="1"/>
      <name val="Tahoma"/>
      <family val="2"/>
    </font>
    <font>
      <b/>
      <sz val="10"/>
      <color theme="1"/>
      <name val="Tahoma"/>
      <family val="2"/>
    </font>
    <font>
      <sz val="8"/>
      <color theme="1"/>
      <name val="Tahoma"/>
      <family val="2"/>
    </font>
    <font>
      <b/>
      <sz val="8"/>
      <color theme="1"/>
      <name val="Tahoma"/>
      <family val="2"/>
    </font>
    <font>
      <sz val="8"/>
      <name val="Tahoma"/>
      <family val="2"/>
    </font>
    <font>
      <b/>
      <sz val="8"/>
      <name val="Tahoma"/>
      <family val="2"/>
    </font>
    <font>
      <b/>
      <sz val="8"/>
      <color theme="0"/>
      <name val="Tahoma"/>
      <family val="2"/>
    </font>
    <font>
      <b/>
      <sz val="9"/>
      <color theme="0"/>
      <name val="Tahoma"/>
      <family val="2"/>
    </font>
    <font>
      <sz val="10"/>
      <color theme="1"/>
      <name val="Tahoma"/>
      <family val="2"/>
    </font>
    <font>
      <b/>
      <sz val="14"/>
      <name val="Arial"/>
      <family val="2"/>
    </font>
    <font>
      <b/>
      <sz val="11"/>
      <color theme="1"/>
      <name val="Arial"/>
      <family val="2"/>
    </font>
    <font>
      <sz val="11"/>
      <color theme="1"/>
      <name val="Calibri"/>
      <family val="2"/>
    </font>
    <font>
      <b/>
      <sz val="12"/>
      <color rgb="FF004677"/>
      <name val="Helvetica"/>
      <family val="2"/>
    </font>
    <font>
      <sz val="11"/>
      <color theme="1"/>
      <name val="Helvetica"/>
      <family val="2"/>
    </font>
    <font>
      <sz val="9"/>
      <color theme="1"/>
      <name val="Helvetica"/>
      <family val="2"/>
    </font>
    <font>
      <b/>
      <sz val="9"/>
      <color theme="1"/>
      <name val="Helvetica"/>
      <family val="2"/>
    </font>
    <font>
      <u/>
      <sz val="9"/>
      <color rgb="FF0000FF"/>
      <name val="Helvetica"/>
      <family val="2"/>
    </font>
    <font>
      <i/>
      <sz val="9"/>
      <color theme="1"/>
      <name val="Helvetica"/>
      <family val="2"/>
    </font>
    <font>
      <sz val="16"/>
      <color theme="1"/>
      <name val="Arial"/>
      <family val="2"/>
    </font>
    <font>
      <b/>
      <sz val="12"/>
      <color theme="1"/>
      <name val="Tahoma"/>
      <family val="2"/>
    </font>
    <font>
      <b/>
      <sz val="9"/>
      <name val="Tahoma"/>
      <family val="2"/>
    </font>
    <font>
      <b/>
      <sz val="20"/>
      <color theme="1"/>
      <name val="Arial"/>
      <family val="2"/>
    </font>
    <font>
      <sz val="11"/>
      <color rgb="FF000000"/>
      <name val="ArialNarrow"/>
    </font>
    <font>
      <sz val="14"/>
      <color theme="1"/>
      <name val="Arial"/>
      <family val="2"/>
    </font>
    <font>
      <b/>
      <sz val="14"/>
      <color rgb="FF002060"/>
      <name val="Arial"/>
      <family val="2"/>
    </font>
    <font>
      <b/>
      <sz val="20"/>
      <color rgb="FF002060"/>
      <name val="Arial"/>
      <family val="2"/>
    </font>
    <font>
      <sz val="14"/>
      <name val="Arial"/>
      <family val="2"/>
    </font>
    <font>
      <b/>
      <sz val="20"/>
      <color theme="0"/>
      <name val="Arial"/>
      <family val="2"/>
    </font>
    <font>
      <sz val="20"/>
      <name val="Arial"/>
      <family val="2"/>
    </font>
    <font>
      <sz val="20"/>
      <color rgb="FF002060"/>
      <name val="Arial"/>
      <family val="2"/>
    </font>
    <font>
      <b/>
      <sz val="20"/>
      <name val="Arial"/>
      <family val="2"/>
    </font>
    <font>
      <sz val="20"/>
      <color theme="1"/>
      <name val="Arial"/>
      <family val="2"/>
    </font>
    <font>
      <b/>
      <sz val="20"/>
      <color rgb="FFFF0000"/>
      <name val="Arial"/>
      <family val="2"/>
    </font>
    <font>
      <b/>
      <sz val="20"/>
      <color indexed="8"/>
      <name val="Arial"/>
      <family val="2"/>
    </font>
    <font>
      <sz val="11"/>
      <color rgb="FF000000"/>
      <name val="Calibri"/>
      <family val="2"/>
      <scheme val="minor"/>
    </font>
    <font>
      <b/>
      <sz val="11"/>
      <color rgb="FF000000"/>
      <name val="Calibri"/>
      <family val="2"/>
      <scheme val="minor"/>
    </font>
    <font>
      <sz val="8"/>
      <name val="Calibri"/>
      <family val="2"/>
      <scheme val="minor"/>
    </font>
    <font>
      <sz val="11"/>
      <color rgb="FF242424"/>
      <name val="Aptos Narrow"/>
      <family val="2"/>
    </font>
    <font>
      <sz val="16"/>
      <color rgb="FFFF0000"/>
      <name val="Arial"/>
      <family val="2"/>
    </font>
    <font>
      <sz val="10"/>
      <color rgb="FFFF0000"/>
      <name val="Arial"/>
      <family val="2"/>
    </font>
    <font>
      <sz val="10"/>
      <color rgb="FF000000"/>
      <name val="Arial"/>
      <family val="2"/>
    </font>
    <font>
      <b/>
      <sz val="12"/>
      <name val="Arial"/>
      <family val="2"/>
    </font>
    <font>
      <i/>
      <sz val="10"/>
      <color rgb="FFFF0000"/>
      <name val="Arial"/>
      <family val="2"/>
    </font>
    <font>
      <sz val="14"/>
      <color rgb="FFFF0000"/>
      <name val="Arial"/>
      <family val="2"/>
    </font>
    <font>
      <sz val="16"/>
      <color theme="1"/>
      <name val="Calibri"/>
      <family val="2"/>
      <scheme val="minor"/>
    </font>
    <font>
      <sz val="16"/>
      <name val="Calibri"/>
      <family val="2"/>
      <scheme val="minor"/>
    </font>
    <font>
      <b/>
      <i/>
      <sz val="10"/>
      <color rgb="FFFF0000"/>
      <name val="Arial"/>
      <family val="2"/>
    </font>
    <font>
      <b/>
      <sz val="12"/>
      <color rgb="FFFF0000"/>
      <name val="Arial"/>
      <family val="2"/>
    </font>
    <font>
      <sz val="11"/>
      <color rgb="FFFF0000"/>
      <name val="Calibri"/>
      <family val="2"/>
      <scheme val="minor"/>
    </font>
    <font>
      <b/>
      <sz val="10"/>
      <color theme="9"/>
      <name val="Arial"/>
      <family val="2"/>
    </font>
    <font>
      <sz val="10"/>
      <color theme="9"/>
      <name val="Arial"/>
      <family val="2"/>
    </font>
    <font>
      <sz val="10"/>
      <color rgb="FFFF0000"/>
      <name val="Arial"/>
      <family val="2"/>
    </font>
    <font>
      <sz val="14"/>
      <color rgb="FFFF0000"/>
      <name val="Arial"/>
      <family val="2"/>
    </font>
    <font>
      <u/>
      <sz val="11"/>
      <color theme="10"/>
      <name val="Calibri"/>
      <family val="2"/>
      <scheme val="minor"/>
    </font>
    <font>
      <b/>
      <sz val="10"/>
      <name val="Arial"/>
      <family val="2"/>
    </font>
    <font>
      <sz val="10"/>
      <name val="Arial"/>
      <family val="2"/>
    </font>
    <font>
      <sz val="10"/>
      <color theme="1"/>
      <name val="Arial"/>
      <family val="2"/>
    </font>
    <font>
      <b/>
      <sz val="10"/>
      <color theme="1"/>
      <name val="Arial"/>
      <family val="2"/>
    </font>
    <font>
      <sz val="10"/>
      <color theme="1"/>
      <name val="Tahoma"/>
      <family val="2"/>
    </font>
    <font>
      <b/>
      <sz val="8"/>
      <color theme="1"/>
      <name val="Tahoma"/>
      <family val="2"/>
    </font>
    <font>
      <sz val="8"/>
      <color theme="1"/>
      <name val="Tahoma"/>
      <family val="2"/>
    </font>
    <font>
      <b/>
      <sz val="8"/>
      <name val="Tahoma"/>
      <family val="2"/>
    </font>
    <font>
      <b/>
      <sz val="12"/>
      <color theme="1"/>
      <name val="Tahoma"/>
      <family val="2"/>
    </font>
    <font>
      <b/>
      <sz val="14"/>
      <name val="Tahoma"/>
      <family val="2"/>
    </font>
    <font>
      <b/>
      <sz val="14"/>
      <color theme="1"/>
      <name val="Tahoma"/>
      <family val="2"/>
    </font>
  </fonts>
  <fills count="30">
    <fill>
      <patternFill patternType="none"/>
    </fill>
    <fill>
      <patternFill patternType="gray125"/>
    </fill>
    <fill>
      <patternFill patternType="solid">
        <fgColor theme="0"/>
        <bgColor rgb="FF002060"/>
      </patternFill>
    </fill>
    <fill>
      <patternFill patternType="solid">
        <fgColor theme="0"/>
        <bgColor indexed="64"/>
      </patternFill>
    </fill>
    <fill>
      <patternFill patternType="solid">
        <fgColor theme="0"/>
        <bgColor theme="0"/>
      </patternFill>
    </fill>
    <fill>
      <patternFill patternType="solid">
        <fgColor theme="0"/>
        <bgColor rgb="FF50F828"/>
      </patternFill>
    </fill>
    <fill>
      <patternFill patternType="solid">
        <fgColor rgb="FFFFFF00"/>
        <bgColor indexed="64"/>
      </patternFill>
    </fill>
    <fill>
      <patternFill patternType="solid">
        <fgColor rgb="FF366092"/>
        <bgColor rgb="FF366092"/>
      </patternFill>
    </fill>
    <fill>
      <patternFill patternType="solid">
        <fgColor theme="4" tint="0.79998168889431442"/>
        <bgColor rgb="FFDBE5F1"/>
      </patternFill>
    </fill>
    <fill>
      <patternFill patternType="solid">
        <fgColor theme="1"/>
        <bgColor theme="0"/>
      </patternFill>
    </fill>
    <fill>
      <patternFill patternType="solid">
        <fgColor rgb="FFDBE5F1"/>
        <bgColor rgb="FFDBE5F1"/>
      </patternFill>
    </fill>
    <fill>
      <patternFill patternType="solid">
        <fgColor theme="4" tint="0.79998168889431442"/>
        <bgColor indexed="64"/>
      </patternFill>
    </fill>
    <fill>
      <patternFill patternType="solid">
        <fgColor theme="4" tint="0.79998168889431442"/>
        <bgColor rgb="FF366092"/>
      </patternFill>
    </fill>
    <fill>
      <patternFill patternType="solid">
        <fgColor theme="1"/>
        <bgColor indexed="64"/>
      </patternFill>
    </fill>
    <fill>
      <patternFill patternType="solid">
        <fgColor theme="4" tint="0.79998168889431442"/>
        <bgColor theme="0"/>
      </patternFill>
    </fill>
    <fill>
      <patternFill patternType="solid">
        <fgColor theme="0" tint="-0.14999847407452621"/>
        <bgColor indexed="64"/>
      </patternFill>
    </fill>
    <fill>
      <patternFill patternType="solid">
        <fgColor theme="4" tint="-0.249977111117893"/>
        <bgColor indexed="64"/>
      </patternFill>
    </fill>
    <fill>
      <patternFill patternType="solid">
        <fgColor theme="0"/>
        <bgColor rgb="FF366092"/>
      </patternFill>
    </fill>
    <fill>
      <patternFill patternType="solid">
        <fgColor rgb="FFF0F4FA"/>
      </patternFill>
    </fill>
    <fill>
      <patternFill patternType="solid">
        <fgColor rgb="FFFFFFFF"/>
      </patternFill>
    </fill>
    <fill>
      <patternFill patternType="solid">
        <fgColor rgb="FFD6EAF8"/>
      </patternFill>
    </fill>
    <fill>
      <patternFill patternType="solid">
        <fgColor theme="8" tint="0.79998168889431442"/>
        <bgColor indexed="64"/>
      </patternFill>
    </fill>
    <fill>
      <patternFill patternType="solid">
        <fgColor theme="0" tint="-0.14999847407452621"/>
        <bgColor theme="0"/>
      </patternFill>
    </fill>
    <fill>
      <patternFill patternType="solid">
        <fgColor rgb="FFFFFFFF"/>
        <bgColor rgb="FF366092"/>
      </patternFill>
    </fill>
    <fill>
      <patternFill patternType="solid">
        <fgColor rgb="FFFFFF00"/>
        <bgColor rgb="FF000000"/>
      </patternFill>
    </fill>
    <fill>
      <patternFill patternType="solid">
        <fgColor theme="0" tint="-0.249977111117893"/>
        <bgColor indexed="64"/>
      </patternFill>
    </fill>
    <fill>
      <patternFill patternType="solid">
        <fgColor theme="0"/>
        <bgColor rgb="FF000000"/>
      </patternFill>
    </fill>
    <fill>
      <patternFill patternType="solid">
        <fgColor theme="7" tint="0.79998168889431442"/>
        <bgColor indexed="64"/>
      </patternFill>
    </fill>
    <fill>
      <patternFill patternType="solid">
        <fgColor theme="9" tint="0.59999389629810485"/>
        <bgColor indexed="64"/>
      </patternFill>
    </fill>
    <fill>
      <patternFill patternType="solid">
        <fgColor theme="7" tint="0.59999389629810485"/>
        <bgColor indexed="64"/>
      </patternFill>
    </fill>
  </fills>
  <borders count="36">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medium">
        <color indexed="64"/>
      </left>
      <right style="thin">
        <color rgb="FF000000"/>
      </right>
      <top/>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top style="thin">
        <color rgb="FF000000"/>
      </top>
      <bottom/>
      <diagonal/>
    </border>
    <border>
      <left/>
      <right style="medium">
        <color indexed="64"/>
      </right>
      <top style="thin">
        <color rgb="FF000000"/>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rgb="FF000000"/>
      </left>
      <right style="medium">
        <color indexed="64"/>
      </right>
      <top/>
      <bottom style="thin">
        <color rgb="FF000000"/>
      </bottom>
      <diagonal/>
    </border>
    <border>
      <left/>
      <right style="thin">
        <color indexed="64"/>
      </right>
      <top/>
      <bottom style="thin">
        <color indexed="64"/>
      </bottom>
      <diagonal/>
    </border>
    <border>
      <left/>
      <right/>
      <top/>
      <bottom style="thin">
        <color indexed="64"/>
      </bottom>
      <diagonal/>
    </border>
    <border>
      <left/>
      <right/>
      <top/>
      <bottom style="thick">
        <color rgb="FF910028"/>
      </bottom>
      <diagonal/>
    </border>
    <border>
      <left style="thin">
        <color rgb="FF979991"/>
      </left>
      <right/>
      <top style="thin">
        <color rgb="FF979991"/>
      </top>
      <bottom/>
      <diagonal/>
    </border>
    <border>
      <left style="thin">
        <color rgb="FF979991"/>
      </left>
      <right/>
      <top style="thin">
        <color rgb="FF979991"/>
      </top>
      <bottom style="thin">
        <color rgb="FF979991"/>
      </bottom>
      <diagonal/>
    </border>
    <border>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medium">
        <color indexed="64"/>
      </right>
      <top style="thin">
        <color rgb="FF000000"/>
      </top>
      <bottom/>
      <diagonal/>
    </border>
    <border>
      <left style="thin">
        <color rgb="FF000000"/>
      </left>
      <right style="thin">
        <color rgb="FF000000"/>
      </right>
      <top style="thin">
        <color rgb="FF000000"/>
      </top>
      <bottom style="thin">
        <color rgb="FF000000"/>
      </bottom>
      <diagonal/>
    </border>
  </borders>
  <cellStyleXfs count="6">
    <xf numFmtId="0" fontId="0" fillId="0" borderId="0"/>
    <xf numFmtId="44" fontId="13" fillId="0" borderId="0" applyFont="0" applyFill="0" applyBorder="0" applyAlignment="0" applyProtection="0"/>
    <xf numFmtId="0" fontId="26" fillId="0" borderId="0"/>
    <xf numFmtId="164" fontId="13" fillId="0" borderId="0" applyFont="0" applyFill="0" applyBorder="0" applyAlignment="0" applyProtection="0"/>
    <xf numFmtId="0" fontId="68" fillId="0" borderId="0" applyNumberFormat="0" applyFill="0" applyBorder="0" applyAlignment="0" applyProtection="0"/>
    <xf numFmtId="43" fontId="13" fillId="0" borderId="0" applyFont="0" applyFill="0" applyBorder="0" applyAlignment="0" applyProtection="0"/>
  </cellStyleXfs>
  <cellXfs count="322">
    <xf numFmtId="0" fontId="0" fillId="0" borderId="0" xfId="0"/>
    <xf numFmtId="0" fontId="2" fillId="0" borderId="0" xfId="0" applyFont="1" applyAlignment="1">
      <alignment horizontal="center" vertical="center"/>
    </xf>
    <xf numFmtId="3" fontId="2" fillId="0" borderId="0" xfId="0" applyNumberFormat="1" applyFont="1" applyAlignment="1">
      <alignment vertical="center"/>
    </xf>
    <xf numFmtId="0" fontId="2" fillId="0" borderId="0" xfId="0" applyFont="1" applyAlignment="1">
      <alignment vertical="center"/>
    </xf>
    <xf numFmtId="0" fontId="7" fillId="0" borderId="0" xfId="0" applyFont="1" applyAlignment="1">
      <alignment horizontal="center" vertical="center"/>
    </xf>
    <xf numFmtId="3" fontId="7" fillId="0" borderId="0" xfId="0" applyNumberFormat="1" applyFont="1" applyAlignment="1">
      <alignment vertical="center"/>
    </xf>
    <xf numFmtId="0" fontId="7" fillId="0" borderId="0" xfId="0" applyFont="1" applyAlignment="1">
      <alignment vertical="center"/>
    </xf>
    <xf numFmtId="0" fontId="5" fillId="0" borderId="0" xfId="0" applyFont="1" applyAlignment="1">
      <alignment horizontal="center" vertical="center"/>
    </xf>
    <xf numFmtId="0" fontId="9" fillId="0" borderId="0" xfId="0" applyFont="1" applyAlignment="1">
      <alignment horizontal="center" vertical="center"/>
    </xf>
    <xf numFmtId="0" fontId="9" fillId="0" borderId="0" xfId="0" applyFont="1" applyAlignment="1">
      <alignment horizontal="center" vertical="center" wrapText="1"/>
    </xf>
    <xf numFmtId="3" fontId="9" fillId="0" borderId="0" xfId="0" applyNumberFormat="1" applyFont="1" applyAlignment="1">
      <alignment horizontal="center" vertical="center"/>
    </xf>
    <xf numFmtId="0" fontId="8" fillId="0" borderId="0" xfId="0" applyFont="1" applyAlignment="1">
      <alignment horizontal="center" vertical="center" wrapText="1"/>
    </xf>
    <xf numFmtId="0" fontId="8" fillId="4" borderId="0" xfId="0" applyFont="1" applyFill="1" applyAlignment="1">
      <alignment horizontal="center" vertical="center"/>
    </xf>
    <xf numFmtId="0" fontId="5" fillId="4" borderId="0" xfId="0" applyFont="1" applyFill="1" applyAlignment="1">
      <alignment horizontal="center" vertical="center"/>
    </xf>
    <xf numFmtId="0" fontId="11" fillId="4" borderId="0" xfId="0" applyFont="1" applyFill="1" applyAlignment="1">
      <alignment horizontal="center" vertical="center"/>
    </xf>
    <xf numFmtId="0" fontId="11" fillId="0" borderId="0" xfId="0" applyFont="1" applyAlignment="1">
      <alignment horizontal="center" vertical="center"/>
    </xf>
    <xf numFmtId="0" fontId="14" fillId="0" borderId="0" xfId="0" applyFont="1" applyAlignment="1">
      <alignment vertical="center"/>
    </xf>
    <xf numFmtId="4" fontId="17" fillId="0" borderId="0" xfId="0" applyNumberFormat="1" applyFont="1" applyAlignment="1">
      <alignment vertical="center"/>
    </xf>
    <xf numFmtId="0" fontId="17" fillId="0" borderId="0" xfId="0" applyFont="1" applyAlignment="1">
      <alignment vertical="center"/>
    </xf>
    <xf numFmtId="0" fontId="17" fillId="0" borderId="0" xfId="0" applyFont="1" applyAlignment="1">
      <alignment horizontal="center" vertical="center"/>
    </xf>
    <xf numFmtId="4" fontId="6" fillId="11" borderId="14" xfId="0" applyNumberFormat="1" applyFont="1" applyFill="1" applyBorder="1" applyAlignment="1">
      <alignment horizontal="center" vertical="center"/>
    </xf>
    <xf numFmtId="0" fontId="7" fillId="0" borderId="0" xfId="0" applyFont="1" applyAlignment="1">
      <alignment horizontal="left" vertical="center" wrapText="1"/>
    </xf>
    <xf numFmtId="166" fontId="0" fillId="0" borderId="0" xfId="1" applyNumberFormat="1" applyFont="1" applyBorder="1" applyAlignment="1">
      <alignment horizontal="center"/>
    </xf>
    <xf numFmtId="0" fontId="5" fillId="0" borderId="0" xfId="0" applyFont="1" applyAlignment="1">
      <alignment horizontal="left" vertical="center" wrapText="1"/>
    </xf>
    <xf numFmtId="44" fontId="12" fillId="0" borderId="0" xfId="1" applyFont="1"/>
    <xf numFmtId="0" fontId="8" fillId="0" borderId="14" xfId="0" applyFont="1" applyBorder="1" applyAlignment="1">
      <alignment horizontal="center" vertical="center" wrapText="1"/>
    </xf>
    <xf numFmtId="0" fontId="17" fillId="0" borderId="14" xfId="0" applyFont="1" applyBorder="1" applyAlignment="1">
      <alignment horizontal="center" vertical="center"/>
    </xf>
    <xf numFmtId="4" fontId="17" fillId="0" borderId="14" xfId="0" applyNumberFormat="1" applyFont="1" applyBorder="1" applyAlignment="1" applyProtection="1">
      <alignment horizontal="center" vertical="center"/>
      <protection locked="0"/>
    </xf>
    <xf numFmtId="9" fontId="5" fillId="14" borderId="14" xfId="0" applyNumberFormat="1" applyFont="1" applyFill="1" applyBorder="1" applyAlignment="1">
      <alignment horizontal="center" vertical="center"/>
    </xf>
    <xf numFmtId="9" fontId="3" fillId="4" borderId="25" xfId="0" applyNumberFormat="1" applyFont="1" applyFill="1" applyBorder="1" applyAlignment="1">
      <alignment horizontal="center" vertical="center"/>
    </xf>
    <xf numFmtId="3" fontId="7" fillId="3" borderId="0" xfId="0" applyNumberFormat="1" applyFont="1" applyFill="1" applyAlignment="1">
      <alignment vertical="center"/>
    </xf>
    <xf numFmtId="0" fontId="7" fillId="3" borderId="0" xfId="0" applyFont="1" applyFill="1" applyAlignment="1">
      <alignment vertical="center"/>
    </xf>
    <xf numFmtId="0" fontId="26" fillId="0" borderId="0" xfId="2"/>
    <xf numFmtId="0" fontId="26" fillId="0" borderId="0" xfId="2" applyAlignment="1">
      <alignment horizontal="center" vertical="top" wrapText="1"/>
    </xf>
    <xf numFmtId="0" fontId="29" fillId="0" borderId="0" xfId="2" applyFont="1" applyAlignment="1">
      <alignment horizontal="left" wrapText="1"/>
    </xf>
    <xf numFmtId="0" fontId="29" fillId="0" borderId="0" xfId="2" applyFont="1" applyAlignment="1">
      <alignment horizontal="left" vertical="top"/>
    </xf>
    <xf numFmtId="0" fontId="8" fillId="3" borderId="0" xfId="0" applyFont="1" applyFill="1" applyAlignment="1">
      <alignment horizontal="center" vertical="center" wrapText="1"/>
    </xf>
    <xf numFmtId="0" fontId="8" fillId="3" borderId="14" xfId="0" applyFont="1" applyFill="1" applyBorder="1" applyAlignment="1">
      <alignment horizontal="center" vertical="center" wrapText="1"/>
    </xf>
    <xf numFmtId="165" fontId="8" fillId="0" borderId="14" xfId="0" applyNumberFormat="1" applyFont="1" applyBorder="1" applyAlignment="1">
      <alignment horizontal="center" vertical="center"/>
    </xf>
    <xf numFmtId="3" fontId="8" fillId="0" borderId="0" xfId="0" applyNumberFormat="1" applyFont="1" applyAlignment="1">
      <alignment vertical="center"/>
    </xf>
    <xf numFmtId="0" fontId="8" fillId="0" borderId="0" xfId="0" applyFont="1" applyAlignment="1">
      <alignment vertical="center"/>
    </xf>
    <xf numFmtId="3" fontId="8" fillId="3" borderId="0" xfId="0" applyNumberFormat="1" applyFont="1" applyFill="1" applyAlignment="1">
      <alignment vertical="center"/>
    </xf>
    <xf numFmtId="0" fontId="8" fillId="3" borderId="0" xfId="0" applyFont="1" applyFill="1" applyAlignment="1">
      <alignment vertical="center"/>
    </xf>
    <xf numFmtId="3" fontId="33" fillId="0" borderId="0" xfId="0" applyNumberFormat="1" applyFont="1" applyAlignment="1">
      <alignment vertical="center"/>
    </xf>
    <xf numFmtId="165" fontId="7" fillId="0" borderId="0" xfId="0" applyNumberFormat="1" applyFont="1" applyAlignment="1">
      <alignment vertical="center"/>
    </xf>
    <xf numFmtId="3" fontId="5" fillId="0" borderId="0" xfId="0" applyNumberFormat="1" applyFont="1" applyAlignment="1">
      <alignment vertical="center"/>
    </xf>
    <xf numFmtId="4" fontId="7" fillId="0" borderId="0" xfId="0" applyNumberFormat="1" applyFont="1" applyAlignment="1">
      <alignment vertical="center"/>
    </xf>
    <xf numFmtId="0" fontId="5" fillId="4" borderId="14" xfId="0" applyFont="1" applyFill="1" applyBorder="1" applyAlignment="1">
      <alignment horizontal="center" vertical="center" wrapText="1"/>
    </xf>
    <xf numFmtId="4" fontId="20" fillId="0" borderId="14" xfId="0" applyNumberFormat="1" applyFont="1" applyBorder="1" applyAlignment="1">
      <alignment horizontal="center" vertical="center"/>
    </xf>
    <xf numFmtId="4" fontId="19" fillId="0" borderId="14" xfId="0" applyNumberFormat="1" applyFont="1" applyBorder="1" applyAlignment="1">
      <alignment horizontal="center" vertical="center"/>
    </xf>
    <xf numFmtId="0" fontId="37" fillId="0" borderId="0" xfId="0" applyFont="1" applyAlignment="1">
      <alignment vertical="center" wrapText="1"/>
    </xf>
    <xf numFmtId="0" fontId="6" fillId="8" borderId="14" xfId="0" applyFont="1" applyFill="1" applyBorder="1" applyAlignment="1">
      <alignment horizontal="center" vertical="center" wrapText="1"/>
    </xf>
    <xf numFmtId="0" fontId="43" fillId="0" borderId="0" xfId="0" applyFont="1" applyAlignment="1">
      <alignment horizontal="center" vertical="center" wrapText="1"/>
    </xf>
    <xf numFmtId="3" fontId="46" fillId="0" borderId="0" xfId="0" applyNumberFormat="1" applyFont="1" applyAlignment="1">
      <alignment vertical="center"/>
    </xf>
    <xf numFmtId="0" fontId="46" fillId="0" borderId="0" xfId="0" applyFont="1" applyAlignment="1">
      <alignment vertical="center"/>
    </xf>
    <xf numFmtId="4" fontId="42" fillId="13" borderId="14" xfId="0" applyNumberFormat="1" applyFont="1" applyFill="1" applyBorder="1" applyAlignment="1">
      <alignment vertical="center"/>
    </xf>
    <xf numFmtId="4" fontId="40" fillId="22" borderId="14" xfId="0" applyNumberFormat="1" applyFont="1" applyFill="1" applyBorder="1" applyAlignment="1">
      <alignment horizontal="center" vertical="center" wrapText="1"/>
    </xf>
    <xf numFmtId="0" fontId="8" fillId="15" borderId="14" xfId="0" applyFont="1" applyFill="1" applyBorder="1" applyAlignment="1">
      <alignment horizontal="center" vertical="center"/>
    </xf>
    <xf numFmtId="0" fontId="8" fillId="15" borderId="14" xfId="0" applyFont="1" applyFill="1" applyBorder="1" applyAlignment="1">
      <alignment vertical="center" wrapText="1"/>
    </xf>
    <xf numFmtId="14" fontId="0" fillId="15" borderId="14" xfId="0" applyNumberFormat="1" applyFill="1" applyBorder="1" applyAlignment="1">
      <alignment horizontal="center" vertical="center"/>
    </xf>
    <xf numFmtId="8" fontId="8" fillId="15" borderId="14" xfId="0" applyNumberFormat="1" applyFont="1" applyFill="1" applyBorder="1" applyAlignment="1">
      <alignment horizontal="right" vertical="center"/>
    </xf>
    <xf numFmtId="4" fontId="8" fillId="15" borderId="14" xfId="0" applyNumberFormat="1" applyFont="1" applyFill="1" applyBorder="1" applyAlignment="1">
      <alignment horizontal="right" vertical="center"/>
    </xf>
    <xf numFmtId="9" fontId="8" fillId="15" borderId="14" xfId="0" applyNumberFormat="1" applyFont="1" applyFill="1" applyBorder="1" applyAlignment="1">
      <alignment horizontal="center" vertical="center"/>
    </xf>
    <xf numFmtId="0" fontId="7" fillId="15" borderId="14" xfId="0" applyFont="1" applyFill="1" applyBorder="1" applyAlignment="1">
      <alignment horizontal="center" vertical="center" wrapText="1"/>
    </xf>
    <xf numFmtId="0" fontId="8" fillId="15" borderId="14" xfId="0" applyFont="1" applyFill="1" applyBorder="1" applyAlignment="1">
      <alignment vertical="center"/>
    </xf>
    <xf numFmtId="4" fontId="39" fillId="22" borderId="14" xfId="0" applyNumberFormat="1" applyFont="1" applyFill="1" applyBorder="1" applyAlignment="1">
      <alignment horizontal="center" vertical="center" wrapText="1"/>
    </xf>
    <xf numFmtId="0" fontId="24" fillId="0" borderId="15" xfId="0" applyFont="1" applyBorder="1" applyAlignment="1">
      <alignment horizontal="center" vertical="center"/>
    </xf>
    <xf numFmtId="4" fontId="36" fillId="0" borderId="14" xfId="0" applyNumberFormat="1" applyFont="1" applyBorder="1" applyAlignment="1">
      <alignment horizontal="center" vertical="center"/>
    </xf>
    <xf numFmtId="4" fontId="36" fillId="0" borderId="14" xfId="0" applyNumberFormat="1" applyFont="1" applyBorder="1" applyAlignment="1">
      <alignment horizontal="center" vertical="center" wrapText="1"/>
    </xf>
    <xf numFmtId="4" fontId="47" fillId="6" borderId="34" xfId="0" applyNumberFormat="1" applyFont="1" applyFill="1" applyBorder="1" applyAlignment="1">
      <alignment horizontal="center" vertical="center"/>
    </xf>
    <xf numFmtId="0" fontId="7" fillId="15" borderId="14" xfId="0" applyFont="1" applyFill="1" applyBorder="1" applyAlignment="1">
      <alignment horizontal="center" vertical="center"/>
    </xf>
    <xf numFmtId="0" fontId="0" fillId="15" borderId="14" xfId="0" applyFill="1" applyBorder="1" applyAlignment="1">
      <alignment horizontal="center" vertical="center"/>
    </xf>
    <xf numFmtId="166" fontId="0" fillId="15" borderId="14" xfId="1" applyNumberFormat="1" applyFont="1" applyFill="1" applyBorder="1" applyAlignment="1">
      <alignment horizontal="center"/>
    </xf>
    <xf numFmtId="0" fontId="7" fillId="0" borderId="14" xfId="0" applyFont="1" applyBorder="1" applyAlignment="1">
      <alignment horizontal="center" vertical="center" wrapText="1"/>
    </xf>
    <xf numFmtId="0" fontId="12" fillId="0" borderId="14" xfId="0" applyFont="1" applyBorder="1" applyAlignment="1">
      <alignment horizontal="center" vertical="center" wrapText="1"/>
    </xf>
    <xf numFmtId="167" fontId="17" fillId="0" borderId="14" xfId="1" applyNumberFormat="1" applyFont="1" applyBorder="1" applyAlignment="1" applyProtection="1">
      <alignment horizontal="center" vertical="center"/>
      <protection locked="0"/>
    </xf>
    <xf numFmtId="9" fontId="7" fillId="22" borderId="14" xfId="0" applyNumberFormat="1" applyFont="1" applyFill="1" applyBorder="1" applyAlignment="1">
      <alignment horizontal="center" vertical="center"/>
    </xf>
    <xf numFmtId="0" fontId="50" fillId="0" borderId="14" xfId="0" applyFont="1" applyBorder="1"/>
    <xf numFmtId="0" fontId="50" fillId="0" borderId="14" xfId="0" applyFont="1" applyBorder="1" applyAlignment="1">
      <alignment horizontal="center"/>
    </xf>
    <xf numFmtId="4" fontId="42" fillId="9" borderId="14" xfId="0" applyNumberFormat="1" applyFont="1" applyFill="1" applyBorder="1" applyAlignment="1">
      <alignment horizontal="center" vertical="center" wrapText="1"/>
    </xf>
    <xf numFmtId="4" fontId="40" fillId="4" borderId="14" xfId="0" applyNumberFormat="1" applyFont="1" applyFill="1" applyBorder="1" applyAlignment="1">
      <alignment horizontal="center" vertical="center" wrapText="1"/>
    </xf>
    <xf numFmtId="0" fontId="5" fillId="10" borderId="14" xfId="0" applyFont="1" applyFill="1" applyBorder="1" applyAlignment="1">
      <alignment horizontal="center" vertical="center" wrapText="1"/>
    </xf>
    <xf numFmtId="0" fontId="7" fillId="15" borderId="14" xfId="0" applyFont="1" applyFill="1" applyBorder="1" applyAlignment="1">
      <alignment horizontal="left" vertical="center" wrapText="1"/>
    </xf>
    <xf numFmtId="0" fontId="8" fillId="15" borderId="14" xfId="0" applyFont="1" applyFill="1" applyBorder="1" applyAlignment="1">
      <alignment horizontal="left" vertical="center" wrapText="1"/>
    </xf>
    <xf numFmtId="0" fontId="8" fillId="15" borderId="14" xfId="0" applyFont="1" applyFill="1" applyBorder="1" applyAlignment="1">
      <alignment horizontal="center" vertical="center" wrapText="1"/>
    </xf>
    <xf numFmtId="0" fontId="0" fillId="0" borderId="14" xfId="0" applyBorder="1" applyAlignment="1">
      <alignment horizontal="center"/>
    </xf>
    <xf numFmtId="14" fontId="52" fillId="0" borderId="0" xfId="0" applyNumberFormat="1" applyFont="1"/>
    <xf numFmtId="4" fontId="47" fillId="24" borderId="34" xfId="0" applyNumberFormat="1" applyFont="1" applyFill="1" applyBorder="1" applyAlignment="1">
      <alignment horizontal="center" vertical="center"/>
    </xf>
    <xf numFmtId="8" fontId="8" fillId="15" borderId="14" xfId="0" applyNumberFormat="1" applyFont="1" applyFill="1" applyBorder="1" applyAlignment="1">
      <alignment horizontal="center" vertical="center"/>
    </xf>
    <xf numFmtId="3" fontId="7" fillId="0" borderId="0" xfId="0" applyNumberFormat="1" applyFont="1" applyAlignment="1">
      <alignment horizontal="center" vertical="center"/>
    </xf>
    <xf numFmtId="3" fontId="7" fillId="3" borderId="0" xfId="0" applyNumberFormat="1" applyFont="1" applyFill="1" applyAlignment="1">
      <alignment horizontal="center" vertical="center"/>
    </xf>
    <xf numFmtId="0" fontId="7" fillId="3" borderId="0" xfId="0" applyFont="1" applyFill="1" applyAlignment="1">
      <alignment horizontal="center" vertical="center"/>
    </xf>
    <xf numFmtId="3" fontId="8" fillId="0" borderId="0" xfId="0" applyNumberFormat="1" applyFont="1" applyAlignment="1">
      <alignment horizontal="center" vertical="center"/>
    </xf>
    <xf numFmtId="0" fontId="8" fillId="0" borderId="0" xfId="0" applyFont="1" applyAlignment="1">
      <alignment horizontal="center" vertical="center"/>
    </xf>
    <xf numFmtId="168" fontId="0" fillId="0" borderId="0" xfId="3" applyNumberFormat="1" applyFont="1"/>
    <xf numFmtId="0" fontId="0" fillId="0" borderId="14" xfId="0" applyBorder="1"/>
    <xf numFmtId="0" fontId="12" fillId="0" borderId="0" xfId="0" applyFont="1" applyAlignment="1">
      <alignment horizontal="center" vertical="center" wrapText="1"/>
    </xf>
    <xf numFmtId="166" fontId="0" fillId="15" borderId="14" xfId="1" applyNumberFormat="1" applyFont="1" applyFill="1" applyBorder="1" applyAlignment="1">
      <alignment horizontal="center" vertical="center"/>
    </xf>
    <xf numFmtId="0" fontId="0" fillId="0" borderId="14" xfId="0" applyBorder="1" applyAlignment="1">
      <alignment horizontal="center" vertical="center"/>
    </xf>
    <xf numFmtId="0" fontId="0" fillId="0" borderId="14" xfId="0" applyBorder="1" applyAlignment="1">
      <alignment vertical="center" wrapText="1"/>
    </xf>
    <xf numFmtId="0" fontId="0" fillId="0" borderId="0" xfId="0" applyAlignment="1">
      <alignment vertical="center"/>
    </xf>
    <xf numFmtId="166" fontId="13" fillId="15" borderId="14" xfId="1" applyNumberFormat="1" applyFont="1" applyFill="1" applyBorder="1" applyAlignment="1">
      <alignment horizontal="center" vertical="center"/>
    </xf>
    <xf numFmtId="0" fontId="55" fillId="3" borderId="14" xfId="0" applyFont="1" applyFill="1" applyBorder="1" applyAlignment="1">
      <alignment horizontal="center" vertical="center" wrapText="1"/>
    </xf>
    <xf numFmtId="169" fontId="49" fillId="26" borderId="14" xfId="0" applyNumberFormat="1" applyFont="1" applyFill="1" applyBorder="1" applyAlignment="1">
      <alignment horizontal="right"/>
    </xf>
    <xf numFmtId="0" fontId="55" fillId="26" borderId="14" xfId="0" applyFont="1" applyFill="1" applyBorder="1" applyAlignment="1">
      <alignment horizontal="center" vertical="center" wrapText="1"/>
    </xf>
    <xf numFmtId="169" fontId="0" fillId="0" borderId="14" xfId="0" applyNumberFormat="1" applyBorder="1"/>
    <xf numFmtId="169" fontId="60" fillId="6" borderId="23" xfId="0" applyNumberFormat="1" applyFont="1" applyFill="1" applyBorder="1"/>
    <xf numFmtId="0" fontId="12" fillId="15" borderId="14" xfId="0" applyFont="1" applyFill="1" applyBorder="1" applyAlignment="1">
      <alignment horizontal="center" vertical="center"/>
    </xf>
    <xf numFmtId="0" fontId="12" fillId="15" borderId="14" xfId="0" applyFont="1" applyFill="1" applyBorder="1" applyAlignment="1">
      <alignment horizontal="center" vertical="center" wrapText="1"/>
    </xf>
    <xf numFmtId="0" fontId="12" fillId="15" borderId="19" xfId="0" applyFont="1" applyFill="1" applyBorder="1" applyAlignment="1">
      <alignment horizontal="center" vertical="center" wrapText="1"/>
    </xf>
    <xf numFmtId="168" fontId="0" fillId="0" borderId="14" xfId="3" applyNumberFormat="1" applyFont="1" applyBorder="1"/>
    <xf numFmtId="0" fontId="25" fillId="18" borderId="29" xfId="2" applyFont="1" applyFill="1" applyBorder="1" applyAlignment="1">
      <alignment horizontal="center" vertical="center" wrapText="1"/>
    </xf>
    <xf numFmtId="0" fontId="25" fillId="18" borderId="30" xfId="2" applyFont="1" applyFill="1" applyBorder="1" applyAlignment="1">
      <alignment horizontal="center" vertical="center" wrapText="1"/>
    </xf>
    <xf numFmtId="1" fontId="7" fillId="18" borderId="30" xfId="2" applyNumberFormat="1" applyFont="1" applyFill="1" applyBorder="1" applyAlignment="1">
      <alignment horizontal="left" vertical="center" wrapText="1"/>
    </xf>
    <xf numFmtId="4" fontId="7" fillId="19" borderId="30" xfId="2" applyNumberFormat="1" applyFont="1" applyFill="1" applyBorder="1" applyAlignment="1">
      <alignment horizontal="right" vertical="center" wrapText="1"/>
    </xf>
    <xf numFmtId="1" fontId="7" fillId="20" borderId="30" xfId="2" applyNumberFormat="1" applyFont="1" applyFill="1" applyBorder="1" applyAlignment="1">
      <alignment horizontal="left" vertical="center" wrapText="1"/>
    </xf>
    <xf numFmtId="4" fontId="7" fillId="20" borderId="30" xfId="2" applyNumberFormat="1" applyFont="1" applyFill="1" applyBorder="1" applyAlignment="1">
      <alignment horizontal="right" vertical="center" wrapText="1"/>
    </xf>
    <xf numFmtId="0" fontId="63" fillId="0" borderId="14" xfId="0" applyFont="1" applyBorder="1" applyAlignment="1">
      <alignment horizontal="center" wrapText="1"/>
    </xf>
    <xf numFmtId="0" fontId="63" fillId="0" borderId="14" xfId="0" applyFont="1" applyBorder="1" applyAlignment="1">
      <alignment wrapText="1"/>
    </xf>
    <xf numFmtId="0" fontId="0" fillId="0" borderId="0" xfId="0" applyAlignment="1">
      <alignment horizontal="center" vertical="center"/>
    </xf>
    <xf numFmtId="0" fontId="0" fillId="0" borderId="14" xfId="0" applyBorder="1" applyAlignment="1">
      <alignment horizontal="center" vertical="center" wrapText="1"/>
    </xf>
    <xf numFmtId="0" fontId="18" fillId="0" borderId="14" xfId="0" applyFont="1" applyBorder="1" applyAlignment="1">
      <alignment horizontal="center" vertical="center"/>
    </xf>
    <xf numFmtId="0" fontId="18" fillId="0" borderId="14" xfId="0" applyFont="1" applyBorder="1" applyAlignment="1">
      <alignment horizontal="center" vertical="center" wrapText="1"/>
    </xf>
    <xf numFmtId="4" fontId="69" fillId="11" borderId="14" xfId="0" applyNumberFormat="1" applyFont="1" applyFill="1" applyBorder="1" applyAlignment="1">
      <alignment horizontal="center" vertical="center"/>
    </xf>
    <xf numFmtId="0" fontId="70" fillId="0" borderId="0" xfId="0" applyFont="1" applyAlignment="1">
      <alignment horizontal="center" vertical="center" wrapText="1"/>
    </xf>
    <xf numFmtId="3" fontId="71" fillId="0" borderId="0" xfId="0" applyNumberFormat="1" applyFont="1" applyAlignment="1">
      <alignment vertical="center"/>
    </xf>
    <xf numFmtId="0" fontId="71" fillId="0" borderId="0" xfId="0" applyFont="1" applyAlignment="1">
      <alignment vertical="center"/>
    </xf>
    <xf numFmtId="0" fontId="49" fillId="0" borderId="0" xfId="0" applyFont="1"/>
    <xf numFmtId="0" fontId="68" fillId="0" borderId="0" xfId="4"/>
    <xf numFmtId="4" fontId="49" fillId="15" borderId="14" xfId="0" applyNumberFormat="1" applyFont="1" applyFill="1" applyBorder="1"/>
    <xf numFmtId="43" fontId="0" fillId="0" borderId="0" xfId="5" applyFont="1"/>
    <xf numFmtId="4" fontId="49" fillId="0" borderId="14" xfId="0" applyNumberFormat="1" applyFont="1" applyBorder="1"/>
    <xf numFmtId="3" fontId="50" fillId="0" borderId="14" xfId="0" applyNumberFormat="1" applyFont="1" applyBorder="1" applyAlignment="1">
      <alignment horizontal="center" vertical="center"/>
    </xf>
    <xf numFmtId="0" fontId="12" fillId="0" borderId="14" xfId="0" applyFont="1" applyBorder="1" applyAlignment="1">
      <alignment horizontal="center" vertical="center"/>
    </xf>
    <xf numFmtId="0" fontId="71" fillId="21" borderId="14" xfId="0" applyFont="1" applyFill="1" applyBorder="1" applyAlignment="1">
      <alignment horizontal="center" vertical="center" wrapText="1"/>
    </xf>
    <xf numFmtId="4" fontId="0" fillId="21" borderId="14" xfId="1" applyNumberFormat="1" applyFont="1" applyFill="1" applyBorder="1" applyAlignment="1">
      <alignment horizontal="center"/>
    </xf>
    <xf numFmtId="4" fontId="0" fillId="27" borderId="14" xfId="1" applyNumberFormat="1" applyFont="1" applyFill="1" applyBorder="1" applyAlignment="1">
      <alignment horizontal="center"/>
    </xf>
    <xf numFmtId="3" fontId="0" fillId="21" borderId="14" xfId="1" applyNumberFormat="1" applyFont="1" applyFill="1" applyBorder="1" applyAlignment="1">
      <alignment horizontal="center"/>
    </xf>
    <xf numFmtId="0" fontId="71" fillId="0" borderId="14" xfId="0" applyFont="1" applyBorder="1" applyAlignment="1">
      <alignment horizontal="center" vertical="center" wrapText="1"/>
    </xf>
    <xf numFmtId="4" fontId="0" fillId="0" borderId="14" xfId="1" applyNumberFormat="1" applyFont="1" applyBorder="1" applyAlignment="1">
      <alignment horizontal="center"/>
    </xf>
    <xf numFmtId="3" fontId="0" fillId="0" borderId="14" xfId="1" applyNumberFormat="1" applyFont="1" applyBorder="1" applyAlignment="1">
      <alignment horizontal="center"/>
    </xf>
    <xf numFmtId="0" fontId="71" fillId="0" borderId="0" xfId="0" applyFont="1" applyAlignment="1">
      <alignment horizontal="left" vertical="center" wrapText="1"/>
    </xf>
    <xf numFmtId="0" fontId="72" fillId="0" borderId="0" xfId="0" applyFont="1" applyAlignment="1">
      <alignment horizontal="left" vertical="center" wrapText="1"/>
    </xf>
    <xf numFmtId="44" fontId="0" fillId="0" borderId="0" xfId="1" applyFont="1"/>
    <xf numFmtId="0" fontId="12" fillId="0" borderId="0" xfId="0" applyFont="1"/>
    <xf numFmtId="166" fontId="12" fillId="0" borderId="0" xfId="0" applyNumberFormat="1" applyFont="1"/>
    <xf numFmtId="0" fontId="73" fillId="0" borderId="0" xfId="0" applyFont="1" applyAlignment="1">
      <alignment wrapText="1"/>
    </xf>
    <xf numFmtId="0" fontId="74" fillId="0" borderId="14" xfId="0" applyFont="1" applyBorder="1" applyAlignment="1">
      <alignment horizontal="center" vertical="center" wrapText="1"/>
    </xf>
    <xf numFmtId="4" fontId="75" fillId="0" borderId="14" xfId="0" applyNumberFormat="1" applyFont="1" applyBorder="1" applyAlignment="1">
      <alignment horizontal="center" vertical="center"/>
    </xf>
    <xf numFmtId="4" fontId="76" fillId="0" borderId="14" xfId="0" applyNumberFormat="1" applyFont="1" applyBorder="1" applyAlignment="1">
      <alignment horizontal="center" vertical="center"/>
    </xf>
    <xf numFmtId="4" fontId="14" fillId="0" borderId="14" xfId="0" applyNumberFormat="1" applyFont="1" applyBorder="1" applyAlignment="1">
      <alignment horizontal="center" vertical="center"/>
    </xf>
    <xf numFmtId="0" fontId="14" fillId="0" borderId="14" xfId="0" applyFont="1" applyBorder="1" applyAlignment="1">
      <alignment vertical="center"/>
    </xf>
    <xf numFmtId="4" fontId="14" fillId="0" borderId="14" xfId="0" applyNumberFormat="1" applyFont="1" applyBorder="1" applyAlignment="1">
      <alignment vertical="center"/>
    </xf>
    <xf numFmtId="0" fontId="17" fillId="0" borderId="14" xfId="0" applyFont="1" applyBorder="1" applyAlignment="1">
      <alignment vertical="center"/>
    </xf>
    <xf numFmtId="0" fontId="21" fillId="16" borderId="14" xfId="0" applyFont="1" applyFill="1" applyBorder="1" applyAlignment="1">
      <alignment vertical="center" wrapText="1"/>
    </xf>
    <xf numFmtId="5" fontId="18" fillId="16" borderId="14" xfId="1" applyNumberFormat="1" applyFont="1" applyFill="1" applyBorder="1" applyAlignment="1" applyProtection="1">
      <alignment horizontal="center" vertical="center" wrapText="1"/>
    </xf>
    <xf numFmtId="0" fontId="23" fillId="15" borderId="14" xfId="0" applyFont="1" applyFill="1" applyBorder="1" applyAlignment="1" applyProtection="1">
      <alignment horizontal="center" vertical="center"/>
      <protection locked="0"/>
    </xf>
    <xf numFmtId="4" fontId="14" fillId="0" borderId="0" xfId="0" applyNumberFormat="1" applyFont="1" applyAlignment="1">
      <alignment horizontal="center" vertical="center"/>
    </xf>
    <xf numFmtId="4" fontId="17" fillId="0" borderId="0" xfId="0" applyNumberFormat="1" applyFont="1" applyAlignment="1">
      <alignment horizontal="center" vertical="center"/>
    </xf>
    <xf numFmtId="0" fontId="7" fillId="0" borderId="0" xfId="0" applyFont="1" applyAlignment="1">
      <alignment horizontal="center" vertical="center" wrapText="1"/>
    </xf>
    <xf numFmtId="166" fontId="0" fillId="15" borderId="0" xfId="1" applyNumberFormat="1" applyFont="1" applyFill="1" applyBorder="1" applyAlignment="1">
      <alignment horizontal="center"/>
    </xf>
    <xf numFmtId="4" fontId="0" fillId="0" borderId="0" xfId="1" applyNumberFormat="1" applyFont="1" applyBorder="1" applyAlignment="1">
      <alignment horizontal="center"/>
    </xf>
    <xf numFmtId="3" fontId="0" fillId="0" borderId="0" xfId="1" applyNumberFormat="1" applyFont="1" applyBorder="1" applyAlignment="1">
      <alignment horizontal="center"/>
    </xf>
    <xf numFmtId="44" fontId="17" fillId="0" borderId="14" xfId="1" applyFont="1" applyBorder="1" applyAlignment="1">
      <alignment vertical="center"/>
    </xf>
    <xf numFmtId="0" fontId="0" fillId="0" borderId="35" xfId="0" applyBorder="1" applyAlignment="1">
      <alignment horizontal="center" vertical="top"/>
    </xf>
    <xf numFmtId="0" fontId="17" fillId="0" borderId="20" xfId="0" applyFont="1" applyBorder="1" applyAlignment="1">
      <alignment vertical="center" wrapText="1"/>
    </xf>
    <xf numFmtId="44" fontId="17" fillId="28" borderId="20" xfId="0" applyNumberFormat="1" applyFont="1" applyFill="1" applyBorder="1" applyAlignment="1">
      <alignment vertical="center"/>
    </xf>
    <xf numFmtId="44" fontId="17" fillId="29" borderId="20" xfId="0" applyNumberFormat="1" applyFont="1" applyFill="1" applyBorder="1" applyAlignment="1">
      <alignment vertical="center"/>
    </xf>
    <xf numFmtId="0" fontId="17" fillId="0" borderId="22" xfId="0" applyFont="1" applyBorder="1" applyAlignment="1">
      <alignment vertical="center" wrapText="1"/>
    </xf>
    <xf numFmtId="44" fontId="17" fillId="0" borderId="22" xfId="1" applyFont="1" applyBorder="1" applyAlignment="1">
      <alignment vertical="center"/>
    </xf>
    <xf numFmtId="0" fontId="23" fillId="15" borderId="14" xfId="0" applyFont="1" applyFill="1" applyBorder="1" applyAlignment="1" applyProtection="1">
      <alignment vertical="center"/>
      <protection locked="0"/>
    </xf>
    <xf numFmtId="2" fontId="23" fillId="15" borderId="14" xfId="0" applyNumberFormat="1" applyFont="1" applyFill="1" applyBorder="1" applyAlignment="1" applyProtection="1">
      <alignment vertical="center"/>
      <protection locked="0"/>
    </xf>
    <xf numFmtId="0" fontId="79" fillId="0" borderId="21" xfId="0" applyFont="1" applyBorder="1" applyAlignment="1">
      <alignment horizontal="center" vertical="center"/>
    </xf>
    <xf numFmtId="0" fontId="79" fillId="0" borderId="22" xfId="0" applyFont="1" applyBorder="1" applyAlignment="1">
      <alignment horizontal="center" vertical="center"/>
    </xf>
    <xf numFmtId="0" fontId="79" fillId="0" borderId="32" xfId="0" applyFont="1" applyBorder="1" applyAlignment="1">
      <alignment horizontal="center" vertical="center"/>
    </xf>
    <xf numFmtId="0" fontId="79" fillId="0" borderId="24" xfId="0" applyFont="1" applyBorder="1" applyAlignment="1">
      <alignment horizontal="center" vertical="center"/>
    </xf>
    <xf numFmtId="0" fontId="79" fillId="0" borderId="0" xfId="0" applyFont="1" applyAlignment="1">
      <alignment horizontal="center" vertical="center"/>
    </xf>
    <xf numFmtId="0" fontId="79" fillId="0" borderId="31" xfId="0" applyFont="1" applyBorder="1" applyAlignment="1">
      <alignment horizontal="center" vertical="center"/>
    </xf>
    <xf numFmtId="0" fontId="79" fillId="0" borderId="33" xfId="0" applyFont="1" applyBorder="1" applyAlignment="1">
      <alignment horizontal="center" vertical="center"/>
    </xf>
    <xf numFmtId="0" fontId="79" fillId="0" borderId="27" xfId="0" applyFont="1" applyBorder="1" applyAlignment="1">
      <alignment horizontal="center" vertical="center"/>
    </xf>
    <xf numFmtId="0" fontId="79" fillId="0" borderId="26" xfId="0" applyFont="1" applyBorder="1" applyAlignment="1">
      <alignment horizontal="center" vertical="center"/>
    </xf>
    <xf numFmtId="0" fontId="21" fillId="16" borderId="14" xfId="0" applyFont="1" applyFill="1" applyBorder="1" applyAlignment="1">
      <alignment horizontal="center" vertical="center" wrapText="1"/>
    </xf>
    <xf numFmtId="0" fontId="15" fillId="0" borderId="14" xfId="0" applyFont="1" applyBorder="1" applyAlignment="1">
      <alignment horizontal="center" vertical="center"/>
    </xf>
    <xf numFmtId="0" fontId="35" fillId="15" borderId="14" xfId="0" applyFont="1" applyFill="1" applyBorder="1" applyAlignment="1">
      <alignment horizontal="center" vertical="center" wrapText="1"/>
    </xf>
    <xf numFmtId="0" fontId="22" fillId="16" borderId="14" xfId="0" applyFont="1" applyFill="1" applyBorder="1" applyAlignment="1" applyProtection="1">
      <alignment horizontal="center" vertical="center" wrapText="1"/>
      <protection locked="0"/>
    </xf>
    <xf numFmtId="5" fontId="78" fillId="15" borderId="23" xfId="1" applyNumberFormat="1" applyFont="1" applyFill="1" applyBorder="1" applyAlignment="1">
      <alignment horizontal="center" vertical="center" wrapText="1"/>
    </xf>
    <xf numFmtId="5" fontId="78" fillId="15" borderId="18" xfId="1" applyNumberFormat="1" applyFont="1" applyFill="1" applyBorder="1" applyAlignment="1">
      <alignment horizontal="center" vertical="center" wrapText="1"/>
    </xf>
    <xf numFmtId="5" fontId="78" fillId="15" borderId="19" xfId="1" applyNumberFormat="1" applyFont="1" applyFill="1" applyBorder="1" applyAlignment="1">
      <alignment horizontal="center" vertical="center" wrapText="1"/>
    </xf>
    <xf numFmtId="5" fontId="74" fillId="16" borderId="23" xfId="1" applyNumberFormat="1" applyFont="1" applyFill="1" applyBorder="1" applyAlignment="1">
      <alignment horizontal="center" vertical="center" wrapText="1"/>
    </xf>
    <xf numFmtId="5" fontId="74" fillId="16" borderId="18" xfId="1" applyNumberFormat="1" applyFont="1" applyFill="1" applyBorder="1" applyAlignment="1">
      <alignment horizontal="center" vertical="center" wrapText="1"/>
    </xf>
    <xf numFmtId="5" fontId="74" fillId="16" borderId="19" xfId="1" applyNumberFormat="1" applyFont="1" applyFill="1" applyBorder="1" applyAlignment="1">
      <alignment horizontal="center" vertical="center" wrapText="1"/>
    </xf>
    <xf numFmtId="0" fontId="18" fillId="0" borderId="14" xfId="0" applyFont="1" applyBorder="1" applyAlignment="1">
      <alignment horizontal="center" vertical="center"/>
    </xf>
    <xf numFmtId="0" fontId="20" fillId="15" borderId="19" xfId="0" applyFont="1" applyFill="1" applyBorder="1" applyAlignment="1">
      <alignment horizontal="center" vertical="center"/>
    </xf>
    <xf numFmtId="0" fontId="18" fillId="0" borderId="21"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33"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26" xfId="0" applyFont="1" applyBorder="1" applyAlignment="1">
      <alignment horizontal="center" vertical="center" wrapText="1"/>
    </xf>
    <xf numFmtId="0" fontId="23" fillId="15" borderId="19" xfId="0" applyFont="1" applyFill="1" applyBorder="1" applyAlignment="1" applyProtection="1">
      <alignment horizontal="center" vertical="center"/>
      <protection locked="0"/>
    </xf>
    <xf numFmtId="0" fontId="23" fillId="15" borderId="14" xfId="0" applyFont="1" applyFill="1" applyBorder="1" applyAlignment="1" applyProtection="1">
      <alignment horizontal="center" vertical="center"/>
      <protection locked="0"/>
    </xf>
    <xf numFmtId="0" fontId="18" fillId="0" borderId="19" xfId="0" applyFont="1" applyBorder="1" applyAlignment="1">
      <alignment horizontal="center" vertical="center"/>
    </xf>
    <xf numFmtId="4" fontId="77" fillId="0" borderId="14" xfId="0" applyNumberFormat="1" applyFont="1" applyBorder="1" applyAlignment="1">
      <alignment horizontal="center" vertical="center"/>
    </xf>
    <xf numFmtId="0" fontId="34" fillId="0" borderId="14" xfId="0" applyFont="1" applyBorder="1" applyAlignment="1">
      <alignment horizontal="center" vertical="center" shrinkToFit="1"/>
    </xf>
    <xf numFmtId="0" fontId="16" fillId="0" borderId="17" xfId="0" applyFont="1" applyBorder="1" applyAlignment="1">
      <alignment horizontal="right" vertical="center"/>
    </xf>
    <xf numFmtId="0" fontId="16" fillId="0" borderId="14" xfId="0" applyFont="1" applyBorder="1" applyAlignment="1">
      <alignment horizontal="right" vertical="center"/>
    </xf>
    <xf numFmtId="0" fontId="34" fillId="0" borderId="14" xfId="0" applyFont="1" applyBorder="1" applyAlignment="1">
      <alignment horizontal="center" vertical="center"/>
    </xf>
    <xf numFmtId="0" fontId="42" fillId="7" borderId="14" xfId="0" applyFont="1" applyFill="1" applyBorder="1" applyAlignment="1">
      <alignment horizontal="center" vertical="center"/>
    </xf>
    <xf numFmtId="0" fontId="43" fillId="0" borderId="14" xfId="0" applyFont="1" applyBorder="1" applyAlignment="1">
      <alignment vertical="center"/>
    </xf>
    <xf numFmtId="0" fontId="40" fillId="2" borderId="1" xfId="0" applyFont="1" applyFill="1" applyBorder="1" applyAlignment="1">
      <alignment horizontal="center" vertical="center" wrapText="1"/>
    </xf>
    <xf numFmtId="0" fontId="44" fillId="3" borderId="2" xfId="0" applyFont="1" applyFill="1" applyBorder="1" applyAlignment="1">
      <alignment vertical="center" wrapText="1"/>
    </xf>
    <xf numFmtId="0" fontId="44" fillId="3" borderId="3" xfId="0" applyFont="1" applyFill="1" applyBorder="1" applyAlignment="1">
      <alignment vertical="center" wrapText="1"/>
    </xf>
    <xf numFmtId="0" fontId="40" fillId="2" borderId="4" xfId="0" applyFont="1" applyFill="1" applyBorder="1" applyAlignment="1">
      <alignment horizontal="center" vertical="center" wrapText="1"/>
    </xf>
    <xf numFmtId="0" fontId="44" fillId="3" borderId="5" xfId="0" applyFont="1" applyFill="1" applyBorder="1" applyAlignment="1">
      <alignment vertical="center" wrapText="1"/>
    </xf>
    <xf numFmtId="0" fontId="44" fillId="3" borderId="6" xfId="0" applyFont="1" applyFill="1" applyBorder="1" applyAlignment="1">
      <alignment vertical="center" wrapText="1"/>
    </xf>
    <xf numFmtId="0" fontId="36" fillId="0" borderId="4" xfId="0" applyFont="1" applyBorder="1" applyAlignment="1">
      <alignment horizontal="center" vertical="center" wrapText="1"/>
    </xf>
    <xf numFmtId="0" fontId="43" fillId="0" borderId="5" xfId="0" applyFont="1" applyBorder="1" applyAlignment="1">
      <alignment vertical="center"/>
    </xf>
    <xf numFmtId="0" fontId="43" fillId="0" borderId="9" xfId="0" applyFont="1" applyBorder="1" applyAlignment="1">
      <alignment vertical="center"/>
    </xf>
    <xf numFmtId="0" fontId="43" fillId="0" borderId="16" xfId="0" applyFont="1" applyBorder="1" applyAlignment="1">
      <alignment vertical="center"/>
    </xf>
    <xf numFmtId="0" fontId="48" fillId="4" borderId="7" xfId="0" applyFont="1" applyFill="1" applyBorder="1" applyAlignment="1">
      <alignment horizontal="center" vertical="center"/>
    </xf>
    <xf numFmtId="0" fontId="48" fillId="4" borderId="10" xfId="0" applyFont="1" applyFill="1" applyBorder="1" applyAlignment="1">
      <alignment horizontal="center" vertical="center"/>
    </xf>
    <xf numFmtId="0" fontId="48" fillId="4" borderId="13" xfId="0" applyFont="1" applyFill="1" applyBorder="1" applyAlignment="1">
      <alignment horizontal="center" vertical="center"/>
    </xf>
    <xf numFmtId="0" fontId="36" fillId="4" borderId="8" xfId="0" applyFont="1" applyFill="1" applyBorder="1" applyAlignment="1">
      <alignment horizontal="center" vertical="center" wrapText="1"/>
    </xf>
    <xf numFmtId="0" fontId="36" fillId="4" borderId="9" xfId="0" applyFont="1" applyFill="1" applyBorder="1" applyAlignment="1">
      <alignment horizontal="center" vertical="center" wrapText="1"/>
    </xf>
    <xf numFmtId="0" fontId="36" fillId="4" borderId="11" xfId="0" applyFont="1" applyFill="1" applyBorder="1" applyAlignment="1">
      <alignment horizontal="center" vertical="center" wrapText="1"/>
    </xf>
    <xf numFmtId="0" fontId="36" fillId="4" borderId="0" xfId="0" applyFont="1" applyFill="1" applyAlignment="1">
      <alignment horizontal="center" vertical="center" wrapText="1"/>
    </xf>
    <xf numFmtId="0" fontId="36" fillId="4" borderId="12" xfId="0" applyFont="1" applyFill="1" applyBorder="1" applyAlignment="1">
      <alignment horizontal="center" vertical="center" wrapText="1"/>
    </xf>
    <xf numFmtId="0" fontId="25" fillId="14" borderId="23" xfId="0" applyFont="1" applyFill="1" applyBorder="1" applyAlignment="1">
      <alignment horizontal="center" vertical="center" wrapText="1"/>
    </xf>
    <xf numFmtId="0" fontId="25" fillId="14" borderId="18" xfId="0" applyFont="1" applyFill="1" applyBorder="1" applyAlignment="1">
      <alignment horizontal="center" vertical="center" wrapText="1"/>
    </xf>
    <xf numFmtId="0" fontId="25" fillId="14" borderId="19" xfId="0" applyFont="1" applyFill="1" applyBorder="1" applyAlignment="1">
      <alignment horizontal="center" vertical="center" wrapText="1"/>
    </xf>
    <xf numFmtId="0" fontId="7" fillId="15" borderId="23" xfId="0" applyFont="1" applyFill="1" applyBorder="1" applyAlignment="1">
      <alignment horizontal="center" vertical="center"/>
    </xf>
    <xf numFmtId="0" fontId="7" fillId="15" borderId="18" xfId="0" applyFont="1" applyFill="1" applyBorder="1" applyAlignment="1">
      <alignment horizontal="center" vertical="center"/>
    </xf>
    <xf numFmtId="0" fontId="7" fillId="15" borderId="19" xfId="0" applyFont="1" applyFill="1" applyBorder="1" applyAlignment="1">
      <alignment horizontal="center" vertical="center"/>
    </xf>
    <xf numFmtId="0" fontId="3" fillId="4" borderId="11" xfId="0" applyFont="1" applyFill="1" applyBorder="1" applyAlignment="1">
      <alignment horizontal="center" vertical="center"/>
    </xf>
    <xf numFmtId="0" fontId="4" fillId="0" borderId="0" xfId="0" applyFont="1" applyAlignment="1">
      <alignment vertical="center"/>
    </xf>
    <xf numFmtId="0" fontId="4" fillId="0" borderId="12" xfId="0" applyFont="1" applyBorder="1" applyAlignment="1">
      <alignment vertical="center"/>
    </xf>
    <xf numFmtId="0" fontId="5" fillId="22" borderId="20" xfId="0" applyFont="1" applyFill="1" applyBorder="1" applyAlignment="1">
      <alignment horizontal="center" vertical="center" wrapText="1"/>
    </xf>
    <xf numFmtId="0" fontId="45" fillId="0" borderId="20" xfId="0" applyFont="1" applyBorder="1" applyAlignment="1">
      <alignment horizontal="right" vertical="center"/>
    </xf>
    <xf numFmtId="166" fontId="36" fillId="5" borderId="23" xfId="1" applyNumberFormat="1" applyFont="1" applyFill="1" applyBorder="1" applyAlignment="1">
      <alignment horizontal="center" vertical="center"/>
    </xf>
    <xf numFmtId="166" fontId="36" fillId="5" borderId="19" xfId="1" applyNumberFormat="1" applyFont="1" applyFill="1" applyBorder="1" applyAlignment="1">
      <alignment horizontal="center" vertical="center"/>
    </xf>
    <xf numFmtId="4" fontId="36" fillId="0" borderId="23" xfId="0" applyNumberFormat="1" applyFont="1" applyBorder="1" applyAlignment="1">
      <alignment horizontal="center" vertical="center"/>
    </xf>
    <xf numFmtId="4" fontId="36" fillId="0" borderId="19" xfId="0" applyNumberFormat="1" applyFont="1" applyBorder="1" applyAlignment="1">
      <alignment horizontal="center" vertical="center"/>
    </xf>
    <xf numFmtId="165" fontId="36" fillId="0" borderId="14" xfId="0" applyNumberFormat="1" applyFont="1" applyBorder="1" applyAlignment="1">
      <alignment horizontal="center" vertical="center"/>
    </xf>
    <xf numFmtId="0" fontId="7" fillId="4" borderId="14" xfId="0" applyFont="1" applyFill="1" applyBorder="1" applyAlignment="1">
      <alignment horizontal="left" vertical="top" wrapText="1"/>
    </xf>
    <xf numFmtId="0" fontId="36" fillId="8" borderId="14" xfId="0" applyFont="1" applyFill="1" applyBorder="1" applyAlignment="1">
      <alignment horizontal="center" vertical="center"/>
    </xf>
    <xf numFmtId="4" fontId="42" fillId="9" borderId="14" xfId="0" applyNumberFormat="1" applyFont="1" applyFill="1" applyBorder="1" applyAlignment="1">
      <alignment horizontal="center" vertical="center" wrapText="1"/>
    </xf>
    <xf numFmtId="0" fontId="38" fillId="4" borderId="14" xfId="0" applyFont="1" applyFill="1" applyBorder="1" applyAlignment="1">
      <alignment horizontal="center" vertical="center" wrapText="1"/>
    </xf>
    <xf numFmtId="4" fontId="40" fillId="4" borderId="14" xfId="0" applyNumberFormat="1" applyFont="1" applyFill="1" applyBorder="1" applyAlignment="1">
      <alignment horizontal="center" vertical="center" wrapText="1"/>
    </xf>
    <xf numFmtId="0" fontId="5" fillId="10" borderId="14" xfId="0" applyFont="1" applyFill="1" applyBorder="1" applyAlignment="1">
      <alignment horizontal="center" vertical="center" wrapText="1"/>
    </xf>
    <xf numFmtId="4" fontId="10" fillId="0" borderId="14" xfId="0" applyNumberFormat="1" applyFont="1" applyBorder="1" applyAlignment="1">
      <alignment horizontal="center" vertical="center" wrapText="1"/>
    </xf>
    <xf numFmtId="0" fontId="7" fillId="15" borderId="14" xfId="0" applyFont="1" applyFill="1" applyBorder="1" applyAlignment="1">
      <alignment horizontal="left" vertical="center" wrapText="1"/>
    </xf>
    <xf numFmtId="0" fontId="8" fillId="15" borderId="14" xfId="0" applyFont="1" applyFill="1" applyBorder="1" applyAlignment="1">
      <alignment horizontal="left" vertical="center" wrapText="1"/>
    </xf>
    <xf numFmtId="0" fontId="8" fillId="0" borderId="23"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4" fontId="36" fillId="11" borderId="23" xfId="0" applyNumberFormat="1" applyFont="1" applyFill="1" applyBorder="1" applyAlignment="1">
      <alignment horizontal="center" vertical="center"/>
    </xf>
    <xf numFmtId="4" fontId="36" fillId="11" borderId="18" xfId="0" applyNumberFormat="1" applyFont="1" applyFill="1" applyBorder="1" applyAlignment="1">
      <alignment horizontal="center" vertical="center"/>
    </xf>
    <xf numFmtId="4" fontId="36" fillId="11" borderId="19" xfId="0" applyNumberFormat="1" applyFont="1" applyFill="1" applyBorder="1" applyAlignment="1">
      <alignment horizontal="center" vertical="center"/>
    </xf>
    <xf numFmtId="0" fontId="45" fillId="12" borderId="14" xfId="0" applyFont="1" applyFill="1" applyBorder="1" applyAlignment="1">
      <alignment horizontal="center" vertical="center"/>
    </xf>
    <xf numFmtId="0" fontId="43" fillId="11" borderId="14" xfId="0" applyFont="1" applyFill="1" applyBorder="1" applyAlignment="1">
      <alignment vertical="center"/>
    </xf>
    <xf numFmtId="0" fontId="41" fillId="0" borderId="14" xfId="0" applyFont="1" applyBorder="1" applyAlignment="1">
      <alignment horizontal="left" vertical="center" wrapText="1"/>
    </xf>
    <xf numFmtId="0" fontId="6" fillId="11" borderId="14" xfId="0" applyFont="1" applyFill="1" applyBorder="1" applyAlignment="1">
      <alignment horizontal="center" vertical="center" wrapText="1"/>
    </xf>
    <xf numFmtId="0" fontId="54" fillId="0" borderId="14" xfId="0" applyFont="1" applyBorder="1" applyAlignment="1">
      <alignment horizontal="left" vertical="center" wrapText="1"/>
    </xf>
    <xf numFmtId="0" fontId="41" fillId="17" borderId="14" xfId="0" applyFont="1" applyFill="1" applyBorder="1" applyAlignment="1">
      <alignment horizontal="center" vertical="top" wrapText="1"/>
    </xf>
    <xf numFmtId="0" fontId="41" fillId="17" borderId="14" xfId="0" applyFont="1" applyFill="1" applyBorder="1" applyAlignment="1">
      <alignment horizontal="center" vertical="top"/>
    </xf>
    <xf numFmtId="0" fontId="41" fillId="17" borderId="14" xfId="0" applyFont="1" applyFill="1" applyBorder="1" applyAlignment="1">
      <alignment horizontal="center" vertical="center" wrapText="1"/>
    </xf>
    <xf numFmtId="0" fontId="8" fillId="17" borderId="14" xfId="0" applyFont="1" applyFill="1" applyBorder="1" applyAlignment="1">
      <alignment horizontal="center" vertical="center" wrapText="1"/>
    </xf>
    <xf numFmtId="0" fontId="45" fillId="12" borderId="14" xfId="0" applyFont="1" applyFill="1" applyBorder="1" applyAlignment="1">
      <alignment horizontal="center" vertical="center" wrapText="1"/>
    </xf>
    <xf numFmtId="0" fontId="54" fillId="17" borderId="14" xfId="0" applyFont="1" applyFill="1" applyBorder="1" applyAlignment="1">
      <alignment horizontal="center" vertical="center" wrapText="1"/>
    </xf>
    <xf numFmtId="0" fontId="6" fillId="14" borderId="14" xfId="0" applyFont="1" applyFill="1" applyBorder="1" applyAlignment="1">
      <alignment horizontal="right" vertical="center" wrapText="1"/>
    </xf>
    <xf numFmtId="0" fontId="0" fillId="0" borderId="14" xfId="0" applyBorder="1" applyAlignment="1">
      <alignment horizontal="center"/>
    </xf>
    <xf numFmtId="0" fontId="41" fillId="4" borderId="14" xfId="0" applyFont="1" applyFill="1" applyBorder="1" applyAlignment="1">
      <alignment horizontal="left" vertical="center" wrapText="1"/>
    </xf>
    <xf numFmtId="0" fontId="38" fillId="4" borderId="14" xfId="0" applyFont="1" applyFill="1" applyBorder="1" applyAlignment="1">
      <alignment horizontal="left" vertical="center" wrapText="1"/>
    </xf>
    <xf numFmtId="0" fontId="8" fillId="0" borderId="14" xfId="0" applyFont="1" applyBorder="1" applyAlignment="1">
      <alignment horizontal="left" vertical="center" wrapText="1"/>
    </xf>
    <xf numFmtId="0" fontId="41" fillId="0" borderId="14" xfId="0" applyFont="1" applyBorder="1" applyAlignment="1">
      <alignment horizontal="center" vertical="top" wrapText="1"/>
    </xf>
    <xf numFmtId="0" fontId="45" fillId="11" borderId="14" xfId="0" applyFont="1" applyFill="1" applyBorder="1" applyAlignment="1">
      <alignment horizontal="center" vertical="center" wrapText="1"/>
    </xf>
    <xf numFmtId="0" fontId="36" fillId="14" borderId="14" xfId="0" applyFont="1" applyFill="1" applyBorder="1" applyAlignment="1">
      <alignment horizontal="center" vertical="center" wrapText="1"/>
    </xf>
    <xf numFmtId="0" fontId="45" fillId="12" borderId="23" xfId="0" applyFont="1" applyFill="1" applyBorder="1" applyAlignment="1">
      <alignment horizontal="center" vertical="center"/>
    </xf>
    <xf numFmtId="0" fontId="45" fillId="12" borderId="18" xfId="0" applyFont="1" applyFill="1" applyBorder="1" applyAlignment="1">
      <alignment horizontal="center" vertical="center"/>
    </xf>
    <xf numFmtId="0" fontId="45" fillId="12" borderId="19" xfId="0" applyFont="1" applyFill="1" applyBorder="1" applyAlignment="1">
      <alignment horizontal="center" vertical="center"/>
    </xf>
    <xf numFmtId="0" fontId="41" fillId="3" borderId="14" xfId="0" applyFont="1" applyFill="1" applyBorder="1" applyAlignment="1">
      <alignment horizontal="left" vertical="center" wrapText="1"/>
    </xf>
    <xf numFmtId="0" fontId="58" fillId="4" borderId="14" xfId="0" applyFont="1" applyFill="1" applyBorder="1" applyAlignment="1">
      <alignment horizontal="left" vertical="top" wrapText="1"/>
    </xf>
    <xf numFmtId="0" fontId="8" fillId="15" borderId="14" xfId="0" applyFont="1" applyFill="1" applyBorder="1" applyAlignment="1">
      <alignment horizontal="center" vertical="center" wrapText="1"/>
    </xf>
    <xf numFmtId="0" fontId="58" fillId="0" borderId="14" xfId="0" applyFont="1" applyBorder="1" applyAlignment="1">
      <alignment horizontal="left" vertical="center" wrapText="1"/>
    </xf>
    <xf numFmtId="0" fontId="67" fillId="0" borderId="14" xfId="0" applyFont="1" applyBorder="1" applyAlignment="1">
      <alignment horizontal="left" vertical="center" wrapText="1"/>
    </xf>
    <xf numFmtId="0" fontId="8" fillId="17" borderId="14" xfId="0" applyFont="1" applyFill="1" applyBorder="1" applyAlignment="1">
      <alignment horizontal="left" vertical="center" wrapText="1"/>
    </xf>
    <xf numFmtId="0" fontId="54" fillId="17" borderId="14" xfId="0" applyFont="1" applyFill="1" applyBorder="1" applyAlignment="1">
      <alignment horizontal="left" vertical="center" wrapText="1"/>
    </xf>
    <xf numFmtId="0" fontId="66" fillId="4" borderId="14" xfId="0" applyFont="1" applyFill="1" applyBorder="1" applyAlignment="1">
      <alignment horizontal="left" vertical="top" wrapText="1"/>
    </xf>
    <xf numFmtId="0" fontId="54" fillId="4" borderId="14" xfId="0" applyFont="1" applyFill="1" applyBorder="1" applyAlignment="1">
      <alignment horizontal="left" vertical="top" wrapText="1"/>
    </xf>
    <xf numFmtId="0" fontId="55" fillId="15" borderId="14" xfId="0" applyFont="1" applyFill="1" applyBorder="1" applyAlignment="1">
      <alignment horizontal="left" vertical="center" wrapText="1"/>
    </xf>
    <xf numFmtId="0" fontId="8" fillId="0" borderId="14" xfId="0" applyFont="1" applyBorder="1" applyAlignment="1">
      <alignment horizontal="left" vertical="top" wrapText="1"/>
    </xf>
    <xf numFmtId="0" fontId="66" fillId="17" borderId="14" xfId="0" applyFont="1" applyFill="1" applyBorder="1" applyAlignment="1">
      <alignment horizontal="center" vertical="center" wrapText="1"/>
    </xf>
    <xf numFmtId="0" fontId="7" fillId="15" borderId="14" xfId="0" applyFont="1" applyFill="1" applyBorder="1" applyAlignment="1">
      <alignment horizontal="center" vertical="center" wrapText="1"/>
    </xf>
    <xf numFmtId="0" fontId="8" fillId="15" borderId="23" xfId="0" applyFont="1" applyFill="1" applyBorder="1" applyAlignment="1">
      <alignment horizontal="left" vertical="center" wrapText="1"/>
    </xf>
    <xf numFmtId="0" fontId="8" fillId="15" borderId="19" xfId="0" applyFont="1" applyFill="1" applyBorder="1" applyAlignment="1">
      <alignment horizontal="left" vertical="center" wrapText="1"/>
    </xf>
    <xf numFmtId="4" fontId="40" fillId="22" borderId="23" xfId="0" applyNumberFormat="1" applyFont="1" applyFill="1" applyBorder="1" applyAlignment="1">
      <alignment horizontal="center" vertical="center" wrapText="1"/>
    </xf>
    <xf numFmtId="4" fontId="40" fillId="22" borderId="19" xfId="0" applyNumberFormat="1" applyFont="1" applyFill="1" applyBorder="1" applyAlignment="1">
      <alignment horizontal="center" vertical="center" wrapText="1"/>
    </xf>
    <xf numFmtId="0" fontId="54" fillId="17" borderId="21" xfId="0" applyFont="1" applyFill="1" applyBorder="1" applyAlignment="1">
      <alignment horizontal="center" vertical="center" wrapText="1"/>
    </xf>
    <xf numFmtId="0" fontId="54" fillId="17" borderId="22" xfId="0" applyFont="1" applyFill="1" applyBorder="1" applyAlignment="1">
      <alignment horizontal="center" vertical="center" wrapText="1"/>
    </xf>
    <xf numFmtId="0" fontId="54" fillId="17" borderId="32" xfId="0" applyFont="1" applyFill="1" applyBorder="1" applyAlignment="1">
      <alignment horizontal="center" vertical="center" wrapText="1"/>
    </xf>
    <xf numFmtId="0" fontId="4" fillId="17" borderId="14" xfId="0" applyFont="1" applyFill="1" applyBorder="1" applyAlignment="1">
      <alignment horizontal="center" vertical="center" wrapText="1"/>
    </xf>
    <xf numFmtId="0" fontId="4" fillId="23" borderId="23" xfId="0" applyFont="1" applyFill="1" applyBorder="1" applyAlignment="1">
      <alignment horizontal="center" vertical="center" wrapText="1"/>
    </xf>
    <xf numFmtId="0" fontId="4" fillId="23" borderId="18" xfId="0" applyFont="1" applyFill="1" applyBorder="1" applyAlignment="1">
      <alignment horizontal="center" vertical="center" wrapText="1"/>
    </xf>
    <xf numFmtId="0" fontId="4" fillId="23" borderId="19" xfId="0" applyFont="1" applyFill="1" applyBorder="1" applyAlignment="1">
      <alignment horizontal="center" vertical="center" wrapText="1"/>
    </xf>
    <xf numFmtId="0" fontId="53" fillId="0" borderId="14" xfId="0" applyFont="1" applyBorder="1" applyAlignment="1">
      <alignment horizontal="left" vertical="center" wrapText="1"/>
    </xf>
    <xf numFmtId="0" fontId="0" fillId="25" borderId="14" xfId="0" applyFill="1" applyBorder="1" applyAlignment="1">
      <alignment horizontal="center"/>
    </xf>
    <xf numFmtId="0" fontId="59" fillId="6" borderId="14" xfId="0" applyFont="1" applyFill="1" applyBorder="1" applyAlignment="1">
      <alignment horizontal="center"/>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0" xfId="0" applyFont="1" applyAlignment="1">
      <alignment horizontal="center" vertical="center" wrapText="1"/>
    </xf>
    <xf numFmtId="0" fontId="1" fillId="0" borderId="31"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27" xfId="0" applyFont="1" applyBorder="1" applyAlignment="1">
      <alignment horizontal="center" vertical="center" wrapText="1"/>
    </xf>
    <xf numFmtId="0" fontId="1" fillId="0" borderId="26" xfId="0" applyFont="1" applyBorder="1" applyAlignment="1">
      <alignment horizontal="center" vertical="center" wrapText="1"/>
    </xf>
    <xf numFmtId="0" fontId="17" fillId="0" borderId="14" xfId="0" applyFont="1" applyBorder="1" applyAlignment="1">
      <alignment horizontal="center" vertical="top"/>
    </xf>
    <xf numFmtId="0" fontId="29" fillId="0" borderId="0" xfId="2" applyFont="1" applyAlignment="1">
      <alignment horizontal="left" vertical="top"/>
    </xf>
    <xf numFmtId="0" fontId="26" fillId="0" borderId="0" xfId="2" applyAlignment="1">
      <alignment horizontal="left" vertical="top"/>
    </xf>
    <xf numFmtId="0" fontId="29" fillId="0" borderId="0" xfId="2" applyFont="1" applyAlignment="1">
      <alignment horizontal="left" vertical="top" indent="4"/>
    </xf>
    <xf numFmtId="0" fontId="27" fillId="0" borderId="0" xfId="2" applyFont="1" applyAlignment="1">
      <alignment horizontal="left" vertical="top" wrapText="1"/>
    </xf>
    <xf numFmtId="0" fontId="28" fillId="0" borderId="28" xfId="2" applyFont="1" applyBorder="1" applyAlignment="1">
      <alignment horizontal="left" vertical="top" wrapText="1"/>
    </xf>
  </cellXfs>
  <cellStyles count="6">
    <cellStyle name="Hipervínculo" xfId="4" builtinId="8"/>
    <cellStyle name="Millares" xfId="5" builtinId="3"/>
    <cellStyle name="Moneda" xfId="1" builtinId="4"/>
    <cellStyle name="Moneda [0]" xfId="3" builtinId="7"/>
    <cellStyle name="Normal" xfId="0" builtinId="0"/>
    <cellStyle name="Normal 2" xfId="2" xr:uid="{6F193B12-6741-4314-B7D4-B4FA8BA655B1}"/>
  </cellStyles>
  <dxfs count="8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color rgb="FF9C0006"/>
      </font>
      <fill>
        <patternFill>
          <bgColor rgb="FFFFC7CE"/>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b/>
        <i val="0"/>
        <color theme="1"/>
      </font>
      <fill>
        <patternFill>
          <bgColor rgb="FFFFFF00"/>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xdr:from>
      <xdr:col>1</xdr:col>
      <xdr:colOff>522941</xdr:colOff>
      <xdr:row>0</xdr:row>
      <xdr:rowOff>54319</xdr:rowOff>
    </xdr:from>
    <xdr:to>
      <xdr:col>5</xdr:col>
      <xdr:colOff>314320</xdr:colOff>
      <xdr:row>3</xdr:row>
      <xdr:rowOff>125755</xdr:rowOff>
    </xdr:to>
    <xdr:pic>
      <xdr:nvPicPr>
        <xdr:cNvPr id="6" name="Imagen 26" descr="Descripción: Marca Aerocivil">
          <a:extLst>
            <a:ext uri="{FF2B5EF4-FFF2-40B4-BE49-F238E27FC236}">
              <a16:creationId xmlns:a16="http://schemas.microsoft.com/office/drawing/2014/main" id="{9259F3AA-0C47-49CD-A8B1-B7B93AD53D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02" t="24124" r="3865" b="15251"/>
        <a:stretch>
          <a:fillRect/>
        </a:stretch>
      </xdr:blipFill>
      <xdr:spPr bwMode="auto">
        <a:xfrm>
          <a:off x="952500" y="54319"/>
          <a:ext cx="3601379" cy="706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1442357</xdr:colOff>
      <xdr:row>0</xdr:row>
      <xdr:rowOff>84667</xdr:rowOff>
    </xdr:from>
    <xdr:to>
      <xdr:col>24</xdr:col>
      <xdr:colOff>756320</xdr:colOff>
      <xdr:row>3</xdr:row>
      <xdr:rowOff>62442</xdr:rowOff>
    </xdr:to>
    <xdr:pic>
      <xdr:nvPicPr>
        <xdr:cNvPr id="5" name="image2.png">
          <a:extLst>
            <a:ext uri="{FF2B5EF4-FFF2-40B4-BE49-F238E27FC236}">
              <a16:creationId xmlns:a16="http://schemas.microsoft.com/office/drawing/2014/main" id="{F0B4EB8D-B06D-7047-B664-DB0E8089C788}"/>
            </a:ext>
          </a:extLst>
        </xdr:cNvPr>
        <xdr:cNvPicPr>
          <a:picLocks noChangeAspect="1"/>
        </xdr:cNvPicPr>
      </xdr:nvPicPr>
      <xdr:blipFill>
        <a:blip xmlns:r="http://schemas.openxmlformats.org/officeDocument/2006/relationships" r:embed="rId2" cstate="print"/>
        <a:stretch>
          <a:fillRect/>
        </a:stretch>
      </xdr:blipFill>
      <xdr:spPr>
        <a:xfrm>
          <a:off x="24378557" y="84667"/>
          <a:ext cx="1866664" cy="6254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2808498</xdr:colOff>
      <xdr:row>57</xdr:row>
      <xdr:rowOff>1197881</xdr:rowOff>
    </xdr:from>
    <xdr:to>
      <xdr:col>8</xdr:col>
      <xdr:colOff>595991</xdr:colOff>
      <xdr:row>57</xdr:row>
      <xdr:rowOff>2271032</xdr:rowOff>
    </xdr:to>
    <xdr:pic>
      <xdr:nvPicPr>
        <xdr:cNvPr id="6" name="Imagen 1">
          <a:extLst>
            <a:ext uri="{FF2B5EF4-FFF2-40B4-BE49-F238E27FC236}">
              <a16:creationId xmlns:a16="http://schemas.microsoft.com/office/drawing/2014/main" id="{53222CC9-9C06-41CC-8DD3-860EB9C7F300}"/>
            </a:ext>
          </a:extLst>
        </xdr:cNvPr>
        <xdr:cNvPicPr>
          <a:picLocks noChangeAspect="1"/>
        </xdr:cNvPicPr>
      </xdr:nvPicPr>
      <xdr:blipFill>
        <a:blip xmlns:r="http://schemas.openxmlformats.org/officeDocument/2006/relationships" r:embed="rId1"/>
        <a:stretch>
          <a:fillRect/>
        </a:stretch>
      </xdr:blipFill>
      <xdr:spPr>
        <a:xfrm>
          <a:off x="7485273" y="37469081"/>
          <a:ext cx="7693493" cy="1073151"/>
        </a:xfrm>
        <a:prstGeom prst="rect">
          <a:avLst/>
        </a:prstGeom>
      </xdr:spPr>
    </xdr:pic>
    <xdr:clientData/>
  </xdr:twoCellAnchor>
  <xdr:twoCellAnchor editAs="oneCell">
    <xdr:from>
      <xdr:col>4</xdr:col>
      <xdr:colOff>3320141</xdr:colOff>
      <xdr:row>38</xdr:row>
      <xdr:rowOff>408213</xdr:rowOff>
    </xdr:from>
    <xdr:to>
      <xdr:col>9</xdr:col>
      <xdr:colOff>292281</xdr:colOff>
      <xdr:row>38</xdr:row>
      <xdr:rowOff>2544536</xdr:rowOff>
    </xdr:to>
    <xdr:pic>
      <xdr:nvPicPr>
        <xdr:cNvPr id="3" name="Imagen 2">
          <a:extLst>
            <a:ext uri="{FF2B5EF4-FFF2-40B4-BE49-F238E27FC236}">
              <a16:creationId xmlns:a16="http://schemas.microsoft.com/office/drawing/2014/main" id="{5D5EFFD6-D8CD-4888-9087-85067996C9B1}"/>
            </a:ext>
          </a:extLst>
        </xdr:cNvPr>
        <xdr:cNvPicPr>
          <a:picLocks noChangeAspect="1"/>
        </xdr:cNvPicPr>
      </xdr:nvPicPr>
      <xdr:blipFill rotWithShape="1">
        <a:blip xmlns:r="http://schemas.openxmlformats.org/officeDocument/2006/relationships" r:embed="rId2"/>
        <a:srcRect t="4918" b="9288"/>
        <a:stretch/>
      </xdr:blipFill>
      <xdr:spPr>
        <a:xfrm>
          <a:off x="8294912" y="18897599"/>
          <a:ext cx="7280912" cy="2136323"/>
        </a:xfrm>
        <a:prstGeom prst="rect">
          <a:avLst/>
        </a:prstGeom>
      </xdr:spPr>
    </xdr:pic>
    <xdr:clientData/>
  </xdr:twoCellAnchor>
  <xdr:twoCellAnchor editAs="oneCell">
    <xdr:from>
      <xdr:col>4</xdr:col>
      <xdr:colOff>3456215</xdr:colOff>
      <xdr:row>49</xdr:row>
      <xdr:rowOff>95250</xdr:rowOff>
    </xdr:from>
    <xdr:to>
      <xdr:col>8</xdr:col>
      <xdr:colOff>884466</xdr:colOff>
      <xdr:row>49</xdr:row>
      <xdr:rowOff>2436927</xdr:rowOff>
    </xdr:to>
    <xdr:pic>
      <xdr:nvPicPr>
        <xdr:cNvPr id="4" name="Imagen 3">
          <a:extLst>
            <a:ext uri="{FF2B5EF4-FFF2-40B4-BE49-F238E27FC236}">
              <a16:creationId xmlns:a16="http://schemas.microsoft.com/office/drawing/2014/main" id="{978A5BDF-9FD7-4954-B367-09F55F80922B}"/>
            </a:ext>
          </a:extLst>
        </xdr:cNvPr>
        <xdr:cNvPicPr>
          <a:picLocks noChangeAspect="1"/>
        </xdr:cNvPicPr>
      </xdr:nvPicPr>
      <xdr:blipFill>
        <a:blip xmlns:r="http://schemas.openxmlformats.org/officeDocument/2006/relationships" r:embed="rId3"/>
        <a:stretch>
          <a:fillRect/>
        </a:stretch>
      </xdr:blipFill>
      <xdr:spPr>
        <a:xfrm>
          <a:off x="8430986" y="27451050"/>
          <a:ext cx="6626680" cy="2341677"/>
        </a:xfrm>
        <a:prstGeom prst="rect">
          <a:avLst/>
        </a:prstGeom>
      </xdr:spPr>
    </xdr:pic>
    <xdr:clientData/>
  </xdr:twoCellAnchor>
  <xdr:twoCellAnchor editAs="oneCell">
    <xdr:from>
      <xdr:col>4</xdr:col>
      <xdr:colOff>2861583</xdr:colOff>
      <xdr:row>60</xdr:row>
      <xdr:rowOff>1167492</xdr:rowOff>
    </xdr:from>
    <xdr:to>
      <xdr:col>8</xdr:col>
      <xdr:colOff>702128</xdr:colOff>
      <xdr:row>60</xdr:row>
      <xdr:rowOff>3213336</xdr:rowOff>
    </xdr:to>
    <xdr:pic>
      <xdr:nvPicPr>
        <xdr:cNvPr id="7" name="Imagen 4">
          <a:extLst>
            <a:ext uri="{FF2B5EF4-FFF2-40B4-BE49-F238E27FC236}">
              <a16:creationId xmlns:a16="http://schemas.microsoft.com/office/drawing/2014/main" id="{1F7D1467-29A1-42C9-B5BC-7090389BFD7F}"/>
            </a:ext>
            <a:ext uri="{147F2762-F138-4A5C-976F-8EAC2B608ADB}">
              <a16:predDERef xmlns:a16="http://schemas.microsoft.com/office/drawing/2014/main" pred="{978A5BDF-9FD7-4954-B367-09F55F80922B}"/>
            </a:ext>
          </a:extLst>
        </xdr:cNvPr>
        <xdr:cNvPicPr>
          <a:picLocks noChangeAspect="1"/>
        </xdr:cNvPicPr>
      </xdr:nvPicPr>
      <xdr:blipFill>
        <a:blip xmlns:r="http://schemas.openxmlformats.org/officeDocument/2006/relationships" r:embed="rId4"/>
        <a:stretch>
          <a:fillRect/>
        </a:stretch>
      </xdr:blipFill>
      <xdr:spPr>
        <a:xfrm>
          <a:off x="7538358" y="41439192"/>
          <a:ext cx="7746545" cy="204584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3141873</xdr:colOff>
      <xdr:row>57</xdr:row>
      <xdr:rowOff>940706</xdr:rowOff>
    </xdr:from>
    <xdr:to>
      <xdr:col>9</xdr:col>
      <xdr:colOff>1129391</xdr:colOff>
      <xdr:row>57</xdr:row>
      <xdr:rowOff>2013857</xdr:rowOff>
    </xdr:to>
    <xdr:pic>
      <xdr:nvPicPr>
        <xdr:cNvPr id="2" name="Imagen 1">
          <a:extLst>
            <a:ext uri="{FF2B5EF4-FFF2-40B4-BE49-F238E27FC236}">
              <a16:creationId xmlns:a16="http://schemas.microsoft.com/office/drawing/2014/main" id="{9AE45BB5-B41A-489A-8BAD-5281E2CBA006}"/>
            </a:ext>
          </a:extLst>
        </xdr:cNvPr>
        <xdr:cNvPicPr>
          <a:picLocks noChangeAspect="1"/>
        </xdr:cNvPicPr>
      </xdr:nvPicPr>
      <xdr:blipFill>
        <a:blip xmlns:r="http://schemas.openxmlformats.org/officeDocument/2006/relationships" r:embed="rId1"/>
        <a:stretch>
          <a:fillRect/>
        </a:stretch>
      </xdr:blipFill>
      <xdr:spPr>
        <a:xfrm>
          <a:off x="8116644" y="34256435"/>
          <a:ext cx="8296290" cy="1073151"/>
        </a:xfrm>
        <a:prstGeom prst="rect">
          <a:avLst/>
        </a:prstGeom>
      </xdr:spPr>
    </xdr:pic>
    <xdr:clientData/>
  </xdr:twoCellAnchor>
  <xdr:twoCellAnchor editAs="oneCell">
    <xdr:from>
      <xdr:col>4</xdr:col>
      <xdr:colOff>3320141</xdr:colOff>
      <xdr:row>38</xdr:row>
      <xdr:rowOff>408213</xdr:rowOff>
    </xdr:from>
    <xdr:to>
      <xdr:col>9</xdr:col>
      <xdr:colOff>292281</xdr:colOff>
      <xdr:row>38</xdr:row>
      <xdr:rowOff>2544536</xdr:rowOff>
    </xdr:to>
    <xdr:pic>
      <xdr:nvPicPr>
        <xdr:cNvPr id="3" name="Imagen 2">
          <a:extLst>
            <a:ext uri="{FF2B5EF4-FFF2-40B4-BE49-F238E27FC236}">
              <a16:creationId xmlns:a16="http://schemas.microsoft.com/office/drawing/2014/main" id="{F41ABD9E-7FDC-448B-ADEC-8E4B2B0729AD}"/>
            </a:ext>
          </a:extLst>
        </xdr:cNvPr>
        <xdr:cNvPicPr>
          <a:picLocks noChangeAspect="1"/>
        </xdr:cNvPicPr>
      </xdr:nvPicPr>
      <xdr:blipFill rotWithShape="1">
        <a:blip xmlns:r="http://schemas.openxmlformats.org/officeDocument/2006/relationships" r:embed="rId2"/>
        <a:srcRect t="4918" b="9288"/>
        <a:stretch/>
      </xdr:blipFill>
      <xdr:spPr>
        <a:xfrm>
          <a:off x="8294912" y="18897599"/>
          <a:ext cx="7280912" cy="2136323"/>
        </a:xfrm>
        <a:prstGeom prst="rect">
          <a:avLst/>
        </a:prstGeom>
      </xdr:spPr>
    </xdr:pic>
    <xdr:clientData/>
  </xdr:twoCellAnchor>
  <xdr:twoCellAnchor editAs="oneCell">
    <xdr:from>
      <xdr:col>4</xdr:col>
      <xdr:colOff>3456215</xdr:colOff>
      <xdr:row>49</xdr:row>
      <xdr:rowOff>95250</xdr:rowOff>
    </xdr:from>
    <xdr:to>
      <xdr:col>8</xdr:col>
      <xdr:colOff>884466</xdr:colOff>
      <xdr:row>49</xdr:row>
      <xdr:rowOff>2436927</xdr:rowOff>
    </xdr:to>
    <xdr:pic>
      <xdr:nvPicPr>
        <xdr:cNvPr id="4" name="Imagen 3">
          <a:extLst>
            <a:ext uri="{FF2B5EF4-FFF2-40B4-BE49-F238E27FC236}">
              <a16:creationId xmlns:a16="http://schemas.microsoft.com/office/drawing/2014/main" id="{254E61CA-6881-4C23-84E4-E76CA3A79D7D}"/>
            </a:ext>
          </a:extLst>
        </xdr:cNvPr>
        <xdr:cNvPicPr>
          <a:picLocks noChangeAspect="1"/>
        </xdr:cNvPicPr>
      </xdr:nvPicPr>
      <xdr:blipFill>
        <a:blip xmlns:r="http://schemas.openxmlformats.org/officeDocument/2006/relationships" r:embed="rId3"/>
        <a:stretch>
          <a:fillRect/>
        </a:stretch>
      </xdr:blipFill>
      <xdr:spPr>
        <a:xfrm>
          <a:off x="8430986" y="27451050"/>
          <a:ext cx="6626680" cy="2341677"/>
        </a:xfrm>
        <a:prstGeom prst="rect">
          <a:avLst/>
        </a:prstGeom>
      </xdr:spPr>
    </xdr:pic>
    <xdr:clientData/>
  </xdr:twoCellAnchor>
  <xdr:twoCellAnchor editAs="oneCell">
    <xdr:from>
      <xdr:col>4</xdr:col>
      <xdr:colOff>3252108</xdr:colOff>
      <xdr:row>60</xdr:row>
      <xdr:rowOff>748392</xdr:rowOff>
    </xdr:from>
    <xdr:to>
      <xdr:col>9</xdr:col>
      <xdr:colOff>1292678</xdr:colOff>
      <xdr:row>60</xdr:row>
      <xdr:rowOff>2794236</xdr:rowOff>
    </xdr:to>
    <xdr:pic>
      <xdr:nvPicPr>
        <xdr:cNvPr id="5" name="Imagen 4">
          <a:extLst>
            <a:ext uri="{FF2B5EF4-FFF2-40B4-BE49-F238E27FC236}">
              <a16:creationId xmlns:a16="http://schemas.microsoft.com/office/drawing/2014/main" id="{2790E87A-7288-4174-B5A5-0E6AD96F1D8D}"/>
            </a:ext>
          </a:extLst>
        </xdr:cNvPr>
        <xdr:cNvPicPr>
          <a:picLocks noChangeAspect="1"/>
        </xdr:cNvPicPr>
      </xdr:nvPicPr>
      <xdr:blipFill>
        <a:blip xmlns:r="http://schemas.openxmlformats.org/officeDocument/2006/relationships" r:embed="rId4"/>
        <a:stretch>
          <a:fillRect/>
        </a:stretch>
      </xdr:blipFill>
      <xdr:spPr>
        <a:xfrm>
          <a:off x="8226879" y="38070063"/>
          <a:ext cx="8349342" cy="2045844"/>
        </a:xfrm>
        <a:prstGeom prst="rect">
          <a:avLst/>
        </a:prstGeom>
      </xdr:spPr>
    </xdr:pic>
    <xdr:clientData/>
  </xdr:twoCellAnchor>
  <xdr:twoCellAnchor editAs="oneCell">
    <xdr:from>
      <xdr:col>4</xdr:col>
      <xdr:colOff>3141873</xdr:colOff>
      <xdr:row>57</xdr:row>
      <xdr:rowOff>940706</xdr:rowOff>
    </xdr:from>
    <xdr:to>
      <xdr:col>9</xdr:col>
      <xdr:colOff>1129391</xdr:colOff>
      <xdr:row>57</xdr:row>
      <xdr:rowOff>2013857</xdr:rowOff>
    </xdr:to>
    <xdr:pic>
      <xdr:nvPicPr>
        <xdr:cNvPr id="6" name="Imagen 5">
          <a:extLst>
            <a:ext uri="{FF2B5EF4-FFF2-40B4-BE49-F238E27FC236}">
              <a16:creationId xmlns:a16="http://schemas.microsoft.com/office/drawing/2014/main" id="{ACD105CA-2469-A146-A60C-AE8BF384F4B4}"/>
            </a:ext>
          </a:extLst>
        </xdr:cNvPr>
        <xdr:cNvPicPr>
          <a:picLocks noChangeAspect="1"/>
        </xdr:cNvPicPr>
      </xdr:nvPicPr>
      <xdr:blipFill>
        <a:blip xmlns:r="http://schemas.openxmlformats.org/officeDocument/2006/relationships" r:embed="rId1"/>
        <a:stretch>
          <a:fillRect/>
        </a:stretch>
      </xdr:blipFill>
      <xdr:spPr>
        <a:xfrm>
          <a:off x="8488573" y="33935306"/>
          <a:ext cx="9087318" cy="1073151"/>
        </a:xfrm>
        <a:prstGeom prst="rect">
          <a:avLst/>
        </a:prstGeom>
      </xdr:spPr>
    </xdr:pic>
    <xdr:clientData/>
  </xdr:twoCellAnchor>
  <xdr:twoCellAnchor editAs="oneCell">
    <xdr:from>
      <xdr:col>4</xdr:col>
      <xdr:colOff>3320141</xdr:colOff>
      <xdr:row>38</xdr:row>
      <xdr:rowOff>408213</xdr:rowOff>
    </xdr:from>
    <xdr:to>
      <xdr:col>9</xdr:col>
      <xdr:colOff>292281</xdr:colOff>
      <xdr:row>38</xdr:row>
      <xdr:rowOff>2544536</xdr:rowOff>
    </xdr:to>
    <xdr:pic>
      <xdr:nvPicPr>
        <xdr:cNvPr id="7" name="Imagen 6">
          <a:extLst>
            <a:ext uri="{FF2B5EF4-FFF2-40B4-BE49-F238E27FC236}">
              <a16:creationId xmlns:a16="http://schemas.microsoft.com/office/drawing/2014/main" id="{D700296A-F93E-BC40-9CEE-CC8F26FD94C6}"/>
            </a:ext>
          </a:extLst>
        </xdr:cNvPr>
        <xdr:cNvPicPr>
          <a:picLocks noChangeAspect="1"/>
        </xdr:cNvPicPr>
      </xdr:nvPicPr>
      <xdr:blipFill rotWithShape="1">
        <a:blip xmlns:r="http://schemas.openxmlformats.org/officeDocument/2006/relationships" r:embed="rId2"/>
        <a:srcRect t="4918" b="9288"/>
        <a:stretch/>
      </xdr:blipFill>
      <xdr:spPr>
        <a:xfrm>
          <a:off x="8666841" y="19051813"/>
          <a:ext cx="8071940" cy="2136323"/>
        </a:xfrm>
        <a:prstGeom prst="rect">
          <a:avLst/>
        </a:prstGeom>
      </xdr:spPr>
    </xdr:pic>
    <xdr:clientData/>
  </xdr:twoCellAnchor>
  <xdr:twoCellAnchor editAs="oneCell">
    <xdr:from>
      <xdr:col>4</xdr:col>
      <xdr:colOff>3456215</xdr:colOff>
      <xdr:row>49</xdr:row>
      <xdr:rowOff>95250</xdr:rowOff>
    </xdr:from>
    <xdr:to>
      <xdr:col>8</xdr:col>
      <xdr:colOff>884466</xdr:colOff>
      <xdr:row>49</xdr:row>
      <xdr:rowOff>2436927</xdr:rowOff>
    </xdr:to>
    <xdr:pic>
      <xdr:nvPicPr>
        <xdr:cNvPr id="8" name="Imagen 7">
          <a:extLst>
            <a:ext uri="{FF2B5EF4-FFF2-40B4-BE49-F238E27FC236}">
              <a16:creationId xmlns:a16="http://schemas.microsoft.com/office/drawing/2014/main" id="{ED62E98B-291C-8946-B806-3EB0C61E1F19}"/>
            </a:ext>
          </a:extLst>
        </xdr:cNvPr>
        <xdr:cNvPicPr>
          <a:picLocks noChangeAspect="1"/>
        </xdr:cNvPicPr>
      </xdr:nvPicPr>
      <xdr:blipFill>
        <a:blip xmlns:r="http://schemas.openxmlformats.org/officeDocument/2006/relationships" r:embed="rId3"/>
        <a:stretch>
          <a:fillRect/>
        </a:stretch>
      </xdr:blipFill>
      <xdr:spPr>
        <a:xfrm>
          <a:off x="8802915" y="27628850"/>
          <a:ext cx="7334251" cy="2341677"/>
        </a:xfrm>
        <a:prstGeom prst="rect">
          <a:avLst/>
        </a:prstGeom>
      </xdr:spPr>
    </xdr:pic>
    <xdr:clientData/>
  </xdr:twoCellAnchor>
  <xdr:twoCellAnchor editAs="oneCell">
    <xdr:from>
      <xdr:col>4</xdr:col>
      <xdr:colOff>3252108</xdr:colOff>
      <xdr:row>60</xdr:row>
      <xdr:rowOff>748392</xdr:rowOff>
    </xdr:from>
    <xdr:to>
      <xdr:col>9</xdr:col>
      <xdr:colOff>1292678</xdr:colOff>
      <xdr:row>60</xdr:row>
      <xdr:rowOff>2794236</xdr:rowOff>
    </xdr:to>
    <xdr:pic>
      <xdr:nvPicPr>
        <xdr:cNvPr id="9" name="Imagen 8">
          <a:extLst>
            <a:ext uri="{FF2B5EF4-FFF2-40B4-BE49-F238E27FC236}">
              <a16:creationId xmlns:a16="http://schemas.microsoft.com/office/drawing/2014/main" id="{C1BB6DF5-785B-CB4C-87F3-CAB86E908BA5}"/>
            </a:ext>
          </a:extLst>
        </xdr:cNvPr>
        <xdr:cNvPicPr>
          <a:picLocks noChangeAspect="1"/>
        </xdr:cNvPicPr>
      </xdr:nvPicPr>
      <xdr:blipFill>
        <a:blip xmlns:r="http://schemas.openxmlformats.org/officeDocument/2006/relationships" r:embed="rId4"/>
        <a:stretch>
          <a:fillRect/>
        </a:stretch>
      </xdr:blipFill>
      <xdr:spPr>
        <a:xfrm>
          <a:off x="8598808" y="37743492"/>
          <a:ext cx="9140370" cy="204584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3141873</xdr:colOff>
      <xdr:row>57</xdr:row>
      <xdr:rowOff>940706</xdr:rowOff>
    </xdr:from>
    <xdr:to>
      <xdr:col>9</xdr:col>
      <xdr:colOff>1129391</xdr:colOff>
      <xdr:row>57</xdr:row>
      <xdr:rowOff>2013857</xdr:rowOff>
    </xdr:to>
    <xdr:pic>
      <xdr:nvPicPr>
        <xdr:cNvPr id="2" name="Imagen 1">
          <a:extLst>
            <a:ext uri="{FF2B5EF4-FFF2-40B4-BE49-F238E27FC236}">
              <a16:creationId xmlns:a16="http://schemas.microsoft.com/office/drawing/2014/main" id="{5456B7FE-347E-4826-B46B-78C381E432E6}"/>
            </a:ext>
          </a:extLst>
        </xdr:cNvPr>
        <xdr:cNvPicPr>
          <a:picLocks noChangeAspect="1"/>
        </xdr:cNvPicPr>
      </xdr:nvPicPr>
      <xdr:blipFill>
        <a:blip xmlns:r="http://schemas.openxmlformats.org/officeDocument/2006/relationships" r:embed="rId1"/>
        <a:stretch>
          <a:fillRect/>
        </a:stretch>
      </xdr:blipFill>
      <xdr:spPr>
        <a:xfrm>
          <a:off x="8116644" y="34256435"/>
          <a:ext cx="8296290" cy="1073151"/>
        </a:xfrm>
        <a:prstGeom prst="rect">
          <a:avLst/>
        </a:prstGeom>
      </xdr:spPr>
    </xdr:pic>
    <xdr:clientData/>
  </xdr:twoCellAnchor>
  <xdr:twoCellAnchor editAs="oneCell">
    <xdr:from>
      <xdr:col>4</xdr:col>
      <xdr:colOff>3320141</xdr:colOff>
      <xdr:row>38</xdr:row>
      <xdr:rowOff>408213</xdr:rowOff>
    </xdr:from>
    <xdr:to>
      <xdr:col>9</xdr:col>
      <xdr:colOff>292281</xdr:colOff>
      <xdr:row>38</xdr:row>
      <xdr:rowOff>2544536</xdr:rowOff>
    </xdr:to>
    <xdr:pic>
      <xdr:nvPicPr>
        <xdr:cNvPr id="3" name="Imagen 2">
          <a:extLst>
            <a:ext uri="{FF2B5EF4-FFF2-40B4-BE49-F238E27FC236}">
              <a16:creationId xmlns:a16="http://schemas.microsoft.com/office/drawing/2014/main" id="{EE1AE3BD-D331-43E0-8BB0-69FF043179A0}"/>
            </a:ext>
          </a:extLst>
        </xdr:cNvPr>
        <xdr:cNvPicPr>
          <a:picLocks noChangeAspect="1"/>
        </xdr:cNvPicPr>
      </xdr:nvPicPr>
      <xdr:blipFill rotWithShape="1">
        <a:blip xmlns:r="http://schemas.openxmlformats.org/officeDocument/2006/relationships" r:embed="rId2"/>
        <a:srcRect t="4918" b="9288"/>
        <a:stretch/>
      </xdr:blipFill>
      <xdr:spPr>
        <a:xfrm>
          <a:off x="8294912" y="18897599"/>
          <a:ext cx="7280912" cy="2136323"/>
        </a:xfrm>
        <a:prstGeom prst="rect">
          <a:avLst/>
        </a:prstGeom>
      </xdr:spPr>
    </xdr:pic>
    <xdr:clientData/>
  </xdr:twoCellAnchor>
  <xdr:twoCellAnchor editAs="oneCell">
    <xdr:from>
      <xdr:col>4</xdr:col>
      <xdr:colOff>3456215</xdr:colOff>
      <xdr:row>49</xdr:row>
      <xdr:rowOff>95250</xdr:rowOff>
    </xdr:from>
    <xdr:to>
      <xdr:col>8</xdr:col>
      <xdr:colOff>884466</xdr:colOff>
      <xdr:row>49</xdr:row>
      <xdr:rowOff>2436927</xdr:rowOff>
    </xdr:to>
    <xdr:pic>
      <xdr:nvPicPr>
        <xdr:cNvPr id="4" name="Imagen 3">
          <a:extLst>
            <a:ext uri="{FF2B5EF4-FFF2-40B4-BE49-F238E27FC236}">
              <a16:creationId xmlns:a16="http://schemas.microsoft.com/office/drawing/2014/main" id="{D1E17DD6-B39C-4240-9DAB-F0569D5DB33A}"/>
            </a:ext>
          </a:extLst>
        </xdr:cNvPr>
        <xdr:cNvPicPr>
          <a:picLocks noChangeAspect="1"/>
        </xdr:cNvPicPr>
      </xdr:nvPicPr>
      <xdr:blipFill>
        <a:blip xmlns:r="http://schemas.openxmlformats.org/officeDocument/2006/relationships" r:embed="rId3"/>
        <a:stretch>
          <a:fillRect/>
        </a:stretch>
      </xdr:blipFill>
      <xdr:spPr>
        <a:xfrm>
          <a:off x="8430986" y="27451050"/>
          <a:ext cx="6626680" cy="2341677"/>
        </a:xfrm>
        <a:prstGeom prst="rect">
          <a:avLst/>
        </a:prstGeom>
      </xdr:spPr>
    </xdr:pic>
    <xdr:clientData/>
  </xdr:twoCellAnchor>
  <xdr:twoCellAnchor editAs="oneCell">
    <xdr:from>
      <xdr:col>4</xdr:col>
      <xdr:colOff>3252108</xdr:colOff>
      <xdr:row>60</xdr:row>
      <xdr:rowOff>748392</xdr:rowOff>
    </xdr:from>
    <xdr:to>
      <xdr:col>9</xdr:col>
      <xdr:colOff>1292678</xdr:colOff>
      <xdr:row>60</xdr:row>
      <xdr:rowOff>2794236</xdr:rowOff>
    </xdr:to>
    <xdr:pic>
      <xdr:nvPicPr>
        <xdr:cNvPr id="5" name="Imagen 4">
          <a:extLst>
            <a:ext uri="{FF2B5EF4-FFF2-40B4-BE49-F238E27FC236}">
              <a16:creationId xmlns:a16="http://schemas.microsoft.com/office/drawing/2014/main" id="{A28C2CDC-2DA0-40C5-834A-684B52964DD6}"/>
            </a:ext>
          </a:extLst>
        </xdr:cNvPr>
        <xdr:cNvPicPr>
          <a:picLocks noChangeAspect="1"/>
        </xdr:cNvPicPr>
      </xdr:nvPicPr>
      <xdr:blipFill>
        <a:blip xmlns:r="http://schemas.openxmlformats.org/officeDocument/2006/relationships" r:embed="rId4"/>
        <a:stretch>
          <a:fillRect/>
        </a:stretch>
      </xdr:blipFill>
      <xdr:spPr>
        <a:xfrm>
          <a:off x="8226879" y="38070063"/>
          <a:ext cx="8349342" cy="204584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3141873</xdr:colOff>
      <xdr:row>57</xdr:row>
      <xdr:rowOff>940706</xdr:rowOff>
    </xdr:from>
    <xdr:to>
      <xdr:col>9</xdr:col>
      <xdr:colOff>1129391</xdr:colOff>
      <xdr:row>57</xdr:row>
      <xdr:rowOff>2013857</xdr:rowOff>
    </xdr:to>
    <xdr:pic>
      <xdr:nvPicPr>
        <xdr:cNvPr id="2" name="Imagen 1">
          <a:extLst>
            <a:ext uri="{FF2B5EF4-FFF2-40B4-BE49-F238E27FC236}">
              <a16:creationId xmlns:a16="http://schemas.microsoft.com/office/drawing/2014/main" id="{9EAA844D-7737-429B-ADEE-D6938863A5C4}"/>
            </a:ext>
          </a:extLst>
        </xdr:cNvPr>
        <xdr:cNvPicPr>
          <a:picLocks noChangeAspect="1"/>
        </xdr:cNvPicPr>
      </xdr:nvPicPr>
      <xdr:blipFill>
        <a:blip xmlns:r="http://schemas.openxmlformats.org/officeDocument/2006/relationships" r:embed="rId1"/>
        <a:stretch>
          <a:fillRect/>
        </a:stretch>
      </xdr:blipFill>
      <xdr:spPr>
        <a:xfrm>
          <a:off x="8116644" y="34256435"/>
          <a:ext cx="8296290" cy="1073151"/>
        </a:xfrm>
        <a:prstGeom prst="rect">
          <a:avLst/>
        </a:prstGeom>
      </xdr:spPr>
    </xdr:pic>
    <xdr:clientData/>
  </xdr:twoCellAnchor>
  <xdr:twoCellAnchor editAs="oneCell">
    <xdr:from>
      <xdr:col>4</xdr:col>
      <xdr:colOff>3320141</xdr:colOff>
      <xdr:row>38</xdr:row>
      <xdr:rowOff>408213</xdr:rowOff>
    </xdr:from>
    <xdr:to>
      <xdr:col>9</xdr:col>
      <xdr:colOff>292281</xdr:colOff>
      <xdr:row>38</xdr:row>
      <xdr:rowOff>2544536</xdr:rowOff>
    </xdr:to>
    <xdr:pic>
      <xdr:nvPicPr>
        <xdr:cNvPr id="3" name="Imagen 2">
          <a:extLst>
            <a:ext uri="{FF2B5EF4-FFF2-40B4-BE49-F238E27FC236}">
              <a16:creationId xmlns:a16="http://schemas.microsoft.com/office/drawing/2014/main" id="{63A06A13-4DF9-4575-B599-B76F56160D5E}"/>
            </a:ext>
          </a:extLst>
        </xdr:cNvPr>
        <xdr:cNvPicPr>
          <a:picLocks noChangeAspect="1"/>
        </xdr:cNvPicPr>
      </xdr:nvPicPr>
      <xdr:blipFill rotWithShape="1">
        <a:blip xmlns:r="http://schemas.openxmlformats.org/officeDocument/2006/relationships" r:embed="rId2"/>
        <a:srcRect t="4918" b="9288"/>
        <a:stretch/>
      </xdr:blipFill>
      <xdr:spPr>
        <a:xfrm>
          <a:off x="8294912" y="18897599"/>
          <a:ext cx="7280912" cy="2136323"/>
        </a:xfrm>
        <a:prstGeom prst="rect">
          <a:avLst/>
        </a:prstGeom>
      </xdr:spPr>
    </xdr:pic>
    <xdr:clientData/>
  </xdr:twoCellAnchor>
  <xdr:twoCellAnchor editAs="oneCell">
    <xdr:from>
      <xdr:col>4</xdr:col>
      <xdr:colOff>3456215</xdr:colOff>
      <xdr:row>49</xdr:row>
      <xdr:rowOff>95250</xdr:rowOff>
    </xdr:from>
    <xdr:to>
      <xdr:col>8</xdr:col>
      <xdr:colOff>884466</xdr:colOff>
      <xdr:row>49</xdr:row>
      <xdr:rowOff>2436927</xdr:rowOff>
    </xdr:to>
    <xdr:pic>
      <xdr:nvPicPr>
        <xdr:cNvPr id="4" name="Imagen 3">
          <a:extLst>
            <a:ext uri="{FF2B5EF4-FFF2-40B4-BE49-F238E27FC236}">
              <a16:creationId xmlns:a16="http://schemas.microsoft.com/office/drawing/2014/main" id="{74EE5BF9-3FA8-44A6-A228-BFDF75730AF2}"/>
            </a:ext>
          </a:extLst>
        </xdr:cNvPr>
        <xdr:cNvPicPr>
          <a:picLocks noChangeAspect="1"/>
        </xdr:cNvPicPr>
      </xdr:nvPicPr>
      <xdr:blipFill>
        <a:blip xmlns:r="http://schemas.openxmlformats.org/officeDocument/2006/relationships" r:embed="rId3"/>
        <a:stretch>
          <a:fillRect/>
        </a:stretch>
      </xdr:blipFill>
      <xdr:spPr>
        <a:xfrm>
          <a:off x="8430986" y="27451050"/>
          <a:ext cx="6626680" cy="2341677"/>
        </a:xfrm>
        <a:prstGeom prst="rect">
          <a:avLst/>
        </a:prstGeom>
      </xdr:spPr>
    </xdr:pic>
    <xdr:clientData/>
  </xdr:twoCellAnchor>
  <xdr:twoCellAnchor editAs="oneCell">
    <xdr:from>
      <xdr:col>4</xdr:col>
      <xdr:colOff>3252108</xdr:colOff>
      <xdr:row>60</xdr:row>
      <xdr:rowOff>748392</xdr:rowOff>
    </xdr:from>
    <xdr:to>
      <xdr:col>9</xdr:col>
      <xdr:colOff>1292678</xdr:colOff>
      <xdr:row>60</xdr:row>
      <xdr:rowOff>2794236</xdr:rowOff>
    </xdr:to>
    <xdr:pic>
      <xdr:nvPicPr>
        <xdr:cNvPr id="5" name="Imagen 4">
          <a:extLst>
            <a:ext uri="{FF2B5EF4-FFF2-40B4-BE49-F238E27FC236}">
              <a16:creationId xmlns:a16="http://schemas.microsoft.com/office/drawing/2014/main" id="{0B868E27-BEAE-4D1B-A28F-0469BA7ED89A}"/>
            </a:ext>
          </a:extLst>
        </xdr:cNvPr>
        <xdr:cNvPicPr>
          <a:picLocks noChangeAspect="1"/>
        </xdr:cNvPicPr>
      </xdr:nvPicPr>
      <xdr:blipFill>
        <a:blip xmlns:r="http://schemas.openxmlformats.org/officeDocument/2006/relationships" r:embed="rId4"/>
        <a:stretch>
          <a:fillRect/>
        </a:stretch>
      </xdr:blipFill>
      <xdr:spPr>
        <a:xfrm>
          <a:off x="8226879" y="38070063"/>
          <a:ext cx="8349342" cy="204584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3141873</xdr:colOff>
      <xdr:row>57</xdr:row>
      <xdr:rowOff>940706</xdr:rowOff>
    </xdr:from>
    <xdr:to>
      <xdr:col>9</xdr:col>
      <xdr:colOff>1129391</xdr:colOff>
      <xdr:row>57</xdr:row>
      <xdr:rowOff>2013857</xdr:rowOff>
    </xdr:to>
    <xdr:pic>
      <xdr:nvPicPr>
        <xdr:cNvPr id="2" name="Imagen 1">
          <a:extLst>
            <a:ext uri="{FF2B5EF4-FFF2-40B4-BE49-F238E27FC236}">
              <a16:creationId xmlns:a16="http://schemas.microsoft.com/office/drawing/2014/main" id="{18238767-6529-4E51-94D5-33F943C0D36B}"/>
            </a:ext>
          </a:extLst>
        </xdr:cNvPr>
        <xdr:cNvPicPr>
          <a:picLocks noChangeAspect="1"/>
        </xdr:cNvPicPr>
      </xdr:nvPicPr>
      <xdr:blipFill>
        <a:blip xmlns:r="http://schemas.openxmlformats.org/officeDocument/2006/relationships" r:embed="rId1"/>
        <a:stretch>
          <a:fillRect/>
        </a:stretch>
      </xdr:blipFill>
      <xdr:spPr>
        <a:xfrm>
          <a:off x="8116644" y="34256435"/>
          <a:ext cx="8296290" cy="1073151"/>
        </a:xfrm>
        <a:prstGeom prst="rect">
          <a:avLst/>
        </a:prstGeom>
      </xdr:spPr>
    </xdr:pic>
    <xdr:clientData/>
  </xdr:twoCellAnchor>
  <xdr:twoCellAnchor editAs="oneCell">
    <xdr:from>
      <xdr:col>4</xdr:col>
      <xdr:colOff>3320141</xdr:colOff>
      <xdr:row>38</xdr:row>
      <xdr:rowOff>408213</xdr:rowOff>
    </xdr:from>
    <xdr:to>
      <xdr:col>9</xdr:col>
      <xdr:colOff>292281</xdr:colOff>
      <xdr:row>38</xdr:row>
      <xdr:rowOff>2544536</xdr:rowOff>
    </xdr:to>
    <xdr:pic>
      <xdr:nvPicPr>
        <xdr:cNvPr id="3" name="Imagen 2">
          <a:extLst>
            <a:ext uri="{FF2B5EF4-FFF2-40B4-BE49-F238E27FC236}">
              <a16:creationId xmlns:a16="http://schemas.microsoft.com/office/drawing/2014/main" id="{B9D1A14C-0A86-4B5F-87D1-74A186CE6EBE}"/>
            </a:ext>
          </a:extLst>
        </xdr:cNvPr>
        <xdr:cNvPicPr>
          <a:picLocks noChangeAspect="1"/>
        </xdr:cNvPicPr>
      </xdr:nvPicPr>
      <xdr:blipFill rotWithShape="1">
        <a:blip xmlns:r="http://schemas.openxmlformats.org/officeDocument/2006/relationships" r:embed="rId2"/>
        <a:srcRect t="4918" b="9288"/>
        <a:stretch/>
      </xdr:blipFill>
      <xdr:spPr>
        <a:xfrm>
          <a:off x="8294912" y="18897599"/>
          <a:ext cx="7280912" cy="2136323"/>
        </a:xfrm>
        <a:prstGeom prst="rect">
          <a:avLst/>
        </a:prstGeom>
      </xdr:spPr>
    </xdr:pic>
    <xdr:clientData/>
  </xdr:twoCellAnchor>
  <xdr:twoCellAnchor editAs="oneCell">
    <xdr:from>
      <xdr:col>4</xdr:col>
      <xdr:colOff>3456215</xdr:colOff>
      <xdr:row>49</xdr:row>
      <xdr:rowOff>95250</xdr:rowOff>
    </xdr:from>
    <xdr:to>
      <xdr:col>8</xdr:col>
      <xdr:colOff>884466</xdr:colOff>
      <xdr:row>49</xdr:row>
      <xdr:rowOff>2436927</xdr:rowOff>
    </xdr:to>
    <xdr:pic>
      <xdr:nvPicPr>
        <xdr:cNvPr id="4" name="Imagen 3">
          <a:extLst>
            <a:ext uri="{FF2B5EF4-FFF2-40B4-BE49-F238E27FC236}">
              <a16:creationId xmlns:a16="http://schemas.microsoft.com/office/drawing/2014/main" id="{8903C760-7F90-4227-9F63-3B24AE992BA3}"/>
            </a:ext>
          </a:extLst>
        </xdr:cNvPr>
        <xdr:cNvPicPr>
          <a:picLocks noChangeAspect="1"/>
        </xdr:cNvPicPr>
      </xdr:nvPicPr>
      <xdr:blipFill>
        <a:blip xmlns:r="http://schemas.openxmlformats.org/officeDocument/2006/relationships" r:embed="rId3"/>
        <a:stretch>
          <a:fillRect/>
        </a:stretch>
      </xdr:blipFill>
      <xdr:spPr>
        <a:xfrm>
          <a:off x="8430986" y="27451050"/>
          <a:ext cx="6626680" cy="2341677"/>
        </a:xfrm>
        <a:prstGeom prst="rect">
          <a:avLst/>
        </a:prstGeom>
      </xdr:spPr>
    </xdr:pic>
    <xdr:clientData/>
  </xdr:twoCellAnchor>
  <xdr:twoCellAnchor editAs="oneCell">
    <xdr:from>
      <xdr:col>4</xdr:col>
      <xdr:colOff>3080658</xdr:colOff>
      <xdr:row>60</xdr:row>
      <xdr:rowOff>846817</xdr:rowOff>
    </xdr:from>
    <xdr:to>
      <xdr:col>8</xdr:col>
      <xdr:colOff>921203</xdr:colOff>
      <xdr:row>60</xdr:row>
      <xdr:rowOff>2892661</xdr:rowOff>
    </xdr:to>
    <xdr:pic>
      <xdr:nvPicPr>
        <xdr:cNvPr id="8" name="Imagen 4">
          <a:extLst>
            <a:ext uri="{FF2B5EF4-FFF2-40B4-BE49-F238E27FC236}">
              <a16:creationId xmlns:a16="http://schemas.microsoft.com/office/drawing/2014/main" id="{75AC387E-610A-45DE-927E-7EA0B6BB9942}"/>
            </a:ext>
            <a:ext uri="{147F2762-F138-4A5C-976F-8EAC2B608ADB}">
              <a16:predDERef xmlns:a16="http://schemas.microsoft.com/office/drawing/2014/main" pred="{8903C760-7F90-4227-9F63-3B24AE992BA3}"/>
            </a:ext>
          </a:extLst>
        </xdr:cNvPr>
        <xdr:cNvPicPr>
          <a:picLocks noChangeAspect="1"/>
        </xdr:cNvPicPr>
      </xdr:nvPicPr>
      <xdr:blipFill>
        <a:blip xmlns:r="http://schemas.openxmlformats.org/officeDocument/2006/relationships" r:embed="rId4"/>
        <a:stretch>
          <a:fillRect/>
        </a:stretch>
      </xdr:blipFill>
      <xdr:spPr>
        <a:xfrm>
          <a:off x="8431591" y="42875350"/>
          <a:ext cx="7746545" cy="2045844"/>
        </a:xfrm>
        <a:prstGeom prst="rect">
          <a:avLst/>
        </a:prstGeom>
      </xdr:spPr>
    </xdr:pic>
    <xdr:clientData/>
  </xdr:twoCellAnchor>
  <xdr:twoCellAnchor editAs="oneCell">
    <xdr:from>
      <xdr:col>4</xdr:col>
      <xdr:colOff>3254828</xdr:colOff>
      <xdr:row>32</xdr:row>
      <xdr:rowOff>1023258</xdr:rowOff>
    </xdr:from>
    <xdr:to>
      <xdr:col>10</xdr:col>
      <xdr:colOff>3677</xdr:colOff>
      <xdr:row>32</xdr:row>
      <xdr:rowOff>2258786</xdr:rowOff>
    </xdr:to>
    <xdr:pic>
      <xdr:nvPicPr>
        <xdr:cNvPr id="16" name="Picture 5">
          <a:extLst>
            <a:ext uri="{FF2B5EF4-FFF2-40B4-BE49-F238E27FC236}">
              <a16:creationId xmlns:a16="http://schemas.microsoft.com/office/drawing/2014/main" id="{60A3E6DC-F233-5EDB-72F0-19648F73B6E3}"/>
            </a:ext>
            <a:ext uri="{147F2762-F138-4A5C-976F-8EAC2B608ADB}">
              <a16:predDERef xmlns:a16="http://schemas.microsoft.com/office/drawing/2014/main" pred="{75AC387E-610A-45DE-927E-7EA0B6BB9942}"/>
            </a:ext>
          </a:extLst>
        </xdr:cNvPr>
        <xdr:cNvPicPr>
          <a:picLocks noChangeAspect="1"/>
        </xdr:cNvPicPr>
      </xdr:nvPicPr>
      <xdr:blipFill>
        <a:blip xmlns:r="http://schemas.openxmlformats.org/officeDocument/2006/relationships" r:embed="rId5"/>
        <a:stretch>
          <a:fillRect/>
        </a:stretch>
      </xdr:blipFill>
      <xdr:spPr>
        <a:xfrm>
          <a:off x="7922078" y="17664794"/>
          <a:ext cx="9719631" cy="123552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3141873</xdr:colOff>
      <xdr:row>57</xdr:row>
      <xdr:rowOff>940706</xdr:rowOff>
    </xdr:from>
    <xdr:to>
      <xdr:col>9</xdr:col>
      <xdr:colOff>1129391</xdr:colOff>
      <xdr:row>57</xdr:row>
      <xdr:rowOff>2013857</xdr:rowOff>
    </xdr:to>
    <xdr:pic>
      <xdr:nvPicPr>
        <xdr:cNvPr id="2" name="Imagen 1">
          <a:extLst>
            <a:ext uri="{FF2B5EF4-FFF2-40B4-BE49-F238E27FC236}">
              <a16:creationId xmlns:a16="http://schemas.microsoft.com/office/drawing/2014/main" id="{A08FFC10-41EA-4218-AF38-87E4BFFBB425}"/>
            </a:ext>
          </a:extLst>
        </xdr:cNvPr>
        <xdr:cNvPicPr>
          <a:picLocks noChangeAspect="1"/>
        </xdr:cNvPicPr>
      </xdr:nvPicPr>
      <xdr:blipFill>
        <a:blip xmlns:r="http://schemas.openxmlformats.org/officeDocument/2006/relationships" r:embed="rId1"/>
        <a:stretch>
          <a:fillRect/>
        </a:stretch>
      </xdr:blipFill>
      <xdr:spPr>
        <a:xfrm>
          <a:off x="8116644" y="34256435"/>
          <a:ext cx="8296290" cy="1073151"/>
        </a:xfrm>
        <a:prstGeom prst="rect">
          <a:avLst/>
        </a:prstGeom>
      </xdr:spPr>
    </xdr:pic>
    <xdr:clientData/>
  </xdr:twoCellAnchor>
  <xdr:twoCellAnchor editAs="oneCell">
    <xdr:from>
      <xdr:col>4</xdr:col>
      <xdr:colOff>3320141</xdr:colOff>
      <xdr:row>38</xdr:row>
      <xdr:rowOff>408213</xdr:rowOff>
    </xdr:from>
    <xdr:to>
      <xdr:col>9</xdr:col>
      <xdr:colOff>292281</xdr:colOff>
      <xdr:row>38</xdr:row>
      <xdr:rowOff>2544536</xdr:rowOff>
    </xdr:to>
    <xdr:pic>
      <xdr:nvPicPr>
        <xdr:cNvPr id="3" name="Imagen 2">
          <a:extLst>
            <a:ext uri="{FF2B5EF4-FFF2-40B4-BE49-F238E27FC236}">
              <a16:creationId xmlns:a16="http://schemas.microsoft.com/office/drawing/2014/main" id="{F2D64508-8A0C-4FFA-932C-014B2C00CE3E}"/>
            </a:ext>
          </a:extLst>
        </xdr:cNvPr>
        <xdr:cNvPicPr>
          <a:picLocks noChangeAspect="1"/>
        </xdr:cNvPicPr>
      </xdr:nvPicPr>
      <xdr:blipFill rotWithShape="1">
        <a:blip xmlns:r="http://schemas.openxmlformats.org/officeDocument/2006/relationships" r:embed="rId2"/>
        <a:srcRect t="4918" b="9288"/>
        <a:stretch/>
      </xdr:blipFill>
      <xdr:spPr>
        <a:xfrm>
          <a:off x="8294912" y="18897599"/>
          <a:ext cx="7280912" cy="2136323"/>
        </a:xfrm>
        <a:prstGeom prst="rect">
          <a:avLst/>
        </a:prstGeom>
      </xdr:spPr>
    </xdr:pic>
    <xdr:clientData/>
  </xdr:twoCellAnchor>
  <xdr:twoCellAnchor editAs="oneCell">
    <xdr:from>
      <xdr:col>4</xdr:col>
      <xdr:colOff>3456215</xdr:colOff>
      <xdr:row>49</xdr:row>
      <xdr:rowOff>95250</xdr:rowOff>
    </xdr:from>
    <xdr:to>
      <xdr:col>8</xdr:col>
      <xdr:colOff>58966</xdr:colOff>
      <xdr:row>49</xdr:row>
      <xdr:rowOff>2436927</xdr:rowOff>
    </xdr:to>
    <xdr:pic>
      <xdr:nvPicPr>
        <xdr:cNvPr id="4" name="Imagen 3">
          <a:extLst>
            <a:ext uri="{FF2B5EF4-FFF2-40B4-BE49-F238E27FC236}">
              <a16:creationId xmlns:a16="http://schemas.microsoft.com/office/drawing/2014/main" id="{20866DBB-19C5-41D0-9CAE-29A881DFBD46}"/>
            </a:ext>
          </a:extLst>
        </xdr:cNvPr>
        <xdr:cNvPicPr>
          <a:picLocks noChangeAspect="1"/>
        </xdr:cNvPicPr>
      </xdr:nvPicPr>
      <xdr:blipFill>
        <a:blip xmlns:r="http://schemas.openxmlformats.org/officeDocument/2006/relationships" r:embed="rId3"/>
        <a:stretch>
          <a:fillRect/>
        </a:stretch>
      </xdr:blipFill>
      <xdr:spPr>
        <a:xfrm>
          <a:off x="8430986" y="27451050"/>
          <a:ext cx="6626680" cy="2341677"/>
        </a:xfrm>
        <a:prstGeom prst="rect">
          <a:avLst/>
        </a:prstGeom>
      </xdr:spPr>
    </xdr:pic>
    <xdr:clientData/>
  </xdr:twoCellAnchor>
  <xdr:twoCellAnchor editAs="oneCell">
    <xdr:from>
      <xdr:col>4</xdr:col>
      <xdr:colOff>3252108</xdr:colOff>
      <xdr:row>60</xdr:row>
      <xdr:rowOff>748392</xdr:rowOff>
    </xdr:from>
    <xdr:to>
      <xdr:col>9</xdr:col>
      <xdr:colOff>1292678</xdr:colOff>
      <xdr:row>60</xdr:row>
      <xdr:rowOff>2794236</xdr:rowOff>
    </xdr:to>
    <xdr:pic>
      <xdr:nvPicPr>
        <xdr:cNvPr id="5" name="Imagen 4">
          <a:extLst>
            <a:ext uri="{FF2B5EF4-FFF2-40B4-BE49-F238E27FC236}">
              <a16:creationId xmlns:a16="http://schemas.microsoft.com/office/drawing/2014/main" id="{BD32C328-F3DD-4460-888F-537E19356DFE}"/>
            </a:ext>
          </a:extLst>
        </xdr:cNvPr>
        <xdr:cNvPicPr>
          <a:picLocks noChangeAspect="1"/>
        </xdr:cNvPicPr>
      </xdr:nvPicPr>
      <xdr:blipFill>
        <a:blip xmlns:r="http://schemas.openxmlformats.org/officeDocument/2006/relationships" r:embed="rId4"/>
        <a:stretch>
          <a:fillRect/>
        </a:stretch>
      </xdr:blipFill>
      <xdr:spPr>
        <a:xfrm>
          <a:off x="8226879" y="38070063"/>
          <a:ext cx="8349342" cy="204584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3141873</xdr:colOff>
      <xdr:row>57</xdr:row>
      <xdr:rowOff>940706</xdr:rowOff>
    </xdr:from>
    <xdr:to>
      <xdr:col>9</xdr:col>
      <xdr:colOff>1129391</xdr:colOff>
      <xdr:row>57</xdr:row>
      <xdr:rowOff>2013857</xdr:rowOff>
    </xdr:to>
    <xdr:pic>
      <xdr:nvPicPr>
        <xdr:cNvPr id="2" name="Imagen 1">
          <a:extLst>
            <a:ext uri="{FF2B5EF4-FFF2-40B4-BE49-F238E27FC236}">
              <a16:creationId xmlns:a16="http://schemas.microsoft.com/office/drawing/2014/main" id="{8D3884F2-930A-43F4-BDB3-B330F332ED15}"/>
            </a:ext>
          </a:extLst>
        </xdr:cNvPr>
        <xdr:cNvPicPr>
          <a:picLocks noChangeAspect="1"/>
        </xdr:cNvPicPr>
      </xdr:nvPicPr>
      <xdr:blipFill>
        <a:blip xmlns:r="http://schemas.openxmlformats.org/officeDocument/2006/relationships" r:embed="rId1"/>
        <a:stretch>
          <a:fillRect/>
        </a:stretch>
      </xdr:blipFill>
      <xdr:spPr>
        <a:xfrm>
          <a:off x="8116644" y="34256435"/>
          <a:ext cx="8296290" cy="1073151"/>
        </a:xfrm>
        <a:prstGeom prst="rect">
          <a:avLst/>
        </a:prstGeom>
      </xdr:spPr>
    </xdr:pic>
    <xdr:clientData/>
  </xdr:twoCellAnchor>
  <xdr:twoCellAnchor editAs="oneCell">
    <xdr:from>
      <xdr:col>4</xdr:col>
      <xdr:colOff>3320141</xdr:colOff>
      <xdr:row>38</xdr:row>
      <xdr:rowOff>408213</xdr:rowOff>
    </xdr:from>
    <xdr:to>
      <xdr:col>9</xdr:col>
      <xdr:colOff>292281</xdr:colOff>
      <xdr:row>38</xdr:row>
      <xdr:rowOff>2544536</xdr:rowOff>
    </xdr:to>
    <xdr:pic>
      <xdr:nvPicPr>
        <xdr:cNvPr id="3" name="Imagen 2">
          <a:extLst>
            <a:ext uri="{FF2B5EF4-FFF2-40B4-BE49-F238E27FC236}">
              <a16:creationId xmlns:a16="http://schemas.microsoft.com/office/drawing/2014/main" id="{AAB5F16F-6012-4ADD-87B6-36A31F258083}"/>
            </a:ext>
          </a:extLst>
        </xdr:cNvPr>
        <xdr:cNvPicPr>
          <a:picLocks noChangeAspect="1"/>
        </xdr:cNvPicPr>
      </xdr:nvPicPr>
      <xdr:blipFill rotWithShape="1">
        <a:blip xmlns:r="http://schemas.openxmlformats.org/officeDocument/2006/relationships" r:embed="rId2"/>
        <a:srcRect t="4918" b="9288"/>
        <a:stretch/>
      </xdr:blipFill>
      <xdr:spPr>
        <a:xfrm>
          <a:off x="8294912" y="18897599"/>
          <a:ext cx="7280912" cy="2136323"/>
        </a:xfrm>
        <a:prstGeom prst="rect">
          <a:avLst/>
        </a:prstGeom>
      </xdr:spPr>
    </xdr:pic>
    <xdr:clientData/>
  </xdr:twoCellAnchor>
  <xdr:twoCellAnchor editAs="oneCell">
    <xdr:from>
      <xdr:col>4</xdr:col>
      <xdr:colOff>3456215</xdr:colOff>
      <xdr:row>49</xdr:row>
      <xdr:rowOff>95250</xdr:rowOff>
    </xdr:from>
    <xdr:to>
      <xdr:col>8</xdr:col>
      <xdr:colOff>884466</xdr:colOff>
      <xdr:row>49</xdr:row>
      <xdr:rowOff>2436927</xdr:rowOff>
    </xdr:to>
    <xdr:pic>
      <xdr:nvPicPr>
        <xdr:cNvPr id="4" name="Imagen 3">
          <a:extLst>
            <a:ext uri="{FF2B5EF4-FFF2-40B4-BE49-F238E27FC236}">
              <a16:creationId xmlns:a16="http://schemas.microsoft.com/office/drawing/2014/main" id="{27D807E7-5EE4-4C24-93EF-180F4D94953F}"/>
            </a:ext>
          </a:extLst>
        </xdr:cNvPr>
        <xdr:cNvPicPr>
          <a:picLocks noChangeAspect="1"/>
        </xdr:cNvPicPr>
      </xdr:nvPicPr>
      <xdr:blipFill>
        <a:blip xmlns:r="http://schemas.openxmlformats.org/officeDocument/2006/relationships" r:embed="rId3"/>
        <a:stretch>
          <a:fillRect/>
        </a:stretch>
      </xdr:blipFill>
      <xdr:spPr>
        <a:xfrm>
          <a:off x="8430986" y="27451050"/>
          <a:ext cx="6626680" cy="2341677"/>
        </a:xfrm>
        <a:prstGeom prst="rect">
          <a:avLst/>
        </a:prstGeom>
      </xdr:spPr>
    </xdr:pic>
    <xdr:clientData/>
  </xdr:twoCellAnchor>
  <xdr:twoCellAnchor editAs="oneCell">
    <xdr:from>
      <xdr:col>4</xdr:col>
      <xdr:colOff>3252108</xdr:colOff>
      <xdr:row>60</xdr:row>
      <xdr:rowOff>748392</xdr:rowOff>
    </xdr:from>
    <xdr:to>
      <xdr:col>9</xdr:col>
      <xdr:colOff>1292678</xdr:colOff>
      <xdr:row>60</xdr:row>
      <xdr:rowOff>2794236</xdr:rowOff>
    </xdr:to>
    <xdr:pic>
      <xdr:nvPicPr>
        <xdr:cNvPr id="5" name="Imagen 4">
          <a:extLst>
            <a:ext uri="{FF2B5EF4-FFF2-40B4-BE49-F238E27FC236}">
              <a16:creationId xmlns:a16="http://schemas.microsoft.com/office/drawing/2014/main" id="{85C5A49F-C6FA-4837-AA22-C5A0B369DDA1}"/>
            </a:ext>
          </a:extLst>
        </xdr:cNvPr>
        <xdr:cNvPicPr>
          <a:picLocks noChangeAspect="1"/>
        </xdr:cNvPicPr>
      </xdr:nvPicPr>
      <xdr:blipFill>
        <a:blip xmlns:r="http://schemas.openxmlformats.org/officeDocument/2006/relationships" r:embed="rId4"/>
        <a:stretch>
          <a:fillRect/>
        </a:stretch>
      </xdr:blipFill>
      <xdr:spPr>
        <a:xfrm>
          <a:off x="8226879" y="38070063"/>
          <a:ext cx="8349342" cy="204584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4</xdr:col>
      <xdr:colOff>3141873</xdr:colOff>
      <xdr:row>57</xdr:row>
      <xdr:rowOff>940706</xdr:rowOff>
    </xdr:from>
    <xdr:to>
      <xdr:col>9</xdr:col>
      <xdr:colOff>1129391</xdr:colOff>
      <xdr:row>57</xdr:row>
      <xdr:rowOff>2013857</xdr:rowOff>
    </xdr:to>
    <xdr:pic>
      <xdr:nvPicPr>
        <xdr:cNvPr id="2" name="Imagen 1">
          <a:extLst>
            <a:ext uri="{FF2B5EF4-FFF2-40B4-BE49-F238E27FC236}">
              <a16:creationId xmlns:a16="http://schemas.microsoft.com/office/drawing/2014/main" id="{C67BC388-90C0-4699-890D-A154C24DD350}"/>
            </a:ext>
          </a:extLst>
        </xdr:cNvPr>
        <xdr:cNvPicPr>
          <a:picLocks noChangeAspect="1"/>
        </xdr:cNvPicPr>
      </xdr:nvPicPr>
      <xdr:blipFill>
        <a:blip xmlns:r="http://schemas.openxmlformats.org/officeDocument/2006/relationships" r:embed="rId1"/>
        <a:stretch>
          <a:fillRect/>
        </a:stretch>
      </xdr:blipFill>
      <xdr:spPr>
        <a:xfrm>
          <a:off x="8116644" y="33761135"/>
          <a:ext cx="8296290" cy="1073151"/>
        </a:xfrm>
        <a:prstGeom prst="rect">
          <a:avLst/>
        </a:prstGeom>
      </xdr:spPr>
    </xdr:pic>
    <xdr:clientData/>
  </xdr:twoCellAnchor>
  <xdr:twoCellAnchor editAs="oneCell">
    <xdr:from>
      <xdr:col>4</xdr:col>
      <xdr:colOff>3320141</xdr:colOff>
      <xdr:row>38</xdr:row>
      <xdr:rowOff>408213</xdr:rowOff>
    </xdr:from>
    <xdr:to>
      <xdr:col>9</xdr:col>
      <xdr:colOff>292281</xdr:colOff>
      <xdr:row>38</xdr:row>
      <xdr:rowOff>2544536</xdr:rowOff>
    </xdr:to>
    <xdr:pic>
      <xdr:nvPicPr>
        <xdr:cNvPr id="3" name="Imagen 2">
          <a:extLst>
            <a:ext uri="{FF2B5EF4-FFF2-40B4-BE49-F238E27FC236}">
              <a16:creationId xmlns:a16="http://schemas.microsoft.com/office/drawing/2014/main" id="{BDFE078D-6299-4196-911D-8E8E353F2932}"/>
            </a:ext>
          </a:extLst>
        </xdr:cNvPr>
        <xdr:cNvPicPr>
          <a:picLocks noChangeAspect="1"/>
        </xdr:cNvPicPr>
      </xdr:nvPicPr>
      <xdr:blipFill rotWithShape="1">
        <a:blip xmlns:r="http://schemas.openxmlformats.org/officeDocument/2006/relationships" r:embed="rId2"/>
        <a:srcRect t="4918" b="9288"/>
        <a:stretch/>
      </xdr:blipFill>
      <xdr:spPr>
        <a:xfrm>
          <a:off x="8294912" y="18897599"/>
          <a:ext cx="7280912" cy="2136323"/>
        </a:xfrm>
        <a:prstGeom prst="rect">
          <a:avLst/>
        </a:prstGeom>
      </xdr:spPr>
    </xdr:pic>
    <xdr:clientData/>
  </xdr:twoCellAnchor>
  <xdr:twoCellAnchor editAs="oneCell">
    <xdr:from>
      <xdr:col>4</xdr:col>
      <xdr:colOff>3456215</xdr:colOff>
      <xdr:row>49</xdr:row>
      <xdr:rowOff>95250</xdr:rowOff>
    </xdr:from>
    <xdr:to>
      <xdr:col>8</xdr:col>
      <xdr:colOff>884466</xdr:colOff>
      <xdr:row>49</xdr:row>
      <xdr:rowOff>2436927</xdr:rowOff>
    </xdr:to>
    <xdr:pic>
      <xdr:nvPicPr>
        <xdr:cNvPr id="4" name="Imagen 3">
          <a:extLst>
            <a:ext uri="{FF2B5EF4-FFF2-40B4-BE49-F238E27FC236}">
              <a16:creationId xmlns:a16="http://schemas.microsoft.com/office/drawing/2014/main" id="{63FED5BC-9016-4CEC-8A1A-733E242A4F86}"/>
            </a:ext>
          </a:extLst>
        </xdr:cNvPr>
        <xdr:cNvPicPr>
          <a:picLocks noChangeAspect="1"/>
        </xdr:cNvPicPr>
      </xdr:nvPicPr>
      <xdr:blipFill>
        <a:blip xmlns:r="http://schemas.openxmlformats.org/officeDocument/2006/relationships" r:embed="rId3"/>
        <a:stretch>
          <a:fillRect/>
        </a:stretch>
      </xdr:blipFill>
      <xdr:spPr>
        <a:xfrm>
          <a:off x="8430986" y="27451050"/>
          <a:ext cx="6626680" cy="2341677"/>
        </a:xfrm>
        <a:prstGeom prst="rect">
          <a:avLst/>
        </a:prstGeom>
      </xdr:spPr>
    </xdr:pic>
    <xdr:clientData/>
  </xdr:twoCellAnchor>
  <xdr:twoCellAnchor editAs="oneCell">
    <xdr:from>
      <xdr:col>4</xdr:col>
      <xdr:colOff>3252108</xdr:colOff>
      <xdr:row>60</xdr:row>
      <xdr:rowOff>748392</xdr:rowOff>
    </xdr:from>
    <xdr:to>
      <xdr:col>9</xdr:col>
      <xdr:colOff>1292678</xdr:colOff>
      <xdr:row>60</xdr:row>
      <xdr:rowOff>2794236</xdr:rowOff>
    </xdr:to>
    <xdr:pic>
      <xdr:nvPicPr>
        <xdr:cNvPr id="5" name="Imagen 4">
          <a:extLst>
            <a:ext uri="{FF2B5EF4-FFF2-40B4-BE49-F238E27FC236}">
              <a16:creationId xmlns:a16="http://schemas.microsoft.com/office/drawing/2014/main" id="{02BA9A80-9A1B-499B-ABD4-781DB75C9AE0}"/>
            </a:ext>
          </a:extLst>
        </xdr:cNvPr>
        <xdr:cNvPicPr>
          <a:picLocks noChangeAspect="1"/>
        </xdr:cNvPicPr>
      </xdr:nvPicPr>
      <xdr:blipFill>
        <a:blip xmlns:r="http://schemas.openxmlformats.org/officeDocument/2006/relationships" r:embed="rId4"/>
        <a:stretch>
          <a:fillRect/>
        </a:stretch>
      </xdr:blipFill>
      <xdr:spPr>
        <a:xfrm>
          <a:off x="8226879" y="37574763"/>
          <a:ext cx="8349342" cy="204584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963634</xdr:colOff>
      <xdr:row>28</xdr:row>
      <xdr:rowOff>82076</xdr:rowOff>
    </xdr:from>
    <xdr:to>
      <xdr:col>6</xdr:col>
      <xdr:colOff>3975442</xdr:colOff>
      <xdr:row>31</xdr:row>
      <xdr:rowOff>94709</xdr:rowOff>
    </xdr:to>
    <xdr:pic>
      <xdr:nvPicPr>
        <xdr:cNvPr id="4" name="Imagen 3">
          <a:extLst>
            <a:ext uri="{FF2B5EF4-FFF2-40B4-BE49-F238E27FC236}">
              <a16:creationId xmlns:a16="http://schemas.microsoft.com/office/drawing/2014/main" id="{BFA462D3-10E2-5946-9869-106635F295F7}"/>
            </a:ext>
          </a:extLst>
        </xdr:cNvPr>
        <xdr:cNvPicPr>
          <a:picLocks noChangeAspect="1"/>
        </xdr:cNvPicPr>
      </xdr:nvPicPr>
      <xdr:blipFill>
        <a:blip xmlns:r="http://schemas.openxmlformats.org/officeDocument/2006/relationships" r:embed="rId1"/>
        <a:stretch>
          <a:fillRect/>
        </a:stretch>
      </xdr:blipFill>
      <xdr:spPr>
        <a:xfrm>
          <a:off x="9853634" y="8921276"/>
          <a:ext cx="6402708" cy="571433"/>
        </a:xfrm>
        <a:prstGeom prst="rect">
          <a:avLst/>
        </a:prstGeom>
      </xdr:spPr>
    </xdr:pic>
    <xdr:clientData/>
  </xdr:twoCellAnchor>
  <xdr:twoCellAnchor editAs="oneCell">
    <xdr:from>
      <xdr:col>4</xdr:col>
      <xdr:colOff>617424</xdr:colOff>
      <xdr:row>34</xdr:row>
      <xdr:rowOff>10540</xdr:rowOff>
    </xdr:from>
    <xdr:to>
      <xdr:col>6</xdr:col>
      <xdr:colOff>4073226</xdr:colOff>
      <xdr:row>35</xdr:row>
      <xdr:rowOff>156882</xdr:rowOff>
    </xdr:to>
    <xdr:pic>
      <xdr:nvPicPr>
        <xdr:cNvPr id="8" name="Imagen 7">
          <a:extLst>
            <a:ext uri="{FF2B5EF4-FFF2-40B4-BE49-F238E27FC236}">
              <a16:creationId xmlns:a16="http://schemas.microsoft.com/office/drawing/2014/main" id="{B01412CE-91EC-6880-C96D-6DD8C4481C93}"/>
            </a:ext>
          </a:extLst>
        </xdr:cNvPr>
        <xdr:cNvPicPr>
          <a:picLocks noChangeAspect="1"/>
        </xdr:cNvPicPr>
      </xdr:nvPicPr>
      <xdr:blipFill rotWithShape="1">
        <a:blip xmlns:r="http://schemas.openxmlformats.org/officeDocument/2006/relationships" r:embed="rId2"/>
        <a:srcRect b="65779"/>
        <a:stretch/>
      </xdr:blipFill>
      <xdr:spPr>
        <a:xfrm>
          <a:off x="9055453" y="15553099"/>
          <a:ext cx="6515008" cy="336842"/>
        </a:xfrm>
        <a:prstGeom prst="rect">
          <a:avLst/>
        </a:prstGeom>
      </xdr:spPr>
    </xdr:pic>
    <xdr:clientData/>
  </xdr:twoCellAnchor>
  <xdr:oneCellAnchor>
    <xdr:from>
      <xdr:col>6</xdr:col>
      <xdr:colOff>841513</xdr:colOff>
      <xdr:row>7</xdr:row>
      <xdr:rowOff>263242</xdr:rowOff>
    </xdr:from>
    <xdr:ext cx="3917674" cy="1150692"/>
    <xdr:pic>
      <xdr:nvPicPr>
        <xdr:cNvPr id="2" name="Imagen 1">
          <a:extLst>
            <a:ext uri="{FF2B5EF4-FFF2-40B4-BE49-F238E27FC236}">
              <a16:creationId xmlns:a16="http://schemas.microsoft.com/office/drawing/2014/main" id="{E3203EF2-01D4-4A9A-B194-C6C1E1EB1811}"/>
            </a:ext>
          </a:extLst>
        </xdr:cNvPr>
        <xdr:cNvPicPr>
          <a:picLocks noChangeAspect="1"/>
        </xdr:cNvPicPr>
      </xdr:nvPicPr>
      <xdr:blipFill>
        <a:blip xmlns:r="http://schemas.openxmlformats.org/officeDocument/2006/relationships" r:embed="rId3"/>
        <a:stretch>
          <a:fillRect/>
        </a:stretch>
      </xdr:blipFill>
      <xdr:spPr>
        <a:xfrm>
          <a:off x="12338748" y="5406742"/>
          <a:ext cx="3917674" cy="1150692"/>
        </a:xfrm>
        <a:prstGeom prst="rect">
          <a:avLst/>
        </a:prstGeom>
      </xdr:spPr>
    </xdr:pic>
    <xdr:clientData/>
  </xdr:oneCellAnchor>
  <xdr:oneCellAnchor>
    <xdr:from>
      <xdr:col>6</xdr:col>
      <xdr:colOff>1076837</xdr:colOff>
      <xdr:row>5</xdr:row>
      <xdr:rowOff>319271</xdr:rowOff>
    </xdr:from>
    <xdr:ext cx="3917674" cy="1150692"/>
    <xdr:pic>
      <xdr:nvPicPr>
        <xdr:cNvPr id="3" name="Imagen 2">
          <a:extLst>
            <a:ext uri="{FF2B5EF4-FFF2-40B4-BE49-F238E27FC236}">
              <a16:creationId xmlns:a16="http://schemas.microsoft.com/office/drawing/2014/main" id="{8C307A27-D8BB-4088-8F34-4BF453BC9418}"/>
            </a:ext>
          </a:extLst>
        </xdr:cNvPr>
        <xdr:cNvPicPr>
          <a:picLocks noChangeAspect="1"/>
        </xdr:cNvPicPr>
      </xdr:nvPicPr>
      <xdr:blipFill>
        <a:blip xmlns:r="http://schemas.openxmlformats.org/officeDocument/2006/relationships" r:embed="rId3"/>
        <a:stretch>
          <a:fillRect/>
        </a:stretch>
      </xdr:blipFill>
      <xdr:spPr>
        <a:xfrm>
          <a:off x="12574072" y="3154359"/>
          <a:ext cx="3917674" cy="1150692"/>
        </a:xfrm>
        <a:prstGeom prst="rect">
          <a:avLst/>
        </a:prstGeom>
      </xdr:spPr>
    </xdr:pic>
    <xdr:clientData/>
  </xdr:oneCellAnchor>
  <xdr:oneCellAnchor>
    <xdr:from>
      <xdr:col>10</xdr:col>
      <xdr:colOff>470646</xdr:colOff>
      <xdr:row>4</xdr:row>
      <xdr:rowOff>1025</xdr:rowOff>
    </xdr:from>
    <xdr:ext cx="5179076" cy="1521189"/>
    <xdr:pic>
      <xdr:nvPicPr>
        <xdr:cNvPr id="5" name="Imagen 4">
          <a:extLst>
            <a:ext uri="{FF2B5EF4-FFF2-40B4-BE49-F238E27FC236}">
              <a16:creationId xmlns:a16="http://schemas.microsoft.com/office/drawing/2014/main" id="{029623D9-0507-43C6-AFE3-B329E7CBC2FE}"/>
            </a:ext>
          </a:extLst>
        </xdr:cNvPr>
        <xdr:cNvPicPr>
          <a:picLocks noChangeAspect="1"/>
        </xdr:cNvPicPr>
      </xdr:nvPicPr>
      <xdr:blipFill>
        <a:blip xmlns:r="http://schemas.openxmlformats.org/officeDocument/2006/relationships" r:embed="rId3"/>
        <a:stretch>
          <a:fillRect/>
        </a:stretch>
      </xdr:blipFill>
      <xdr:spPr>
        <a:xfrm>
          <a:off x="21078264" y="1144025"/>
          <a:ext cx="5179076" cy="1521189"/>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twoCellAnchor editAs="oneCell">
    <xdr:from>
      <xdr:col>3</xdr:col>
      <xdr:colOff>108112</xdr:colOff>
      <xdr:row>1</xdr:row>
      <xdr:rowOff>174171</xdr:rowOff>
    </xdr:from>
    <xdr:to>
      <xdr:col>5</xdr:col>
      <xdr:colOff>4154</xdr:colOff>
      <xdr:row>4</xdr:row>
      <xdr:rowOff>81642</xdr:rowOff>
    </xdr:to>
    <xdr:pic>
      <xdr:nvPicPr>
        <xdr:cNvPr id="2" name="Imagen 1">
          <a:extLst>
            <a:ext uri="{FF2B5EF4-FFF2-40B4-BE49-F238E27FC236}">
              <a16:creationId xmlns:a16="http://schemas.microsoft.com/office/drawing/2014/main" id="{51E9F9B3-2E2B-BE4C-AC44-912DDB9B0D69}"/>
            </a:ext>
          </a:extLst>
        </xdr:cNvPr>
        <xdr:cNvPicPr>
          <a:picLocks noChangeAspect="1"/>
        </xdr:cNvPicPr>
      </xdr:nvPicPr>
      <xdr:blipFill>
        <a:blip xmlns:r="http://schemas.openxmlformats.org/officeDocument/2006/relationships" r:embed="rId1"/>
        <a:stretch>
          <a:fillRect/>
        </a:stretch>
      </xdr:blipFill>
      <xdr:spPr>
        <a:xfrm>
          <a:off x="7626512" y="364671"/>
          <a:ext cx="1791517" cy="478971"/>
        </a:xfrm>
        <a:prstGeom prst="rect">
          <a:avLst/>
        </a:prstGeom>
      </xdr:spPr>
    </xdr:pic>
    <xdr:clientData/>
  </xdr:twoCellAnchor>
  <xdr:twoCellAnchor editAs="oneCell">
    <xdr:from>
      <xdr:col>3</xdr:col>
      <xdr:colOff>125186</xdr:colOff>
      <xdr:row>4</xdr:row>
      <xdr:rowOff>81643</xdr:rowOff>
    </xdr:from>
    <xdr:to>
      <xdr:col>5</xdr:col>
      <xdr:colOff>2722</xdr:colOff>
      <xdr:row>4</xdr:row>
      <xdr:rowOff>184755</xdr:rowOff>
    </xdr:to>
    <xdr:pic>
      <xdr:nvPicPr>
        <xdr:cNvPr id="3" name="Imagen 2">
          <a:extLst>
            <a:ext uri="{FF2B5EF4-FFF2-40B4-BE49-F238E27FC236}">
              <a16:creationId xmlns:a16="http://schemas.microsoft.com/office/drawing/2014/main" id="{B870F359-5005-8C4E-B946-B62A654999AC}"/>
            </a:ext>
          </a:extLst>
        </xdr:cNvPr>
        <xdr:cNvPicPr>
          <a:picLocks noChangeAspect="1"/>
        </xdr:cNvPicPr>
      </xdr:nvPicPr>
      <xdr:blipFill>
        <a:blip xmlns:r="http://schemas.openxmlformats.org/officeDocument/2006/relationships" r:embed="rId2"/>
        <a:stretch>
          <a:fillRect/>
        </a:stretch>
      </xdr:blipFill>
      <xdr:spPr>
        <a:xfrm>
          <a:off x="7643586" y="843643"/>
          <a:ext cx="1763486" cy="103112"/>
        </a:xfrm>
        <a:prstGeom prst="rect">
          <a:avLst/>
        </a:prstGeom>
      </xdr:spPr>
    </xdr:pic>
    <xdr:clientData/>
  </xdr:twoCellAnchor>
  <xdr:twoCellAnchor editAs="oneCell">
    <xdr:from>
      <xdr:col>3</xdr:col>
      <xdr:colOff>104775</xdr:colOff>
      <xdr:row>1</xdr:row>
      <xdr:rowOff>171450</xdr:rowOff>
    </xdr:from>
    <xdr:to>
      <xdr:col>5</xdr:col>
      <xdr:colOff>0</xdr:colOff>
      <xdr:row>4</xdr:row>
      <xdr:rowOff>85725</xdr:rowOff>
    </xdr:to>
    <xdr:pic>
      <xdr:nvPicPr>
        <xdr:cNvPr id="4" name="Imagen 4">
          <a:extLst>
            <a:ext uri="{FF2B5EF4-FFF2-40B4-BE49-F238E27FC236}">
              <a16:creationId xmlns:a16="http://schemas.microsoft.com/office/drawing/2014/main" id="{90BEB879-B068-A44D-BA36-4324720F783C}"/>
            </a:ext>
          </a:extLst>
        </xdr:cNvPr>
        <xdr:cNvPicPr>
          <a:picLocks noChangeAspect="1"/>
        </xdr:cNvPicPr>
      </xdr:nvPicPr>
      <xdr:blipFill>
        <a:blip xmlns:r="http://schemas.openxmlformats.org/officeDocument/2006/relationships" r:embed="rId1"/>
        <a:stretch>
          <a:fillRect/>
        </a:stretch>
      </xdr:blipFill>
      <xdr:spPr>
        <a:xfrm>
          <a:off x="7623175" y="361950"/>
          <a:ext cx="1790700" cy="485775"/>
        </a:xfrm>
        <a:prstGeom prst="rect">
          <a:avLst/>
        </a:prstGeom>
      </xdr:spPr>
    </xdr:pic>
    <xdr:clientData/>
  </xdr:twoCellAnchor>
  <xdr:twoCellAnchor editAs="oneCell">
    <xdr:from>
      <xdr:col>3</xdr:col>
      <xdr:colOff>125186</xdr:colOff>
      <xdr:row>4</xdr:row>
      <xdr:rowOff>81643</xdr:rowOff>
    </xdr:from>
    <xdr:to>
      <xdr:col>5</xdr:col>
      <xdr:colOff>2722</xdr:colOff>
      <xdr:row>4</xdr:row>
      <xdr:rowOff>184755</xdr:rowOff>
    </xdr:to>
    <xdr:pic>
      <xdr:nvPicPr>
        <xdr:cNvPr id="5" name="Imagen 5">
          <a:extLst>
            <a:ext uri="{FF2B5EF4-FFF2-40B4-BE49-F238E27FC236}">
              <a16:creationId xmlns:a16="http://schemas.microsoft.com/office/drawing/2014/main" id="{F312A400-419B-8442-9D43-42D6937D1F09}"/>
            </a:ext>
            <a:ext uri="{147F2762-F138-4A5C-976F-8EAC2B608ADB}">
              <a16:predDERef xmlns:a16="http://schemas.microsoft.com/office/drawing/2014/main" pred="{E96FFBC1-675A-40CC-4739-B0CD4F97FDA9}"/>
            </a:ext>
          </a:extLst>
        </xdr:cNvPr>
        <xdr:cNvPicPr>
          <a:picLocks noChangeAspect="1"/>
        </xdr:cNvPicPr>
      </xdr:nvPicPr>
      <xdr:blipFill>
        <a:blip xmlns:r="http://schemas.openxmlformats.org/officeDocument/2006/relationships" r:embed="rId2"/>
        <a:stretch>
          <a:fillRect/>
        </a:stretch>
      </xdr:blipFill>
      <xdr:spPr>
        <a:xfrm>
          <a:off x="7643586" y="843643"/>
          <a:ext cx="1763486" cy="10311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erika_leguizamo_aerocivil_gov_co/Documents/Trabajo/PROCESOS/PROYECTOS%20ENERGIA%202024/UPS%20CGAC/EVALUACION/Formato%20Evaluaci&#243;n%20UPS%20Lote%202%20con%20puntaje%20formato%207.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aerocivil-my.sharepoint.com/personal/erika_leguizamo_aerocivil_gov_co/Documents/Trabajo/PROCESOS/PROYECTOS%20ENERGIA%202024/UPS%20CGAC/EVALUACION/EVALUACI&#211;N%20FINAL/Formato%20Evaluaci&#243;n%20UPS%20Lote%201.xlsx" TargetMode="External"/><Relationship Id="rId1" Type="http://schemas.openxmlformats.org/officeDocument/2006/relationships/externalLinkPath" Target="/personal/erika_leguizamo_aerocivil_gov_co/Documents/Trabajo/PROCESOS/PROYECTOS%20ENERGIA%202024/UPS%20CGAC/EVALUACION/EVALUACI&#211;N%20FINAL/Formato%20Evaluaci&#243;n%20UPS%20Lot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1"/>
      <sheetName val="2"/>
      <sheetName val="3"/>
      <sheetName val="4"/>
      <sheetName val="5"/>
      <sheetName val="6"/>
      <sheetName val="7"/>
      <sheetName val="8"/>
      <sheetName val="F7 PROPUESTA ECONOMICA"/>
      <sheetName val="Serie Historica SMMLV"/>
    </sheetNames>
    <sheetDataSet>
      <sheetData sheetId="0">
        <row r="5">
          <cell r="W5">
            <v>1927454798</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UMEN"/>
      <sheetName val="1"/>
      <sheetName val="2"/>
      <sheetName val="3"/>
      <sheetName val="4"/>
      <sheetName val="5"/>
      <sheetName val="6"/>
      <sheetName val="7"/>
      <sheetName val="8"/>
      <sheetName val="F7 PROPUESTA ECONOMICA"/>
      <sheetName val="F7 PUNTAJE"/>
      <sheetName val="Serie Historica SMMLV"/>
    </sheetNames>
    <sheetDataSet>
      <sheetData sheetId="0">
        <row r="5">
          <cell r="C5" t="str">
            <v>24001216 H3 DE 2024</v>
          </cell>
          <cell r="G5" t="str">
            <v>REALIZAR MANTENIMIENTO A LOS SISTEMAS UPS DEL CENTRO DE GESTION AERONAUTICA
DE COLOMBIA CGAC, INCLUYE RENOVAR BANCOS DE BATERÍAS POR LOTES. (VIGENCIA FUTURA).</v>
          </cell>
        </row>
        <row r="9">
          <cell r="B9">
            <v>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www.superfinanciera.gov.co/inicio/informes-y-cifras/cifras/establecimientos-de-credito/informacion-periodica/diaria/tasa-de-cambio-representativa-del-mercado-trm-60819" TargetMode="External"/></Relationships>
</file>

<file path=xl/worksheets/_rels/sheet12.xml.rels><?xml version="1.0" encoding="UTF-8" standalone="yes"?>
<Relationships xmlns="http://schemas.openxmlformats.org/package/2006/relationships"><Relationship Id="rId1" Type="http://schemas.openxmlformats.org/officeDocument/2006/relationships/hyperlink" Target="http://www.presidencia.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7ECBE-E905-465A-9965-663068A913EE}">
  <dimension ref="A1:AC16"/>
  <sheetViews>
    <sheetView tabSelected="1" zoomScale="85" zoomScaleNormal="85" workbookViewId="0">
      <selection activeCell="B1" sqref="B1:Y16"/>
    </sheetView>
  </sheetViews>
  <sheetFormatPr baseColWidth="10" defaultColWidth="11.42578125" defaultRowHeight="10.5" outlineLevelRow="1"/>
  <cols>
    <col min="1" max="1" width="5.7109375" style="158" customWidth="1"/>
    <col min="2" max="2" width="8" style="18" customWidth="1"/>
    <col min="3" max="3" width="19.5703125" style="18" bestFit="1" customWidth="1"/>
    <col min="4" max="4" width="7.140625" style="18" customWidth="1"/>
    <col min="5" max="5" width="15.42578125" style="18" customWidth="1"/>
    <col min="6" max="6" width="13" style="18" customWidth="1"/>
    <col min="7" max="7" width="16.28515625" style="19" customWidth="1"/>
    <col min="8" max="8" width="16.28515625" style="19" hidden="1" customWidth="1"/>
    <col min="9" max="18" width="16.28515625" style="18" customWidth="1"/>
    <col min="19" max="19" width="12.7109375" style="18" customWidth="1"/>
    <col min="20" max="21" width="11.85546875" style="18" customWidth="1"/>
    <col min="22" max="22" width="14.5703125" style="18" customWidth="1"/>
    <col min="23" max="23" width="20.42578125" style="18" customWidth="1"/>
    <col min="24" max="24" width="13.42578125" style="17" customWidth="1"/>
    <col min="25" max="25" width="15.28515625" style="18" customWidth="1"/>
    <col min="26" max="26" width="24.140625" style="18" bestFit="1" customWidth="1"/>
    <col min="27" max="27" width="21.5703125" style="18" customWidth="1"/>
    <col min="28" max="28" width="20.42578125" style="18" customWidth="1"/>
    <col min="29" max="29" width="18.85546875" style="18" customWidth="1"/>
    <col min="30" max="30" width="19.5703125" style="18" customWidth="1"/>
    <col min="31" max="31" width="20.42578125" style="18" customWidth="1"/>
    <col min="32" max="32" width="19.42578125" style="18" customWidth="1"/>
    <col min="33" max="16384" width="11.42578125" style="18"/>
  </cols>
  <sheetData>
    <row r="1" spans="1:29" s="16" customFormat="1" ht="18">
      <c r="A1" s="157"/>
      <c r="B1" s="172"/>
      <c r="C1" s="173"/>
      <c r="D1" s="173"/>
      <c r="E1" s="173"/>
      <c r="F1" s="174"/>
      <c r="G1" s="182" t="s">
        <v>0</v>
      </c>
      <c r="H1" s="182"/>
      <c r="I1" s="182"/>
      <c r="J1" s="182"/>
      <c r="K1" s="182"/>
      <c r="L1" s="182"/>
      <c r="M1" s="182"/>
      <c r="N1" s="182"/>
      <c r="O1" s="182"/>
      <c r="P1" s="182"/>
      <c r="Q1" s="182"/>
      <c r="R1" s="182"/>
      <c r="S1" s="182"/>
      <c r="T1" s="182"/>
      <c r="U1" s="182"/>
      <c r="V1" s="182"/>
      <c r="W1" s="182"/>
      <c r="X1" s="150"/>
      <c r="Y1" s="151"/>
    </row>
    <row r="2" spans="1:29" s="16" customFormat="1" ht="18" customHeight="1">
      <c r="A2" s="157"/>
      <c r="B2" s="175"/>
      <c r="C2" s="176"/>
      <c r="D2" s="176"/>
      <c r="E2" s="176"/>
      <c r="F2" s="177"/>
      <c r="G2" s="182" t="s">
        <v>1</v>
      </c>
      <c r="H2" s="182"/>
      <c r="I2" s="182"/>
      <c r="J2" s="182"/>
      <c r="K2" s="182"/>
      <c r="L2" s="182"/>
      <c r="M2" s="182"/>
      <c r="N2" s="182"/>
      <c r="O2" s="182"/>
      <c r="P2" s="182"/>
      <c r="Q2" s="182"/>
      <c r="R2" s="182"/>
      <c r="S2" s="182"/>
      <c r="T2" s="182"/>
      <c r="U2" s="182"/>
      <c r="V2" s="182"/>
      <c r="W2" s="182"/>
      <c r="X2" s="152"/>
      <c r="Y2" s="151"/>
    </row>
    <row r="3" spans="1:29" s="16" customFormat="1" ht="15" customHeight="1">
      <c r="A3" s="157"/>
      <c r="B3" s="175"/>
      <c r="C3" s="176"/>
      <c r="D3" s="176"/>
      <c r="E3" s="176"/>
      <c r="F3" s="177"/>
      <c r="G3" s="182"/>
      <c r="H3" s="182"/>
      <c r="I3" s="182"/>
      <c r="J3" s="182"/>
      <c r="K3" s="182"/>
      <c r="L3" s="182"/>
      <c r="M3" s="182"/>
      <c r="N3" s="182"/>
      <c r="O3" s="182"/>
      <c r="P3" s="182"/>
      <c r="Q3" s="182"/>
      <c r="R3" s="182"/>
      <c r="S3" s="182"/>
      <c r="T3" s="182"/>
      <c r="U3" s="182"/>
      <c r="V3" s="182"/>
      <c r="W3" s="182"/>
      <c r="X3" s="152"/>
      <c r="Y3" s="151"/>
    </row>
    <row r="4" spans="1:29" s="16" customFormat="1" ht="15" customHeight="1">
      <c r="A4" s="157"/>
      <c r="B4" s="178"/>
      <c r="C4" s="179"/>
      <c r="D4" s="179"/>
      <c r="E4" s="179"/>
      <c r="F4" s="180"/>
      <c r="G4" s="182">
        <v>2024</v>
      </c>
      <c r="H4" s="182"/>
      <c r="I4" s="182"/>
      <c r="J4" s="182"/>
      <c r="K4" s="182"/>
      <c r="L4" s="182"/>
      <c r="M4" s="182"/>
      <c r="N4" s="182"/>
      <c r="O4" s="182"/>
      <c r="P4" s="182"/>
      <c r="Q4" s="182"/>
      <c r="R4" s="182"/>
      <c r="S4" s="182"/>
      <c r="T4" s="182"/>
      <c r="U4" s="182"/>
      <c r="V4" s="182"/>
      <c r="W4" s="182"/>
      <c r="X4" s="152"/>
      <c r="Y4" s="151"/>
    </row>
    <row r="5" spans="1:29" ht="60" customHeight="1">
      <c r="B5" s="191" t="s">
        <v>238</v>
      </c>
      <c r="C5" s="192" t="s">
        <v>2</v>
      </c>
      <c r="D5" s="193" t="s">
        <v>3</v>
      </c>
      <c r="E5" s="194"/>
      <c r="F5" s="195"/>
      <c r="G5" s="183" t="s">
        <v>4</v>
      </c>
      <c r="H5" s="183"/>
      <c r="I5" s="183"/>
      <c r="J5" s="183"/>
      <c r="K5" s="183"/>
      <c r="L5" s="183"/>
      <c r="M5" s="183"/>
      <c r="N5" s="183"/>
      <c r="O5" s="183"/>
      <c r="P5" s="183"/>
      <c r="Q5" s="183"/>
      <c r="R5" s="183"/>
      <c r="S5" s="184" t="s">
        <v>5</v>
      </c>
      <c r="T5" s="184"/>
      <c r="U5" s="185">
        <v>1927454798</v>
      </c>
      <c r="V5" s="186"/>
      <c r="W5" s="186"/>
      <c r="X5" s="186"/>
      <c r="Y5" s="187"/>
    </row>
    <row r="6" spans="1:29" ht="15" customHeight="1">
      <c r="B6" s="191"/>
      <c r="C6" s="192"/>
      <c r="D6" s="196"/>
      <c r="E6" s="197"/>
      <c r="F6" s="198"/>
      <c r="G6" s="181" t="s">
        <v>6</v>
      </c>
      <c r="H6" s="181"/>
      <c r="I6" s="181"/>
      <c r="J6" s="181"/>
      <c r="K6" s="181"/>
      <c r="L6" s="181"/>
      <c r="M6" s="181"/>
      <c r="N6" s="181" t="s">
        <v>7</v>
      </c>
      <c r="O6" s="181"/>
      <c r="P6" s="181"/>
      <c r="Q6" s="181"/>
      <c r="R6" s="181"/>
      <c r="S6" s="154"/>
      <c r="T6" s="155"/>
      <c r="U6" s="155"/>
      <c r="V6" s="155"/>
      <c r="W6" s="188"/>
      <c r="X6" s="189"/>
      <c r="Y6" s="190"/>
    </row>
    <row r="7" spans="1:29" ht="60">
      <c r="B7" s="121" t="s">
        <v>8</v>
      </c>
      <c r="C7" s="201" t="s">
        <v>9</v>
      </c>
      <c r="D7" s="191"/>
      <c r="E7" s="191"/>
      <c r="F7" s="122" t="s">
        <v>10</v>
      </c>
      <c r="G7" s="122" t="s">
        <v>11</v>
      </c>
      <c r="H7" s="122" t="s">
        <v>12</v>
      </c>
      <c r="I7" s="122" t="s">
        <v>13</v>
      </c>
      <c r="J7" s="122" t="s">
        <v>14</v>
      </c>
      <c r="K7" s="122" t="s">
        <v>15</v>
      </c>
      <c r="L7" s="122" t="s">
        <v>16</v>
      </c>
      <c r="M7" s="122" t="s">
        <v>17</v>
      </c>
      <c r="N7" s="122" t="s">
        <v>18</v>
      </c>
      <c r="O7" s="122" t="s">
        <v>19</v>
      </c>
      <c r="P7" s="122" t="s">
        <v>20</v>
      </c>
      <c r="Q7" s="122" t="s">
        <v>21</v>
      </c>
      <c r="R7" s="122" t="s">
        <v>22</v>
      </c>
      <c r="S7" s="122" t="s">
        <v>23</v>
      </c>
      <c r="T7" s="122" t="s">
        <v>24</v>
      </c>
      <c r="U7" s="122" t="s">
        <v>25</v>
      </c>
      <c r="V7" s="74" t="s">
        <v>26</v>
      </c>
      <c r="W7" s="122" t="s">
        <v>237</v>
      </c>
      <c r="X7" s="147" t="s">
        <v>235</v>
      </c>
      <c r="Y7" s="147" t="s">
        <v>236</v>
      </c>
    </row>
    <row r="8" spans="1:29" ht="18" customHeight="1">
      <c r="B8" s="26">
        <v>8</v>
      </c>
      <c r="C8" s="199" t="s">
        <v>27</v>
      </c>
      <c r="D8" s="200"/>
      <c r="E8" s="200"/>
      <c r="F8" s="156" t="s">
        <v>28</v>
      </c>
      <c r="G8" s="75"/>
      <c r="H8" s="75"/>
      <c r="I8" s="75"/>
      <c r="J8" s="75"/>
      <c r="K8" s="75"/>
      <c r="L8" s="75"/>
      <c r="M8" s="75"/>
      <c r="N8" s="27"/>
      <c r="O8" s="27"/>
      <c r="P8" s="27"/>
      <c r="Q8" s="27"/>
      <c r="R8" s="27"/>
      <c r="S8" s="49"/>
      <c r="T8" s="49"/>
      <c r="U8" s="153"/>
      <c r="V8" s="153"/>
      <c r="W8" s="48"/>
      <c r="X8" s="148"/>
      <c r="Y8" s="148"/>
    </row>
    <row r="9" spans="1:29" ht="18" customHeight="1">
      <c r="B9" s="26">
        <v>7</v>
      </c>
      <c r="C9" s="199" t="s">
        <v>29</v>
      </c>
      <c r="D9" s="200"/>
      <c r="E9" s="200"/>
      <c r="F9" s="156" t="s">
        <v>30</v>
      </c>
      <c r="G9" s="75" t="str" cm="1">
        <f t="array" aca="1" ref="G9" ca="1">IFERROR(INDIRECT("'"&amp;$B9&amp;"'!EXPGRAL",1),"-")</f>
        <v>CUMPLE</v>
      </c>
      <c r="H9" s="75" t="str" cm="1">
        <f t="array" aca="1" ref="H9" ca="1">IFERROR(INDIRECT("'"&amp;$B9&amp;"'!EXPESP",1),"-")</f>
        <v>RECHAZADO</v>
      </c>
      <c r="I9" s="75" t="str" cm="1">
        <f t="array" aca="1" ref="I9" ca="1">IFERROR(INDIRECT("'"&amp;$B9&amp;"'!FORMATO8",1),"-")</f>
        <v>CUMPLE</v>
      </c>
      <c r="J9" s="75" t="str" cm="1">
        <f t="array" aca="1" ref="J9" ca="1">IFERROR(INDIRECT("'"&amp;$B9&amp;"'!CARTA",1),"-")</f>
        <v>CUMPLE</v>
      </c>
      <c r="K9" s="75" t="str">
        <f ca="1">M9</f>
        <v>RECHAZADO</v>
      </c>
      <c r="L9" s="75" t="str" cm="1">
        <f t="array" aca="1" ref="L9" ca="1">IFERROR(INDIRECT("'"&amp;$B9&amp;"'!GARANTIA",1),"-")</f>
        <v>CUMPLE</v>
      </c>
      <c r="M9" s="75" t="str" cm="1">
        <f t="array" aca="1" ref="M9" ca="1">IFERROR(INDIRECT("'"&amp;$B9&amp;"'!FTECNICAS",1),"-")</f>
        <v>RECHAZADO</v>
      </c>
      <c r="N9" s="27" cm="1">
        <f t="array" aca="1" ref="N9" ca="1">IFERROR(INDIRECT("'"&amp;$B9&amp;"'!FCALIDAD",1),"-")</f>
        <v>18.75</v>
      </c>
      <c r="O9" s="27" cm="1">
        <f t="array" aca="1" ref="O9" ca="1">IFERROR(INDIRECT("'"&amp;$B9&amp;"'!INDNAL",1),"-")</f>
        <v>10</v>
      </c>
      <c r="P9" s="27" cm="1">
        <f t="array" aca="1" ref="P9" ca="1">IFERROR(INDIRECT("'"&amp;$B9&amp;"'!DISCAP",1),"-")</f>
        <v>0</v>
      </c>
      <c r="Q9" s="27" cm="1">
        <f t="array" aca="1" ref="Q9" ca="1">IFERROR(INDIRECT("'"&amp;$B9&amp;"'!MUJERES",1),"-")</f>
        <v>0.25</v>
      </c>
      <c r="R9" s="27" cm="1">
        <f t="array" aca="1" ref="R9" ca="1">IFERROR(INDIRECT("'"&amp;$B9&amp;"'!MIPYME",1),"-")</f>
        <v>0.25</v>
      </c>
      <c r="S9" s="49">
        <f t="shared" ref="S9:S14" ca="1" si="0">+SUM(N9:R9)</f>
        <v>29.25</v>
      </c>
      <c r="T9" s="49" t="str">
        <f>+'F7 PROPUESTA ECONOMICA'!D5</f>
        <v>CUMPLE</v>
      </c>
      <c r="U9" s="49" t="str">
        <f>+'F7 PROPUESTA ECONOMICA'!E5</f>
        <v>CUMPLE</v>
      </c>
      <c r="V9" s="49" t="str">
        <f>+'F7 PROPUESTA ECONOMICA'!F10</f>
        <v>RECHAZADO</v>
      </c>
      <c r="W9" s="48" t="str">
        <f ca="1">+M9</f>
        <v>RECHAZADO</v>
      </c>
      <c r="X9" s="48" t="str">
        <f ca="1">M9</f>
        <v>RECHAZADO</v>
      </c>
      <c r="Y9" s="48" t="str">
        <f ca="1">M9</f>
        <v>RECHAZADO</v>
      </c>
    </row>
    <row r="10" spans="1:29" ht="18" customHeight="1">
      <c r="B10" s="26">
        <v>6</v>
      </c>
      <c r="C10" s="199" t="s">
        <v>31</v>
      </c>
      <c r="D10" s="200"/>
      <c r="E10" s="200"/>
      <c r="F10" s="156" t="s">
        <v>30</v>
      </c>
      <c r="G10" s="75" t="str" cm="1">
        <f t="array" aca="1" ref="G10" ca="1">IFERROR(INDIRECT("'"&amp;$B10&amp;"'!EXPGRAL",1),"-")</f>
        <v>CUMPLE</v>
      </c>
      <c r="H10" s="75" t="str" cm="1">
        <f t="array" aca="1" ref="H10" ca="1">IFERROR(INDIRECT("'"&amp;$B10&amp;"'!EXPESP",1),"-")</f>
        <v>CUMPLE</v>
      </c>
      <c r="I10" s="75" t="str" cm="1">
        <f t="array" aca="1" ref="I10" ca="1">IFERROR(INDIRECT("'"&amp;$B10&amp;"'!FORMATO8",1),"-")</f>
        <v>CUMPLE</v>
      </c>
      <c r="J10" s="75" t="str" cm="1">
        <f t="array" aca="1" ref="J10" ca="1">IFERROR(INDIRECT("'"&amp;$B10&amp;"'!CARTA",1),"-")</f>
        <v>CUMPLE</v>
      </c>
      <c r="K10" s="75" t="str">
        <f ca="1">M9</f>
        <v>RECHAZADO</v>
      </c>
      <c r="L10" s="75" t="str" cm="1">
        <f t="array" aca="1" ref="L10" ca="1">IFERROR(INDIRECT("'"&amp;$B10&amp;"'!GARANTIA",1),"-")</f>
        <v>CUMPLE</v>
      </c>
      <c r="M10" s="75" t="str" cm="1">
        <f t="array" aca="1" ref="M10" ca="1">IFERROR(INDIRECT("'"&amp;$B10&amp;"'!FTECNICAS",1),"-")</f>
        <v>CUMPLE</v>
      </c>
      <c r="N10" s="27" cm="1">
        <f t="array" aca="1" ref="N10" ca="1">IFERROR(INDIRECT("'"&amp;$B10&amp;"'!FCALIDAD",1),"-")</f>
        <v>18.75</v>
      </c>
      <c r="O10" s="27" cm="1">
        <f t="array" aca="1" ref="O10" ca="1">IFERROR(INDIRECT("'"&amp;$B10&amp;"'!INDNAL",1),"-")</f>
        <v>10</v>
      </c>
      <c r="P10" s="27" cm="1">
        <f t="array" aca="1" ref="P10" ca="1">IFERROR(INDIRECT("'"&amp;$B10&amp;"'!DISCAP",1),"-")</f>
        <v>0</v>
      </c>
      <c r="Q10" s="27" cm="1">
        <f t="array" aca="1" ref="Q10" ca="1">IFERROR(INDIRECT("'"&amp;$B10&amp;"'!MUJERES",1),"-")</f>
        <v>0</v>
      </c>
      <c r="R10" s="27" cm="1">
        <f t="array" aca="1" ref="R10" ca="1">IFERROR(INDIRECT("'"&amp;$B10&amp;"'!MIPYME",1),"-")</f>
        <v>0.25</v>
      </c>
      <c r="S10" s="49">
        <f t="shared" ca="1" si="0"/>
        <v>29</v>
      </c>
      <c r="T10" s="49" t="str">
        <f>+'F7 PROPUESTA ECONOMICA'!D6</f>
        <v>CUMPLE</v>
      </c>
      <c r="U10" s="49" t="str">
        <f>+'F7 PROPUESTA ECONOMICA'!E6</f>
        <v>CUMPLE</v>
      </c>
      <c r="V10" s="49" t="str">
        <f>+'F7 PROPUESTA ECONOMICA'!F6</f>
        <v>CUMPLE</v>
      </c>
      <c r="W10" s="48" t="str">
        <f ca="1">M9</f>
        <v>RECHAZADO</v>
      </c>
      <c r="X10" s="48" t="str">
        <f ca="1">+K10</f>
        <v>RECHAZADO</v>
      </c>
      <c r="Y10" s="48" t="str">
        <f ca="1">M9</f>
        <v>RECHAZADO</v>
      </c>
    </row>
    <row r="11" spans="1:29" ht="18" customHeight="1">
      <c r="B11" s="26">
        <v>5</v>
      </c>
      <c r="C11" s="199" t="s">
        <v>32</v>
      </c>
      <c r="D11" s="200"/>
      <c r="E11" s="200"/>
      <c r="F11" s="156" t="s">
        <v>30</v>
      </c>
      <c r="G11" s="75" t="str" cm="1">
        <f t="array" aca="1" ref="G11" ca="1">IFERROR(INDIRECT("'"&amp;$B11&amp;"'!EXPGRAL",1),"-")</f>
        <v>CUMPLE</v>
      </c>
      <c r="H11" s="75" t="str" cm="1">
        <f t="array" aca="1" ref="H11" ca="1">IFERROR(INDIRECT("'"&amp;$B11&amp;"'!EXPESP",1),"-")</f>
        <v>CUMPLE</v>
      </c>
      <c r="I11" s="75" t="str" cm="1">
        <f t="array" aca="1" ref="I11" ca="1">IFERROR(INDIRECT("'"&amp;$B11&amp;"'!FORMATO8",1),"-")</f>
        <v>CUMPLE</v>
      </c>
      <c r="J11" s="75" t="str" cm="1">
        <f t="array" aca="1" ref="J11" ca="1">IFERROR(INDIRECT("'"&amp;$B11&amp;"'!CARTA",1),"-")</f>
        <v>CUMPLE</v>
      </c>
      <c r="K11" s="75" t="str">
        <f ca="1">M9</f>
        <v>RECHAZADO</v>
      </c>
      <c r="L11" s="75" t="str" cm="1">
        <f t="array" aca="1" ref="L11" ca="1">IFERROR(INDIRECT("'"&amp;$B11&amp;"'!GARANTIA",1),"-")</f>
        <v>CUMPLE</v>
      </c>
      <c r="M11" s="75" t="str" cm="1">
        <f t="array" aca="1" ref="M11" ca="1">IFERROR(INDIRECT("'"&amp;$B11&amp;"'!FTECNICAS",1),"-")</f>
        <v>RECHAZADO</v>
      </c>
      <c r="N11" s="27" cm="1">
        <f t="array" aca="1" ref="N11" ca="1">IFERROR(INDIRECT("'"&amp;$B11&amp;"'!FCALIDAD",1),"-")</f>
        <v>18.75</v>
      </c>
      <c r="O11" s="27" cm="1">
        <f t="array" aca="1" ref="O11" ca="1">IFERROR(INDIRECT("'"&amp;$B11&amp;"'!INDNAL",1),"-")</f>
        <v>10</v>
      </c>
      <c r="P11" s="27" cm="1">
        <f t="array" aca="1" ref="P11" ca="1">IFERROR(INDIRECT("'"&amp;$B11&amp;"'!DISCAP",1),"-")</f>
        <v>0</v>
      </c>
      <c r="Q11" s="27" cm="1">
        <f t="array" aca="1" ref="Q11" ca="1">IFERROR(INDIRECT("'"&amp;$B11&amp;"'!MUJERES",1),"-")</f>
        <v>0</v>
      </c>
      <c r="R11" s="27" cm="1">
        <f t="array" aca="1" ref="R11" ca="1">IFERROR(INDIRECT("'"&amp;$B11&amp;"'!MIPYME",1),"-")</f>
        <v>0</v>
      </c>
      <c r="S11" s="49">
        <f t="shared" ca="1" si="0"/>
        <v>28.75</v>
      </c>
      <c r="T11" s="49" t="str">
        <f>+'F7 PROPUESTA ECONOMICA'!D7</f>
        <v>CUMPLE</v>
      </c>
      <c r="U11" s="49" t="str">
        <f>+'F7 PROPUESTA ECONOMICA'!E7</f>
        <v>CUMPLE</v>
      </c>
      <c r="V11" s="49" t="str">
        <f>+'F7 PROPUESTA ECONOMICA'!F7</f>
        <v>CUMPLE</v>
      </c>
      <c r="W11" s="48" t="str">
        <f ca="1">+M11</f>
        <v>RECHAZADO</v>
      </c>
      <c r="X11" s="48" t="str">
        <f t="shared" ref="X11:X14" ca="1" si="1">M11</f>
        <v>RECHAZADO</v>
      </c>
      <c r="Y11" s="149" t="str">
        <f ca="1">M9</f>
        <v>RECHAZADO</v>
      </c>
    </row>
    <row r="12" spans="1:29" ht="18" customHeight="1" outlineLevel="1">
      <c r="B12" s="26">
        <v>4</v>
      </c>
      <c r="C12" s="199" t="s">
        <v>33</v>
      </c>
      <c r="D12" s="200"/>
      <c r="E12" s="200"/>
      <c r="F12" s="156" t="s">
        <v>30</v>
      </c>
      <c r="G12" s="75" t="str" cm="1">
        <f t="array" aca="1" ref="G12" ca="1">IFERROR(INDIRECT("'"&amp;$B12&amp;"'!EXPGRAL",1),"-")</f>
        <v>RECHAZADO</v>
      </c>
      <c r="H12" s="75" t="str" cm="1">
        <f t="array" aca="1" ref="H12" ca="1">IFERROR(INDIRECT("'"&amp;$B12&amp;"'!EXPESP",1),"-")</f>
        <v>RECHAZADO</v>
      </c>
      <c r="I12" s="75" t="str" cm="1">
        <f t="array" aca="1" ref="I12" ca="1">IFERROR(INDIRECT("'"&amp;$B12&amp;"'!FORMATO8",1),"-")</f>
        <v>CUMPLE</v>
      </c>
      <c r="J12" s="75" t="str" cm="1">
        <f t="array" aca="1" ref="J12" ca="1">IFERROR(INDIRECT("'"&amp;$B12&amp;"'!CARTA",1),"-")</f>
        <v>RECHAZADO</v>
      </c>
      <c r="K12" s="75" t="str" cm="1">
        <f t="array" aca="1" ref="K12" ca="1">IFERROR(INDIRECT("'"&amp;$B12&amp;"'!REPBIENES",1),"-")</f>
        <v>RECHAZADO</v>
      </c>
      <c r="L12" s="75" t="str" cm="1">
        <f t="array" aca="1" ref="L12" ca="1">IFERROR(INDIRECT("'"&amp;$B12&amp;"'!GARANTIA",1),"-")</f>
        <v>RECHAZADO</v>
      </c>
      <c r="M12" s="75" t="str" cm="1">
        <f t="array" aca="1" ref="M12" ca="1">IFERROR(INDIRECT("'"&amp;$B12&amp;"'!FTECNICAS",1),"-")</f>
        <v>RECHAZADO</v>
      </c>
      <c r="N12" s="27" cm="1">
        <f t="array" aca="1" ref="N12" ca="1">IFERROR(INDIRECT("'"&amp;$B12&amp;"'!FCALIDAD",1),"-")</f>
        <v>18.75</v>
      </c>
      <c r="O12" s="27" cm="1">
        <f t="array" aca="1" ref="O12" ca="1">IFERROR(INDIRECT("'"&amp;$B12&amp;"'!INDNAL",1),"-")</f>
        <v>10</v>
      </c>
      <c r="P12" s="27" cm="1">
        <f t="array" aca="1" ref="P12" ca="1">IFERROR(INDIRECT("'"&amp;$B12&amp;"'!DISCAP",1),"-")</f>
        <v>0</v>
      </c>
      <c r="Q12" s="27" cm="1">
        <f t="array" aca="1" ref="Q12" ca="1">IFERROR(INDIRECT("'"&amp;$B12&amp;"'!MUJERES",1),"-")</f>
        <v>0.25</v>
      </c>
      <c r="R12" s="27" cm="1">
        <f t="array" aca="1" ref="R12" ca="1">IFERROR(INDIRECT("'"&amp;$B12&amp;"'!MIPYME",1),"-")</f>
        <v>0.25</v>
      </c>
      <c r="S12" s="49">
        <f t="shared" ca="1" si="0"/>
        <v>29.25</v>
      </c>
      <c r="T12" s="49" t="str">
        <f>+'F7 PROPUESTA ECONOMICA'!D8</f>
        <v>CUMPLE</v>
      </c>
      <c r="U12" s="49" t="str">
        <f>+'F7 PROPUESTA ECONOMICA'!E8</f>
        <v>CUMPLE</v>
      </c>
      <c r="V12" s="49" t="str">
        <f>+'F7 PROPUESTA ECONOMICA'!F8</f>
        <v>CUMPLE</v>
      </c>
      <c r="W12" s="48" t="str">
        <f ca="1">+M12</f>
        <v>RECHAZADO</v>
      </c>
      <c r="X12" s="48" t="str">
        <f t="shared" ca="1" si="1"/>
        <v>RECHAZADO</v>
      </c>
      <c r="Y12" s="149" t="str">
        <f ca="1">M9</f>
        <v>RECHAZADO</v>
      </c>
    </row>
    <row r="13" spans="1:29" ht="18" customHeight="1" outlineLevel="1">
      <c r="B13" s="26">
        <v>3</v>
      </c>
      <c r="C13" s="199" t="s">
        <v>34</v>
      </c>
      <c r="D13" s="200"/>
      <c r="E13" s="200"/>
      <c r="F13" s="156" t="s">
        <v>30</v>
      </c>
      <c r="G13" s="75" t="str" cm="1">
        <f t="array" aca="1" ref="G13" ca="1">IFERROR(INDIRECT("'"&amp;$B13&amp;"'!EXPGRAL",1),"-")</f>
        <v>CUMPLE</v>
      </c>
      <c r="H13" s="75" t="str" cm="1">
        <f t="array" aca="1" ref="H13" ca="1">IFERROR(INDIRECT("'"&amp;$B13&amp;"'!EXPESP",1),"-")</f>
        <v>RECHAZADO</v>
      </c>
      <c r="I13" s="75" t="str" cm="1">
        <f t="array" aca="1" ref="I13" ca="1">IFERROR(INDIRECT("'"&amp;$B13&amp;"'!FORMATO8",1),"-")</f>
        <v>CUMPLE</v>
      </c>
      <c r="J13" s="75" t="str" cm="1">
        <f t="array" aca="1" ref="J13" ca="1">IFERROR(INDIRECT("'"&amp;$B13&amp;"'!CARTA",1),"-")</f>
        <v>CUMPLE</v>
      </c>
      <c r="K13" s="75" t="str" cm="1">
        <f t="array" aca="1" ref="K13" ca="1">IFERROR(INDIRECT("'"&amp;$B13&amp;"'!REPBIENES",1),"-")</f>
        <v>RECHAZADO</v>
      </c>
      <c r="L13" s="75" t="str" cm="1">
        <f t="array" aca="1" ref="L13" ca="1">IFERROR(INDIRECT("'"&amp;$B13&amp;"'!GARANTIA",1),"-")</f>
        <v>RECHAZADO</v>
      </c>
      <c r="M13" s="75" t="str" cm="1">
        <f t="array" aca="1" ref="M13" ca="1">IFERROR(INDIRECT("'"&amp;$B13&amp;"'!FTECNICAS",1),"-")</f>
        <v>RECHAZADO</v>
      </c>
      <c r="N13" s="27" cm="1">
        <f t="array" aca="1" ref="N13" ca="1">IFERROR(INDIRECT("'"&amp;$B13&amp;"'!FCALIDAD",1),"-")</f>
        <v>18.75</v>
      </c>
      <c r="O13" s="27" cm="1">
        <f t="array" aca="1" ref="O13" ca="1">IFERROR(INDIRECT("'"&amp;$B13&amp;"'!INDNAL",1),"-")</f>
        <v>10</v>
      </c>
      <c r="P13" s="27" cm="1">
        <f t="array" aca="1" ref="P13" ca="1">IFERROR(INDIRECT("'"&amp;$B13&amp;"'!DISCAP",1),"-")</f>
        <v>0</v>
      </c>
      <c r="Q13" s="27" cm="1">
        <f t="array" aca="1" ref="Q13" ca="1">IFERROR(INDIRECT("'"&amp;$B13&amp;"'!MUJERES",1),"-")</f>
        <v>0</v>
      </c>
      <c r="R13" s="27" cm="1">
        <f t="array" aca="1" ref="R13" ca="1">IFERROR(INDIRECT("'"&amp;$B13&amp;"'!MIPYME",1),"-")</f>
        <v>0</v>
      </c>
      <c r="S13" s="49">
        <f t="shared" ca="1" si="0"/>
        <v>28.75</v>
      </c>
      <c r="T13" s="49" t="str">
        <f>+'F7 PROPUESTA ECONOMICA'!D9</f>
        <v>CUMPLE</v>
      </c>
      <c r="U13" s="49" t="str">
        <f>+'F7 PROPUESTA ECONOMICA'!E9</f>
        <v>CUMPLE</v>
      </c>
      <c r="V13" s="49" t="str">
        <f>+'F7 PROPUESTA ECONOMICA'!F9</f>
        <v>CUMPLE</v>
      </c>
      <c r="W13" s="48" t="str">
        <f ca="1">+M13</f>
        <v>RECHAZADO</v>
      </c>
      <c r="X13" s="48" t="str">
        <f t="shared" ca="1" si="1"/>
        <v>RECHAZADO</v>
      </c>
      <c r="Y13" s="149" t="str">
        <f ca="1">M9</f>
        <v>RECHAZADO</v>
      </c>
    </row>
    <row r="14" spans="1:29" ht="18" customHeight="1" outlineLevel="1">
      <c r="B14" s="26">
        <v>2</v>
      </c>
      <c r="C14" s="199" t="s">
        <v>35</v>
      </c>
      <c r="D14" s="200"/>
      <c r="E14" s="200"/>
      <c r="F14" s="156" t="s">
        <v>30</v>
      </c>
      <c r="G14" s="75" t="str" cm="1">
        <f t="array" aca="1" ref="G14" ca="1">IFERROR(INDIRECT("'"&amp;$B14&amp;"'!EXPGRAL",1),"-")</f>
        <v>RECHAZADO</v>
      </c>
      <c r="H14" s="75" t="str" cm="1">
        <f t="array" aca="1" ref="H14" ca="1">IFERROR(INDIRECT("'"&amp;$B14&amp;"'!EXPESP",1),"-")</f>
        <v>RECHAZADO</v>
      </c>
      <c r="I14" s="75" t="str" cm="1">
        <f t="array" aca="1" ref="I14" ca="1">IFERROR(INDIRECT("'"&amp;$B14&amp;"'!FORMATO8",1),"-")</f>
        <v>RECHAZADO</v>
      </c>
      <c r="J14" s="75" t="str" cm="1">
        <f t="array" aca="1" ref="J14" ca="1">IFERROR(INDIRECT("'"&amp;$B14&amp;"'!CARTA",1),"-")</f>
        <v>RECHAZADO</v>
      </c>
      <c r="K14" s="75" t="str" cm="1">
        <f t="array" aca="1" ref="K14" ca="1">IFERROR(INDIRECT("'"&amp;$B14&amp;"'!REPBIENES",1),"-")</f>
        <v>RECHAZADO</v>
      </c>
      <c r="L14" s="75" t="str" cm="1">
        <f t="array" aca="1" ref="L14" ca="1">IFERROR(INDIRECT("'"&amp;$B14&amp;"'!GARANTIA",1),"-")</f>
        <v>RECHAZADO</v>
      </c>
      <c r="M14" s="75" t="str" cm="1">
        <f t="array" aca="1" ref="M14" ca="1">IFERROR(INDIRECT("'"&amp;$B14&amp;"'!FTECNICAS",1),"-")</f>
        <v>RECHAZADO</v>
      </c>
      <c r="N14" s="27" cm="1">
        <f t="array" aca="1" ref="N14" ca="1">IFERROR(INDIRECT("'"&amp;$B14&amp;"'!FCALIDAD",1),"-")</f>
        <v>18.75</v>
      </c>
      <c r="O14" s="27" cm="1">
        <f t="array" aca="1" ref="O14" ca="1">IFERROR(INDIRECT("'"&amp;$B14&amp;"'!INDNAL",1),"-")</f>
        <v>0</v>
      </c>
      <c r="P14" s="27" cm="1">
        <f t="array" aca="1" ref="P14" ca="1">IFERROR(INDIRECT("'"&amp;$B14&amp;"'!DISCAP",1),"-")</f>
        <v>0</v>
      </c>
      <c r="Q14" s="27" cm="1">
        <f t="array" aca="1" ref="Q14" ca="1">IFERROR(INDIRECT("'"&amp;$B14&amp;"'!MUJERES",1),"-")</f>
        <v>0.25</v>
      </c>
      <c r="R14" s="27" cm="1">
        <f t="array" aca="1" ref="R14" ca="1">IFERROR(INDIRECT("'"&amp;$B14&amp;"'!MIPYME",1),"-")</f>
        <v>0.25</v>
      </c>
      <c r="S14" s="49">
        <f t="shared" ca="1" si="0"/>
        <v>19.25</v>
      </c>
      <c r="T14" s="49" t="str">
        <f>+'F7 PROPUESTA ECONOMICA'!D10</f>
        <v>CUMPLE</v>
      </c>
      <c r="U14" s="49" t="str">
        <f>+'F7 PROPUESTA ECONOMICA'!E10</f>
        <v>CUMPLE</v>
      </c>
      <c r="V14" s="49" t="str">
        <f>+'F7 PROPUESTA ECONOMICA'!F5</f>
        <v>CUMPLE</v>
      </c>
      <c r="W14" s="48" t="str">
        <f ca="1">+M14</f>
        <v>RECHAZADO</v>
      </c>
      <c r="X14" s="48" t="str">
        <f t="shared" ca="1" si="1"/>
        <v>RECHAZADO</v>
      </c>
      <c r="Y14" s="149" t="str">
        <f ca="1">M9</f>
        <v>RECHAZADO</v>
      </c>
    </row>
    <row r="15" spans="1:29" ht="18" customHeight="1" outlineLevel="1">
      <c r="B15" s="26">
        <v>1</v>
      </c>
      <c r="C15" s="199" t="s">
        <v>36</v>
      </c>
      <c r="D15" s="200"/>
      <c r="E15" s="200"/>
      <c r="F15" s="156" t="s">
        <v>30</v>
      </c>
      <c r="G15" s="75" t="str" cm="1">
        <f t="array" aca="1" ref="G15" ca="1">IFERROR(INDIRECT("'"&amp;$B15&amp;"'!EXPGRAL",1),"-")</f>
        <v>CUMPLE</v>
      </c>
      <c r="H15" s="75" t="str" cm="1">
        <f t="array" aca="1" ref="H15" ca="1">IFERROR(INDIRECT("'"&amp;$B15&amp;"'!EXPESP",1),"-")</f>
        <v>CUMPLE</v>
      </c>
      <c r="I15" s="75" t="str" cm="1">
        <f t="array" aca="1" ref="I15" ca="1">IFERROR(INDIRECT("'"&amp;$B15&amp;"'!FORMATO8",1),"-")</f>
        <v>CUMPLE</v>
      </c>
      <c r="J15" s="75" t="str" cm="1">
        <f t="array" aca="1" ref="J15" ca="1">IFERROR(INDIRECT("'"&amp;$B15&amp;"'!CARTA",1),"-")</f>
        <v>CUMPLE</v>
      </c>
      <c r="K15" s="75" t="str" cm="1">
        <f t="array" aca="1" ref="K15" ca="1">IFERROR(INDIRECT("'"&amp;$B15&amp;"'!REPBIENES",1),"-")</f>
        <v>CUMPLE</v>
      </c>
      <c r="L15" s="75" t="str" cm="1">
        <f t="array" aca="1" ref="L15" ca="1">IFERROR(INDIRECT("'"&amp;$B15&amp;"'!GARANTIA",1),"-")</f>
        <v>CUMPLE</v>
      </c>
      <c r="M15" s="75" t="str" cm="1">
        <f t="array" aca="1" ref="M15" ca="1">IFERROR(INDIRECT("'"&amp;$B15&amp;"'!FTECNICAS",1),"-")</f>
        <v>CUMPLE</v>
      </c>
      <c r="N15" s="27" cm="1">
        <f t="array" aca="1" ref="N15" ca="1">IFERROR(INDIRECT("'"&amp;$B15&amp;"'!FCALIDAD",1),"-")</f>
        <v>18.75</v>
      </c>
      <c r="O15" s="27" cm="1">
        <f t="array" aca="1" ref="O15" ca="1">IFERROR(INDIRECT("'"&amp;$B15&amp;"'!INDNAL",1),"-")</f>
        <v>10</v>
      </c>
      <c r="P15" s="27" cm="1">
        <f t="array" aca="1" ref="P15" ca="1">IFERROR(INDIRECT("'"&amp;$B15&amp;"'!DISCAP",1),"-")</f>
        <v>1</v>
      </c>
      <c r="Q15" s="27" cm="1">
        <f t="array" aca="1" ref="Q15" ca="1">IFERROR(INDIRECT("'"&amp;$B15&amp;"'!MUJERES",1),"-")</f>
        <v>0.25</v>
      </c>
      <c r="R15" s="27" cm="1">
        <f t="array" aca="1" ref="R15" ca="1">IFERROR(INDIRECT("'"&amp;$B15&amp;"'!MIPYME",1),"-")</f>
        <v>0</v>
      </c>
      <c r="S15" s="49">
        <f ca="1">+SUM(N15:R15)</f>
        <v>30</v>
      </c>
      <c r="T15" s="49" t="str">
        <f>+'F7 PROPUESTA ECONOMICA'!D4</f>
        <v>CUMPLE</v>
      </c>
      <c r="U15" s="49" t="str">
        <f>+'F7 PROPUESTA ECONOMICA'!E4</f>
        <v>CUMPLE</v>
      </c>
      <c r="V15" s="49" t="str">
        <f>+'F7 PROPUESTA ECONOMICA'!F4</f>
        <v>CUMPLE</v>
      </c>
      <c r="W15" s="48">
        <f ca="1">IF(AND(G15="CUMPLE",H15="CUMPLE",I15="CUMPLE",J15="CUMPLE",K15="CUMPLE",L15="CUMPLE",M15="CUMPLE",T15="CUMPLE",U15="CUMPLE"),SUM(S15:S15),"NO CUMPLE")</f>
        <v>30</v>
      </c>
      <c r="X15" s="148">
        <f>+'F7 PUNTAJE'!D15</f>
        <v>69.75</v>
      </c>
      <c r="Y15" s="148">
        <f ca="1">+X15+S15</f>
        <v>99.75</v>
      </c>
      <c r="AC15" s="104"/>
    </row>
    <row r="16" spans="1:29" ht="27" customHeight="1">
      <c r="B16" s="204"/>
      <c r="C16" s="205"/>
      <c r="D16" s="205"/>
      <c r="E16" s="205"/>
      <c r="F16" s="205"/>
      <c r="G16" s="205"/>
      <c r="H16" s="205"/>
      <c r="I16" s="205"/>
      <c r="J16" s="205"/>
      <c r="K16" s="205"/>
      <c r="L16" s="205"/>
      <c r="M16" s="205"/>
      <c r="N16" s="203" t="str">
        <f>IFERROR(IF(COUNTIF(#REF!,1)&gt;1,"REVISAR EMPATE",VLOOKUP(1,$B$8:$E$15,3,0)),"PENDIENTE")</f>
        <v>PENDIENTE</v>
      </c>
      <c r="O16" s="203"/>
      <c r="P16" s="203"/>
      <c r="Q16" s="203"/>
      <c r="R16" s="206" t="s">
        <v>37</v>
      </c>
      <c r="S16" s="206"/>
      <c r="T16" s="206"/>
      <c r="U16" s="202"/>
      <c r="V16" s="202"/>
      <c r="W16" s="202"/>
      <c r="X16" s="202"/>
      <c r="Y16" s="202"/>
    </row>
  </sheetData>
  <mergeCells count="26">
    <mergeCell ref="U16:Y16"/>
    <mergeCell ref="N16:Q16"/>
    <mergeCell ref="B16:M16"/>
    <mergeCell ref="C14:E14"/>
    <mergeCell ref="C15:E15"/>
    <mergeCell ref="R16:T16"/>
    <mergeCell ref="C12:E12"/>
    <mergeCell ref="C13:E13"/>
    <mergeCell ref="C7:E7"/>
    <mergeCell ref="C8:E8"/>
    <mergeCell ref="C9:E9"/>
    <mergeCell ref="C10:E10"/>
    <mergeCell ref="C11:E11"/>
    <mergeCell ref="B1:F4"/>
    <mergeCell ref="N6:R6"/>
    <mergeCell ref="G1:W1"/>
    <mergeCell ref="G5:R5"/>
    <mergeCell ref="G4:W4"/>
    <mergeCell ref="G2:W3"/>
    <mergeCell ref="G6:M6"/>
    <mergeCell ref="S5:T5"/>
    <mergeCell ref="U5:Y5"/>
    <mergeCell ref="W6:Y6"/>
    <mergeCell ref="B5:B6"/>
    <mergeCell ref="C5:C6"/>
    <mergeCell ref="D5:F6"/>
  </mergeCells>
  <phoneticPr fontId="51" type="noConversion"/>
  <conditionalFormatting sqref="G8:W15">
    <cfRule type="cellIs" dxfId="86" priority="29" operator="equal">
      <formula>"NO CUMPLE"</formula>
    </cfRule>
    <cfRule type="cellIs" dxfId="85" priority="30" operator="equal">
      <formula>"RECHAZADO"</formula>
    </cfRule>
  </conditionalFormatting>
  <conditionalFormatting sqref="Y11:Y14">
    <cfRule type="cellIs" dxfId="84" priority="19" operator="equal">
      <formula>"NO CUMPLE"</formula>
    </cfRule>
    <cfRule type="cellIs" dxfId="83" priority="20" operator="equal">
      <formula>"RECHAZADO"</formula>
    </cfRule>
  </conditionalFormatting>
  <conditionalFormatting sqref="Y9:Y10">
    <cfRule type="cellIs" dxfId="82" priority="5" operator="equal">
      <formula>"NO CUMPLE"</formula>
    </cfRule>
    <cfRule type="cellIs" dxfId="81" priority="6" operator="equal">
      <formula>"RECHAZADO"</formula>
    </cfRule>
  </conditionalFormatting>
  <conditionalFormatting sqref="X9:X14">
    <cfRule type="cellIs" dxfId="80" priority="1" operator="equal">
      <formula>"NO CUMPLE"</formula>
    </cfRule>
    <cfRule type="cellIs" dxfId="79" priority="2" operator="equal">
      <formula>"RECHAZADO"</formula>
    </cfRule>
  </conditionalFormatting>
  <dataValidations count="1">
    <dataValidation type="list" allowBlank="1" showInputMessage="1" showErrorMessage="1" sqref="F8:F15" xr:uid="{251736AB-11A6-C54E-B8CC-22AB323B3155}">
      <formula1>"SI,NO"</formula1>
    </dataValidation>
  </dataValidations>
  <pageMargins left="0.7" right="0.7" top="0.75" bottom="0.75" header="0.3" footer="0.3"/>
  <pageSetup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F5B89-1501-48ED-99BA-1F0E2617E3B7}">
  <sheetPr>
    <tabColor rgb="FF50F828"/>
  </sheetPr>
  <dimension ref="A1:U994"/>
  <sheetViews>
    <sheetView topLeftCell="A43" zoomScale="70" zoomScaleNormal="70" workbookViewId="0">
      <selection activeCell="P42" sqref="P42"/>
    </sheetView>
  </sheetViews>
  <sheetFormatPr baseColWidth="10" defaultColWidth="14.5703125" defaultRowHeight="15" customHeight="1"/>
  <cols>
    <col min="1" max="1" width="17.42578125" style="3" customWidth="1"/>
    <col min="2" max="2" width="12.7109375" style="3" customWidth="1"/>
    <col min="3" max="3" width="15.85546875" style="3" customWidth="1"/>
    <col min="4" max="4" width="24.140625" style="3" customWidth="1"/>
    <col min="5" max="5" width="52.140625" style="3" customWidth="1"/>
    <col min="6" max="6" width="49.5703125" style="3" customWidth="1"/>
    <col min="7" max="7" width="15.28515625" style="3" customWidth="1"/>
    <col min="8" max="8" width="13.140625" style="3" customWidth="1"/>
    <col min="9" max="9" width="15.42578125" style="3" customWidth="1"/>
    <col min="10" max="10" width="27.42578125" style="3" customWidth="1"/>
    <col min="11" max="11" width="19.140625" style="3" customWidth="1"/>
    <col min="12" max="12" width="20.28515625" style="3" bestFit="1" customWidth="1"/>
    <col min="13" max="13" width="23.5703125" style="3" bestFit="1" customWidth="1"/>
    <col min="14" max="14" width="15.42578125" style="3" customWidth="1"/>
    <col min="15" max="15" width="14.85546875" style="3" customWidth="1"/>
    <col min="16" max="16" width="26" style="3" customWidth="1"/>
    <col min="17" max="17" width="6.140625" style="1" bestFit="1" customWidth="1"/>
    <col min="18" max="18" width="10" style="2" bestFit="1" customWidth="1"/>
    <col min="19" max="16384" width="14.5703125" style="3"/>
  </cols>
  <sheetData>
    <row r="1" spans="1:21" ht="25.5">
      <c r="A1" s="209" t="s">
        <v>38</v>
      </c>
      <c r="B1" s="210"/>
      <c r="C1" s="210"/>
      <c r="D1" s="210"/>
      <c r="E1" s="210"/>
      <c r="F1" s="210"/>
      <c r="G1" s="210"/>
      <c r="H1" s="210"/>
      <c r="I1" s="210"/>
      <c r="J1" s="210"/>
      <c r="K1" s="210"/>
      <c r="L1" s="210"/>
      <c r="M1" s="210"/>
      <c r="N1" s="210"/>
      <c r="O1" s="210"/>
      <c r="P1" s="211"/>
    </row>
    <row r="2" spans="1:21" ht="25.5">
      <c r="A2" s="212" t="str">
        <f>+RESUMEN!C5</f>
        <v>24001216 H3 DE 2024</v>
      </c>
      <c r="B2" s="213"/>
      <c r="C2" s="213"/>
      <c r="D2" s="213"/>
      <c r="E2" s="213"/>
      <c r="F2" s="213"/>
      <c r="G2" s="213"/>
      <c r="H2" s="213"/>
      <c r="I2" s="213"/>
      <c r="J2" s="213"/>
      <c r="K2" s="213"/>
      <c r="L2" s="213"/>
      <c r="M2" s="213"/>
      <c r="N2" s="213"/>
      <c r="O2" s="213"/>
      <c r="P2" s="214"/>
    </row>
    <row r="3" spans="1:21" ht="60" customHeight="1">
      <c r="A3" s="215" t="str">
        <f>+RESUMEN!G5</f>
        <v>REALIZAR MANTENIMIENTO A LOS SISTEMAS UPS DEL CENTRO DE GESTION AERONAUTICA
DE COLOMBIA CGAC, INCLUYE RENOVAR BANCOS DE BATERÍAS POR LOTES. (VIGENCIA FUTURA).</v>
      </c>
      <c r="B3" s="216"/>
      <c r="C3" s="216"/>
      <c r="D3" s="216"/>
      <c r="E3" s="216"/>
      <c r="F3" s="216"/>
      <c r="G3" s="216"/>
      <c r="H3" s="216"/>
      <c r="I3" s="216"/>
      <c r="J3" s="217"/>
      <c r="K3" s="217"/>
      <c r="L3" s="217"/>
      <c r="M3" s="217"/>
      <c r="N3" s="217"/>
      <c r="O3" s="217"/>
      <c r="P3" s="218"/>
    </row>
    <row r="4" spans="1:21" s="6" customFormat="1" ht="19.5" customHeight="1">
      <c r="A4" s="219">
        <f>+RESUMEN!B15</f>
        <v>1</v>
      </c>
      <c r="B4" s="222" t="str">
        <f>+RESUMEN!C15</f>
        <v>UT COMWSDT UPS</v>
      </c>
      <c r="C4" s="223"/>
      <c r="D4" s="223"/>
      <c r="E4" s="223"/>
      <c r="F4" s="223"/>
      <c r="G4" s="223"/>
      <c r="H4" s="223"/>
      <c r="I4" s="223"/>
      <c r="J4" s="227" t="s">
        <v>39</v>
      </c>
      <c r="K4" s="228"/>
      <c r="L4" s="228"/>
      <c r="M4" s="228"/>
      <c r="N4" s="228"/>
      <c r="O4" s="229"/>
      <c r="P4" s="28" t="s">
        <v>40</v>
      </c>
      <c r="Q4" s="4"/>
      <c r="R4" s="5"/>
    </row>
    <row r="5" spans="1:21" s="6" customFormat="1" ht="19.5" customHeight="1">
      <c r="A5" s="220"/>
      <c r="B5" s="224"/>
      <c r="C5" s="225"/>
      <c r="D5" s="225"/>
      <c r="E5" s="225"/>
      <c r="F5" s="225"/>
      <c r="G5" s="225"/>
      <c r="H5" s="225"/>
      <c r="I5" s="225"/>
      <c r="J5" s="230" t="s">
        <v>41</v>
      </c>
      <c r="K5" s="231"/>
      <c r="L5" s="231"/>
      <c r="M5" s="231"/>
      <c r="N5" s="231"/>
      <c r="O5" s="232"/>
      <c r="P5" s="76">
        <v>0.56999999999999995</v>
      </c>
      <c r="Q5" s="4"/>
      <c r="R5" s="5"/>
      <c r="S5" s="50"/>
      <c r="T5" s="50"/>
      <c r="U5" s="50"/>
    </row>
    <row r="6" spans="1:21" s="6" customFormat="1" ht="19.5" customHeight="1">
      <c r="A6" s="220"/>
      <c r="B6" s="224"/>
      <c r="C6" s="225"/>
      <c r="D6" s="225"/>
      <c r="E6" s="225"/>
      <c r="F6" s="225"/>
      <c r="G6" s="225"/>
      <c r="H6" s="225"/>
      <c r="I6" s="225"/>
      <c r="J6" s="230" t="s">
        <v>42</v>
      </c>
      <c r="K6" s="231"/>
      <c r="L6" s="231"/>
      <c r="M6" s="231"/>
      <c r="N6" s="231"/>
      <c r="O6" s="232"/>
      <c r="P6" s="76">
        <v>0.43</v>
      </c>
      <c r="Q6" s="4"/>
      <c r="R6" s="5"/>
      <c r="S6" s="50"/>
      <c r="T6" s="50"/>
      <c r="U6" s="50"/>
    </row>
    <row r="7" spans="1:21" s="6" customFormat="1" ht="19.5" customHeight="1">
      <c r="A7" s="220"/>
      <c r="B7" s="224"/>
      <c r="C7" s="225"/>
      <c r="D7" s="225"/>
      <c r="E7" s="225"/>
      <c r="F7" s="225"/>
      <c r="G7" s="225"/>
      <c r="H7" s="225"/>
      <c r="I7" s="225"/>
      <c r="J7" s="230"/>
      <c r="K7" s="231"/>
      <c r="L7" s="231"/>
      <c r="M7" s="231"/>
      <c r="N7" s="231"/>
      <c r="O7" s="232"/>
      <c r="P7" s="76"/>
      <c r="Q7" s="4"/>
      <c r="R7" s="5"/>
      <c r="S7" s="50"/>
      <c r="T7" s="50"/>
      <c r="U7" s="50"/>
    </row>
    <row r="8" spans="1:21" s="6" customFormat="1" ht="19.5" customHeight="1">
      <c r="A8" s="220"/>
      <c r="B8" s="224"/>
      <c r="C8" s="225"/>
      <c r="D8" s="225"/>
      <c r="E8" s="225"/>
      <c r="F8" s="225"/>
      <c r="G8" s="225"/>
      <c r="H8" s="225"/>
      <c r="I8" s="225"/>
      <c r="J8" s="230"/>
      <c r="K8" s="231"/>
      <c r="L8" s="231"/>
      <c r="M8" s="231"/>
      <c r="N8" s="231"/>
      <c r="O8" s="232"/>
      <c r="P8" s="76"/>
      <c r="Q8" s="4"/>
      <c r="R8" s="5"/>
    </row>
    <row r="9" spans="1:21" s="6" customFormat="1" ht="21" customHeight="1">
      <c r="A9" s="221"/>
      <c r="B9" s="224"/>
      <c r="C9" s="225"/>
      <c r="D9" s="225"/>
      <c r="E9" s="225"/>
      <c r="F9" s="225"/>
      <c r="G9" s="225"/>
      <c r="H9" s="225"/>
      <c r="I9" s="226"/>
      <c r="J9" s="233" t="s">
        <v>43</v>
      </c>
      <c r="K9" s="234"/>
      <c r="L9" s="234"/>
      <c r="M9" s="234"/>
      <c r="N9" s="234"/>
      <c r="O9" s="235"/>
      <c r="P9" s="29">
        <f>SUM(P5:P8)</f>
        <v>1</v>
      </c>
      <c r="Q9" s="7"/>
      <c r="R9" s="5"/>
    </row>
    <row r="10" spans="1:21" s="6" customFormat="1" ht="65.25" customHeight="1">
      <c r="A10" s="66" t="s">
        <v>44</v>
      </c>
      <c r="B10" s="236" t="s">
        <v>45</v>
      </c>
      <c r="C10" s="236"/>
      <c r="D10" s="237" t="s">
        <v>46</v>
      </c>
      <c r="E10" s="237"/>
      <c r="F10" s="237"/>
      <c r="G10" s="237"/>
      <c r="H10" s="237"/>
      <c r="I10" s="237"/>
      <c r="J10" s="238">
        <f>RESUMEN!U5</f>
        <v>1927454798</v>
      </c>
      <c r="K10" s="239"/>
      <c r="L10" s="240" t="s">
        <v>47</v>
      </c>
      <c r="M10" s="241"/>
      <c r="N10" s="67">
        <f>P69</f>
        <v>30</v>
      </c>
      <c r="O10" s="68" t="s">
        <v>48</v>
      </c>
      <c r="P10" s="69">
        <f>J10/'Serie Historica SMMLV'!C47</f>
        <v>1482.657536923077</v>
      </c>
      <c r="Q10" s="8"/>
      <c r="R10" s="5"/>
      <c r="T10" s="43"/>
    </row>
    <row r="11" spans="1:21" s="6" customFormat="1" ht="26.25">
      <c r="A11" s="207" t="s">
        <v>49</v>
      </c>
      <c r="B11" s="208"/>
      <c r="C11" s="208"/>
      <c r="D11" s="208"/>
      <c r="E11" s="208"/>
      <c r="F11" s="208"/>
      <c r="G11" s="208"/>
      <c r="H11" s="208"/>
      <c r="I11" s="208"/>
      <c r="J11" s="208"/>
      <c r="K11" s="208"/>
      <c r="L11" s="208"/>
      <c r="M11" s="208"/>
      <c r="N11" s="208"/>
      <c r="O11" s="208"/>
      <c r="P11" s="208"/>
      <c r="Q11" s="4"/>
      <c r="R11" s="5"/>
    </row>
    <row r="12" spans="1:21" s="6" customFormat="1" ht="26.25">
      <c r="A12" s="244" t="s">
        <v>11</v>
      </c>
      <c r="B12" s="244"/>
      <c r="C12" s="244"/>
      <c r="D12" s="244"/>
      <c r="E12" s="244"/>
      <c r="F12" s="244"/>
      <c r="G12" s="244"/>
      <c r="H12" s="244"/>
      <c r="I12" s="244"/>
      <c r="J12" s="244"/>
      <c r="K12" s="244"/>
      <c r="L12" s="244"/>
      <c r="M12" s="244"/>
      <c r="N12" s="244"/>
      <c r="O12" s="245" t="s">
        <v>50</v>
      </c>
      <c r="P12" s="245"/>
      <c r="Q12" s="4"/>
      <c r="R12" s="5"/>
    </row>
    <row r="13" spans="1:21" s="6" customFormat="1" ht="115.7" customHeight="1">
      <c r="A13" s="246" t="s">
        <v>51</v>
      </c>
      <c r="B13" s="246"/>
      <c r="C13" s="246"/>
      <c r="D13" s="246"/>
      <c r="E13" s="246"/>
      <c r="F13" s="246"/>
      <c r="G13" s="246"/>
      <c r="H13" s="246"/>
      <c r="I13" s="246"/>
      <c r="J13" s="246"/>
      <c r="K13" s="246"/>
      <c r="L13" s="246"/>
      <c r="M13" s="246"/>
      <c r="N13" s="246"/>
      <c r="O13" s="247" t="str">
        <f>IF(AND(O21&gt;=$P$10,O21&lt;&gt;0),"CUMPLE", "NO CUMPLE")</f>
        <v>CUMPLE</v>
      </c>
      <c r="P13" s="247"/>
      <c r="Q13" s="4"/>
      <c r="R13" s="5"/>
    </row>
    <row r="14" spans="1:21" s="6" customFormat="1" ht="102" customHeight="1">
      <c r="A14" s="81" t="s">
        <v>52</v>
      </c>
      <c r="B14" s="81" t="s">
        <v>53</v>
      </c>
      <c r="C14" s="81" t="s">
        <v>54</v>
      </c>
      <c r="D14" s="81" t="s">
        <v>55</v>
      </c>
      <c r="E14" s="248" t="s">
        <v>3</v>
      </c>
      <c r="F14" s="248"/>
      <c r="G14" s="81" t="s">
        <v>56</v>
      </c>
      <c r="H14" s="81" t="str">
        <f>"CUMPLE CODIGOS?
"&amp;B10</f>
        <v>CUMPLE CODIGOS?
72151500
81101700
26111700</v>
      </c>
      <c r="I14" s="81" t="s">
        <v>57</v>
      </c>
      <c r="J14" s="81" t="s">
        <v>58</v>
      </c>
      <c r="K14" s="81" t="s">
        <v>59</v>
      </c>
      <c r="L14" s="81" t="s">
        <v>60</v>
      </c>
      <c r="M14" s="81" t="s">
        <v>61</v>
      </c>
      <c r="N14" s="81" t="s">
        <v>62</v>
      </c>
      <c r="O14" s="81" t="s">
        <v>63</v>
      </c>
      <c r="P14" s="81" t="s">
        <v>64</v>
      </c>
      <c r="Q14" s="9"/>
      <c r="R14" s="10"/>
    </row>
    <row r="15" spans="1:21" s="6" customFormat="1" ht="51">
      <c r="A15" s="249">
        <f>+P10</f>
        <v>1482.657536923077</v>
      </c>
      <c r="B15" s="47" t="s">
        <v>65</v>
      </c>
      <c r="C15" s="63">
        <v>160</v>
      </c>
      <c r="D15" s="82" t="s">
        <v>66</v>
      </c>
      <c r="E15" s="250" t="s">
        <v>67</v>
      </c>
      <c r="F15" s="250"/>
      <c r="G15" s="70" t="s">
        <v>30</v>
      </c>
      <c r="H15" s="70" t="s">
        <v>30</v>
      </c>
      <c r="I15" s="70" t="s">
        <v>30</v>
      </c>
      <c r="J15" s="71" t="s">
        <v>42</v>
      </c>
      <c r="K15" s="59" t="s">
        <v>68</v>
      </c>
      <c r="L15" s="60">
        <v>1921764312</v>
      </c>
      <c r="M15" s="61">
        <v>3119.75</v>
      </c>
      <c r="N15" s="62">
        <v>1</v>
      </c>
      <c r="O15" s="38">
        <f>IF(AND(H15="SI",I15="SI")=TRUE,M15*N15,"")</f>
        <v>3119.75</v>
      </c>
      <c r="P15" s="65" t="s">
        <v>69</v>
      </c>
      <c r="Q15" s="11"/>
      <c r="R15" s="5"/>
    </row>
    <row r="16" spans="1:21" s="31" customFormat="1" ht="51">
      <c r="A16" s="249"/>
      <c r="B16" s="47" t="s">
        <v>70</v>
      </c>
      <c r="C16" s="63">
        <v>159</v>
      </c>
      <c r="D16" s="82" t="s">
        <v>71</v>
      </c>
      <c r="E16" s="250" t="s">
        <v>72</v>
      </c>
      <c r="F16" s="250"/>
      <c r="G16" s="70" t="s">
        <v>30</v>
      </c>
      <c r="H16" s="70" t="s">
        <v>30</v>
      </c>
      <c r="I16" s="70" t="s">
        <v>30</v>
      </c>
      <c r="J16" s="71" t="s">
        <v>42</v>
      </c>
      <c r="K16" s="59" t="s">
        <v>73</v>
      </c>
      <c r="L16" s="60">
        <v>378332925</v>
      </c>
      <c r="M16" s="61">
        <v>641.79</v>
      </c>
      <c r="N16" s="62">
        <v>1</v>
      </c>
      <c r="O16" s="38">
        <f t="shared" ref="O16:O20" si="0">IF(AND(H16="SI",I16="SI")=TRUE,M16*N16,"")</f>
        <v>641.79</v>
      </c>
      <c r="P16" s="65" t="s">
        <v>69</v>
      </c>
      <c r="Q16" s="36"/>
      <c r="R16" s="30"/>
    </row>
    <row r="17" spans="1:19" s="6" customFormat="1" ht="49.5" customHeight="1">
      <c r="A17" s="249"/>
      <c r="B17" s="47" t="s">
        <v>74</v>
      </c>
      <c r="C17" s="63">
        <v>64</v>
      </c>
      <c r="D17" s="82" t="s">
        <v>75</v>
      </c>
      <c r="E17" s="250" t="s">
        <v>76</v>
      </c>
      <c r="F17" s="250"/>
      <c r="G17" s="70" t="s">
        <v>30</v>
      </c>
      <c r="H17" s="70" t="s">
        <v>30</v>
      </c>
      <c r="I17" s="70" t="s">
        <v>30</v>
      </c>
      <c r="J17" s="71" t="s">
        <v>42</v>
      </c>
      <c r="K17" s="59" t="s">
        <v>77</v>
      </c>
      <c r="L17" s="60">
        <v>4541822127.9200001</v>
      </c>
      <c r="M17" s="61">
        <v>7704.53</v>
      </c>
      <c r="N17" s="62">
        <v>1</v>
      </c>
      <c r="O17" s="38">
        <f t="shared" si="0"/>
        <v>7704.53</v>
      </c>
      <c r="P17" s="65" t="s">
        <v>69</v>
      </c>
      <c r="Q17" s="11"/>
      <c r="R17" s="5"/>
    </row>
    <row r="18" spans="1:19" s="6" customFormat="1" ht="25.5">
      <c r="A18" s="249"/>
      <c r="B18" s="47" t="s">
        <v>78</v>
      </c>
      <c r="C18" s="70">
        <v>305</v>
      </c>
      <c r="D18" s="82" t="s">
        <v>79</v>
      </c>
      <c r="E18" s="251" t="s">
        <v>80</v>
      </c>
      <c r="F18" s="251"/>
      <c r="G18" s="57" t="s">
        <v>30</v>
      </c>
      <c r="H18" s="70" t="s">
        <v>30</v>
      </c>
      <c r="I18" s="57" t="s">
        <v>30</v>
      </c>
      <c r="J18" s="84" t="s">
        <v>42</v>
      </c>
      <c r="K18" s="59" t="s">
        <v>81</v>
      </c>
      <c r="L18" s="60">
        <v>1187898472.4100001</v>
      </c>
      <c r="M18" s="61">
        <v>2653.45</v>
      </c>
      <c r="N18" s="62">
        <v>0.51</v>
      </c>
      <c r="O18" s="38">
        <f t="shared" si="0"/>
        <v>1353.2594999999999</v>
      </c>
      <c r="P18" s="65" t="s">
        <v>69</v>
      </c>
      <c r="Q18" s="11"/>
      <c r="R18" s="5"/>
    </row>
    <row r="19" spans="1:19" s="6" customFormat="1" ht="18">
      <c r="A19" s="249"/>
      <c r="B19" s="47" t="s">
        <v>82</v>
      </c>
      <c r="C19" s="70"/>
      <c r="D19" s="82"/>
      <c r="E19" s="251"/>
      <c r="F19" s="251"/>
      <c r="G19" s="57"/>
      <c r="H19" s="57"/>
      <c r="I19" s="57"/>
      <c r="J19" s="84"/>
      <c r="K19" s="59"/>
      <c r="L19" s="60"/>
      <c r="M19" s="61"/>
      <c r="N19" s="62"/>
      <c r="O19" s="38" t="str">
        <f t="shared" si="0"/>
        <v/>
      </c>
      <c r="P19" s="65"/>
      <c r="Q19" s="11"/>
      <c r="R19" s="5"/>
    </row>
    <row r="20" spans="1:19" s="6" customFormat="1" ht="18">
      <c r="A20" s="249"/>
      <c r="B20" s="47" t="s">
        <v>83</v>
      </c>
      <c r="C20" s="70"/>
      <c r="D20" s="82"/>
      <c r="E20" s="251"/>
      <c r="F20" s="251"/>
      <c r="G20" s="57"/>
      <c r="H20" s="57"/>
      <c r="I20" s="57"/>
      <c r="J20" s="84"/>
      <c r="K20" s="59"/>
      <c r="L20" s="60"/>
      <c r="M20" s="61"/>
      <c r="N20" s="62"/>
      <c r="O20" s="38" t="str">
        <f t="shared" si="0"/>
        <v/>
      </c>
      <c r="P20" s="65"/>
      <c r="Q20" s="11"/>
      <c r="R20" s="5"/>
    </row>
    <row r="21" spans="1:19" s="6" customFormat="1" ht="26.25">
      <c r="A21" s="252"/>
      <c r="B21" s="253"/>
      <c r="C21" s="253"/>
      <c r="D21" s="253"/>
      <c r="E21" s="253"/>
      <c r="F21" s="253"/>
      <c r="G21" s="253"/>
      <c r="H21" s="253"/>
      <c r="I21" s="253"/>
      <c r="J21" s="254"/>
      <c r="K21" s="255" t="s">
        <v>84</v>
      </c>
      <c r="L21" s="256"/>
      <c r="M21" s="256"/>
      <c r="N21" s="257"/>
      <c r="O21" s="242">
        <f>SUMIF(P15:P20,"CUMPLE",O15:O20)</f>
        <v>12819.3295</v>
      </c>
      <c r="P21" s="242"/>
      <c r="Q21" s="11"/>
      <c r="R21" s="5"/>
      <c r="S21" s="44"/>
    </row>
    <row r="22" spans="1:19" s="6" customFormat="1" ht="93" customHeight="1">
      <c r="A22" s="20" t="s">
        <v>85</v>
      </c>
      <c r="B22" s="243"/>
      <c r="C22" s="243"/>
      <c r="D22" s="243"/>
      <c r="E22" s="243"/>
      <c r="F22" s="243"/>
      <c r="G22" s="243"/>
      <c r="H22" s="243"/>
      <c r="I22" s="243"/>
      <c r="J22" s="243"/>
      <c r="K22" s="243"/>
      <c r="L22" s="243"/>
      <c r="M22" s="243"/>
      <c r="N22" s="243"/>
      <c r="O22" s="243"/>
      <c r="P22" s="243"/>
      <c r="Q22" s="11"/>
      <c r="R22" s="5"/>
    </row>
    <row r="23" spans="1:19" s="54" customFormat="1" ht="26.25">
      <c r="A23" s="258" t="s">
        <v>12</v>
      </c>
      <c r="B23" s="259"/>
      <c r="C23" s="259"/>
      <c r="D23" s="259"/>
      <c r="E23" s="259"/>
      <c r="F23" s="259"/>
      <c r="G23" s="259"/>
      <c r="H23" s="259"/>
      <c r="I23" s="259"/>
      <c r="J23" s="259"/>
      <c r="K23" s="259"/>
      <c r="L23" s="259"/>
      <c r="M23" s="259"/>
      <c r="N23" s="259"/>
      <c r="O23" s="245" t="s">
        <v>50</v>
      </c>
      <c r="P23" s="245"/>
      <c r="Q23" s="52"/>
      <c r="R23" s="53"/>
    </row>
    <row r="24" spans="1:19" s="6" customFormat="1" ht="168.95" customHeight="1">
      <c r="A24" s="260" t="s">
        <v>86</v>
      </c>
      <c r="B24" s="260"/>
      <c r="C24" s="260"/>
      <c r="D24" s="260"/>
      <c r="E24" s="260"/>
      <c r="F24" s="260"/>
      <c r="G24" s="260"/>
      <c r="H24" s="260"/>
      <c r="I24" s="260"/>
      <c r="J24" s="260"/>
      <c r="K24" s="260"/>
      <c r="L24" s="260"/>
      <c r="M24" s="260"/>
      <c r="N24" s="260"/>
      <c r="O24" s="247" t="str">
        <f>IF(AND(O32&gt;=$P$10,O32&lt;&gt;0),"CUMPLE","NO CUMPLE")</f>
        <v>CUMPLE</v>
      </c>
      <c r="P24" s="247"/>
      <c r="Q24" s="12"/>
      <c r="R24" s="5"/>
    </row>
    <row r="25" spans="1:19" s="6" customFormat="1" ht="76.5">
      <c r="A25" s="51" t="s">
        <v>87</v>
      </c>
      <c r="B25" s="81" t="s">
        <v>53</v>
      </c>
      <c r="C25" s="81" t="s">
        <v>54</v>
      </c>
      <c r="D25" s="81" t="s">
        <v>55</v>
      </c>
      <c r="E25" s="248" t="s">
        <v>3</v>
      </c>
      <c r="F25" s="248"/>
      <c r="G25" s="81" t="s">
        <v>88</v>
      </c>
      <c r="H25" s="81" t="s">
        <v>89</v>
      </c>
      <c r="I25" s="81" t="s">
        <v>90</v>
      </c>
      <c r="J25" s="81" t="s">
        <v>58</v>
      </c>
      <c r="K25" s="81" t="s">
        <v>59</v>
      </c>
      <c r="L25" s="81" t="s">
        <v>91</v>
      </c>
      <c r="M25" s="81" t="s">
        <v>61</v>
      </c>
      <c r="N25" s="81" t="s">
        <v>62</v>
      </c>
      <c r="O25" s="81" t="s">
        <v>63</v>
      </c>
      <c r="P25" s="81" t="s">
        <v>64</v>
      </c>
      <c r="Q25" s="9"/>
      <c r="R25" s="10"/>
    </row>
    <row r="26" spans="1:19" s="6" customFormat="1" ht="51">
      <c r="A26" s="25">
        <v>1</v>
      </c>
      <c r="B26" s="47" t="s">
        <v>65</v>
      </c>
      <c r="C26" s="63">
        <v>160</v>
      </c>
      <c r="D26" s="82" t="s">
        <v>66</v>
      </c>
      <c r="E26" s="250" t="s">
        <v>67</v>
      </c>
      <c r="F26" s="250"/>
      <c r="G26" s="57" t="s">
        <v>28</v>
      </c>
      <c r="H26" s="57" t="s">
        <v>30</v>
      </c>
      <c r="I26" s="57" t="s">
        <v>30</v>
      </c>
      <c r="J26" s="84" t="s">
        <v>42</v>
      </c>
      <c r="K26" s="59" t="s">
        <v>68</v>
      </c>
      <c r="L26" s="60">
        <v>1921764312</v>
      </c>
      <c r="M26" s="61">
        <v>3119.75</v>
      </c>
      <c r="N26" s="62">
        <v>1</v>
      </c>
      <c r="O26" s="38">
        <f t="shared" ref="O26:O31" si="1">IF(AND(H26="SI",I26="SI")=TRUE,M26*N26,"")</f>
        <v>3119.75</v>
      </c>
      <c r="P26" s="65" t="s">
        <v>69</v>
      </c>
      <c r="Q26" s="11"/>
      <c r="R26" s="5"/>
    </row>
    <row r="27" spans="1:19" s="31" customFormat="1" ht="51">
      <c r="A27" s="37">
        <v>2</v>
      </c>
      <c r="B27" s="47" t="s">
        <v>70</v>
      </c>
      <c r="C27" s="63">
        <v>159</v>
      </c>
      <c r="D27" s="82" t="s">
        <v>71</v>
      </c>
      <c r="E27" s="250" t="s">
        <v>72</v>
      </c>
      <c r="F27" s="250"/>
      <c r="G27" s="84" t="s">
        <v>28</v>
      </c>
      <c r="H27" s="57" t="s">
        <v>30</v>
      </c>
      <c r="I27" s="84" t="s">
        <v>30</v>
      </c>
      <c r="J27" s="84" t="s">
        <v>42</v>
      </c>
      <c r="K27" s="59" t="s">
        <v>73</v>
      </c>
      <c r="L27" s="60">
        <v>0</v>
      </c>
      <c r="M27" s="61">
        <v>0</v>
      </c>
      <c r="N27" s="62">
        <v>0</v>
      </c>
      <c r="O27" s="38">
        <v>0</v>
      </c>
      <c r="P27" s="65" t="s">
        <v>92</v>
      </c>
      <c r="Q27" s="36"/>
      <c r="R27" s="30"/>
    </row>
    <row r="28" spans="1:19" s="40" customFormat="1" ht="18">
      <c r="A28" s="25">
        <v>3</v>
      </c>
      <c r="B28" s="47" t="s">
        <v>74</v>
      </c>
      <c r="C28" s="84"/>
      <c r="D28" s="83"/>
      <c r="E28" s="251"/>
      <c r="F28" s="251"/>
      <c r="G28" s="57"/>
      <c r="H28" s="57"/>
      <c r="I28" s="57"/>
      <c r="J28" s="84"/>
      <c r="K28" s="59"/>
      <c r="L28" s="60"/>
      <c r="M28" s="61"/>
      <c r="N28" s="62"/>
      <c r="O28" s="38" t="str">
        <f t="shared" si="1"/>
        <v/>
      </c>
      <c r="P28" s="65"/>
      <c r="Q28" s="11"/>
      <c r="R28" s="39"/>
    </row>
    <row r="29" spans="1:19" s="42" customFormat="1" ht="18">
      <c r="A29" s="37">
        <v>4</v>
      </c>
      <c r="B29" s="47" t="s">
        <v>78</v>
      </c>
      <c r="C29" s="57"/>
      <c r="D29" s="83"/>
      <c r="E29" s="251"/>
      <c r="F29" s="251"/>
      <c r="G29" s="57"/>
      <c r="H29" s="84"/>
      <c r="I29" s="57"/>
      <c r="J29" s="84"/>
      <c r="K29" s="59"/>
      <c r="L29" s="60"/>
      <c r="M29" s="61"/>
      <c r="N29" s="62"/>
      <c r="O29" s="38" t="str">
        <f t="shared" si="1"/>
        <v/>
      </c>
      <c r="P29" s="65"/>
      <c r="Q29" s="36"/>
      <c r="R29" s="41"/>
    </row>
    <row r="30" spans="1:19" s="40" customFormat="1" ht="18">
      <c r="A30" s="25">
        <v>5</v>
      </c>
      <c r="B30" s="47" t="s">
        <v>82</v>
      </c>
      <c r="C30" s="84"/>
      <c r="D30" s="64"/>
      <c r="E30" s="251"/>
      <c r="F30" s="251"/>
      <c r="G30" s="84"/>
      <c r="H30" s="84"/>
      <c r="I30" s="84"/>
      <c r="J30" s="84"/>
      <c r="K30" s="59"/>
      <c r="L30" s="60"/>
      <c r="M30" s="61"/>
      <c r="N30" s="62"/>
      <c r="O30" s="38" t="str">
        <f t="shared" si="1"/>
        <v/>
      </c>
      <c r="P30" s="65"/>
      <c r="Q30" s="11"/>
      <c r="R30" s="39"/>
    </row>
    <row r="31" spans="1:19" s="6" customFormat="1" ht="18">
      <c r="A31" s="37">
        <v>6</v>
      </c>
      <c r="B31" s="47" t="s">
        <v>83</v>
      </c>
      <c r="C31" s="84"/>
      <c r="D31" s="82"/>
      <c r="E31" s="250"/>
      <c r="F31" s="250"/>
      <c r="G31" s="84"/>
      <c r="H31" s="84"/>
      <c r="I31" s="84"/>
      <c r="J31" s="63"/>
      <c r="K31" s="59"/>
      <c r="L31" s="60"/>
      <c r="M31" s="61"/>
      <c r="N31" s="62"/>
      <c r="O31" s="38" t="str">
        <f t="shared" si="1"/>
        <v/>
      </c>
      <c r="P31" s="65"/>
      <c r="Q31" s="11"/>
      <c r="R31" s="46"/>
    </row>
    <row r="32" spans="1:19" s="6" customFormat="1" ht="26.25">
      <c r="A32" s="252"/>
      <c r="B32" s="253"/>
      <c r="C32" s="253"/>
      <c r="D32" s="253"/>
      <c r="E32" s="253"/>
      <c r="F32" s="253"/>
      <c r="G32" s="253"/>
      <c r="H32" s="253"/>
      <c r="I32" s="253"/>
      <c r="J32" s="254"/>
      <c r="K32" s="255" t="s">
        <v>84</v>
      </c>
      <c r="L32" s="256"/>
      <c r="M32" s="256"/>
      <c r="N32" s="257"/>
      <c r="O32" s="242">
        <f>SUMIF(P26:P31,"CUMPLE",O26:O31)</f>
        <v>3119.75</v>
      </c>
      <c r="P32" s="242"/>
      <c r="Q32" s="13"/>
      <c r="R32" s="5"/>
    </row>
    <row r="33" spans="1:18" s="6" customFormat="1" ht="218.1" customHeight="1">
      <c r="A33" s="261" t="s">
        <v>85</v>
      </c>
      <c r="B33" s="261"/>
      <c r="C33" s="262" t="s">
        <v>93</v>
      </c>
      <c r="D33" s="262"/>
      <c r="E33" s="262"/>
      <c r="F33" s="262"/>
      <c r="G33" s="262"/>
      <c r="H33" s="262"/>
      <c r="I33" s="262"/>
      <c r="J33" s="262"/>
      <c r="K33" s="262"/>
      <c r="L33" s="262"/>
      <c r="M33" s="262"/>
      <c r="N33" s="262"/>
      <c r="O33" s="262"/>
      <c r="P33" s="262"/>
      <c r="Q33" s="7"/>
      <c r="R33" s="45"/>
    </row>
    <row r="34" spans="1:18" s="6" customFormat="1" ht="26.25">
      <c r="A34" s="207" t="s">
        <v>94</v>
      </c>
      <c r="B34" s="208"/>
      <c r="C34" s="208"/>
      <c r="D34" s="208"/>
      <c r="E34" s="208"/>
      <c r="F34" s="208"/>
      <c r="G34" s="208"/>
      <c r="H34" s="208"/>
      <c r="I34" s="208"/>
      <c r="J34" s="208"/>
      <c r="K34" s="208"/>
      <c r="L34" s="208"/>
      <c r="M34" s="208"/>
      <c r="N34" s="208"/>
      <c r="O34" s="208"/>
      <c r="P34" s="208"/>
      <c r="Q34" s="13"/>
      <c r="R34" s="5"/>
    </row>
    <row r="35" spans="1:18" s="6" customFormat="1" ht="52.5">
      <c r="A35" s="258" t="s">
        <v>13</v>
      </c>
      <c r="B35" s="258"/>
      <c r="C35" s="258"/>
      <c r="D35" s="258"/>
      <c r="E35" s="258"/>
      <c r="F35" s="258"/>
      <c r="G35" s="258"/>
      <c r="H35" s="258"/>
      <c r="I35" s="258"/>
      <c r="J35" s="258"/>
      <c r="K35" s="258"/>
      <c r="L35" s="258"/>
      <c r="M35" s="258"/>
      <c r="N35" s="258"/>
      <c r="O35" s="258"/>
      <c r="P35" s="79" t="s">
        <v>50</v>
      </c>
      <c r="Q35" s="13"/>
      <c r="R35" s="5"/>
    </row>
    <row r="36" spans="1:18" s="6" customFormat="1" ht="74.45" customHeight="1">
      <c r="A36" s="265" t="s">
        <v>95</v>
      </c>
      <c r="B36" s="265"/>
      <c r="C36" s="265"/>
      <c r="D36" s="265"/>
      <c r="E36" s="265"/>
      <c r="F36" s="265"/>
      <c r="G36" s="265"/>
      <c r="H36" s="265"/>
      <c r="I36" s="265"/>
      <c r="J36" s="265"/>
      <c r="K36" s="265"/>
      <c r="L36" s="265"/>
      <c r="M36" s="265"/>
      <c r="N36" s="265"/>
      <c r="O36" s="265"/>
      <c r="P36" s="56" t="s">
        <v>69</v>
      </c>
      <c r="Q36" s="13"/>
      <c r="R36" s="5"/>
    </row>
    <row r="37" spans="1:18" s="6" customFormat="1" ht="35.450000000000003" customHeight="1">
      <c r="A37" s="261" t="s">
        <v>85</v>
      </c>
      <c r="B37" s="261"/>
      <c r="C37" s="266"/>
      <c r="D37" s="266"/>
      <c r="E37" s="266"/>
      <c r="F37" s="266"/>
      <c r="G37" s="266"/>
      <c r="H37" s="266"/>
      <c r="I37" s="266"/>
      <c r="J37" s="266"/>
      <c r="K37" s="266"/>
      <c r="L37" s="266"/>
      <c r="M37" s="266"/>
      <c r="N37" s="266"/>
      <c r="O37" s="266"/>
      <c r="P37" s="266"/>
      <c r="Q37" s="13"/>
      <c r="R37" s="5"/>
    </row>
    <row r="38" spans="1:18" s="6" customFormat="1" ht="52.5">
      <c r="A38" s="267" t="s">
        <v>14</v>
      </c>
      <c r="B38" s="258"/>
      <c r="C38" s="258"/>
      <c r="D38" s="258"/>
      <c r="E38" s="258"/>
      <c r="F38" s="258"/>
      <c r="G38" s="258"/>
      <c r="H38" s="258"/>
      <c r="I38" s="258"/>
      <c r="J38" s="258"/>
      <c r="K38" s="258"/>
      <c r="L38" s="258"/>
      <c r="M38" s="258"/>
      <c r="N38" s="258"/>
      <c r="O38" s="258"/>
      <c r="P38" s="79" t="s">
        <v>50</v>
      </c>
      <c r="Q38" s="13"/>
      <c r="R38" s="5"/>
    </row>
    <row r="39" spans="1:18" s="6" customFormat="1" ht="267.75" customHeight="1">
      <c r="A39" s="263" t="s">
        <v>96</v>
      </c>
      <c r="B39" s="264"/>
      <c r="C39" s="264"/>
      <c r="D39" s="264"/>
      <c r="E39" s="264"/>
      <c r="F39" s="264"/>
      <c r="G39" s="264"/>
      <c r="H39" s="264"/>
      <c r="I39" s="264"/>
      <c r="J39" s="264"/>
      <c r="K39" s="264"/>
      <c r="L39" s="264"/>
      <c r="M39" s="264"/>
      <c r="N39" s="264"/>
      <c r="O39" s="264"/>
      <c r="P39" s="56" t="s">
        <v>69</v>
      </c>
      <c r="Q39" s="13"/>
      <c r="R39" s="5"/>
    </row>
    <row r="40" spans="1:18" s="6" customFormat="1" ht="36.950000000000003" customHeight="1">
      <c r="A40" s="261" t="s">
        <v>85</v>
      </c>
      <c r="B40" s="261"/>
      <c r="C40" s="266"/>
      <c r="D40" s="266"/>
      <c r="E40" s="266"/>
      <c r="F40" s="266"/>
      <c r="G40" s="266"/>
      <c r="H40" s="266"/>
      <c r="I40" s="266"/>
      <c r="J40" s="266"/>
      <c r="K40" s="266"/>
      <c r="L40" s="266"/>
      <c r="M40" s="266"/>
      <c r="N40" s="266"/>
      <c r="O40" s="266"/>
      <c r="P40" s="266"/>
      <c r="Q40" s="13"/>
      <c r="R40" s="5"/>
    </row>
    <row r="41" spans="1:18" s="6" customFormat="1" ht="52.5">
      <c r="A41" s="267" t="s">
        <v>15</v>
      </c>
      <c r="B41" s="258"/>
      <c r="C41" s="258"/>
      <c r="D41" s="258"/>
      <c r="E41" s="258"/>
      <c r="F41" s="258"/>
      <c r="G41" s="258"/>
      <c r="H41" s="258"/>
      <c r="I41" s="258"/>
      <c r="J41" s="258"/>
      <c r="K41" s="258"/>
      <c r="L41" s="258"/>
      <c r="M41" s="258"/>
      <c r="N41" s="258"/>
      <c r="O41" s="258"/>
      <c r="P41" s="79" t="s">
        <v>50</v>
      </c>
      <c r="Q41" s="13"/>
      <c r="R41" s="5"/>
    </row>
    <row r="42" spans="1:18" s="6" customFormat="1" ht="85.5" customHeight="1">
      <c r="A42" s="263" t="s">
        <v>97</v>
      </c>
      <c r="B42" s="264"/>
      <c r="C42" s="264"/>
      <c r="D42" s="264"/>
      <c r="E42" s="264"/>
      <c r="F42" s="264"/>
      <c r="G42" s="264"/>
      <c r="H42" s="264"/>
      <c r="I42" s="264"/>
      <c r="J42" s="264"/>
      <c r="K42" s="264"/>
      <c r="L42" s="264"/>
      <c r="M42" s="264"/>
      <c r="N42" s="264"/>
      <c r="O42" s="264"/>
      <c r="P42" s="56" t="s">
        <v>69</v>
      </c>
      <c r="Q42" s="13"/>
      <c r="R42" s="5"/>
    </row>
    <row r="43" spans="1:18" s="6" customFormat="1" ht="408.95" customHeight="1">
      <c r="A43" s="261" t="s">
        <v>85</v>
      </c>
      <c r="B43" s="261"/>
      <c r="C43" s="268" t="s">
        <v>248</v>
      </c>
      <c r="D43" s="268"/>
      <c r="E43" s="268"/>
      <c r="F43" s="268"/>
      <c r="G43" s="268"/>
      <c r="H43" s="268"/>
      <c r="I43" s="268"/>
      <c r="J43" s="268"/>
      <c r="K43" s="268"/>
      <c r="L43" s="268"/>
      <c r="M43" s="268"/>
      <c r="N43" s="268"/>
      <c r="O43" s="268"/>
      <c r="P43" s="268"/>
      <c r="Q43" s="13"/>
      <c r="R43" s="5"/>
    </row>
    <row r="44" spans="1:18" s="6" customFormat="1" ht="52.5">
      <c r="A44" s="267" t="s">
        <v>16</v>
      </c>
      <c r="B44" s="258"/>
      <c r="C44" s="258"/>
      <c r="D44" s="258"/>
      <c r="E44" s="258"/>
      <c r="F44" s="258"/>
      <c r="G44" s="258"/>
      <c r="H44" s="258"/>
      <c r="I44" s="258"/>
      <c r="J44" s="258"/>
      <c r="K44" s="258"/>
      <c r="L44" s="258"/>
      <c r="M44" s="258"/>
      <c r="N44" s="258"/>
      <c r="O44" s="258"/>
      <c r="P44" s="79" t="s">
        <v>50</v>
      </c>
      <c r="Q44" s="13"/>
      <c r="R44" s="5"/>
    </row>
    <row r="45" spans="1:18" s="6" customFormat="1" ht="64.349999999999994" customHeight="1">
      <c r="A45" s="263" t="s">
        <v>98</v>
      </c>
      <c r="B45" s="264"/>
      <c r="C45" s="264"/>
      <c r="D45" s="264"/>
      <c r="E45" s="264"/>
      <c r="F45" s="264"/>
      <c r="G45" s="264"/>
      <c r="H45" s="264"/>
      <c r="I45" s="264"/>
      <c r="J45" s="264"/>
      <c r="K45" s="264"/>
      <c r="L45" s="264"/>
      <c r="M45" s="264"/>
      <c r="N45" s="264"/>
      <c r="O45" s="264"/>
      <c r="P45" s="56" t="s">
        <v>69</v>
      </c>
      <c r="Q45" s="13"/>
      <c r="R45" s="5"/>
    </row>
    <row r="46" spans="1:18" s="6" customFormat="1" ht="36.950000000000003" customHeight="1">
      <c r="A46" s="261" t="s">
        <v>85</v>
      </c>
      <c r="B46" s="261"/>
      <c r="C46" s="266"/>
      <c r="D46" s="266"/>
      <c r="E46" s="266"/>
      <c r="F46" s="266"/>
      <c r="G46" s="266"/>
      <c r="H46" s="266"/>
      <c r="I46" s="266"/>
      <c r="J46" s="266"/>
      <c r="K46" s="266"/>
      <c r="L46" s="266"/>
      <c r="M46" s="266"/>
      <c r="N46" s="266"/>
      <c r="O46" s="266"/>
      <c r="P46" s="266"/>
      <c r="Q46" s="13"/>
      <c r="R46" s="5"/>
    </row>
    <row r="47" spans="1:18" s="6" customFormat="1" ht="52.5">
      <c r="A47" s="267" t="s">
        <v>17</v>
      </c>
      <c r="B47" s="258"/>
      <c r="C47" s="258"/>
      <c r="D47" s="258"/>
      <c r="E47" s="258"/>
      <c r="F47" s="258"/>
      <c r="G47" s="258"/>
      <c r="H47" s="258"/>
      <c r="I47" s="258"/>
      <c r="J47" s="258"/>
      <c r="K47" s="258"/>
      <c r="L47" s="258"/>
      <c r="M47" s="258"/>
      <c r="N47" s="258"/>
      <c r="O47" s="258"/>
      <c r="P47" s="79" t="s">
        <v>50</v>
      </c>
      <c r="Q47" s="13"/>
      <c r="R47" s="5"/>
    </row>
    <row r="48" spans="1:18" s="6" customFormat="1" ht="172.5" customHeight="1">
      <c r="A48" s="263" t="s">
        <v>99</v>
      </c>
      <c r="B48" s="264"/>
      <c r="C48" s="264"/>
      <c r="D48" s="264"/>
      <c r="E48" s="264"/>
      <c r="F48" s="264"/>
      <c r="G48" s="264"/>
      <c r="H48" s="264"/>
      <c r="I48" s="264"/>
      <c r="J48" s="264"/>
      <c r="K48" s="264"/>
      <c r="L48" s="264"/>
      <c r="M48" s="264"/>
      <c r="N48" s="264"/>
      <c r="O48" s="264"/>
      <c r="P48" s="56" t="s">
        <v>69</v>
      </c>
      <c r="Q48" s="13"/>
      <c r="R48" s="5"/>
    </row>
    <row r="49" spans="1:18" s="6" customFormat="1" ht="77.099999999999994" customHeight="1">
      <c r="A49" s="261" t="s">
        <v>85</v>
      </c>
      <c r="B49" s="261"/>
      <c r="C49" s="268" t="s">
        <v>100</v>
      </c>
      <c r="D49" s="268"/>
      <c r="E49" s="268"/>
      <c r="F49" s="268"/>
      <c r="G49" s="268"/>
      <c r="H49" s="268"/>
      <c r="I49" s="268"/>
      <c r="J49" s="268"/>
      <c r="K49" s="268"/>
      <c r="L49" s="268"/>
      <c r="M49" s="268"/>
      <c r="N49" s="268"/>
      <c r="O49" s="268"/>
      <c r="P49" s="268"/>
      <c r="Q49" s="13"/>
      <c r="R49" s="5"/>
    </row>
    <row r="50" spans="1:18" customFormat="1" ht="206.45" customHeight="1">
      <c r="A50" s="270"/>
      <c r="B50" s="270"/>
      <c r="C50" s="270"/>
      <c r="D50" s="270"/>
      <c r="E50" s="270"/>
      <c r="F50" s="270"/>
      <c r="G50" s="270"/>
      <c r="H50" s="270"/>
      <c r="I50" s="270"/>
      <c r="J50" s="270"/>
      <c r="K50" s="270"/>
      <c r="L50" s="270"/>
      <c r="M50" s="270"/>
      <c r="N50" s="270"/>
      <c r="O50" s="270"/>
      <c r="P50" s="270"/>
    </row>
    <row r="51" spans="1:18" s="6" customFormat="1" ht="26.25">
      <c r="A51" s="258" t="s">
        <v>101</v>
      </c>
      <c r="B51" s="258"/>
      <c r="C51" s="258"/>
      <c r="D51" s="258"/>
      <c r="E51" s="258"/>
      <c r="F51" s="258"/>
      <c r="G51" s="258"/>
      <c r="H51" s="258"/>
      <c r="I51" s="258"/>
      <c r="J51" s="258"/>
      <c r="K51" s="258"/>
      <c r="L51" s="258"/>
      <c r="M51" s="258"/>
      <c r="N51" s="258"/>
      <c r="O51" s="258"/>
      <c r="P51" s="79" t="s">
        <v>102</v>
      </c>
      <c r="Q51" s="13"/>
      <c r="R51" s="5"/>
    </row>
    <row r="52" spans="1:18" s="6" customFormat="1" ht="66" customHeight="1">
      <c r="A52" s="271" t="s">
        <v>103</v>
      </c>
      <c r="B52" s="271"/>
      <c r="C52" s="271"/>
      <c r="D52" s="271"/>
      <c r="E52" s="271"/>
      <c r="F52" s="271"/>
      <c r="G52" s="271"/>
      <c r="H52" s="271"/>
      <c r="I52" s="271"/>
      <c r="J52" s="271"/>
      <c r="K52" s="271"/>
      <c r="L52" s="271"/>
      <c r="M52" s="271"/>
      <c r="N52" s="271"/>
      <c r="O52" s="271"/>
      <c r="P52" s="56">
        <v>10</v>
      </c>
      <c r="Q52" s="13"/>
      <c r="R52" s="5"/>
    </row>
    <row r="53" spans="1:18" s="6" customFormat="1" ht="36.75" customHeight="1">
      <c r="A53" s="271" t="s">
        <v>104</v>
      </c>
      <c r="B53" s="271"/>
      <c r="C53" s="271"/>
      <c r="D53" s="271"/>
      <c r="E53" s="271"/>
      <c r="F53" s="271"/>
      <c r="G53" s="271"/>
      <c r="H53" s="271"/>
      <c r="I53" s="271"/>
      <c r="J53" s="271"/>
      <c r="K53" s="271"/>
      <c r="L53" s="271"/>
      <c r="M53" s="271"/>
      <c r="N53" s="271"/>
      <c r="O53" s="271"/>
      <c r="P53" s="56">
        <v>5</v>
      </c>
      <c r="Q53" s="13"/>
      <c r="R53" s="5"/>
    </row>
    <row r="54" spans="1:18" s="6" customFormat="1" ht="36.75" customHeight="1">
      <c r="A54" s="271" t="s">
        <v>105</v>
      </c>
      <c r="B54" s="271"/>
      <c r="C54" s="271"/>
      <c r="D54" s="271"/>
      <c r="E54" s="271"/>
      <c r="F54" s="271"/>
      <c r="G54" s="271"/>
      <c r="H54" s="271"/>
      <c r="I54" s="271"/>
      <c r="J54" s="271"/>
      <c r="K54" s="271"/>
      <c r="L54" s="271"/>
      <c r="M54" s="271"/>
      <c r="N54" s="271"/>
      <c r="O54" s="271"/>
      <c r="P54" s="56">
        <v>3.75</v>
      </c>
      <c r="Q54" s="13"/>
      <c r="R54" s="5"/>
    </row>
    <row r="55" spans="1:18" s="6" customFormat="1" ht="26.25">
      <c r="A55" s="269" t="s">
        <v>106</v>
      </c>
      <c r="B55" s="269"/>
      <c r="C55" s="269"/>
      <c r="D55" s="269"/>
      <c r="E55" s="269"/>
      <c r="F55" s="269"/>
      <c r="G55" s="269"/>
      <c r="H55" s="269"/>
      <c r="I55" s="269"/>
      <c r="J55" s="269"/>
      <c r="K55" s="269"/>
      <c r="L55" s="269"/>
      <c r="M55" s="269"/>
      <c r="N55" s="269"/>
      <c r="O55" s="269"/>
      <c r="P55" s="80">
        <f>SUM(P52:P54)</f>
        <v>18.75</v>
      </c>
      <c r="Q55" s="13"/>
      <c r="R55" s="5"/>
    </row>
    <row r="56" spans="1:18" s="6" customFormat="1" ht="48" customHeight="1">
      <c r="A56" s="261" t="s">
        <v>85</v>
      </c>
      <c r="B56" s="261"/>
      <c r="C56" s="273"/>
      <c r="D56" s="273"/>
      <c r="E56" s="273"/>
      <c r="F56" s="273"/>
      <c r="G56" s="273"/>
      <c r="H56" s="273"/>
      <c r="I56" s="273"/>
      <c r="J56" s="273"/>
      <c r="K56" s="273"/>
      <c r="L56" s="273"/>
      <c r="M56" s="273"/>
      <c r="N56" s="273"/>
      <c r="O56" s="273"/>
      <c r="P56" s="273"/>
      <c r="Q56" s="7"/>
      <c r="R56" s="5"/>
    </row>
    <row r="57" spans="1:18" s="6" customFormat="1" ht="26.25">
      <c r="A57" s="258" t="s">
        <v>19</v>
      </c>
      <c r="B57" s="258"/>
      <c r="C57" s="258"/>
      <c r="D57" s="258"/>
      <c r="E57" s="258"/>
      <c r="F57" s="258"/>
      <c r="G57" s="258"/>
      <c r="H57" s="258"/>
      <c r="I57" s="258"/>
      <c r="J57" s="258"/>
      <c r="K57" s="258"/>
      <c r="L57" s="258"/>
      <c r="M57" s="258"/>
      <c r="N57" s="258"/>
      <c r="O57" s="258"/>
      <c r="P57" s="79" t="s">
        <v>102</v>
      </c>
      <c r="Q57" s="7"/>
      <c r="R57" s="5"/>
    </row>
    <row r="58" spans="1:18" s="6" customFormat="1" ht="282" customHeight="1">
      <c r="A58" s="274" t="s">
        <v>107</v>
      </c>
      <c r="B58" s="274"/>
      <c r="C58" s="274"/>
      <c r="D58" s="274"/>
      <c r="E58" s="274"/>
      <c r="F58" s="274"/>
      <c r="G58" s="274"/>
      <c r="H58" s="274"/>
      <c r="I58" s="274"/>
      <c r="J58" s="274"/>
      <c r="K58" s="274"/>
      <c r="L58" s="274"/>
      <c r="M58" s="274"/>
      <c r="N58" s="274"/>
      <c r="O58" s="274"/>
      <c r="P58" s="56">
        <v>10</v>
      </c>
      <c r="Q58" s="7"/>
      <c r="R58" s="5"/>
    </row>
    <row r="59" spans="1:18" s="6" customFormat="1" ht="48" customHeight="1">
      <c r="A59" s="261" t="s">
        <v>85</v>
      </c>
      <c r="B59" s="261"/>
      <c r="C59" s="273"/>
      <c r="D59" s="273"/>
      <c r="E59" s="273"/>
      <c r="F59" s="273"/>
      <c r="G59" s="273"/>
      <c r="H59" s="273"/>
      <c r="I59" s="273"/>
      <c r="J59" s="273"/>
      <c r="K59" s="273"/>
      <c r="L59" s="273"/>
      <c r="M59" s="273"/>
      <c r="N59" s="273"/>
      <c r="O59" s="273"/>
      <c r="P59" s="273"/>
      <c r="Q59" s="7"/>
      <c r="R59" s="5"/>
    </row>
    <row r="60" spans="1:18" s="6" customFormat="1" ht="44.25" customHeight="1">
      <c r="A60" s="275" t="s">
        <v>20</v>
      </c>
      <c r="B60" s="275"/>
      <c r="C60" s="275"/>
      <c r="D60" s="275"/>
      <c r="E60" s="275"/>
      <c r="F60" s="275"/>
      <c r="G60" s="275"/>
      <c r="H60" s="275"/>
      <c r="I60" s="275"/>
      <c r="J60" s="275"/>
      <c r="K60" s="275"/>
      <c r="L60" s="275"/>
      <c r="M60" s="275"/>
      <c r="N60" s="275"/>
      <c r="O60" s="275"/>
      <c r="P60" s="79" t="s">
        <v>102</v>
      </c>
      <c r="Q60" s="14"/>
      <c r="R60" s="5"/>
    </row>
    <row r="61" spans="1:18" s="6" customFormat="1" ht="270" customHeight="1">
      <c r="A61" s="274" t="s">
        <v>108</v>
      </c>
      <c r="B61" s="274"/>
      <c r="C61" s="274"/>
      <c r="D61" s="274"/>
      <c r="E61" s="274"/>
      <c r="F61" s="274"/>
      <c r="G61" s="274"/>
      <c r="H61" s="274"/>
      <c r="I61" s="274"/>
      <c r="J61" s="274"/>
      <c r="K61" s="274"/>
      <c r="L61" s="274"/>
      <c r="M61" s="274"/>
      <c r="N61" s="274"/>
      <c r="O61" s="274"/>
      <c r="P61" s="56">
        <v>1</v>
      </c>
      <c r="Q61" s="15"/>
      <c r="R61" s="5"/>
    </row>
    <row r="62" spans="1:18" s="6" customFormat="1" ht="65.45" customHeight="1">
      <c r="A62" s="261" t="s">
        <v>85</v>
      </c>
      <c r="B62" s="261"/>
      <c r="C62" s="273"/>
      <c r="D62" s="273"/>
      <c r="E62" s="273"/>
      <c r="F62" s="273"/>
      <c r="G62" s="273"/>
      <c r="H62" s="273"/>
      <c r="I62" s="273"/>
      <c r="J62" s="273"/>
      <c r="K62" s="273"/>
      <c r="L62" s="273"/>
      <c r="M62" s="273"/>
      <c r="N62" s="273"/>
      <c r="O62" s="273"/>
      <c r="P62" s="273"/>
      <c r="Q62" s="7"/>
      <c r="R62" s="5"/>
    </row>
    <row r="63" spans="1:18" s="6" customFormat="1" ht="26.25">
      <c r="A63" s="258" t="s">
        <v>21</v>
      </c>
      <c r="B63" s="258"/>
      <c r="C63" s="258"/>
      <c r="D63" s="258"/>
      <c r="E63" s="258"/>
      <c r="F63" s="258"/>
      <c r="G63" s="258"/>
      <c r="H63" s="258"/>
      <c r="I63" s="258"/>
      <c r="J63" s="258"/>
      <c r="K63" s="258"/>
      <c r="L63" s="258"/>
      <c r="M63" s="258"/>
      <c r="N63" s="258"/>
      <c r="O63" s="258"/>
      <c r="P63" s="79" t="s">
        <v>102</v>
      </c>
      <c r="Q63" s="4"/>
      <c r="R63" s="5"/>
    </row>
    <row r="64" spans="1:18" s="6" customFormat="1" ht="201" customHeight="1">
      <c r="A64" s="272" t="s">
        <v>109</v>
      </c>
      <c r="B64" s="272"/>
      <c r="C64" s="272"/>
      <c r="D64" s="272"/>
      <c r="E64" s="272"/>
      <c r="F64" s="272"/>
      <c r="G64" s="272"/>
      <c r="H64" s="272"/>
      <c r="I64" s="272"/>
      <c r="J64" s="272"/>
      <c r="K64" s="272"/>
      <c r="L64" s="272"/>
      <c r="M64" s="272"/>
      <c r="N64" s="272"/>
      <c r="O64" s="272"/>
      <c r="P64" s="56">
        <v>0.25</v>
      </c>
      <c r="Q64" s="14"/>
      <c r="R64" s="5"/>
    </row>
    <row r="65" spans="1:18" s="6" customFormat="1" ht="56.45" customHeight="1">
      <c r="A65" s="261" t="s">
        <v>85</v>
      </c>
      <c r="B65" s="261"/>
      <c r="C65" s="273"/>
      <c r="D65" s="273"/>
      <c r="E65" s="273"/>
      <c r="F65" s="273"/>
      <c r="G65" s="273"/>
      <c r="H65" s="273"/>
      <c r="I65" s="273"/>
      <c r="J65" s="273"/>
      <c r="K65" s="273"/>
      <c r="L65" s="273"/>
      <c r="M65" s="273"/>
      <c r="N65" s="273"/>
      <c r="O65" s="273"/>
      <c r="P65" s="273"/>
      <c r="Q65" s="14"/>
      <c r="R65" s="5"/>
    </row>
    <row r="66" spans="1:18" s="31" customFormat="1" ht="26.25">
      <c r="A66" s="277" t="s">
        <v>22</v>
      </c>
      <c r="B66" s="278"/>
      <c r="C66" s="278"/>
      <c r="D66" s="278"/>
      <c r="E66" s="278"/>
      <c r="F66" s="278"/>
      <c r="G66" s="278"/>
      <c r="H66" s="278"/>
      <c r="I66" s="278"/>
      <c r="J66" s="278"/>
      <c r="K66" s="278"/>
      <c r="L66" s="278"/>
      <c r="M66" s="278"/>
      <c r="N66" s="278"/>
      <c r="O66" s="279"/>
      <c r="P66" s="79" t="s">
        <v>102</v>
      </c>
      <c r="Q66" s="14"/>
      <c r="R66" s="30"/>
    </row>
    <row r="67" spans="1:18" s="31" customFormat="1" ht="149.44999999999999" customHeight="1">
      <c r="A67" s="280" t="s">
        <v>110</v>
      </c>
      <c r="B67" s="280"/>
      <c r="C67" s="280"/>
      <c r="D67" s="280"/>
      <c r="E67" s="280"/>
      <c r="F67" s="280"/>
      <c r="G67" s="280"/>
      <c r="H67" s="280"/>
      <c r="I67" s="280"/>
      <c r="J67" s="280"/>
      <c r="K67" s="280"/>
      <c r="L67" s="280"/>
      <c r="M67" s="280"/>
      <c r="N67" s="280"/>
      <c r="O67" s="280"/>
      <c r="P67" s="56">
        <v>0</v>
      </c>
      <c r="Q67" s="14"/>
      <c r="R67" s="30"/>
    </row>
    <row r="68" spans="1:18" s="6" customFormat="1" ht="64.5" customHeight="1">
      <c r="A68" s="261" t="s">
        <v>85</v>
      </c>
      <c r="B68" s="261"/>
      <c r="C68" s="273"/>
      <c r="D68" s="273"/>
      <c r="E68" s="273"/>
      <c r="F68" s="273"/>
      <c r="G68" s="273"/>
      <c r="H68" s="273"/>
      <c r="I68" s="273"/>
      <c r="J68" s="273"/>
      <c r="K68" s="273"/>
      <c r="L68" s="273"/>
      <c r="M68" s="273"/>
      <c r="N68" s="273"/>
      <c r="O68" s="273"/>
      <c r="P68" s="273"/>
      <c r="Q68" s="14"/>
      <c r="R68" s="5"/>
    </row>
    <row r="69" spans="1:18" s="6" customFormat="1" ht="26.25">
      <c r="A69" s="276" t="s">
        <v>106</v>
      </c>
      <c r="B69" s="276"/>
      <c r="C69" s="276"/>
      <c r="D69" s="276"/>
      <c r="E69" s="276"/>
      <c r="F69" s="276"/>
      <c r="G69" s="276"/>
      <c r="H69" s="276"/>
      <c r="I69" s="276"/>
      <c r="J69" s="276"/>
      <c r="K69" s="276"/>
      <c r="L69" s="276"/>
      <c r="M69" s="276"/>
      <c r="N69" s="276"/>
      <c r="O69" s="276"/>
      <c r="P69" s="55">
        <f>SUM(P55,P58,P61,P64,P67)</f>
        <v>30</v>
      </c>
      <c r="Q69" s="14"/>
      <c r="R69" s="5"/>
    </row>
    <row r="70" spans="1:18" s="6" customFormat="1" ht="14.25" customHeight="1">
      <c r="Q70" s="4"/>
      <c r="R70" s="5"/>
    </row>
    <row r="71" spans="1:18" s="6" customFormat="1" ht="14.25" customHeight="1">
      <c r="Q71" s="4"/>
      <c r="R71" s="5"/>
    </row>
    <row r="72" spans="1:18" s="6" customFormat="1" ht="14.25" customHeight="1">
      <c r="Q72" s="4"/>
      <c r="R72" s="5"/>
    </row>
    <row r="73" spans="1:18" s="6" customFormat="1" ht="14.25" customHeight="1">
      <c r="Q73" s="4"/>
      <c r="R73" s="5"/>
    </row>
    <row r="74" spans="1:18" s="6" customFormat="1" ht="14.25" customHeight="1">
      <c r="C74" s="5"/>
      <c r="Q74" s="4"/>
      <c r="R74" s="5"/>
    </row>
    <row r="75" spans="1:18" s="6" customFormat="1" ht="14.25" customHeight="1">
      <c r="C75" s="5"/>
      <c r="Q75" s="4"/>
      <c r="R75" s="5"/>
    </row>
    <row r="76" spans="1:18" s="6" customFormat="1" ht="14.25" customHeight="1">
      <c r="Q76" s="4"/>
      <c r="R76" s="5"/>
    </row>
    <row r="77" spans="1:18" s="6" customFormat="1" ht="14.25" customHeight="1">
      <c r="C77" s="5"/>
      <c r="Q77" s="4"/>
      <c r="R77" s="5"/>
    </row>
    <row r="78" spans="1:18" s="6" customFormat="1" ht="14.25" customHeight="1">
      <c r="Q78" s="4"/>
      <c r="R78" s="5"/>
    </row>
    <row r="79" spans="1:18" s="6" customFormat="1" ht="14.25" customHeight="1">
      <c r="C79" s="5"/>
      <c r="Q79" s="4"/>
      <c r="R79" s="5"/>
    </row>
    <row r="80" spans="1:18" s="6" customFormat="1" ht="14.25" customHeight="1">
      <c r="Q80" s="4"/>
      <c r="R80" s="5"/>
    </row>
    <row r="81" spans="5:18" s="6" customFormat="1" ht="14.25" customHeight="1">
      <c r="Q81" s="4"/>
      <c r="R81" s="5"/>
    </row>
    <row r="82" spans="5:18" s="6" customFormat="1" ht="14.25" customHeight="1">
      <c r="Q82" s="4"/>
      <c r="R82" s="5"/>
    </row>
    <row r="83" spans="5:18" s="6" customFormat="1" ht="14.25" customHeight="1">
      <c r="Q83" s="4"/>
      <c r="R83" s="5"/>
    </row>
    <row r="84" spans="5:18" s="6" customFormat="1" ht="14.25" customHeight="1">
      <c r="Q84" s="4"/>
      <c r="R84" s="5"/>
    </row>
    <row r="85" spans="5:18" s="6" customFormat="1" ht="14.25" customHeight="1">
      <c r="E85" s="50"/>
      <c r="F85" s="50"/>
      <c r="Q85" s="4"/>
      <c r="R85" s="5"/>
    </row>
    <row r="86" spans="5:18" s="6" customFormat="1" ht="14.25" customHeight="1">
      <c r="E86" s="50"/>
      <c r="F86" s="50"/>
      <c r="Q86" s="4"/>
      <c r="R86" s="5"/>
    </row>
    <row r="87" spans="5:18" ht="14.25" customHeight="1">
      <c r="E87" s="50"/>
      <c r="F87" s="50"/>
    </row>
    <row r="88" spans="5:18" ht="14.25" customHeight="1">
      <c r="E88" s="50"/>
      <c r="F88" s="50"/>
    </row>
    <row r="89" spans="5:18" ht="14.25" customHeight="1"/>
    <row r="90" spans="5:18" ht="14.25" customHeight="1"/>
    <row r="91" spans="5:18" ht="14.25" customHeight="1"/>
    <row r="92" spans="5:18" ht="14.25" customHeight="1"/>
    <row r="93" spans="5:18" ht="14.25" customHeight="1"/>
    <row r="94" spans="5:18" ht="14.25" customHeight="1"/>
    <row r="95" spans="5:18" ht="14.25" customHeight="1"/>
    <row r="96" spans="5:18"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sheetData>
  <mergeCells count="94">
    <mergeCell ref="A69:O69"/>
    <mergeCell ref="A65:B65"/>
    <mergeCell ref="C65:P65"/>
    <mergeCell ref="A66:O66"/>
    <mergeCell ref="A67:O67"/>
    <mergeCell ref="A68:B68"/>
    <mergeCell ref="C68:P68"/>
    <mergeCell ref="A64:O64"/>
    <mergeCell ref="A56:B56"/>
    <mergeCell ref="C56:P56"/>
    <mergeCell ref="A57:O57"/>
    <mergeCell ref="A58:O58"/>
    <mergeCell ref="A59:B59"/>
    <mergeCell ref="C59:P59"/>
    <mergeCell ref="A60:O60"/>
    <mergeCell ref="A61:O61"/>
    <mergeCell ref="A62:B62"/>
    <mergeCell ref="C62:P62"/>
    <mergeCell ref="A63:O63"/>
    <mergeCell ref="A55:O55"/>
    <mergeCell ref="A46:B46"/>
    <mergeCell ref="C46:P46"/>
    <mergeCell ref="A47:O47"/>
    <mergeCell ref="A48:O48"/>
    <mergeCell ref="A49:B49"/>
    <mergeCell ref="C49:P49"/>
    <mergeCell ref="A50:P50"/>
    <mergeCell ref="A51:O51"/>
    <mergeCell ref="A52:O52"/>
    <mergeCell ref="A53:O53"/>
    <mergeCell ref="A54:O54"/>
    <mergeCell ref="A45:O45"/>
    <mergeCell ref="A36:O36"/>
    <mergeCell ref="A37:B37"/>
    <mergeCell ref="C37:P37"/>
    <mergeCell ref="A38:O38"/>
    <mergeCell ref="A39:O39"/>
    <mergeCell ref="A40:B40"/>
    <mergeCell ref="C40:P40"/>
    <mergeCell ref="A41:O41"/>
    <mergeCell ref="A42:O42"/>
    <mergeCell ref="A43:B43"/>
    <mergeCell ref="C43:P43"/>
    <mergeCell ref="A44:O44"/>
    <mergeCell ref="O23:P23"/>
    <mergeCell ref="A24:N24"/>
    <mergeCell ref="O24:P24"/>
    <mergeCell ref="E25:F25"/>
    <mergeCell ref="A35:O35"/>
    <mergeCell ref="E27:F27"/>
    <mergeCell ref="E28:F28"/>
    <mergeCell ref="E29:F29"/>
    <mergeCell ref="E30:F30"/>
    <mergeCell ref="E31:F31"/>
    <mergeCell ref="A32:J32"/>
    <mergeCell ref="K32:N32"/>
    <mergeCell ref="O32:P32"/>
    <mergeCell ref="A33:B33"/>
    <mergeCell ref="C33:P33"/>
    <mergeCell ref="A34:P34"/>
    <mergeCell ref="E26:F26"/>
    <mergeCell ref="E19:F19"/>
    <mergeCell ref="E20:F20"/>
    <mergeCell ref="A21:J21"/>
    <mergeCell ref="K21:N21"/>
    <mergeCell ref="A23:N23"/>
    <mergeCell ref="O21:P21"/>
    <mergeCell ref="B22:P22"/>
    <mergeCell ref="A12:N12"/>
    <mergeCell ref="O12:P12"/>
    <mergeCell ref="A13:N13"/>
    <mergeCell ref="O13:P13"/>
    <mergeCell ref="E14:F14"/>
    <mergeCell ref="A15:A20"/>
    <mergeCell ref="E15:F15"/>
    <mergeCell ref="E16:F16"/>
    <mergeCell ref="E17:F17"/>
    <mergeCell ref="E18:F18"/>
    <mergeCell ref="A11:P11"/>
    <mergeCell ref="A1:P1"/>
    <mergeCell ref="A2:P2"/>
    <mergeCell ref="A3:P3"/>
    <mergeCell ref="A4:A9"/>
    <mergeCell ref="B4:I9"/>
    <mergeCell ref="J4:O4"/>
    <mergeCell ref="J5:O5"/>
    <mergeCell ref="J6:O6"/>
    <mergeCell ref="J7:O7"/>
    <mergeCell ref="J8:O8"/>
    <mergeCell ref="J9:O9"/>
    <mergeCell ref="B10:C10"/>
    <mergeCell ref="D10:I10"/>
    <mergeCell ref="J10:K10"/>
    <mergeCell ref="L10:M10"/>
  </mergeCells>
  <conditionalFormatting sqref="P15:P20">
    <cfRule type="expression" dxfId="78" priority="4">
      <formula>$P15="NO CUMPLE"</formula>
    </cfRule>
  </conditionalFormatting>
  <conditionalFormatting sqref="P26:P31">
    <cfRule type="expression" dxfId="77" priority="5">
      <formula>$P26="NO CUMPLE"</formula>
    </cfRule>
  </conditionalFormatting>
  <conditionalFormatting sqref="P36">
    <cfRule type="expression" dxfId="76" priority="7">
      <formula>$P36="NO CUMPLE"</formula>
    </cfRule>
  </conditionalFormatting>
  <conditionalFormatting sqref="P39">
    <cfRule type="expression" dxfId="75" priority="6">
      <formula>$P39="NO CUMPLE"</formula>
    </cfRule>
  </conditionalFormatting>
  <conditionalFormatting sqref="P42">
    <cfRule type="expression" dxfId="74" priority="3">
      <formula>$P42="NO CUMPLE"</formula>
    </cfRule>
  </conditionalFormatting>
  <conditionalFormatting sqref="P45">
    <cfRule type="expression" dxfId="73" priority="2">
      <formula>$P45="NO CUMPLE"</formula>
    </cfRule>
  </conditionalFormatting>
  <conditionalFormatting sqref="P48">
    <cfRule type="expression" dxfId="72" priority="1">
      <formula>$P48="NO CUMPLE"</formula>
    </cfRule>
  </conditionalFormatting>
  <dataValidations count="2">
    <dataValidation type="list" allowBlank="1" showInputMessage="1" showErrorMessage="1" sqref="P36 P39 P26:P31 P15:P20 P42 P45 P48" xr:uid="{405CF565-0C94-40DD-B91F-7EBBA11B1F65}">
      <formula1>"CUMPLE,NO CUMPLE"</formula1>
    </dataValidation>
    <dataValidation type="list" allowBlank="1" showInputMessage="1" showErrorMessage="1" sqref="I18:I20 G18:G20 G15:I17 G26:I26 I27:I31 G27:G31 H18 H27" xr:uid="{9F47ACC1-9327-4671-8CB9-ED134F310C03}">
      <formula1>"SI,NO"</formula1>
    </dataValidation>
  </dataValidations>
  <pageMargins left="0.11811023622047245" right="0.11811023622047245" top="0.27559055118110237" bottom="0.23622047244094491" header="0" footer="0"/>
  <pageSetup paperSize="9" scale="4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07204C-7D29-4729-8AA4-73D2A99FDD00}">
  <sheetPr>
    <tabColor rgb="FF50F828"/>
  </sheetPr>
  <dimension ref="A1:U994"/>
  <sheetViews>
    <sheetView zoomScale="48" zoomScaleNormal="40" workbookViewId="0">
      <selection activeCell="P36" sqref="P36"/>
    </sheetView>
  </sheetViews>
  <sheetFormatPr baseColWidth="10" defaultColWidth="14.5703125" defaultRowHeight="15" customHeight="1"/>
  <cols>
    <col min="1" max="1" width="17.42578125" style="3" customWidth="1"/>
    <col min="2" max="2" width="12.7109375" style="3" customWidth="1"/>
    <col min="3" max="3" width="15.85546875" style="3" customWidth="1"/>
    <col min="4" max="4" width="24.140625" style="3" customWidth="1"/>
    <col min="5" max="5" width="52.140625" style="3" customWidth="1"/>
    <col min="6" max="6" width="49.5703125" style="3" customWidth="1"/>
    <col min="7" max="7" width="15.28515625" style="3" customWidth="1"/>
    <col min="8" max="8" width="13.140625" style="3" customWidth="1"/>
    <col min="9" max="9" width="15.42578125" style="3" customWidth="1"/>
    <col min="10" max="10" width="27.42578125" style="3" customWidth="1"/>
    <col min="11" max="11" width="19.140625" style="3" customWidth="1"/>
    <col min="12" max="12" width="20.28515625" style="3" bestFit="1" customWidth="1"/>
    <col min="13" max="13" width="23.5703125" style="3" bestFit="1" customWidth="1"/>
    <col min="14" max="14" width="15.42578125" style="3" customWidth="1"/>
    <col min="15" max="15" width="14.85546875" style="3" customWidth="1"/>
    <col min="16" max="16" width="26" style="3" customWidth="1"/>
    <col min="17" max="17" width="6.140625" style="1" bestFit="1" customWidth="1"/>
    <col min="18" max="18" width="10" style="2" bestFit="1" customWidth="1"/>
    <col min="19" max="16384" width="14.5703125" style="3"/>
  </cols>
  <sheetData>
    <row r="1" spans="1:21" ht="25.5">
      <c r="A1" s="209" t="s">
        <v>38</v>
      </c>
      <c r="B1" s="210"/>
      <c r="C1" s="210"/>
      <c r="D1" s="210"/>
      <c r="E1" s="210"/>
      <c r="F1" s="210"/>
      <c r="G1" s="210"/>
      <c r="H1" s="210"/>
      <c r="I1" s="210"/>
      <c r="J1" s="210"/>
      <c r="K1" s="210"/>
      <c r="L1" s="210"/>
      <c r="M1" s="210"/>
      <c r="N1" s="210"/>
      <c r="O1" s="210"/>
      <c r="P1" s="211"/>
    </row>
    <row r="2" spans="1:21" ht="25.5">
      <c r="A2" s="212" t="str">
        <f>+[2]RESUMEN!C5</f>
        <v>24001216 H3 DE 2024</v>
      </c>
      <c r="B2" s="213"/>
      <c r="C2" s="213"/>
      <c r="D2" s="213"/>
      <c r="E2" s="213"/>
      <c r="F2" s="213"/>
      <c r="G2" s="213"/>
      <c r="H2" s="213"/>
      <c r="I2" s="213"/>
      <c r="J2" s="213"/>
      <c r="K2" s="213"/>
      <c r="L2" s="213"/>
      <c r="M2" s="213"/>
      <c r="N2" s="213"/>
      <c r="O2" s="213"/>
      <c r="P2" s="214"/>
    </row>
    <row r="3" spans="1:21" ht="60" customHeight="1">
      <c r="A3" s="215" t="str">
        <f>+[2]RESUMEN!G5</f>
        <v>REALIZAR MANTENIMIENTO A LOS SISTEMAS UPS DEL CENTRO DE GESTION AERONAUTICA
DE COLOMBIA CGAC, INCLUYE RENOVAR BANCOS DE BATERÍAS POR LOTES. (VIGENCIA FUTURA).</v>
      </c>
      <c r="B3" s="216"/>
      <c r="C3" s="216"/>
      <c r="D3" s="216"/>
      <c r="E3" s="216"/>
      <c r="F3" s="216"/>
      <c r="G3" s="216"/>
      <c r="H3" s="216"/>
      <c r="I3" s="216"/>
      <c r="J3" s="217"/>
      <c r="K3" s="217"/>
      <c r="L3" s="217"/>
      <c r="M3" s="217"/>
      <c r="N3" s="217"/>
      <c r="O3" s="217"/>
      <c r="P3" s="218"/>
    </row>
    <row r="4" spans="1:21" s="6" customFormat="1" ht="19.5" customHeight="1">
      <c r="A4" s="219">
        <f>+[2]RESUMEN!B9</f>
        <v>7</v>
      </c>
      <c r="B4" s="222" t="str">
        <f>+RESUMEN!C14</f>
        <v>GOURIYU SAS</v>
      </c>
      <c r="C4" s="223"/>
      <c r="D4" s="223"/>
      <c r="E4" s="223"/>
      <c r="F4" s="223"/>
      <c r="G4" s="223"/>
      <c r="H4" s="223"/>
      <c r="I4" s="223"/>
      <c r="J4" s="227" t="s">
        <v>39</v>
      </c>
      <c r="K4" s="228"/>
      <c r="L4" s="228"/>
      <c r="M4" s="228"/>
      <c r="N4" s="228"/>
      <c r="O4" s="229"/>
      <c r="P4" s="28" t="s">
        <v>40</v>
      </c>
      <c r="Q4" s="4"/>
      <c r="R4" s="5"/>
    </row>
    <row r="5" spans="1:21" s="6" customFormat="1" ht="19.5" customHeight="1">
      <c r="A5" s="220"/>
      <c r="B5" s="224"/>
      <c r="C5" s="225"/>
      <c r="D5" s="225"/>
      <c r="E5" s="225"/>
      <c r="F5" s="225"/>
      <c r="G5" s="225"/>
      <c r="H5" s="225"/>
      <c r="I5" s="225"/>
      <c r="J5" s="230" t="str">
        <f>+B4</f>
        <v>GOURIYU SAS</v>
      </c>
      <c r="K5" s="231"/>
      <c r="L5" s="231"/>
      <c r="M5" s="231"/>
      <c r="N5" s="231"/>
      <c r="O5" s="232"/>
      <c r="P5" s="76">
        <v>1</v>
      </c>
      <c r="Q5" s="4"/>
      <c r="R5" s="5"/>
      <c r="S5" s="50"/>
      <c r="T5" s="50"/>
      <c r="U5" s="50"/>
    </row>
    <row r="6" spans="1:21" s="6" customFormat="1" ht="19.5" customHeight="1">
      <c r="A6" s="220"/>
      <c r="B6" s="224"/>
      <c r="C6" s="225"/>
      <c r="D6" s="225"/>
      <c r="E6" s="225"/>
      <c r="F6" s="225"/>
      <c r="G6" s="225"/>
      <c r="H6" s="225"/>
      <c r="I6" s="225"/>
      <c r="J6" s="230"/>
      <c r="K6" s="231"/>
      <c r="L6" s="231"/>
      <c r="M6" s="231"/>
      <c r="N6" s="231"/>
      <c r="O6" s="232"/>
      <c r="P6" s="76"/>
      <c r="Q6" s="4"/>
      <c r="R6" s="5"/>
      <c r="S6" s="50"/>
      <c r="T6" s="50"/>
      <c r="U6" s="50"/>
    </row>
    <row r="7" spans="1:21" s="6" customFormat="1" ht="19.5" customHeight="1">
      <c r="A7" s="220"/>
      <c r="B7" s="224"/>
      <c r="C7" s="225"/>
      <c r="D7" s="225"/>
      <c r="E7" s="225"/>
      <c r="F7" s="225"/>
      <c r="G7" s="225"/>
      <c r="H7" s="225"/>
      <c r="I7" s="225"/>
      <c r="J7" s="230"/>
      <c r="K7" s="231"/>
      <c r="L7" s="231"/>
      <c r="M7" s="231"/>
      <c r="N7" s="231"/>
      <c r="O7" s="232"/>
      <c r="P7" s="76"/>
      <c r="Q7" s="4"/>
      <c r="R7" s="5"/>
      <c r="S7" s="50"/>
      <c r="T7" s="50"/>
      <c r="U7" s="50"/>
    </row>
    <row r="8" spans="1:21" s="6" customFormat="1" ht="19.5" customHeight="1">
      <c r="A8" s="220"/>
      <c r="B8" s="224"/>
      <c r="C8" s="225"/>
      <c r="D8" s="225"/>
      <c r="E8" s="225"/>
      <c r="F8" s="225"/>
      <c r="G8" s="225"/>
      <c r="H8" s="225"/>
      <c r="I8" s="225"/>
      <c r="J8" s="230"/>
      <c r="K8" s="231"/>
      <c r="L8" s="231"/>
      <c r="M8" s="231"/>
      <c r="N8" s="231"/>
      <c r="O8" s="232"/>
      <c r="P8" s="76"/>
      <c r="Q8" s="4"/>
      <c r="R8" s="5"/>
    </row>
    <row r="9" spans="1:21" s="6" customFormat="1" ht="21" customHeight="1">
      <c r="A9" s="221"/>
      <c r="B9" s="224"/>
      <c r="C9" s="225"/>
      <c r="D9" s="225"/>
      <c r="E9" s="225"/>
      <c r="F9" s="225"/>
      <c r="G9" s="225"/>
      <c r="H9" s="225"/>
      <c r="I9" s="226"/>
      <c r="J9" s="233" t="s">
        <v>43</v>
      </c>
      <c r="K9" s="234"/>
      <c r="L9" s="234"/>
      <c r="M9" s="234"/>
      <c r="N9" s="234"/>
      <c r="O9" s="235"/>
      <c r="P9" s="29">
        <f>SUM(P5:P8)</f>
        <v>1</v>
      </c>
      <c r="Q9" s="7"/>
      <c r="R9" s="5"/>
    </row>
    <row r="10" spans="1:21" s="6" customFormat="1" ht="65.25" customHeight="1">
      <c r="A10" s="66" t="s">
        <v>44</v>
      </c>
      <c r="B10" s="236" t="s">
        <v>45</v>
      </c>
      <c r="C10" s="236"/>
      <c r="D10" s="237" t="s">
        <v>46</v>
      </c>
      <c r="E10" s="237"/>
      <c r="F10" s="237"/>
      <c r="G10" s="237"/>
      <c r="H10" s="237"/>
      <c r="I10" s="237"/>
      <c r="J10" s="238">
        <f>+RESUMEN!U5</f>
        <v>1927454798</v>
      </c>
      <c r="K10" s="239"/>
      <c r="L10" s="240" t="s">
        <v>47</v>
      </c>
      <c r="M10" s="241"/>
      <c r="N10" s="67">
        <f>P69</f>
        <v>19.25</v>
      </c>
      <c r="O10" s="68" t="s">
        <v>48</v>
      </c>
      <c r="P10" s="87">
        <f>+J10/'Serie Historica SMMLV'!C47</f>
        <v>1482.657536923077</v>
      </c>
      <c r="Q10" s="8"/>
      <c r="R10" s="5"/>
      <c r="T10" s="43"/>
    </row>
    <row r="11" spans="1:21" s="6" customFormat="1" ht="26.25">
      <c r="A11" s="207" t="s">
        <v>49</v>
      </c>
      <c r="B11" s="208"/>
      <c r="C11" s="208"/>
      <c r="D11" s="208"/>
      <c r="E11" s="208"/>
      <c r="F11" s="208"/>
      <c r="G11" s="208"/>
      <c r="H11" s="208"/>
      <c r="I11" s="208"/>
      <c r="J11" s="208"/>
      <c r="K11" s="208"/>
      <c r="L11" s="208"/>
      <c r="M11" s="208"/>
      <c r="N11" s="208"/>
      <c r="O11" s="208"/>
      <c r="P11" s="208"/>
      <c r="Q11" s="4"/>
      <c r="R11" s="5"/>
    </row>
    <row r="12" spans="1:21" s="6" customFormat="1" ht="26.25">
      <c r="A12" s="244" t="s">
        <v>11</v>
      </c>
      <c r="B12" s="244"/>
      <c r="C12" s="244"/>
      <c r="D12" s="244"/>
      <c r="E12" s="244"/>
      <c r="F12" s="244"/>
      <c r="G12" s="244"/>
      <c r="H12" s="244"/>
      <c r="I12" s="244"/>
      <c r="J12" s="244"/>
      <c r="K12" s="244"/>
      <c r="L12" s="244"/>
      <c r="M12" s="244"/>
      <c r="N12" s="244"/>
      <c r="O12" s="245" t="s">
        <v>50</v>
      </c>
      <c r="P12" s="245"/>
      <c r="Q12" s="4"/>
      <c r="R12" s="5"/>
    </row>
    <row r="13" spans="1:21" s="6" customFormat="1" ht="115.7" customHeight="1">
      <c r="A13" s="246" t="s">
        <v>51</v>
      </c>
      <c r="B13" s="246"/>
      <c r="C13" s="246"/>
      <c r="D13" s="246"/>
      <c r="E13" s="246"/>
      <c r="F13" s="246"/>
      <c r="G13" s="246"/>
      <c r="H13" s="246"/>
      <c r="I13" s="246"/>
      <c r="J13" s="246"/>
      <c r="K13" s="246"/>
      <c r="L13" s="246"/>
      <c r="M13" s="246"/>
      <c r="N13" s="246"/>
      <c r="O13" s="247" t="s">
        <v>111</v>
      </c>
      <c r="P13" s="247"/>
      <c r="Q13" s="4"/>
      <c r="R13" s="5"/>
    </row>
    <row r="14" spans="1:21" s="6" customFormat="1" ht="102" customHeight="1">
      <c r="A14" s="81" t="s">
        <v>52</v>
      </c>
      <c r="B14" s="81" t="s">
        <v>53</v>
      </c>
      <c r="C14" s="81" t="s">
        <v>54</v>
      </c>
      <c r="D14" s="81" t="s">
        <v>55</v>
      </c>
      <c r="E14" s="248" t="s">
        <v>3</v>
      </c>
      <c r="F14" s="248"/>
      <c r="G14" s="81" t="s">
        <v>56</v>
      </c>
      <c r="H14" s="81" t="str">
        <f>"CUMPLE CODIGOS?
"&amp;B10</f>
        <v>CUMPLE CODIGOS?
72151500
81101700
26111700</v>
      </c>
      <c r="I14" s="81" t="s">
        <v>57</v>
      </c>
      <c r="J14" s="81" t="s">
        <v>58</v>
      </c>
      <c r="K14" s="81" t="s">
        <v>59</v>
      </c>
      <c r="L14" s="81" t="s">
        <v>60</v>
      </c>
      <c r="M14" s="81" t="s">
        <v>61</v>
      </c>
      <c r="N14" s="81" t="s">
        <v>62</v>
      </c>
      <c r="O14" s="81" t="s">
        <v>63</v>
      </c>
      <c r="P14" s="81" t="s">
        <v>64</v>
      </c>
      <c r="Q14" s="9"/>
      <c r="R14" s="10"/>
    </row>
    <row r="15" spans="1:21" s="6" customFormat="1" ht="18">
      <c r="A15" s="249">
        <f>+P10</f>
        <v>1482.657536923077</v>
      </c>
      <c r="B15" s="47" t="s">
        <v>65</v>
      </c>
      <c r="C15" s="63"/>
      <c r="D15" s="82"/>
      <c r="E15" s="250"/>
      <c r="F15" s="250"/>
      <c r="G15" s="70"/>
      <c r="H15" s="70"/>
      <c r="I15" s="70"/>
      <c r="J15" s="71"/>
      <c r="K15" s="59"/>
      <c r="L15" s="60"/>
      <c r="M15" s="61"/>
      <c r="N15" s="62"/>
      <c r="O15" s="38" t="str">
        <f>IF(AND(H15="SI",I15="SI")=TRUE,M15*N15,"")</f>
        <v/>
      </c>
      <c r="P15" s="65"/>
      <c r="Q15" s="11"/>
      <c r="R15" s="5"/>
    </row>
    <row r="16" spans="1:21" s="31" customFormat="1" ht="18">
      <c r="A16" s="249"/>
      <c r="B16" s="47" t="s">
        <v>70</v>
      </c>
      <c r="C16" s="63"/>
      <c r="D16" s="82"/>
      <c r="E16" s="250"/>
      <c r="F16" s="250"/>
      <c r="G16" s="70"/>
      <c r="H16" s="70"/>
      <c r="I16" s="70"/>
      <c r="J16" s="71"/>
      <c r="K16" s="59"/>
      <c r="L16" s="60"/>
      <c r="M16" s="61"/>
      <c r="N16" s="62"/>
      <c r="O16" s="38" t="str">
        <f t="shared" ref="O16:O20" si="0">IF(AND(H16="SI",I16="SI")=TRUE,M16*N16,"")</f>
        <v/>
      </c>
      <c r="P16" s="65"/>
      <c r="Q16" s="36"/>
      <c r="R16" s="30"/>
    </row>
    <row r="17" spans="1:19" s="6" customFormat="1" ht="18">
      <c r="A17" s="249"/>
      <c r="B17" s="47" t="s">
        <v>74</v>
      </c>
      <c r="C17" s="63"/>
      <c r="D17" s="82"/>
      <c r="E17" s="250"/>
      <c r="F17" s="250"/>
      <c r="G17" s="70"/>
      <c r="H17" s="70"/>
      <c r="I17" s="70"/>
      <c r="J17" s="71"/>
      <c r="K17" s="59"/>
      <c r="L17" s="60"/>
      <c r="M17" s="61"/>
      <c r="N17" s="62"/>
      <c r="O17" s="38" t="str">
        <f t="shared" si="0"/>
        <v/>
      </c>
      <c r="P17" s="65"/>
      <c r="Q17" s="11"/>
      <c r="R17" s="5"/>
    </row>
    <row r="18" spans="1:19" s="6" customFormat="1" ht="18">
      <c r="A18" s="249"/>
      <c r="B18" s="47" t="s">
        <v>78</v>
      </c>
      <c r="C18" s="70"/>
      <c r="D18" s="82"/>
      <c r="E18" s="251"/>
      <c r="F18" s="251"/>
      <c r="G18" s="57"/>
      <c r="H18" s="57"/>
      <c r="I18" s="57"/>
      <c r="J18" s="84"/>
      <c r="K18" s="59"/>
      <c r="L18" s="60"/>
      <c r="M18" s="61"/>
      <c r="N18" s="62"/>
      <c r="O18" s="38" t="str">
        <f t="shared" si="0"/>
        <v/>
      </c>
      <c r="P18" s="65"/>
      <c r="Q18" s="11"/>
      <c r="R18" s="5"/>
    </row>
    <row r="19" spans="1:19" s="6" customFormat="1" ht="18">
      <c r="A19" s="249"/>
      <c r="B19" s="47" t="s">
        <v>82</v>
      </c>
      <c r="C19" s="70"/>
      <c r="D19" s="82"/>
      <c r="E19" s="251"/>
      <c r="F19" s="251"/>
      <c r="G19" s="57"/>
      <c r="H19" s="57"/>
      <c r="I19" s="57"/>
      <c r="J19" s="84"/>
      <c r="K19" s="59"/>
      <c r="L19" s="60"/>
      <c r="M19" s="61"/>
      <c r="N19" s="62"/>
      <c r="O19" s="38" t="str">
        <f t="shared" si="0"/>
        <v/>
      </c>
      <c r="P19" s="65"/>
      <c r="Q19" s="11"/>
      <c r="R19" s="5"/>
    </row>
    <row r="20" spans="1:19" s="6" customFormat="1" ht="18">
      <c r="A20" s="249"/>
      <c r="B20" s="47" t="s">
        <v>83</v>
      </c>
      <c r="C20" s="70"/>
      <c r="D20" s="82"/>
      <c r="E20" s="251"/>
      <c r="F20" s="251"/>
      <c r="G20" s="57"/>
      <c r="H20" s="57"/>
      <c r="I20" s="57"/>
      <c r="J20" s="84"/>
      <c r="K20" s="59"/>
      <c r="L20" s="60"/>
      <c r="M20" s="61"/>
      <c r="N20" s="62"/>
      <c r="O20" s="38" t="str">
        <f t="shared" si="0"/>
        <v/>
      </c>
      <c r="P20" s="65"/>
      <c r="Q20" s="11"/>
      <c r="R20" s="5"/>
    </row>
    <row r="21" spans="1:19" s="6" customFormat="1" ht="26.25">
      <c r="A21" s="252"/>
      <c r="B21" s="253"/>
      <c r="C21" s="253"/>
      <c r="D21" s="253"/>
      <c r="E21" s="253"/>
      <c r="F21" s="253"/>
      <c r="G21" s="253"/>
      <c r="H21" s="253"/>
      <c r="I21" s="253"/>
      <c r="J21" s="254"/>
      <c r="K21" s="255" t="s">
        <v>84</v>
      </c>
      <c r="L21" s="256"/>
      <c r="M21" s="256"/>
      <c r="N21" s="257"/>
      <c r="O21" s="242">
        <f>SUMIF(P15:P20,"CUMPLE",O15:O20)</f>
        <v>0</v>
      </c>
      <c r="P21" s="242"/>
      <c r="Q21" s="11"/>
      <c r="R21" s="5"/>
      <c r="S21" s="44"/>
    </row>
    <row r="22" spans="1:19" s="6" customFormat="1" ht="132.94999999999999" customHeight="1">
      <c r="A22" s="20" t="s">
        <v>85</v>
      </c>
      <c r="B22" s="281" t="s">
        <v>112</v>
      </c>
      <c r="C22" s="281"/>
      <c r="D22" s="281"/>
      <c r="E22" s="281"/>
      <c r="F22" s="281"/>
      <c r="G22" s="281"/>
      <c r="H22" s="281"/>
      <c r="I22" s="281"/>
      <c r="J22" s="281"/>
      <c r="K22" s="281"/>
      <c r="L22" s="281"/>
      <c r="M22" s="281"/>
      <c r="N22" s="281"/>
      <c r="O22" s="281"/>
      <c r="P22" s="281"/>
      <c r="Q22" s="11"/>
      <c r="R22" s="5"/>
    </row>
    <row r="23" spans="1:19" s="54" customFormat="1" ht="26.25">
      <c r="A23" s="258" t="s">
        <v>12</v>
      </c>
      <c r="B23" s="259"/>
      <c r="C23" s="259"/>
      <c r="D23" s="259"/>
      <c r="E23" s="259"/>
      <c r="F23" s="259"/>
      <c r="G23" s="259"/>
      <c r="H23" s="259"/>
      <c r="I23" s="259"/>
      <c r="J23" s="259"/>
      <c r="K23" s="259"/>
      <c r="L23" s="259"/>
      <c r="M23" s="259"/>
      <c r="N23" s="259"/>
      <c r="O23" s="245" t="s">
        <v>50</v>
      </c>
      <c r="P23" s="245"/>
      <c r="Q23" s="52"/>
      <c r="R23" s="53"/>
    </row>
    <row r="24" spans="1:19" s="6" customFormat="1" ht="168.95" customHeight="1">
      <c r="A24" s="260" t="s">
        <v>86</v>
      </c>
      <c r="B24" s="260"/>
      <c r="C24" s="260"/>
      <c r="D24" s="260"/>
      <c r="E24" s="260"/>
      <c r="F24" s="260"/>
      <c r="G24" s="260"/>
      <c r="H24" s="260"/>
      <c r="I24" s="260"/>
      <c r="J24" s="260"/>
      <c r="K24" s="260"/>
      <c r="L24" s="260"/>
      <c r="M24" s="260"/>
      <c r="N24" s="260"/>
      <c r="O24" s="247" t="s">
        <v>111</v>
      </c>
      <c r="P24" s="247"/>
      <c r="Q24" s="12"/>
      <c r="R24" s="5"/>
    </row>
    <row r="25" spans="1:19" s="6" customFormat="1" ht="76.5">
      <c r="A25" s="51" t="s">
        <v>87</v>
      </c>
      <c r="B25" s="81" t="s">
        <v>53</v>
      </c>
      <c r="C25" s="81" t="s">
        <v>54</v>
      </c>
      <c r="D25" s="81" t="s">
        <v>55</v>
      </c>
      <c r="E25" s="248" t="s">
        <v>3</v>
      </c>
      <c r="F25" s="248"/>
      <c r="G25" s="81" t="s">
        <v>88</v>
      </c>
      <c r="H25" s="81" t="s">
        <v>89</v>
      </c>
      <c r="I25" s="81" t="s">
        <v>90</v>
      </c>
      <c r="J25" s="81" t="s">
        <v>58</v>
      </c>
      <c r="K25" s="81" t="s">
        <v>59</v>
      </c>
      <c r="L25" s="81" t="s">
        <v>91</v>
      </c>
      <c r="M25" s="81" t="s">
        <v>61</v>
      </c>
      <c r="N25" s="81" t="s">
        <v>62</v>
      </c>
      <c r="O25" s="81" t="s">
        <v>63</v>
      </c>
      <c r="P25" s="81" t="s">
        <v>64</v>
      </c>
      <c r="Q25" s="9"/>
      <c r="R25" s="10"/>
    </row>
    <row r="26" spans="1:19" s="6" customFormat="1" ht="18">
      <c r="A26" s="25">
        <v>1</v>
      </c>
      <c r="B26" s="47" t="s">
        <v>65</v>
      </c>
      <c r="C26" s="63"/>
      <c r="D26" s="63"/>
      <c r="E26" s="282"/>
      <c r="F26" s="282"/>
      <c r="G26" s="57"/>
      <c r="H26" s="57"/>
      <c r="I26" s="57"/>
      <c r="J26" s="58"/>
      <c r="K26" s="59"/>
      <c r="L26" s="60"/>
      <c r="M26" s="61"/>
      <c r="N26" s="62"/>
      <c r="O26" s="38" t="str">
        <f t="shared" ref="O26:O31" si="1">IF(AND(H26="SI",I26="SI")=TRUE,M26*N26,"")</f>
        <v/>
      </c>
      <c r="P26" s="65"/>
      <c r="Q26" s="11"/>
      <c r="R26" s="5"/>
    </row>
    <row r="27" spans="1:19" s="31" customFormat="1" ht="18">
      <c r="A27" s="37">
        <v>2</v>
      </c>
      <c r="B27" s="47" t="s">
        <v>70</v>
      </c>
      <c r="C27" s="84"/>
      <c r="D27" s="82"/>
      <c r="E27" s="251"/>
      <c r="F27" s="251"/>
      <c r="G27" s="84"/>
      <c r="H27" s="84"/>
      <c r="I27" s="84"/>
      <c r="J27" s="84"/>
      <c r="K27" s="59"/>
      <c r="L27" s="60"/>
      <c r="M27" s="61"/>
      <c r="N27" s="62"/>
      <c r="O27" s="38" t="str">
        <f t="shared" si="1"/>
        <v/>
      </c>
      <c r="P27" s="65"/>
      <c r="Q27" s="36"/>
      <c r="R27" s="30"/>
    </row>
    <row r="28" spans="1:19" s="40" customFormat="1" ht="18">
      <c r="A28" s="25">
        <v>3</v>
      </c>
      <c r="B28" s="47" t="s">
        <v>74</v>
      </c>
      <c r="C28" s="84"/>
      <c r="D28" s="83"/>
      <c r="E28" s="251"/>
      <c r="F28" s="251"/>
      <c r="G28" s="57"/>
      <c r="H28" s="57"/>
      <c r="I28" s="57"/>
      <c r="J28" s="84"/>
      <c r="K28" s="59"/>
      <c r="L28" s="60"/>
      <c r="M28" s="61"/>
      <c r="N28" s="62"/>
      <c r="O28" s="38" t="str">
        <f t="shared" si="1"/>
        <v/>
      </c>
      <c r="P28" s="65"/>
      <c r="Q28" s="11"/>
      <c r="R28" s="39"/>
    </row>
    <row r="29" spans="1:19" s="42" customFormat="1" ht="18">
      <c r="A29" s="37">
        <v>4</v>
      </c>
      <c r="B29" s="47" t="s">
        <v>78</v>
      </c>
      <c r="C29" s="57"/>
      <c r="D29" s="83"/>
      <c r="E29" s="251"/>
      <c r="F29" s="251"/>
      <c r="G29" s="57"/>
      <c r="H29" s="84"/>
      <c r="I29" s="57"/>
      <c r="J29" s="84"/>
      <c r="K29" s="59"/>
      <c r="L29" s="60"/>
      <c r="M29" s="61"/>
      <c r="N29" s="62"/>
      <c r="O29" s="38" t="str">
        <f t="shared" si="1"/>
        <v/>
      </c>
      <c r="P29" s="65"/>
      <c r="Q29" s="36"/>
      <c r="R29" s="41"/>
    </row>
    <row r="30" spans="1:19" s="40" customFormat="1" ht="18">
      <c r="A30" s="25">
        <v>5</v>
      </c>
      <c r="B30" s="47" t="s">
        <v>82</v>
      </c>
      <c r="C30" s="84"/>
      <c r="D30" s="64"/>
      <c r="E30" s="251"/>
      <c r="F30" s="251"/>
      <c r="G30" s="84"/>
      <c r="H30" s="84"/>
      <c r="I30" s="84"/>
      <c r="J30" s="84"/>
      <c r="K30" s="59"/>
      <c r="L30" s="60"/>
      <c r="M30" s="61"/>
      <c r="N30" s="62"/>
      <c r="O30" s="38" t="str">
        <f t="shared" si="1"/>
        <v/>
      </c>
      <c r="P30" s="65"/>
      <c r="Q30" s="11"/>
      <c r="R30" s="39"/>
    </row>
    <row r="31" spans="1:19" s="6" customFormat="1" ht="18">
      <c r="A31" s="37">
        <v>6</v>
      </c>
      <c r="B31" s="47" t="s">
        <v>83</v>
      </c>
      <c r="C31" s="84"/>
      <c r="D31" s="82"/>
      <c r="E31" s="250"/>
      <c r="F31" s="250"/>
      <c r="G31" s="84"/>
      <c r="H31" s="84"/>
      <c r="I31" s="84"/>
      <c r="J31" s="63"/>
      <c r="K31" s="59"/>
      <c r="L31" s="60"/>
      <c r="M31" s="61"/>
      <c r="N31" s="62"/>
      <c r="O31" s="38" t="str">
        <f t="shared" si="1"/>
        <v/>
      </c>
      <c r="P31" s="65"/>
      <c r="Q31" s="11"/>
      <c r="R31" s="46"/>
    </row>
    <row r="32" spans="1:19" s="6" customFormat="1" ht="26.25">
      <c r="A32" s="252"/>
      <c r="B32" s="253"/>
      <c r="C32" s="253"/>
      <c r="D32" s="253"/>
      <c r="E32" s="253"/>
      <c r="F32" s="253"/>
      <c r="G32" s="253"/>
      <c r="H32" s="253"/>
      <c r="I32" s="253"/>
      <c r="J32" s="254"/>
      <c r="K32" s="255" t="s">
        <v>84</v>
      </c>
      <c r="L32" s="256"/>
      <c r="M32" s="256"/>
      <c r="N32" s="257"/>
      <c r="O32" s="242">
        <f>SUMIF(P26:P31,"CUMPLE",O26:O31)</f>
        <v>0</v>
      </c>
      <c r="P32" s="242"/>
      <c r="Q32" s="13"/>
      <c r="R32" s="5"/>
    </row>
    <row r="33" spans="1:18" s="6" customFormat="1" ht="110.1" customHeight="1">
      <c r="A33" s="261" t="s">
        <v>85</v>
      </c>
      <c r="B33" s="261"/>
      <c r="C33" s="283" t="s">
        <v>112</v>
      </c>
      <c r="D33" s="283"/>
      <c r="E33" s="283"/>
      <c r="F33" s="283"/>
      <c r="G33" s="283"/>
      <c r="H33" s="283"/>
      <c r="I33" s="283"/>
      <c r="J33" s="283"/>
      <c r="K33" s="283"/>
      <c r="L33" s="283"/>
      <c r="M33" s="283"/>
      <c r="N33" s="283"/>
      <c r="O33" s="283"/>
      <c r="P33" s="283"/>
      <c r="Q33" s="7"/>
      <c r="R33" s="45"/>
    </row>
    <row r="34" spans="1:18" s="6" customFormat="1" ht="26.25">
      <c r="A34" s="207" t="s">
        <v>94</v>
      </c>
      <c r="B34" s="208"/>
      <c r="C34" s="208"/>
      <c r="D34" s="208"/>
      <c r="E34" s="208"/>
      <c r="F34" s="208"/>
      <c r="G34" s="208"/>
      <c r="H34" s="208"/>
      <c r="I34" s="208"/>
      <c r="J34" s="208"/>
      <c r="K34" s="208"/>
      <c r="L34" s="208"/>
      <c r="M34" s="208"/>
      <c r="N34" s="208"/>
      <c r="O34" s="208"/>
      <c r="P34" s="208"/>
      <c r="Q34" s="13"/>
      <c r="R34" s="5"/>
    </row>
    <row r="35" spans="1:18" s="6" customFormat="1" ht="52.5">
      <c r="A35" s="258" t="s">
        <v>13</v>
      </c>
      <c r="B35" s="258"/>
      <c r="C35" s="258"/>
      <c r="D35" s="258"/>
      <c r="E35" s="258"/>
      <c r="F35" s="258"/>
      <c r="G35" s="258"/>
      <c r="H35" s="258"/>
      <c r="I35" s="258"/>
      <c r="J35" s="258"/>
      <c r="K35" s="258"/>
      <c r="L35" s="258"/>
      <c r="M35" s="258"/>
      <c r="N35" s="258"/>
      <c r="O35" s="258"/>
      <c r="P35" s="79" t="s">
        <v>50</v>
      </c>
      <c r="Q35" s="13"/>
      <c r="R35" s="5"/>
    </row>
    <row r="36" spans="1:18" s="6" customFormat="1" ht="74.45" customHeight="1">
      <c r="A36" s="265" t="s">
        <v>95</v>
      </c>
      <c r="B36" s="265"/>
      <c r="C36" s="265"/>
      <c r="D36" s="265"/>
      <c r="E36" s="265"/>
      <c r="F36" s="265"/>
      <c r="G36" s="265"/>
      <c r="H36" s="265"/>
      <c r="I36" s="265"/>
      <c r="J36" s="265"/>
      <c r="K36" s="265"/>
      <c r="L36" s="265"/>
      <c r="M36" s="265"/>
      <c r="N36" s="265"/>
      <c r="O36" s="265"/>
      <c r="P36" s="56" t="s">
        <v>111</v>
      </c>
      <c r="Q36" s="13"/>
      <c r="R36" s="5"/>
    </row>
    <row r="37" spans="1:18" s="6" customFormat="1" ht="35.450000000000003" customHeight="1">
      <c r="A37" s="261" t="s">
        <v>85</v>
      </c>
      <c r="B37" s="261"/>
      <c r="C37" s="266" t="s">
        <v>113</v>
      </c>
      <c r="D37" s="266"/>
      <c r="E37" s="266"/>
      <c r="F37" s="266"/>
      <c r="G37" s="266"/>
      <c r="H37" s="266"/>
      <c r="I37" s="266"/>
      <c r="J37" s="266"/>
      <c r="K37" s="266"/>
      <c r="L37" s="266"/>
      <c r="M37" s="266"/>
      <c r="N37" s="266"/>
      <c r="O37" s="266"/>
      <c r="P37" s="266"/>
      <c r="Q37" s="13"/>
      <c r="R37" s="5"/>
    </row>
    <row r="38" spans="1:18" s="6" customFormat="1" ht="52.5">
      <c r="A38" s="267" t="s">
        <v>14</v>
      </c>
      <c r="B38" s="258"/>
      <c r="C38" s="258"/>
      <c r="D38" s="258"/>
      <c r="E38" s="258"/>
      <c r="F38" s="258"/>
      <c r="G38" s="258"/>
      <c r="H38" s="258"/>
      <c r="I38" s="258"/>
      <c r="J38" s="258"/>
      <c r="K38" s="258"/>
      <c r="L38" s="258"/>
      <c r="M38" s="258"/>
      <c r="N38" s="258"/>
      <c r="O38" s="258"/>
      <c r="P38" s="79" t="s">
        <v>50</v>
      </c>
      <c r="Q38" s="13"/>
      <c r="R38" s="5"/>
    </row>
    <row r="39" spans="1:18" s="6" customFormat="1" ht="222.95" customHeight="1">
      <c r="A39" s="263" t="s">
        <v>96</v>
      </c>
      <c r="B39" s="264"/>
      <c r="C39" s="264"/>
      <c r="D39" s="264"/>
      <c r="E39" s="264"/>
      <c r="F39" s="264"/>
      <c r="G39" s="264"/>
      <c r="H39" s="264"/>
      <c r="I39" s="264"/>
      <c r="J39" s="264"/>
      <c r="K39" s="264"/>
      <c r="L39" s="264"/>
      <c r="M39" s="264"/>
      <c r="N39" s="264"/>
      <c r="O39" s="264"/>
      <c r="P39" s="56" t="s">
        <v>111</v>
      </c>
      <c r="Q39" s="13"/>
      <c r="R39" s="5"/>
    </row>
    <row r="40" spans="1:18" s="6" customFormat="1" ht="111.95" customHeight="1">
      <c r="A40" s="261" t="s">
        <v>85</v>
      </c>
      <c r="B40" s="261"/>
      <c r="C40" s="284" t="s">
        <v>112</v>
      </c>
      <c r="D40" s="284"/>
      <c r="E40" s="284"/>
      <c r="F40" s="284"/>
      <c r="G40" s="284"/>
      <c r="H40" s="284"/>
      <c r="I40" s="284"/>
      <c r="J40" s="284"/>
      <c r="K40" s="284"/>
      <c r="L40" s="284"/>
      <c r="M40" s="284"/>
      <c r="N40" s="284"/>
      <c r="O40" s="284"/>
      <c r="P40" s="284"/>
      <c r="Q40" s="13"/>
      <c r="R40" s="5"/>
    </row>
    <row r="41" spans="1:18" s="6" customFormat="1" ht="52.5">
      <c r="A41" s="267" t="s">
        <v>15</v>
      </c>
      <c r="B41" s="258"/>
      <c r="C41" s="258"/>
      <c r="D41" s="258"/>
      <c r="E41" s="258"/>
      <c r="F41" s="258"/>
      <c r="G41" s="258"/>
      <c r="H41" s="258"/>
      <c r="I41" s="258"/>
      <c r="J41" s="258"/>
      <c r="K41" s="258"/>
      <c r="L41" s="258"/>
      <c r="M41" s="258"/>
      <c r="N41" s="258"/>
      <c r="O41" s="258"/>
      <c r="P41" s="79" t="s">
        <v>50</v>
      </c>
      <c r="Q41" s="13"/>
      <c r="R41" s="5"/>
    </row>
    <row r="42" spans="1:18" s="6" customFormat="1" ht="90" customHeight="1">
      <c r="A42" s="263" t="s">
        <v>97</v>
      </c>
      <c r="B42" s="264"/>
      <c r="C42" s="264"/>
      <c r="D42" s="264"/>
      <c r="E42" s="264"/>
      <c r="F42" s="264"/>
      <c r="G42" s="264"/>
      <c r="H42" s="264"/>
      <c r="I42" s="264"/>
      <c r="J42" s="264"/>
      <c r="K42" s="264"/>
      <c r="L42" s="264"/>
      <c r="M42" s="264"/>
      <c r="N42" s="264"/>
      <c r="O42" s="264"/>
      <c r="P42" s="56" t="s">
        <v>111</v>
      </c>
      <c r="Q42" s="13"/>
      <c r="R42" s="5"/>
    </row>
    <row r="43" spans="1:18" s="6" customFormat="1" ht="111.95" customHeight="1">
      <c r="A43" s="261" t="s">
        <v>85</v>
      </c>
      <c r="B43" s="261"/>
      <c r="C43" s="284" t="s">
        <v>112</v>
      </c>
      <c r="D43" s="284"/>
      <c r="E43" s="284"/>
      <c r="F43" s="284"/>
      <c r="G43" s="284"/>
      <c r="H43" s="284"/>
      <c r="I43" s="284"/>
      <c r="J43" s="284"/>
      <c r="K43" s="284"/>
      <c r="L43" s="284"/>
      <c r="M43" s="284"/>
      <c r="N43" s="284"/>
      <c r="O43" s="284"/>
      <c r="P43" s="284"/>
      <c r="Q43" s="13"/>
      <c r="R43" s="5"/>
    </row>
    <row r="44" spans="1:18" s="6" customFormat="1" ht="52.5">
      <c r="A44" s="267" t="s">
        <v>16</v>
      </c>
      <c r="B44" s="258"/>
      <c r="C44" s="258"/>
      <c r="D44" s="258"/>
      <c r="E44" s="258"/>
      <c r="F44" s="258"/>
      <c r="G44" s="258"/>
      <c r="H44" s="258"/>
      <c r="I44" s="258"/>
      <c r="J44" s="258"/>
      <c r="K44" s="258"/>
      <c r="L44" s="258"/>
      <c r="M44" s="258"/>
      <c r="N44" s="258"/>
      <c r="O44" s="258"/>
      <c r="P44" s="79" t="s">
        <v>50</v>
      </c>
      <c r="Q44" s="13"/>
      <c r="R44" s="5"/>
    </row>
    <row r="45" spans="1:18" s="6" customFormat="1" ht="64.349999999999994" customHeight="1">
      <c r="A45" s="263" t="s">
        <v>98</v>
      </c>
      <c r="B45" s="264"/>
      <c r="C45" s="264"/>
      <c r="D45" s="264"/>
      <c r="E45" s="264"/>
      <c r="F45" s="264"/>
      <c r="G45" s="264"/>
      <c r="H45" s="264"/>
      <c r="I45" s="264"/>
      <c r="J45" s="264"/>
      <c r="K45" s="264"/>
      <c r="L45" s="264"/>
      <c r="M45" s="264"/>
      <c r="N45" s="264"/>
      <c r="O45" s="264"/>
      <c r="P45" s="56" t="s">
        <v>111</v>
      </c>
      <c r="Q45" s="13"/>
      <c r="R45" s="5"/>
    </row>
    <row r="46" spans="1:18" s="6" customFormat="1" ht="111.95" customHeight="1">
      <c r="A46" s="261" t="s">
        <v>85</v>
      </c>
      <c r="B46" s="261"/>
      <c r="C46" s="284" t="s">
        <v>112</v>
      </c>
      <c r="D46" s="284"/>
      <c r="E46" s="284"/>
      <c r="F46" s="284"/>
      <c r="G46" s="284"/>
      <c r="H46" s="284"/>
      <c r="I46" s="284"/>
      <c r="J46" s="284"/>
      <c r="K46" s="284"/>
      <c r="L46" s="284"/>
      <c r="M46" s="284"/>
      <c r="N46" s="284"/>
      <c r="O46" s="284"/>
      <c r="P46" s="284"/>
      <c r="Q46" s="13"/>
      <c r="R46" s="5"/>
    </row>
    <row r="47" spans="1:18" s="6" customFormat="1" ht="52.5">
      <c r="A47" s="267" t="s">
        <v>17</v>
      </c>
      <c r="B47" s="258"/>
      <c r="C47" s="258"/>
      <c r="D47" s="258"/>
      <c r="E47" s="258"/>
      <c r="F47" s="258"/>
      <c r="G47" s="258"/>
      <c r="H47" s="258"/>
      <c r="I47" s="258"/>
      <c r="J47" s="258"/>
      <c r="K47" s="258"/>
      <c r="L47" s="258"/>
      <c r="M47" s="258"/>
      <c r="N47" s="258"/>
      <c r="O47" s="258"/>
      <c r="P47" s="79" t="s">
        <v>50</v>
      </c>
      <c r="Q47" s="13"/>
      <c r="R47" s="5"/>
    </row>
    <row r="48" spans="1:18" s="6" customFormat="1" ht="97.7" customHeight="1">
      <c r="A48" s="263" t="s">
        <v>99</v>
      </c>
      <c r="B48" s="264"/>
      <c r="C48" s="264"/>
      <c r="D48" s="264"/>
      <c r="E48" s="264"/>
      <c r="F48" s="264"/>
      <c r="G48" s="264"/>
      <c r="H48" s="264"/>
      <c r="I48" s="264"/>
      <c r="J48" s="264"/>
      <c r="K48" s="264"/>
      <c r="L48" s="264"/>
      <c r="M48" s="264"/>
      <c r="N48" s="264"/>
      <c r="O48" s="264"/>
      <c r="P48" s="56" t="s">
        <v>111</v>
      </c>
      <c r="Q48" s="13"/>
      <c r="R48" s="5"/>
    </row>
    <row r="49" spans="1:18" s="6" customFormat="1" ht="111.95" customHeight="1">
      <c r="A49" s="261" t="s">
        <v>85</v>
      </c>
      <c r="B49" s="261"/>
      <c r="C49" s="284" t="s">
        <v>112</v>
      </c>
      <c r="D49" s="284"/>
      <c r="E49" s="284"/>
      <c r="F49" s="284"/>
      <c r="G49" s="284"/>
      <c r="H49" s="284"/>
      <c r="I49" s="284"/>
      <c r="J49" s="284"/>
      <c r="K49" s="284"/>
      <c r="L49" s="284"/>
      <c r="M49" s="284"/>
      <c r="N49" s="284"/>
      <c r="O49" s="284"/>
      <c r="P49" s="284"/>
      <c r="Q49" s="13"/>
      <c r="R49" s="5"/>
    </row>
    <row r="50" spans="1:18" customFormat="1" ht="206.45" customHeight="1">
      <c r="A50" s="270"/>
      <c r="B50" s="270"/>
      <c r="C50" s="270"/>
      <c r="D50" s="270"/>
      <c r="E50" s="270"/>
      <c r="F50" s="270"/>
      <c r="G50" s="270"/>
      <c r="H50" s="270"/>
      <c r="I50" s="270"/>
      <c r="J50" s="270"/>
      <c r="K50" s="270"/>
      <c r="L50" s="270"/>
      <c r="M50" s="270"/>
      <c r="N50" s="270"/>
      <c r="O50" s="270"/>
      <c r="P50" s="270"/>
    </row>
    <row r="51" spans="1:18" s="6" customFormat="1" ht="26.25">
      <c r="A51" s="258" t="s">
        <v>101</v>
      </c>
      <c r="B51" s="258"/>
      <c r="C51" s="258"/>
      <c r="D51" s="258"/>
      <c r="E51" s="258"/>
      <c r="F51" s="258"/>
      <c r="G51" s="258"/>
      <c r="H51" s="258"/>
      <c r="I51" s="258"/>
      <c r="J51" s="258"/>
      <c r="K51" s="258"/>
      <c r="L51" s="258"/>
      <c r="M51" s="258"/>
      <c r="N51" s="258"/>
      <c r="O51" s="258"/>
      <c r="P51" s="79" t="s">
        <v>102</v>
      </c>
      <c r="Q51" s="13"/>
      <c r="R51" s="5"/>
    </row>
    <row r="52" spans="1:18" s="6" customFormat="1" ht="27" customHeight="1">
      <c r="A52" s="271" t="s">
        <v>114</v>
      </c>
      <c r="B52" s="271"/>
      <c r="C52" s="271"/>
      <c r="D52" s="271"/>
      <c r="E52" s="271"/>
      <c r="F52" s="271"/>
      <c r="G52" s="271"/>
      <c r="H52" s="271"/>
      <c r="I52" s="271"/>
      <c r="J52" s="271"/>
      <c r="K52" s="271"/>
      <c r="L52" s="271"/>
      <c r="M52" s="271"/>
      <c r="N52" s="271"/>
      <c r="O52" s="271"/>
      <c r="P52" s="56">
        <v>8</v>
      </c>
      <c r="Q52" s="13"/>
      <c r="R52" s="5"/>
    </row>
    <row r="53" spans="1:18" s="6" customFormat="1" ht="36.75" customHeight="1">
      <c r="A53" s="271" t="s">
        <v>115</v>
      </c>
      <c r="B53" s="271"/>
      <c r="C53" s="271"/>
      <c r="D53" s="271"/>
      <c r="E53" s="271"/>
      <c r="F53" s="271"/>
      <c r="G53" s="271"/>
      <c r="H53" s="271"/>
      <c r="I53" s="271"/>
      <c r="J53" s="271"/>
      <c r="K53" s="271"/>
      <c r="L53" s="271"/>
      <c r="M53" s="271"/>
      <c r="N53" s="271"/>
      <c r="O53" s="271"/>
      <c r="P53" s="56">
        <v>6.75</v>
      </c>
      <c r="Q53" s="13"/>
      <c r="R53" s="5"/>
    </row>
    <row r="54" spans="1:18" s="6" customFormat="1" ht="36.75" customHeight="1">
      <c r="A54" s="271" t="s">
        <v>116</v>
      </c>
      <c r="B54" s="271"/>
      <c r="C54" s="271"/>
      <c r="D54" s="271"/>
      <c r="E54" s="271"/>
      <c r="F54" s="271"/>
      <c r="G54" s="271"/>
      <c r="H54" s="271"/>
      <c r="I54" s="271"/>
      <c r="J54" s="271"/>
      <c r="K54" s="271"/>
      <c r="L54" s="271"/>
      <c r="M54" s="271"/>
      <c r="N54" s="271"/>
      <c r="O54" s="271"/>
      <c r="P54" s="56">
        <v>4</v>
      </c>
      <c r="Q54" s="13"/>
      <c r="R54" s="5"/>
    </row>
    <row r="55" spans="1:18" s="6" customFormat="1" ht="26.25">
      <c r="A55" s="269" t="s">
        <v>106</v>
      </c>
      <c r="B55" s="269"/>
      <c r="C55" s="269"/>
      <c r="D55" s="269"/>
      <c r="E55" s="269"/>
      <c r="F55" s="269"/>
      <c r="G55" s="269"/>
      <c r="H55" s="269"/>
      <c r="I55" s="269"/>
      <c r="J55" s="269"/>
      <c r="K55" s="269"/>
      <c r="L55" s="269"/>
      <c r="M55" s="269"/>
      <c r="N55" s="269"/>
      <c r="O55" s="269"/>
      <c r="P55" s="80">
        <f>SUM(P52:P54)</f>
        <v>18.75</v>
      </c>
      <c r="Q55" s="13"/>
      <c r="R55" s="5"/>
    </row>
    <row r="56" spans="1:18" s="6" customFormat="1" ht="48" customHeight="1">
      <c r="A56" s="261" t="s">
        <v>85</v>
      </c>
      <c r="B56" s="261"/>
      <c r="C56" s="273"/>
      <c r="D56" s="273"/>
      <c r="E56" s="273"/>
      <c r="F56" s="273"/>
      <c r="G56" s="273"/>
      <c r="H56" s="273"/>
      <c r="I56" s="273"/>
      <c r="J56" s="273"/>
      <c r="K56" s="273"/>
      <c r="L56" s="273"/>
      <c r="M56" s="273"/>
      <c r="N56" s="273"/>
      <c r="O56" s="273"/>
      <c r="P56" s="273"/>
      <c r="Q56" s="7"/>
      <c r="R56" s="5"/>
    </row>
    <row r="57" spans="1:18" s="6" customFormat="1" ht="26.25">
      <c r="A57" s="258" t="s">
        <v>19</v>
      </c>
      <c r="B57" s="258"/>
      <c r="C57" s="258"/>
      <c r="D57" s="258"/>
      <c r="E57" s="258"/>
      <c r="F57" s="258"/>
      <c r="G57" s="258"/>
      <c r="H57" s="258"/>
      <c r="I57" s="258"/>
      <c r="J57" s="258"/>
      <c r="K57" s="258"/>
      <c r="L57" s="258"/>
      <c r="M57" s="258"/>
      <c r="N57" s="258"/>
      <c r="O57" s="258"/>
      <c r="P57" s="79" t="s">
        <v>102</v>
      </c>
      <c r="Q57" s="7"/>
      <c r="R57" s="5"/>
    </row>
    <row r="58" spans="1:18" s="6" customFormat="1" ht="231" customHeight="1">
      <c r="A58" s="274" t="s">
        <v>107</v>
      </c>
      <c r="B58" s="274"/>
      <c r="C58" s="274"/>
      <c r="D58" s="274"/>
      <c r="E58" s="274"/>
      <c r="F58" s="274"/>
      <c r="G58" s="274"/>
      <c r="H58" s="274"/>
      <c r="I58" s="274"/>
      <c r="J58" s="274"/>
      <c r="K58" s="274"/>
      <c r="L58" s="274"/>
      <c r="M58" s="274"/>
      <c r="N58" s="274"/>
      <c r="O58" s="274"/>
      <c r="P58" s="56">
        <v>0</v>
      </c>
      <c r="Q58" s="7"/>
      <c r="R58" s="5"/>
    </row>
    <row r="59" spans="1:18" s="6" customFormat="1" ht="18">
      <c r="A59" s="261" t="s">
        <v>85</v>
      </c>
      <c r="B59" s="261"/>
      <c r="C59" s="283" t="s">
        <v>117</v>
      </c>
      <c r="D59" s="283"/>
      <c r="E59" s="283"/>
      <c r="F59" s="283"/>
      <c r="G59" s="283"/>
      <c r="H59" s="283"/>
      <c r="I59" s="283"/>
      <c r="J59" s="283"/>
      <c r="K59" s="283"/>
      <c r="L59" s="283"/>
      <c r="M59" s="283"/>
      <c r="N59" s="283"/>
      <c r="O59" s="283"/>
      <c r="P59" s="283"/>
      <c r="Q59" s="7"/>
      <c r="R59" s="5"/>
    </row>
    <row r="60" spans="1:18" s="6" customFormat="1" ht="44.25" customHeight="1">
      <c r="A60" s="275" t="s">
        <v>20</v>
      </c>
      <c r="B60" s="275"/>
      <c r="C60" s="275"/>
      <c r="D60" s="275"/>
      <c r="E60" s="275"/>
      <c r="F60" s="275"/>
      <c r="G60" s="275"/>
      <c r="H60" s="275"/>
      <c r="I60" s="275"/>
      <c r="J60" s="275"/>
      <c r="K60" s="275"/>
      <c r="L60" s="275"/>
      <c r="M60" s="275"/>
      <c r="N60" s="275"/>
      <c r="O60" s="275"/>
      <c r="P60" s="79" t="s">
        <v>102</v>
      </c>
      <c r="Q60" s="14"/>
      <c r="R60" s="5"/>
    </row>
    <row r="61" spans="1:18" s="6" customFormat="1" ht="270" customHeight="1">
      <c r="A61" s="274" t="s">
        <v>108</v>
      </c>
      <c r="B61" s="274"/>
      <c r="C61" s="274"/>
      <c r="D61" s="274"/>
      <c r="E61" s="274"/>
      <c r="F61" s="274"/>
      <c r="G61" s="274"/>
      <c r="H61" s="274"/>
      <c r="I61" s="274"/>
      <c r="J61" s="274"/>
      <c r="K61" s="274"/>
      <c r="L61" s="274"/>
      <c r="M61" s="274"/>
      <c r="N61" s="274"/>
      <c r="O61" s="274"/>
      <c r="P61" s="56">
        <v>0</v>
      </c>
      <c r="Q61" s="15"/>
      <c r="R61" s="5"/>
    </row>
    <row r="62" spans="1:18" s="6" customFormat="1" ht="18">
      <c r="A62" s="261" t="s">
        <v>85</v>
      </c>
      <c r="B62" s="261"/>
      <c r="C62" s="283" t="s">
        <v>118</v>
      </c>
      <c r="D62" s="283"/>
      <c r="E62" s="283"/>
      <c r="F62" s="283"/>
      <c r="G62" s="283"/>
      <c r="H62" s="283"/>
      <c r="I62" s="283"/>
      <c r="J62" s="283"/>
      <c r="K62" s="283"/>
      <c r="L62" s="283"/>
      <c r="M62" s="283"/>
      <c r="N62" s="283"/>
      <c r="O62" s="283"/>
      <c r="P62" s="283"/>
      <c r="Q62" s="7"/>
      <c r="R62" s="5"/>
    </row>
    <row r="63" spans="1:18" s="6" customFormat="1" ht="26.25">
      <c r="A63" s="258" t="s">
        <v>21</v>
      </c>
      <c r="B63" s="258"/>
      <c r="C63" s="258"/>
      <c r="D63" s="258"/>
      <c r="E63" s="258"/>
      <c r="F63" s="258"/>
      <c r="G63" s="258"/>
      <c r="H63" s="258"/>
      <c r="I63" s="258"/>
      <c r="J63" s="258"/>
      <c r="K63" s="258"/>
      <c r="L63" s="258"/>
      <c r="M63" s="258"/>
      <c r="N63" s="258"/>
      <c r="O63" s="258"/>
      <c r="P63" s="79" t="s">
        <v>102</v>
      </c>
      <c r="Q63" s="4"/>
      <c r="R63" s="5"/>
    </row>
    <row r="64" spans="1:18" s="6" customFormat="1" ht="166.7" customHeight="1">
      <c r="A64" s="272" t="s">
        <v>109</v>
      </c>
      <c r="B64" s="272"/>
      <c r="C64" s="272"/>
      <c r="D64" s="272"/>
      <c r="E64" s="272"/>
      <c r="F64" s="272"/>
      <c r="G64" s="272"/>
      <c r="H64" s="272"/>
      <c r="I64" s="272"/>
      <c r="J64" s="272"/>
      <c r="K64" s="272"/>
      <c r="L64" s="272"/>
      <c r="M64" s="272"/>
      <c r="N64" s="272"/>
      <c r="O64" s="272"/>
      <c r="P64" s="56">
        <v>0.25</v>
      </c>
      <c r="Q64" s="14"/>
      <c r="R64" s="5"/>
    </row>
    <row r="65" spans="1:18" s="6" customFormat="1" ht="18">
      <c r="A65" s="261" t="s">
        <v>85</v>
      </c>
      <c r="B65" s="261"/>
      <c r="C65" s="283"/>
      <c r="D65" s="283"/>
      <c r="E65" s="283"/>
      <c r="F65" s="283"/>
      <c r="G65" s="283"/>
      <c r="H65" s="283"/>
      <c r="I65" s="283"/>
      <c r="J65" s="283"/>
      <c r="K65" s="283"/>
      <c r="L65" s="283"/>
      <c r="M65" s="283"/>
      <c r="N65" s="283"/>
      <c r="O65" s="283"/>
      <c r="P65" s="283"/>
      <c r="Q65" s="14"/>
      <c r="R65" s="5"/>
    </row>
    <row r="66" spans="1:18" s="31" customFormat="1" ht="26.25">
      <c r="A66" s="277" t="s">
        <v>22</v>
      </c>
      <c r="B66" s="278"/>
      <c r="C66" s="278"/>
      <c r="D66" s="278"/>
      <c r="E66" s="278"/>
      <c r="F66" s="278"/>
      <c r="G66" s="278"/>
      <c r="H66" s="278"/>
      <c r="I66" s="278"/>
      <c r="J66" s="278"/>
      <c r="K66" s="278"/>
      <c r="L66" s="278"/>
      <c r="M66" s="278"/>
      <c r="N66" s="278"/>
      <c r="O66" s="279"/>
      <c r="P66" s="79" t="s">
        <v>102</v>
      </c>
      <c r="Q66" s="14"/>
      <c r="R66" s="30"/>
    </row>
    <row r="67" spans="1:18" s="31" customFormat="1" ht="149.44999999999999" customHeight="1">
      <c r="A67" s="280" t="s">
        <v>110</v>
      </c>
      <c r="B67" s="280"/>
      <c r="C67" s="280"/>
      <c r="D67" s="280"/>
      <c r="E67" s="280"/>
      <c r="F67" s="280"/>
      <c r="G67" s="280"/>
      <c r="H67" s="280"/>
      <c r="I67" s="280"/>
      <c r="J67" s="280"/>
      <c r="K67" s="280"/>
      <c r="L67" s="280"/>
      <c r="M67" s="280"/>
      <c r="N67" s="280"/>
      <c r="O67" s="280"/>
      <c r="P67" s="56">
        <v>0.25</v>
      </c>
      <c r="Q67" s="14"/>
      <c r="R67" s="30"/>
    </row>
    <row r="68" spans="1:18" s="6" customFormat="1" ht="18">
      <c r="A68" s="261" t="s">
        <v>85</v>
      </c>
      <c r="B68" s="261"/>
      <c r="C68" s="260"/>
      <c r="D68" s="260"/>
      <c r="E68" s="260"/>
      <c r="F68" s="260"/>
      <c r="G68" s="260"/>
      <c r="H68" s="260"/>
      <c r="I68" s="260"/>
      <c r="J68" s="260"/>
      <c r="K68" s="260"/>
      <c r="L68" s="260"/>
      <c r="M68" s="260"/>
      <c r="N68" s="260"/>
      <c r="O68" s="260"/>
      <c r="P68" s="260"/>
      <c r="Q68" s="14"/>
      <c r="R68" s="5"/>
    </row>
    <row r="69" spans="1:18" s="6" customFormat="1" ht="26.25">
      <c r="A69" s="276" t="s">
        <v>106</v>
      </c>
      <c r="B69" s="276"/>
      <c r="C69" s="276"/>
      <c r="D69" s="276"/>
      <c r="E69" s="276"/>
      <c r="F69" s="276"/>
      <c r="G69" s="276"/>
      <c r="H69" s="276"/>
      <c r="I69" s="276"/>
      <c r="J69" s="276"/>
      <c r="K69" s="276"/>
      <c r="L69" s="276"/>
      <c r="M69" s="276"/>
      <c r="N69" s="276"/>
      <c r="O69" s="276"/>
      <c r="P69" s="55">
        <f>SUM(P55,P58,P61,P64,P67)</f>
        <v>19.25</v>
      </c>
      <c r="Q69" s="14"/>
      <c r="R69" s="5"/>
    </row>
    <row r="70" spans="1:18" s="6" customFormat="1" ht="14.25" customHeight="1">
      <c r="Q70" s="4"/>
      <c r="R70" s="5"/>
    </row>
    <row r="71" spans="1:18" s="6" customFormat="1" ht="14.25" customHeight="1">
      <c r="Q71" s="4"/>
      <c r="R71" s="5"/>
    </row>
    <row r="72" spans="1:18" s="6" customFormat="1" ht="14.25" customHeight="1">
      <c r="Q72" s="4"/>
      <c r="R72" s="5"/>
    </row>
    <row r="73" spans="1:18" s="6" customFormat="1" ht="14.25" customHeight="1">
      <c r="Q73" s="4"/>
      <c r="R73" s="5"/>
    </row>
    <row r="74" spans="1:18" s="6" customFormat="1" ht="14.25" customHeight="1">
      <c r="C74" s="5"/>
      <c r="Q74" s="4"/>
      <c r="R74" s="5"/>
    </row>
    <row r="75" spans="1:18" s="6" customFormat="1" ht="14.25" customHeight="1">
      <c r="C75" s="5"/>
      <c r="Q75" s="4"/>
      <c r="R75" s="5"/>
    </row>
    <row r="76" spans="1:18" s="6" customFormat="1" ht="14.25" customHeight="1">
      <c r="Q76" s="4"/>
      <c r="R76" s="5"/>
    </row>
    <row r="77" spans="1:18" s="6" customFormat="1" ht="14.25" customHeight="1">
      <c r="C77" s="5"/>
      <c r="Q77" s="4"/>
      <c r="R77" s="5"/>
    </row>
    <row r="78" spans="1:18" s="6" customFormat="1" ht="14.25" customHeight="1">
      <c r="Q78" s="4"/>
      <c r="R78" s="5"/>
    </row>
    <row r="79" spans="1:18" s="6" customFormat="1" ht="14.25" customHeight="1">
      <c r="C79" s="5"/>
      <c r="Q79" s="4"/>
      <c r="R79" s="5"/>
    </row>
    <row r="80" spans="1:18" s="6" customFormat="1" ht="14.25" customHeight="1">
      <c r="Q80" s="4"/>
      <c r="R80" s="5"/>
    </row>
    <row r="81" spans="5:18" s="6" customFormat="1" ht="14.25" customHeight="1">
      <c r="Q81" s="4"/>
      <c r="R81" s="5"/>
    </row>
    <row r="82" spans="5:18" s="6" customFormat="1" ht="14.25" customHeight="1">
      <c r="Q82" s="4"/>
      <c r="R82" s="5"/>
    </row>
    <row r="83" spans="5:18" s="6" customFormat="1" ht="14.25" customHeight="1">
      <c r="Q83" s="4"/>
      <c r="R83" s="5"/>
    </row>
    <row r="84" spans="5:18" s="6" customFormat="1" ht="14.25" customHeight="1">
      <c r="Q84" s="4"/>
      <c r="R84" s="5"/>
    </row>
    <row r="85" spans="5:18" s="6" customFormat="1" ht="14.25" customHeight="1">
      <c r="E85" s="50"/>
      <c r="F85" s="50"/>
      <c r="Q85" s="4"/>
      <c r="R85" s="5"/>
    </row>
    <row r="86" spans="5:18" s="6" customFormat="1" ht="14.25" customHeight="1">
      <c r="E86" s="50"/>
      <c r="F86" s="50"/>
      <c r="Q86" s="4"/>
      <c r="R86" s="5"/>
    </row>
    <row r="87" spans="5:18" ht="14.25" customHeight="1">
      <c r="E87" s="50"/>
      <c r="F87" s="50"/>
    </row>
    <row r="88" spans="5:18" ht="14.25" customHeight="1">
      <c r="E88" s="50"/>
      <c r="F88" s="50"/>
    </row>
    <row r="89" spans="5:18" ht="14.25" customHeight="1"/>
    <row r="90" spans="5:18" ht="14.25" customHeight="1"/>
    <row r="91" spans="5:18" ht="14.25" customHeight="1"/>
    <row r="92" spans="5:18" ht="14.25" customHeight="1"/>
    <row r="93" spans="5:18" ht="14.25" customHeight="1"/>
    <row r="94" spans="5:18" ht="14.25" customHeight="1"/>
    <row r="95" spans="5:18" ht="14.25" customHeight="1"/>
    <row r="96" spans="5:18"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sheetData>
  <mergeCells count="94">
    <mergeCell ref="A69:O69"/>
    <mergeCell ref="A65:B65"/>
    <mergeCell ref="C65:P65"/>
    <mergeCell ref="A66:O66"/>
    <mergeCell ref="A67:O67"/>
    <mergeCell ref="A68:B68"/>
    <mergeCell ref="C68:P68"/>
    <mergeCell ref="A64:O64"/>
    <mergeCell ref="A56:B56"/>
    <mergeCell ref="C56:P56"/>
    <mergeCell ref="A57:O57"/>
    <mergeCell ref="A58:O58"/>
    <mergeCell ref="A59:B59"/>
    <mergeCell ref="C59:P59"/>
    <mergeCell ref="A60:O60"/>
    <mergeCell ref="A61:O61"/>
    <mergeCell ref="A62:B62"/>
    <mergeCell ref="C62:P62"/>
    <mergeCell ref="A63:O63"/>
    <mergeCell ref="A55:O55"/>
    <mergeCell ref="A46:B46"/>
    <mergeCell ref="C46:P46"/>
    <mergeCell ref="A47:O47"/>
    <mergeCell ref="A48:O48"/>
    <mergeCell ref="A49:B49"/>
    <mergeCell ref="C49:P49"/>
    <mergeCell ref="A50:P50"/>
    <mergeCell ref="A51:O51"/>
    <mergeCell ref="A52:O52"/>
    <mergeCell ref="A53:O53"/>
    <mergeCell ref="A54:O54"/>
    <mergeCell ref="A45:O45"/>
    <mergeCell ref="A36:O36"/>
    <mergeCell ref="A37:B37"/>
    <mergeCell ref="C37:P37"/>
    <mergeCell ref="A38:O38"/>
    <mergeCell ref="A39:O39"/>
    <mergeCell ref="A40:B40"/>
    <mergeCell ref="C40:P40"/>
    <mergeCell ref="A41:O41"/>
    <mergeCell ref="A42:O42"/>
    <mergeCell ref="A43:B43"/>
    <mergeCell ref="C43:P43"/>
    <mergeCell ref="A44:O44"/>
    <mergeCell ref="O23:P23"/>
    <mergeCell ref="A24:N24"/>
    <mergeCell ref="O24:P24"/>
    <mergeCell ref="E25:F25"/>
    <mergeCell ref="A35:O35"/>
    <mergeCell ref="E27:F27"/>
    <mergeCell ref="E28:F28"/>
    <mergeCell ref="E29:F29"/>
    <mergeCell ref="E30:F30"/>
    <mergeCell ref="E31:F31"/>
    <mergeCell ref="A32:J32"/>
    <mergeCell ref="K32:N32"/>
    <mergeCell ref="O32:P32"/>
    <mergeCell ref="A33:B33"/>
    <mergeCell ref="C33:P33"/>
    <mergeCell ref="A34:P34"/>
    <mergeCell ref="E26:F26"/>
    <mergeCell ref="E19:F19"/>
    <mergeCell ref="E20:F20"/>
    <mergeCell ref="A21:J21"/>
    <mergeCell ref="K21:N21"/>
    <mergeCell ref="A23:N23"/>
    <mergeCell ref="O21:P21"/>
    <mergeCell ref="B22:P22"/>
    <mergeCell ref="A12:N12"/>
    <mergeCell ref="O12:P12"/>
    <mergeCell ref="A13:N13"/>
    <mergeCell ref="O13:P13"/>
    <mergeCell ref="E14:F14"/>
    <mergeCell ref="A15:A20"/>
    <mergeCell ref="E15:F15"/>
    <mergeCell ref="E16:F16"/>
    <mergeCell ref="E17:F17"/>
    <mergeCell ref="E18:F18"/>
    <mergeCell ref="A11:P11"/>
    <mergeCell ref="A1:P1"/>
    <mergeCell ref="A2:P2"/>
    <mergeCell ref="A3:P3"/>
    <mergeCell ref="A4:A9"/>
    <mergeCell ref="B4:I9"/>
    <mergeCell ref="J4:O4"/>
    <mergeCell ref="J5:O5"/>
    <mergeCell ref="J6:O6"/>
    <mergeCell ref="J7:O7"/>
    <mergeCell ref="J8:O8"/>
    <mergeCell ref="J9:O9"/>
    <mergeCell ref="B10:C10"/>
    <mergeCell ref="D10:I10"/>
    <mergeCell ref="J10:K10"/>
    <mergeCell ref="L10:M10"/>
  </mergeCells>
  <conditionalFormatting sqref="P15:P20">
    <cfRule type="expression" dxfId="71" priority="14">
      <formula>$P15="NO CUMPLE"</formula>
    </cfRule>
  </conditionalFormatting>
  <conditionalFormatting sqref="P26:P31">
    <cfRule type="expression" dxfId="70" priority="15">
      <formula>$P26="NO CUMPLE"</formula>
    </cfRule>
  </conditionalFormatting>
  <conditionalFormatting sqref="P36">
    <cfRule type="cellIs" dxfId="69" priority="1" operator="equal">
      <formula>"RECHAZADO"</formula>
    </cfRule>
    <cfRule type="expression" dxfId="68" priority="2">
      <formula>$P36="NO CUMPLE"</formula>
    </cfRule>
  </conditionalFormatting>
  <conditionalFormatting sqref="P39">
    <cfRule type="cellIs" dxfId="67" priority="3" operator="equal">
      <formula>"RECHAZADO"</formula>
    </cfRule>
    <cfRule type="expression" dxfId="66" priority="4">
      <formula>$P39="NO CUMPLE"</formula>
    </cfRule>
  </conditionalFormatting>
  <conditionalFormatting sqref="P42">
    <cfRule type="cellIs" dxfId="65" priority="5" operator="equal">
      <formula>"RECHAZADO"</formula>
    </cfRule>
    <cfRule type="expression" dxfId="64" priority="6">
      <formula>$P42="NO CUMPLE"</formula>
    </cfRule>
  </conditionalFormatting>
  <conditionalFormatting sqref="P45">
    <cfRule type="cellIs" dxfId="63" priority="7" operator="equal">
      <formula>"RECHAZADO"</formula>
    </cfRule>
    <cfRule type="expression" dxfId="62" priority="8">
      <formula>$P45="NO CUMPLE"</formula>
    </cfRule>
  </conditionalFormatting>
  <conditionalFormatting sqref="P48">
    <cfRule type="cellIs" dxfId="61" priority="9" operator="equal">
      <formula>"RECHAZADO"</formula>
    </cfRule>
    <cfRule type="expression" dxfId="60" priority="10">
      <formula>$P48="NO CUMPLE"</formula>
    </cfRule>
  </conditionalFormatting>
  <dataValidations count="3">
    <dataValidation type="list" allowBlank="1" showInputMessage="1" showErrorMessage="1" sqref="I18:I20 G18:G20 G15:I17 G26:I26 I27:I31 G27:G31" xr:uid="{02CA79C2-A7DE-074F-A62B-A8CA0C0109A7}">
      <formula1>"SI,NO"</formula1>
    </dataValidation>
    <dataValidation type="list" allowBlank="1" showInputMessage="1" showErrorMessage="1" sqref="P26:P31 P15:P20" xr:uid="{40D0BD4F-46D9-2B4F-94D3-6467DE519C38}">
      <formula1>"CUMPLE,NO CUMPLE"</formula1>
    </dataValidation>
    <dataValidation type="list" allowBlank="1" showInputMessage="1" showErrorMessage="1" sqref="P48 P45 P42 P39 P36" xr:uid="{AAEDFCB4-DF7C-C44F-8EEC-9685E8EBA352}">
      <formula1>"CUMPLE,NO CUMPLE,RECHAZADO"</formula1>
    </dataValidation>
  </dataValidations>
  <pageMargins left="0.11811023622047245" right="0.11811023622047245" top="0.27559055118110237" bottom="0.23622047244094491" header="0" footer="0"/>
  <pageSetup paperSize="9" scale="4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94FAF-7461-4CC8-BD1A-65AB09E88A4C}">
  <sheetPr>
    <tabColor rgb="FF50F828"/>
  </sheetPr>
  <dimension ref="A1:U994"/>
  <sheetViews>
    <sheetView zoomScale="65" zoomScaleNormal="40" workbookViewId="0">
      <selection activeCell="P29" sqref="P29"/>
    </sheetView>
  </sheetViews>
  <sheetFormatPr baseColWidth="10" defaultColWidth="14.5703125" defaultRowHeight="15" customHeight="1"/>
  <cols>
    <col min="1" max="1" width="17.42578125" style="3" customWidth="1"/>
    <col min="2" max="2" width="12.7109375" style="3" customWidth="1"/>
    <col min="3" max="3" width="15.85546875" style="3" customWidth="1"/>
    <col min="4" max="4" width="24.140625" style="3" customWidth="1"/>
    <col min="5" max="5" width="52.140625" style="3" customWidth="1"/>
    <col min="6" max="6" width="49.5703125" style="3" customWidth="1"/>
    <col min="7" max="7" width="15.28515625" style="3" customWidth="1"/>
    <col min="8" max="8" width="13.140625" style="3" customWidth="1"/>
    <col min="9" max="9" width="15.42578125" style="3" customWidth="1"/>
    <col min="10" max="10" width="27.42578125" style="3" customWidth="1"/>
    <col min="11" max="11" width="19.140625" style="3" customWidth="1"/>
    <col min="12" max="12" width="20.28515625" style="3" bestFit="1" customWidth="1"/>
    <col min="13" max="13" width="23.5703125" style="3" bestFit="1" customWidth="1"/>
    <col min="14" max="14" width="15.42578125" style="3" customWidth="1"/>
    <col min="15" max="15" width="14.85546875" style="3" customWidth="1"/>
    <col min="16" max="16" width="26" style="3" customWidth="1"/>
    <col min="17" max="17" width="6.140625" style="1" bestFit="1" customWidth="1"/>
    <col min="18" max="18" width="10" style="2" bestFit="1" customWidth="1"/>
    <col min="19" max="16384" width="14.5703125" style="3"/>
  </cols>
  <sheetData>
    <row r="1" spans="1:21" ht="25.5">
      <c r="A1" s="209" t="s">
        <v>38</v>
      </c>
      <c r="B1" s="210"/>
      <c r="C1" s="210"/>
      <c r="D1" s="210"/>
      <c r="E1" s="210"/>
      <c r="F1" s="210"/>
      <c r="G1" s="210"/>
      <c r="H1" s="210"/>
      <c r="I1" s="210"/>
      <c r="J1" s="210"/>
      <c r="K1" s="210"/>
      <c r="L1" s="210"/>
      <c r="M1" s="210"/>
      <c r="N1" s="210"/>
      <c r="O1" s="210"/>
      <c r="P1" s="211"/>
    </row>
    <row r="2" spans="1:21" ht="25.5">
      <c r="A2" s="212" t="str">
        <f>+RESUMEN!C5</f>
        <v>24001216 H3 DE 2024</v>
      </c>
      <c r="B2" s="213"/>
      <c r="C2" s="213"/>
      <c r="D2" s="213"/>
      <c r="E2" s="213"/>
      <c r="F2" s="213"/>
      <c r="G2" s="213"/>
      <c r="H2" s="213"/>
      <c r="I2" s="213"/>
      <c r="J2" s="213"/>
      <c r="K2" s="213"/>
      <c r="L2" s="213"/>
      <c r="M2" s="213"/>
      <c r="N2" s="213"/>
      <c r="O2" s="213"/>
      <c r="P2" s="214"/>
    </row>
    <row r="3" spans="1:21" ht="60" customHeight="1">
      <c r="A3" s="215" t="str">
        <f>+RESUMEN!G5</f>
        <v>REALIZAR MANTENIMIENTO A LOS SISTEMAS UPS DEL CENTRO DE GESTION AERONAUTICA
DE COLOMBIA CGAC, INCLUYE RENOVAR BANCOS DE BATERÍAS POR LOTES. (VIGENCIA FUTURA).</v>
      </c>
      <c r="B3" s="216"/>
      <c r="C3" s="216"/>
      <c r="D3" s="216"/>
      <c r="E3" s="216"/>
      <c r="F3" s="216"/>
      <c r="G3" s="216"/>
      <c r="H3" s="216"/>
      <c r="I3" s="216"/>
      <c r="J3" s="217"/>
      <c r="K3" s="217"/>
      <c r="L3" s="217"/>
      <c r="M3" s="217"/>
      <c r="N3" s="217"/>
      <c r="O3" s="217"/>
      <c r="P3" s="218"/>
    </row>
    <row r="4" spans="1:21" s="6" customFormat="1" ht="19.5" customHeight="1">
      <c r="A4" s="219">
        <f>+RESUMEN!B13</f>
        <v>3</v>
      </c>
      <c r="B4" s="222" t="str">
        <f>+RESUMEN!C13</f>
        <v>CONSORCIO E TX 2024</v>
      </c>
      <c r="C4" s="223"/>
      <c r="D4" s="223"/>
      <c r="E4" s="223"/>
      <c r="F4" s="223"/>
      <c r="G4" s="223"/>
      <c r="H4" s="223"/>
      <c r="I4" s="223"/>
      <c r="J4" s="227" t="s">
        <v>39</v>
      </c>
      <c r="K4" s="228"/>
      <c r="L4" s="228"/>
      <c r="M4" s="228"/>
      <c r="N4" s="228"/>
      <c r="O4" s="229"/>
      <c r="P4" s="28" t="s">
        <v>40</v>
      </c>
      <c r="Q4" s="4"/>
      <c r="R4" s="5"/>
    </row>
    <row r="5" spans="1:21" s="6" customFormat="1" ht="19.5" customHeight="1">
      <c r="A5" s="220"/>
      <c r="B5" s="224"/>
      <c r="C5" s="225"/>
      <c r="D5" s="225"/>
      <c r="E5" s="225"/>
      <c r="F5" s="225"/>
      <c r="G5" s="225"/>
      <c r="H5" s="225"/>
      <c r="I5" s="225"/>
      <c r="J5" s="230"/>
      <c r="K5" s="231"/>
      <c r="L5" s="231"/>
      <c r="M5" s="231"/>
      <c r="N5" s="231"/>
      <c r="O5" s="232"/>
      <c r="P5" s="76"/>
      <c r="Q5" s="4"/>
      <c r="R5" s="5"/>
      <c r="S5" s="50"/>
      <c r="T5" s="50"/>
      <c r="U5" s="50"/>
    </row>
    <row r="6" spans="1:21" s="6" customFormat="1" ht="19.5" customHeight="1">
      <c r="A6" s="220"/>
      <c r="B6" s="224"/>
      <c r="C6" s="225"/>
      <c r="D6" s="225"/>
      <c r="E6" s="225"/>
      <c r="F6" s="225"/>
      <c r="G6" s="225"/>
      <c r="H6" s="225"/>
      <c r="I6" s="225"/>
      <c r="J6" s="230"/>
      <c r="K6" s="231"/>
      <c r="L6" s="231"/>
      <c r="M6" s="231"/>
      <c r="N6" s="231"/>
      <c r="O6" s="232"/>
      <c r="P6" s="76"/>
      <c r="Q6" s="4"/>
      <c r="R6" s="5"/>
      <c r="S6" s="50"/>
      <c r="T6" s="50"/>
      <c r="U6" s="50"/>
    </row>
    <row r="7" spans="1:21" s="6" customFormat="1" ht="19.5" customHeight="1">
      <c r="A7" s="220"/>
      <c r="B7" s="224"/>
      <c r="C7" s="225"/>
      <c r="D7" s="225"/>
      <c r="E7" s="225"/>
      <c r="F7" s="225"/>
      <c r="G7" s="225"/>
      <c r="H7" s="225"/>
      <c r="I7" s="225"/>
      <c r="J7" s="230"/>
      <c r="K7" s="231"/>
      <c r="L7" s="231"/>
      <c r="M7" s="231"/>
      <c r="N7" s="231"/>
      <c r="O7" s="232"/>
      <c r="P7" s="76"/>
      <c r="Q7" s="4"/>
      <c r="R7" s="5"/>
      <c r="S7" s="50"/>
      <c r="T7" s="50"/>
      <c r="U7" s="50"/>
    </row>
    <row r="8" spans="1:21" s="6" customFormat="1" ht="19.5" customHeight="1">
      <c r="A8" s="220"/>
      <c r="B8" s="224"/>
      <c r="C8" s="225"/>
      <c r="D8" s="225"/>
      <c r="E8" s="225"/>
      <c r="F8" s="225"/>
      <c r="G8" s="225"/>
      <c r="H8" s="225"/>
      <c r="I8" s="225"/>
      <c r="J8" s="230"/>
      <c r="K8" s="231"/>
      <c r="L8" s="231"/>
      <c r="M8" s="231"/>
      <c r="N8" s="231"/>
      <c r="O8" s="232"/>
      <c r="P8" s="76"/>
      <c r="Q8" s="4"/>
      <c r="R8" s="5"/>
    </row>
    <row r="9" spans="1:21" s="6" customFormat="1" ht="21" customHeight="1">
      <c r="A9" s="221"/>
      <c r="B9" s="224"/>
      <c r="C9" s="225"/>
      <c r="D9" s="225"/>
      <c r="E9" s="225"/>
      <c r="F9" s="225"/>
      <c r="G9" s="225"/>
      <c r="H9" s="225"/>
      <c r="I9" s="226"/>
      <c r="J9" s="233" t="s">
        <v>43</v>
      </c>
      <c r="K9" s="234"/>
      <c r="L9" s="234"/>
      <c r="M9" s="234"/>
      <c r="N9" s="234"/>
      <c r="O9" s="235"/>
      <c r="P9" s="29">
        <f>SUM(P5:P8)</f>
        <v>0</v>
      </c>
      <c r="Q9" s="7"/>
      <c r="R9" s="5"/>
    </row>
    <row r="10" spans="1:21" s="6" customFormat="1" ht="65.25" customHeight="1">
      <c r="A10" s="66" t="s">
        <v>44</v>
      </c>
      <c r="B10" s="236" t="s">
        <v>45</v>
      </c>
      <c r="C10" s="236"/>
      <c r="D10" s="237" t="s">
        <v>46</v>
      </c>
      <c r="E10" s="237"/>
      <c r="F10" s="237"/>
      <c r="G10" s="237"/>
      <c r="H10" s="237"/>
      <c r="I10" s="237"/>
      <c r="J10" s="238">
        <f>RESUMEN!U5</f>
        <v>1927454798</v>
      </c>
      <c r="K10" s="239"/>
      <c r="L10" s="240" t="s">
        <v>47</v>
      </c>
      <c r="M10" s="241"/>
      <c r="N10" s="67">
        <f>P69</f>
        <v>28.75</v>
      </c>
      <c r="O10" s="68" t="s">
        <v>48</v>
      </c>
      <c r="P10" s="69">
        <f>J10/'Serie Historica SMMLV'!C47</f>
        <v>1482.657536923077</v>
      </c>
      <c r="Q10" s="8"/>
      <c r="R10" s="5"/>
      <c r="T10" s="43"/>
    </row>
    <row r="11" spans="1:21" s="6" customFormat="1" ht="26.25">
      <c r="A11" s="207" t="s">
        <v>49</v>
      </c>
      <c r="B11" s="208"/>
      <c r="C11" s="208"/>
      <c r="D11" s="208"/>
      <c r="E11" s="208"/>
      <c r="F11" s="208"/>
      <c r="G11" s="208"/>
      <c r="H11" s="208"/>
      <c r="I11" s="208"/>
      <c r="J11" s="208"/>
      <c r="K11" s="208"/>
      <c r="L11" s="208"/>
      <c r="M11" s="208"/>
      <c r="N11" s="208"/>
      <c r="O11" s="208"/>
      <c r="P11" s="208"/>
      <c r="Q11" s="4"/>
      <c r="R11" s="5"/>
    </row>
    <row r="12" spans="1:21" s="6" customFormat="1" ht="26.25">
      <c r="A12" s="244" t="s">
        <v>11</v>
      </c>
      <c r="B12" s="244"/>
      <c r="C12" s="244"/>
      <c r="D12" s="244"/>
      <c r="E12" s="244"/>
      <c r="F12" s="244"/>
      <c r="G12" s="244"/>
      <c r="H12" s="244"/>
      <c r="I12" s="244"/>
      <c r="J12" s="244"/>
      <c r="K12" s="244"/>
      <c r="L12" s="244"/>
      <c r="M12" s="244"/>
      <c r="N12" s="244"/>
      <c r="O12" s="245" t="s">
        <v>50</v>
      </c>
      <c r="P12" s="245"/>
      <c r="Q12" s="4"/>
      <c r="R12" s="5"/>
    </row>
    <row r="13" spans="1:21" s="6" customFormat="1" ht="115.7" customHeight="1">
      <c r="A13" s="246" t="s">
        <v>51</v>
      </c>
      <c r="B13" s="246"/>
      <c r="C13" s="246"/>
      <c r="D13" s="246"/>
      <c r="E13" s="246"/>
      <c r="F13" s="246"/>
      <c r="G13" s="246"/>
      <c r="H13" s="246"/>
      <c r="I13" s="246"/>
      <c r="J13" s="246"/>
      <c r="K13" s="246"/>
      <c r="L13" s="246"/>
      <c r="M13" s="246"/>
      <c r="N13" s="246"/>
      <c r="O13" s="247" t="str">
        <f>IF(AND(O21&gt;=$P$10,O21&lt;&gt;0),"CUMPLE", "NO CUMPLE")</f>
        <v>CUMPLE</v>
      </c>
      <c r="P13" s="247"/>
      <c r="Q13" s="4"/>
      <c r="R13" s="5"/>
    </row>
    <row r="14" spans="1:21" s="6" customFormat="1" ht="102" customHeight="1">
      <c r="A14" s="81" t="s">
        <v>52</v>
      </c>
      <c r="B14" s="81" t="s">
        <v>53</v>
      </c>
      <c r="C14" s="81" t="s">
        <v>54</v>
      </c>
      <c r="D14" s="81" t="s">
        <v>55</v>
      </c>
      <c r="E14" s="248" t="s">
        <v>3</v>
      </c>
      <c r="F14" s="248"/>
      <c r="G14" s="81" t="s">
        <v>56</v>
      </c>
      <c r="H14" s="81" t="str">
        <f>"CUMPLE CODIGOS?
"&amp;B10</f>
        <v>CUMPLE CODIGOS?
72151500
81101700
26111700</v>
      </c>
      <c r="I14" s="81" t="s">
        <v>57</v>
      </c>
      <c r="J14" s="81" t="s">
        <v>58</v>
      </c>
      <c r="K14" s="81" t="s">
        <v>59</v>
      </c>
      <c r="L14" s="81" t="s">
        <v>60</v>
      </c>
      <c r="M14" s="81" t="s">
        <v>61</v>
      </c>
      <c r="N14" s="81" t="s">
        <v>62</v>
      </c>
      <c r="O14" s="81" t="s">
        <v>63</v>
      </c>
      <c r="P14" s="81" t="s">
        <v>64</v>
      </c>
      <c r="Q14" s="9"/>
      <c r="R14" s="10"/>
    </row>
    <row r="15" spans="1:21" s="6" customFormat="1" ht="38.25">
      <c r="A15" s="249">
        <f>+P10</f>
        <v>1482.657536923077</v>
      </c>
      <c r="B15" s="47" t="s">
        <v>65</v>
      </c>
      <c r="C15" s="63">
        <v>162</v>
      </c>
      <c r="D15" s="82" t="s">
        <v>119</v>
      </c>
      <c r="E15" s="250" t="s">
        <v>120</v>
      </c>
      <c r="F15" s="250"/>
      <c r="G15" s="70" t="s">
        <v>30</v>
      </c>
      <c r="H15" s="70" t="s">
        <v>30</v>
      </c>
      <c r="I15" s="70" t="s">
        <v>30</v>
      </c>
      <c r="J15" s="71" t="s">
        <v>121</v>
      </c>
      <c r="K15" s="59">
        <v>45291</v>
      </c>
      <c r="L15" s="60" t="s">
        <v>122</v>
      </c>
      <c r="M15" s="61">
        <v>4098.95</v>
      </c>
      <c r="N15" s="62">
        <v>1</v>
      </c>
      <c r="O15" s="38">
        <f>IF(AND(H15="SI",I15="SI")=TRUE,M15*N15,"")</f>
        <v>4098.95</v>
      </c>
      <c r="P15" s="65" t="s">
        <v>69</v>
      </c>
      <c r="Q15" s="11"/>
      <c r="R15" s="5"/>
    </row>
    <row r="16" spans="1:21" s="31" customFormat="1" ht="18">
      <c r="A16" s="249"/>
      <c r="B16" s="47" t="s">
        <v>70</v>
      </c>
      <c r="C16" s="63"/>
      <c r="D16" s="82"/>
      <c r="E16" s="250"/>
      <c r="F16" s="250"/>
      <c r="G16" s="70"/>
      <c r="H16" s="70"/>
      <c r="I16" s="70"/>
      <c r="J16" s="71"/>
      <c r="K16" s="59"/>
      <c r="L16" s="60"/>
      <c r="M16" s="61"/>
      <c r="N16" s="62"/>
      <c r="O16" s="38" t="str">
        <f>IF(AND(H16="SI",I16="SI")=TRUE,M16*N16,"")</f>
        <v/>
      </c>
      <c r="P16" s="65"/>
      <c r="Q16" s="36"/>
      <c r="R16" s="30"/>
    </row>
    <row r="17" spans="1:19" s="6" customFormat="1" ht="18">
      <c r="A17" s="249"/>
      <c r="B17" s="47" t="s">
        <v>74</v>
      </c>
      <c r="C17" s="63"/>
      <c r="D17" s="82"/>
      <c r="E17" s="250"/>
      <c r="F17" s="250"/>
      <c r="G17" s="70"/>
      <c r="H17" s="70"/>
      <c r="I17" s="70"/>
      <c r="J17" s="71"/>
      <c r="K17" s="59"/>
      <c r="L17" s="60"/>
      <c r="M17" s="61"/>
      <c r="N17" s="62"/>
      <c r="O17" s="38" t="str">
        <f>IF(AND(H17="SI",I17="SI")=TRUE,M17*N17,"")</f>
        <v/>
      </c>
      <c r="P17" s="65"/>
      <c r="Q17" s="11"/>
      <c r="R17" s="5"/>
    </row>
    <row r="18" spans="1:19" s="6" customFormat="1" ht="18">
      <c r="A18" s="249"/>
      <c r="B18" s="47" t="s">
        <v>78</v>
      </c>
      <c r="C18" s="70"/>
      <c r="D18" s="82"/>
      <c r="E18" s="251"/>
      <c r="F18" s="251"/>
      <c r="G18" s="57"/>
      <c r="H18" s="57"/>
      <c r="I18" s="57"/>
      <c r="J18" s="84"/>
      <c r="K18" s="59"/>
      <c r="L18" s="60"/>
      <c r="M18" s="61"/>
      <c r="N18" s="62"/>
      <c r="O18" s="38" t="str">
        <f>IF(AND(H18="SI",I18="SI")=TRUE,M18*N18,"")</f>
        <v/>
      </c>
      <c r="P18" s="65"/>
      <c r="Q18" s="11"/>
      <c r="R18" s="5"/>
    </row>
    <row r="19" spans="1:19" s="6" customFormat="1" ht="18">
      <c r="A19" s="249"/>
      <c r="B19" s="47" t="s">
        <v>82</v>
      </c>
      <c r="C19" s="70"/>
      <c r="D19" s="82"/>
      <c r="E19" s="251"/>
      <c r="F19" s="251"/>
      <c r="G19" s="57"/>
      <c r="H19" s="57"/>
      <c r="I19" s="57"/>
      <c r="J19" s="84"/>
      <c r="K19" s="59"/>
      <c r="L19" s="60"/>
      <c r="M19" s="61"/>
      <c r="N19" s="62"/>
      <c r="O19" s="38" t="str">
        <f t="shared" ref="O19:O20" si="0">IF(AND(H19="SI",I19="SI")=TRUE,M19*N19,"")</f>
        <v/>
      </c>
      <c r="P19" s="65"/>
      <c r="Q19" s="11"/>
      <c r="R19" s="5"/>
    </row>
    <row r="20" spans="1:19" s="6" customFormat="1" ht="18">
      <c r="A20" s="249"/>
      <c r="B20" s="47" t="s">
        <v>83</v>
      </c>
      <c r="C20" s="70"/>
      <c r="D20" s="82"/>
      <c r="E20" s="251"/>
      <c r="F20" s="251"/>
      <c r="G20" s="57"/>
      <c r="H20" s="57"/>
      <c r="I20" s="57"/>
      <c r="J20" s="84"/>
      <c r="K20" s="59"/>
      <c r="L20" s="60"/>
      <c r="M20" s="61"/>
      <c r="N20" s="62"/>
      <c r="O20" s="38" t="str">
        <f t="shared" si="0"/>
        <v/>
      </c>
      <c r="P20" s="65"/>
      <c r="Q20" s="11"/>
      <c r="R20" s="5"/>
    </row>
    <row r="21" spans="1:19" s="6" customFormat="1" ht="26.25">
      <c r="A21" s="252"/>
      <c r="B21" s="253"/>
      <c r="C21" s="253"/>
      <c r="D21" s="253"/>
      <c r="E21" s="253"/>
      <c r="F21" s="253"/>
      <c r="G21" s="253"/>
      <c r="H21" s="253"/>
      <c r="I21" s="253"/>
      <c r="J21" s="254"/>
      <c r="K21" s="255" t="s">
        <v>84</v>
      </c>
      <c r="L21" s="256"/>
      <c r="M21" s="256"/>
      <c r="N21" s="257"/>
      <c r="O21" s="242">
        <f>SUMIF(P15:P20,"CUMPLE",O15:O20)</f>
        <v>4098.95</v>
      </c>
      <c r="P21" s="242"/>
      <c r="Q21" s="11"/>
      <c r="R21" s="5"/>
      <c r="S21" s="44"/>
    </row>
    <row r="22" spans="1:19" s="6" customFormat="1" ht="93" customHeight="1">
      <c r="A22" s="20" t="s">
        <v>85</v>
      </c>
      <c r="B22" s="243"/>
      <c r="C22" s="243"/>
      <c r="D22" s="243"/>
      <c r="E22" s="243"/>
      <c r="F22" s="243"/>
      <c r="G22" s="243"/>
      <c r="H22" s="243"/>
      <c r="I22" s="243"/>
      <c r="J22" s="243"/>
      <c r="K22" s="243"/>
      <c r="L22" s="243"/>
      <c r="M22" s="243"/>
      <c r="N22" s="243"/>
      <c r="O22" s="243"/>
      <c r="P22" s="243"/>
      <c r="Q22" s="11"/>
      <c r="R22" s="5"/>
    </row>
    <row r="23" spans="1:19" s="54" customFormat="1" ht="26.25">
      <c r="A23" s="258" t="s">
        <v>12</v>
      </c>
      <c r="B23" s="259"/>
      <c r="C23" s="259"/>
      <c r="D23" s="259"/>
      <c r="E23" s="259"/>
      <c r="F23" s="259"/>
      <c r="G23" s="259"/>
      <c r="H23" s="259"/>
      <c r="I23" s="259"/>
      <c r="J23" s="259"/>
      <c r="K23" s="259"/>
      <c r="L23" s="259"/>
      <c r="M23" s="259"/>
      <c r="N23" s="259"/>
      <c r="O23" s="245" t="s">
        <v>50</v>
      </c>
      <c r="P23" s="245"/>
      <c r="Q23" s="52"/>
      <c r="R23" s="53"/>
    </row>
    <row r="24" spans="1:19" s="6" customFormat="1" ht="168.95" customHeight="1">
      <c r="A24" s="260" t="s">
        <v>86</v>
      </c>
      <c r="B24" s="260"/>
      <c r="C24" s="260"/>
      <c r="D24" s="260"/>
      <c r="E24" s="260"/>
      <c r="F24" s="260"/>
      <c r="G24" s="260"/>
      <c r="H24" s="260"/>
      <c r="I24" s="260"/>
      <c r="J24" s="260"/>
      <c r="K24" s="260"/>
      <c r="L24" s="260"/>
      <c r="M24" s="260"/>
      <c r="N24" s="260"/>
      <c r="O24" s="247" t="s">
        <v>111</v>
      </c>
      <c r="P24" s="247"/>
      <c r="Q24" s="12"/>
      <c r="R24" s="5"/>
    </row>
    <row r="25" spans="1:19" s="6" customFormat="1" ht="76.5">
      <c r="A25" s="51" t="s">
        <v>87</v>
      </c>
      <c r="B25" s="81" t="s">
        <v>53</v>
      </c>
      <c r="C25" s="81" t="s">
        <v>54</v>
      </c>
      <c r="D25" s="81" t="s">
        <v>55</v>
      </c>
      <c r="E25" s="248" t="s">
        <v>3</v>
      </c>
      <c r="F25" s="248"/>
      <c r="G25" s="81" t="s">
        <v>88</v>
      </c>
      <c r="H25" s="81" t="s">
        <v>89</v>
      </c>
      <c r="I25" s="81" t="s">
        <v>90</v>
      </c>
      <c r="J25" s="81" t="s">
        <v>58</v>
      </c>
      <c r="K25" s="81" t="s">
        <v>59</v>
      </c>
      <c r="L25" s="81" t="s">
        <v>91</v>
      </c>
      <c r="M25" s="81" t="s">
        <v>61</v>
      </c>
      <c r="N25" s="81" t="s">
        <v>62</v>
      </c>
      <c r="O25" s="81" t="s">
        <v>63</v>
      </c>
      <c r="P25" s="81" t="s">
        <v>64</v>
      </c>
      <c r="Q25" s="9"/>
      <c r="R25" s="10"/>
    </row>
    <row r="26" spans="1:19" s="6" customFormat="1" ht="92.25" customHeight="1">
      <c r="A26" s="25">
        <v>1</v>
      </c>
      <c r="B26" s="47" t="s">
        <v>65</v>
      </c>
      <c r="C26" s="63">
        <v>11</v>
      </c>
      <c r="D26" s="82" t="s">
        <v>123</v>
      </c>
      <c r="E26" s="251" t="s">
        <v>124</v>
      </c>
      <c r="F26" s="251"/>
      <c r="G26" s="57" t="s">
        <v>30</v>
      </c>
      <c r="H26" s="57" t="s">
        <v>30</v>
      </c>
      <c r="I26" s="57" t="s">
        <v>28</v>
      </c>
      <c r="J26" s="58" t="s">
        <v>125</v>
      </c>
      <c r="K26" s="59" t="s">
        <v>126</v>
      </c>
      <c r="L26" s="60">
        <v>29999888034</v>
      </c>
      <c r="M26" s="61">
        <f>+L26/589500</f>
        <v>50890.395307888044</v>
      </c>
      <c r="N26" s="62">
        <v>1</v>
      </c>
      <c r="O26" s="38" t="str">
        <f>IF(AND(H26="SI",I26="SI")=TRUE,M26*N26,"")</f>
        <v/>
      </c>
      <c r="P26" s="65" t="s">
        <v>92</v>
      </c>
      <c r="Q26" s="11"/>
      <c r="R26" s="5"/>
    </row>
    <row r="27" spans="1:19" s="31" customFormat="1" ht="38.25">
      <c r="A27" s="37">
        <v>2</v>
      </c>
      <c r="B27" s="47" t="s">
        <v>70</v>
      </c>
      <c r="C27" s="84">
        <v>41</v>
      </c>
      <c r="D27" s="82" t="s">
        <v>123</v>
      </c>
      <c r="E27" s="251" t="s">
        <v>127</v>
      </c>
      <c r="F27" s="251"/>
      <c r="G27" s="84" t="s">
        <v>30</v>
      </c>
      <c r="H27" s="84" t="s">
        <v>30</v>
      </c>
      <c r="I27" s="84" t="s">
        <v>28</v>
      </c>
      <c r="J27" s="83" t="s">
        <v>125</v>
      </c>
      <c r="K27" s="59" t="s">
        <v>128</v>
      </c>
      <c r="L27" s="60">
        <v>549822894</v>
      </c>
      <c r="M27" s="61">
        <v>484.62</v>
      </c>
      <c r="N27" s="62">
        <v>1</v>
      </c>
      <c r="O27" s="38" t="str">
        <f>IF(AND(H27="SI",I27="SI")=TRUE,M27*N27,"")</f>
        <v/>
      </c>
      <c r="P27" s="65" t="s">
        <v>92</v>
      </c>
      <c r="Q27" s="36"/>
      <c r="R27" s="30"/>
    </row>
    <row r="28" spans="1:19" s="40" customFormat="1" ht="39.75" customHeight="1">
      <c r="A28" s="25">
        <v>3</v>
      </c>
      <c r="B28" s="47" t="s">
        <v>74</v>
      </c>
      <c r="C28" s="84">
        <v>39</v>
      </c>
      <c r="D28" s="83" t="s">
        <v>129</v>
      </c>
      <c r="E28" s="251" t="s">
        <v>130</v>
      </c>
      <c r="F28" s="251"/>
      <c r="G28" s="57" t="s">
        <v>30</v>
      </c>
      <c r="H28" s="57" t="s">
        <v>30</v>
      </c>
      <c r="I28" s="57" t="s">
        <v>28</v>
      </c>
      <c r="J28" s="83" t="s">
        <v>125</v>
      </c>
      <c r="K28" s="59" t="s">
        <v>131</v>
      </c>
      <c r="L28" s="60">
        <v>5629408125</v>
      </c>
      <c r="M28" s="61">
        <v>7205</v>
      </c>
      <c r="N28" s="62">
        <v>0.5</v>
      </c>
      <c r="O28" s="38" t="str">
        <f>IF(AND(H28="SI",I28="SI")=TRUE,M28*N28,"")</f>
        <v/>
      </c>
      <c r="P28" s="65" t="s">
        <v>92</v>
      </c>
      <c r="Q28" s="11"/>
      <c r="R28" s="39"/>
    </row>
    <row r="29" spans="1:19" s="42" customFormat="1" ht="34.5" customHeight="1">
      <c r="A29" s="37">
        <v>4</v>
      </c>
      <c r="B29" s="47" t="s">
        <v>78</v>
      </c>
      <c r="C29" s="57">
        <v>85</v>
      </c>
      <c r="D29" s="83" t="s">
        <v>132</v>
      </c>
      <c r="E29" s="251" t="s">
        <v>133</v>
      </c>
      <c r="F29" s="251"/>
      <c r="G29" s="57" t="s">
        <v>30</v>
      </c>
      <c r="H29" s="84" t="s">
        <v>30</v>
      </c>
      <c r="I29" s="57" t="s">
        <v>30</v>
      </c>
      <c r="J29" s="83" t="s">
        <v>125</v>
      </c>
      <c r="K29" s="59" t="s">
        <v>134</v>
      </c>
      <c r="L29" s="60">
        <v>265644414</v>
      </c>
      <c r="M29" s="61">
        <v>265.64</v>
      </c>
      <c r="N29" s="62">
        <v>1</v>
      </c>
      <c r="O29" s="38"/>
      <c r="P29" s="65" t="s">
        <v>92</v>
      </c>
      <c r="Q29" s="36"/>
      <c r="R29" s="41"/>
    </row>
    <row r="30" spans="1:19" s="40" customFormat="1" ht="18">
      <c r="A30" s="25">
        <v>5</v>
      </c>
      <c r="B30" s="47" t="s">
        <v>82</v>
      </c>
      <c r="C30" s="84"/>
      <c r="D30" s="64"/>
      <c r="E30" s="251"/>
      <c r="F30" s="251"/>
      <c r="G30" s="84"/>
      <c r="H30" s="84"/>
      <c r="I30" s="84"/>
      <c r="J30" s="84"/>
      <c r="K30" s="59"/>
      <c r="L30" s="60"/>
      <c r="M30" s="61"/>
      <c r="N30" s="62"/>
      <c r="O30" s="38" t="str">
        <f t="shared" ref="O30:O31" si="1">IF(AND(H30="SI",I30="SI")=TRUE,M30*N30,"")</f>
        <v/>
      </c>
      <c r="P30" s="65"/>
      <c r="Q30" s="11"/>
      <c r="R30" s="39"/>
    </row>
    <row r="31" spans="1:19" s="6" customFormat="1" ht="18">
      <c r="A31" s="37">
        <v>6</v>
      </c>
      <c r="B31" s="47" t="s">
        <v>83</v>
      </c>
      <c r="C31" s="84"/>
      <c r="D31" s="82"/>
      <c r="E31" s="250"/>
      <c r="F31" s="250"/>
      <c r="G31" s="84"/>
      <c r="H31" s="84"/>
      <c r="I31" s="84"/>
      <c r="J31" s="63"/>
      <c r="K31" s="59"/>
      <c r="L31" s="60"/>
      <c r="M31" s="61"/>
      <c r="N31" s="62"/>
      <c r="O31" s="38" t="str">
        <f t="shared" si="1"/>
        <v/>
      </c>
      <c r="P31" s="65"/>
      <c r="Q31" s="11"/>
      <c r="R31" s="46"/>
    </row>
    <row r="32" spans="1:19" s="6" customFormat="1" ht="26.25">
      <c r="A32" s="252"/>
      <c r="B32" s="253"/>
      <c r="C32" s="253"/>
      <c r="D32" s="253"/>
      <c r="E32" s="253"/>
      <c r="F32" s="253"/>
      <c r="G32" s="253"/>
      <c r="H32" s="253"/>
      <c r="I32" s="253"/>
      <c r="J32" s="254"/>
      <c r="K32" s="255" t="s">
        <v>84</v>
      </c>
      <c r="L32" s="256"/>
      <c r="M32" s="256"/>
      <c r="N32" s="257"/>
      <c r="O32" s="242">
        <f>SUMIF(P26:P31,"CUMPLE",O26:O31)</f>
        <v>0</v>
      </c>
      <c r="P32" s="242"/>
      <c r="Q32" s="13"/>
      <c r="R32" s="5"/>
    </row>
    <row r="33" spans="1:18" s="6" customFormat="1" ht="381" customHeight="1">
      <c r="A33" s="261" t="s">
        <v>85</v>
      </c>
      <c r="B33" s="261"/>
      <c r="C33" s="262" t="s">
        <v>246</v>
      </c>
      <c r="D33" s="262"/>
      <c r="E33" s="262"/>
      <c r="F33" s="262"/>
      <c r="G33" s="262"/>
      <c r="H33" s="262"/>
      <c r="I33" s="262"/>
      <c r="J33" s="262"/>
      <c r="K33" s="262"/>
      <c r="L33" s="262"/>
      <c r="M33" s="262"/>
      <c r="N33" s="262"/>
      <c r="O33" s="262"/>
      <c r="P33" s="262"/>
      <c r="Q33" s="7"/>
      <c r="R33" s="45"/>
    </row>
    <row r="34" spans="1:18" s="6" customFormat="1" ht="26.25">
      <c r="A34" s="207" t="s">
        <v>94</v>
      </c>
      <c r="B34" s="208"/>
      <c r="C34" s="208"/>
      <c r="D34" s="208"/>
      <c r="E34" s="208"/>
      <c r="F34" s="208"/>
      <c r="G34" s="208"/>
      <c r="H34" s="208"/>
      <c r="I34" s="208"/>
      <c r="J34" s="208"/>
      <c r="K34" s="208"/>
      <c r="L34" s="208"/>
      <c r="M34" s="208"/>
      <c r="N34" s="208"/>
      <c r="O34" s="208"/>
      <c r="P34" s="208"/>
      <c r="Q34" s="13"/>
      <c r="R34" s="5"/>
    </row>
    <row r="35" spans="1:18" s="6" customFormat="1" ht="52.5">
      <c r="A35" s="258" t="s">
        <v>13</v>
      </c>
      <c r="B35" s="258"/>
      <c r="C35" s="258"/>
      <c r="D35" s="258"/>
      <c r="E35" s="258"/>
      <c r="F35" s="258"/>
      <c r="G35" s="258"/>
      <c r="H35" s="258"/>
      <c r="I35" s="258"/>
      <c r="J35" s="258"/>
      <c r="K35" s="258"/>
      <c r="L35" s="258"/>
      <c r="M35" s="258"/>
      <c r="N35" s="258"/>
      <c r="O35" s="258"/>
      <c r="P35" s="79" t="s">
        <v>50</v>
      </c>
      <c r="Q35" s="13"/>
      <c r="R35" s="5"/>
    </row>
    <row r="36" spans="1:18" s="6" customFormat="1" ht="74.45" customHeight="1">
      <c r="A36" s="265" t="s">
        <v>95</v>
      </c>
      <c r="B36" s="265"/>
      <c r="C36" s="265"/>
      <c r="D36" s="265"/>
      <c r="E36" s="265"/>
      <c r="F36" s="265"/>
      <c r="G36" s="265"/>
      <c r="H36" s="265"/>
      <c r="I36" s="265"/>
      <c r="J36" s="265"/>
      <c r="K36" s="265"/>
      <c r="L36" s="265"/>
      <c r="M36" s="265"/>
      <c r="N36" s="265"/>
      <c r="O36" s="265"/>
      <c r="P36" s="56" t="s">
        <v>69</v>
      </c>
      <c r="Q36" s="13"/>
      <c r="R36" s="5"/>
    </row>
    <row r="37" spans="1:18" s="6" customFormat="1" ht="35.450000000000003" customHeight="1">
      <c r="A37" s="261" t="s">
        <v>85</v>
      </c>
      <c r="B37" s="261"/>
      <c r="C37" s="285" t="s">
        <v>135</v>
      </c>
      <c r="D37" s="285"/>
      <c r="E37" s="285"/>
      <c r="F37" s="285"/>
      <c r="G37" s="285"/>
      <c r="H37" s="285"/>
      <c r="I37" s="285"/>
      <c r="J37" s="285"/>
      <c r="K37" s="285"/>
      <c r="L37" s="285"/>
      <c r="M37" s="285"/>
      <c r="N37" s="285"/>
      <c r="O37" s="285"/>
      <c r="P37" s="285"/>
      <c r="Q37" s="13"/>
      <c r="R37" s="5"/>
    </row>
    <row r="38" spans="1:18" s="6" customFormat="1" ht="52.5">
      <c r="A38" s="267" t="s">
        <v>14</v>
      </c>
      <c r="B38" s="258"/>
      <c r="C38" s="258"/>
      <c r="D38" s="258"/>
      <c r="E38" s="258"/>
      <c r="F38" s="258"/>
      <c r="G38" s="258"/>
      <c r="H38" s="258"/>
      <c r="I38" s="258"/>
      <c r="J38" s="258"/>
      <c r="K38" s="258"/>
      <c r="L38" s="258"/>
      <c r="M38" s="258"/>
      <c r="N38" s="258"/>
      <c r="O38" s="258"/>
      <c r="P38" s="79" t="s">
        <v>50</v>
      </c>
      <c r="Q38" s="13"/>
      <c r="R38" s="5"/>
    </row>
    <row r="39" spans="1:18" s="6" customFormat="1" ht="252" customHeight="1">
      <c r="A39" s="263" t="s">
        <v>96</v>
      </c>
      <c r="B39" s="264"/>
      <c r="C39" s="264"/>
      <c r="D39" s="264"/>
      <c r="E39" s="264"/>
      <c r="F39" s="264"/>
      <c r="G39" s="264"/>
      <c r="H39" s="264"/>
      <c r="I39" s="264"/>
      <c r="J39" s="264"/>
      <c r="K39" s="264"/>
      <c r="L39" s="264"/>
      <c r="M39" s="264"/>
      <c r="N39" s="264"/>
      <c r="O39" s="264"/>
      <c r="P39" s="56" t="s">
        <v>69</v>
      </c>
      <c r="Q39" s="13"/>
      <c r="R39" s="5"/>
    </row>
    <row r="40" spans="1:18" s="6" customFormat="1" ht="36.950000000000003" customHeight="1">
      <c r="A40" s="261" t="s">
        <v>85</v>
      </c>
      <c r="B40" s="261"/>
      <c r="C40" s="266"/>
      <c r="D40" s="266"/>
      <c r="E40" s="266"/>
      <c r="F40" s="266"/>
      <c r="G40" s="266"/>
      <c r="H40" s="266"/>
      <c r="I40" s="266"/>
      <c r="J40" s="266"/>
      <c r="K40" s="266"/>
      <c r="L40" s="266"/>
      <c r="M40" s="266"/>
      <c r="N40" s="266"/>
      <c r="O40" s="266"/>
      <c r="P40" s="266"/>
      <c r="Q40" s="13"/>
      <c r="R40" s="5"/>
    </row>
    <row r="41" spans="1:18" s="6" customFormat="1" ht="52.5">
      <c r="A41" s="267" t="s">
        <v>15</v>
      </c>
      <c r="B41" s="258"/>
      <c r="C41" s="258"/>
      <c r="D41" s="258"/>
      <c r="E41" s="258"/>
      <c r="F41" s="258"/>
      <c r="G41" s="258"/>
      <c r="H41" s="258"/>
      <c r="I41" s="258"/>
      <c r="J41" s="258"/>
      <c r="K41" s="258"/>
      <c r="L41" s="258"/>
      <c r="M41" s="258"/>
      <c r="N41" s="258"/>
      <c r="O41" s="258"/>
      <c r="P41" s="79" t="s">
        <v>50</v>
      </c>
      <c r="Q41" s="13"/>
      <c r="R41" s="5"/>
    </row>
    <row r="42" spans="1:18" s="6" customFormat="1" ht="90" customHeight="1">
      <c r="A42" s="263" t="s">
        <v>97</v>
      </c>
      <c r="B42" s="264"/>
      <c r="C42" s="264"/>
      <c r="D42" s="264"/>
      <c r="E42" s="264"/>
      <c r="F42" s="264"/>
      <c r="G42" s="264"/>
      <c r="H42" s="264"/>
      <c r="I42" s="264"/>
      <c r="J42" s="264"/>
      <c r="K42" s="264"/>
      <c r="L42" s="264"/>
      <c r="M42" s="264"/>
      <c r="N42" s="264"/>
      <c r="O42" s="264"/>
      <c r="P42" s="56" t="s">
        <v>111</v>
      </c>
      <c r="Q42" s="13"/>
      <c r="R42" s="5"/>
    </row>
    <row r="43" spans="1:18" s="6" customFormat="1" ht="240.75" customHeight="1">
      <c r="A43" s="261" t="s">
        <v>85</v>
      </c>
      <c r="B43" s="261"/>
      <c r="C43" s="285" t="s">
        <v>136</v>
      </c>
      <c r="D43" s="285"/>
      <c r="E43" s="285"/>
      <c r="F43" s="285"/>
      <c r="G43" s="285"/>
      <c r="H43" s="285"/>
      <c r="I43" s="285"/>
      <c r="J43" s="285"/>
      <c r="K43" s="285"/>
      <c r="L43" s="285"/>
      <c r="M43" s="285"/>
      <c r="N43" s="285"/>
      <c r="O43" s="285"/>
      <c r="P43" s="285"/>
      <c r="Q43" s="13"/>
      <c r="R43" s="5"/>
    </row>
    <row r="44" spans="1:18" s="6" customFormat="1" ht="52.5">
      <c r="A44" s="267" t="s">
        <v>16</v>
      </c>
      <c r="B44" s="258"/>
      <c r="C44" s="258"/>
      <c r="D44" s="258"/>
      <c r="E44" s="258"/>
      <c r="F44" s="258"/>
      <c r="G44" s="258"/>
      <c r="H44" s="258"/>
      <c r="I44" s="258"/>
      <c r="J44" s="258"/>
      <c r="K44" s="258"/>
      <c r="L44" s="258"/>
      <c r="M44" s="258"/>
      <c r="N44" s="258"/>
      <c r="O44" s="258"/>
      <c r="P44" s="79" t="s">
        <v>50</v>
      </c>
      <c r="Q44" s="13"/>
      <c r="R44" s="5"/>
    </row>
    <row r="45" spans="1:18" s="6" customFormat="1" ht="64.349999999999994" customHeight="1">
      <c r="A45" s="263" t="s">
        <v>98</v>
      </c>
      <c r="B45" s="264"/>
      <c r="C45" s="264"/>
      <c r="D45" s="264"/>
      <c r="E45" s="264"/>
      <c r="F45" s="264"/>
      <c r="G45" s="264"/>
      <c r="H45" s="264"/>
      <c r="I45" s="264"/>
      <c r="J45" s="264"/>
      <c r="K45" s="264"/>
      <c r="L45" s="264"/>
      <c r="M45" s="264"/>
      <c r="N45" s="264"/>
      <c r="O45" s="264"/>
      <c r="P45" s="56" t="s">
        <v>111</v>
      </c>
      <c r="Q45" s="13"/>
      <c r="R45" s="5"/>
    </row>
    <row r="46" spans="1:18" s="6" customFormat="1" ht="192" customHeight="1">
      <c r="A46" s="261" t="s">
        <v>85</v>
      </c>
      <c r="B46" s="261"/>
      <c r="C46" s="285" t="s">
        <v>216</v>
      </c>
      <c r="D46" s="285"/>
      <c r="E46" s="285"/>
      <c r="F46" s="285"/>
      <c r="G46" s="285"/>
      <c r="H46" s="285"/>
      <c r="I46" s="285"/>
      <c r="J46" s="285"/>
      <c r="K46" s="285"/>
      <c r="L46" s="285"/>
      <c r="M46" s="285"/>
      <c r="N46" s="285"/>
      <c r="O46" s="285"/>
      <c r="P46" s="285"/>
      <c r="Q46" s="13"/>
      <c r="R46" s="5"/>
    </row>
    <row r="47" spans="1:18" s="6" customFormat="1" ht="52.5">
      <c r="A47" s="267" t="s">
        <v>17</v>
      </c>
      <c r="B47" s="258"/>
      <c r="C47" s="258"/>
      <c r="D47" s="258"/>
      <c r="E47" s="258"/>
      <c r="F47" s="258"/>
      <c r="G47" s="258"/>
      <c r="H47" s="258"/>
      <c r="I47" s="258"/>
      <c r="J47" s="258"/>
      <c r="K47" s="258"/>
      <c r="L47" s="258"/>
      <c r="M47" s="258"/>
      <c r="N47" s="258"/>
      <c r="O47" s="258"/>
      <c r="P47" s="79" t="s">
        <v>50</v>
      </c>
      <c r="Q47" s="13"/>
      <c r="R47" s="5"/>
    </row>
    <row r="48" spans="1:18" s="6" customFormat="1" ht="183.75" customHeight="1">
      <c r="A48" s="263" t="s">
        <v>99</v>
      </c>
      <c r="B48" s="264"/>
      <c r="C48" s="264"/>
      <c r="D48" s="264"/>
      <c r="E48" s="264"/>
      <c r="F48" s="264"/>
      <c r="G48" s="264"/>
      <c r="H48" s="264"/>
      <c r="I48" s="264"/>
      <c r="J48" s="264"/>
      <c r="K48" s="264"/>
      <c r="L48" s="264"/>
      <c r="M48" s="264"/>
      <c r="N48" s="264"/>
      <c r="O48" s="264"/>
      <c r="P48" s="56" t="s">
        <v>111</v>
      </c>
      <c r="Q48" s="13"/>
      <c r="R48" s="5"/>
    </row>
    <row r="49" spans="1:18" s="6" customFormat="1" ht="80.099999999999994" customHeight="1">
      <c r="A49" s="261" t="s">
        <v>85</v>
      </c>
      <c r="B49" s="261"/>
      <c r="C49" s="286" t="s">
        <v>112</v>
      </c>
      <c r="D49" s="286"/>
      <c r="E49" s="286"/>
      <c r="F49" s="286"/>
      <c r="G49" s="286"/>
      <c r="H49" s="286"/>
      <c r="I49" s="286"/>
      <c r="J49" s="286"/>
      <c r="K49" s="286"/>
      <c r="L49" s="286"/>
      <c r="M49" s="286"/>
      <c r="N49" s="286"/>
      <c r="O49" s="286"/>
      <c r="P49" s="286"/>
      <c r="Q49" s="13"/>
      <c r="R49" s="5"/>
    </row>
    <row r="50" spans="1:18" customFormat="1" ht="206.45" customHeight="1">
      <c r="A50" s="270"/>
      <c r="B50" s="270"/>
      <c r="C50" s="270"/>
      <c r="D50" s="270"/>
      <c r="E50" s="270"/>
      <c r="F50" s="270"/>
      <c r="G50" s="270"/>
      <c r="H50" s="270"/>
      <c r="I50" s="270"/>
      <c r="J50" s="270"/>
      <c r="K50" s="270"/>
      <c r="L50" s="270"/>
      <c r="M50" s="270"/>
      <c r="N50" s="270"/>
      <c r="O50" s="270"/>
      <c r="P50" s="270"/>
    </row>
    <row r="51" spans="1:18" s="6" customFormat="1" ht="26.25">
      <c r="A51" s="258" t="s">
        <v>101</v>
      </c>
      <c r="B51" s="258"/>
      <c r="C51" s="258"/>
      <c r="D51" s="258"/>
      <c r="E51" s="258"/>
      <c r="F51" s="258"/>
      <c r="G51" s="258"/>
      <c r="H51" s="258"/>
      <c r="I51" s="258"/>
      <c r="J51" s="258"/>
      <c r="K51" s="258"/>
      <c r="L51" s="258"/>
      <c r="M51" s="258"/>
      <c r="N51" s="258"/>
      <c r="O51" s="258"/>
      <c r="P51" s="79" t="s">
        <v>102</v>
      </c>
      <c r="Q51" s="13"/>
      <c r="R51" s="5"/>
    </row>
    <row r="52" spans="1:18" s="6" customFormat="1" ht="66" customHeight="1">
      <c r="A52" s="271" t="s">
        <v>103</v>
      </c>
      <c r="B52" s="271"/>
      <c r="C52" s="271"/>
      <c r="D52" s="271"/>
      <c r="E52" s="271"/>
      <c r="F52" s="271"/>
      <c r="G52" s="271"/>
      <c r="H52" s="271"/>
      <c r="I52" s="271"/>
      <c r="J52" s="271"/>
      <c r="K52" s="271"/>
      <c r="L52" s="271"/>
      <c r="M52" s="271"/>
      <c r="N52" s="271"/>
      <c r="O52" s="271"/>
      <c r="P52" s="56">
        <v>10</v>
      </c>
      <c r="Q52" s="13"/>
      <c r="R52" s="5"/>
    </row>
    <row r="53" spans="1:18" s="6" customFormat="1" ht="36.75" customHeight="1">
      <c r="A53" s="271" t="s">
        <v>104</v>
      </c>
      <c r="B53" s="271"/>
      <c r="C53" s="271"/>
      <c r="D53" s="271"/>
      <c r="E53" s="271"/>
      <c r="F53" s="271"/>
      <c r="G53" s="271"/>
      <c r="H53" s="271"/>
      <c r="I53" s="271"/>
      <c r="J53" s="271"/>
      <c r="K53" s="271"/>
      <c r="L53" s="271"/>
      <c r="M53" s="271"/>
      <c r="N53" s="271"/>
      <c r="O53" s="271"/>
      <c r="P53" s="56">
        <v>5</v>
      </c>
      <c r="Q53" s="13"/>
      <c r="R53" s="5"/>
    </row>
    <row r="54" spans="1:18" s="6" customFormat="1" ht="36.75" customHeight="1">
      <c r="A54" s="271" t="s">
        <v>105</v>
      </c>
      <c r="B54" s="271"/>
      <c r="C54" s="271"/>
      <c r="D54" s="271"/>
      <c r="E54" s="271"/>
      <c r="F54" s="271"/>
      <c r="G54" s="271"/>
      <c r="H54" s="271"/>
      <c r="I54" s="271"/>
      <c r="J54" s="271"/>
      <c r="K54" s="271"/>
      <c r="L54" s="271"/>
      <c r="M54" s="271"/>
      <c r="N54" s="271"/>
      <c r="O54" s="271"/>
      <c r="P54" s="56">
        <v>3.75</v>
      </c>
      <c r="Q54" s="13"/>
      <c r="R54" s="5"/>
    </row>
    <row r="55" spans="1:18" s="6" customFormat="1" ht="26.25">
      <c r="A55" s="269" t="s">
        <v>106</v>
      </c>
      <c r="B55" s="269"/>
      <c r="C55" s="269"/>
      <c r="D55" s="269"/>
      <c r="E55" s="269"/>
      <c r="F55" s="269"/>
      <c r="G55" s="269"/>
      <c r="H55" s="269"/>
      <c r="I55" s="269"/>
      <c r="J55" s="269"/>
      <c r="K55" s="269"/>
      <c r="L55" s="269"/>
      <c r="M55" s="269"/>
      <c r="N55" s="269"/>
      <c r="O55" s="269"/>
      <c r="P55" s="80">
        <f>SUM(P52:P54)</f>
        <v>18.75</v>
      </c>
      <c r="Q55" s="13"/>
      <c r="R55" s="5"/>
    </row>
    <row r="56" spans="1:18" s="6" customFormat="1" ht="48" customHeight="1">
      <c r="A56" s="261" t="s">
        <v>85</v>
      </c>
      <c r="B56" s="261"/>
      <c r="C56" s="273"/>
      <c r="D56" s="273"/>
      <c r="E56" s="273"/>
      <c r="F56" s="273"/>
      <c r="G56" s="273"/>
      <c r="H56" s="273"/>
      <c r="I56" s="273"/>
      <c r="J56" s="273"/>
      <c r="K56" s="273"/>
      <c r="L56" s="273"/>
      <c r="M56" s="273"/>
      <c r="N56" s="273"/>
      <c r="O56" s="273"/>
      <c r="P56" s="273"/>
      <c r="Q56" s="7"/>
      <c r="R56" s="5"/>
    </row>
    <row r="57" spans="1:18" s="6" customFormat="1" ht="26.25">
      <c r="A57" s="258" t="s">
        <v>19</v>
      </c>
      <c r="B57" s="258"/>
      <c r="C57" s="258"/>
      <c r="D57" s="258"/>
      <c r="E57" s="258"/>
      <c r="F57" s="258"/>
      <c r="G57" s="258"/>
      <c r="H57" s="258"/>
      <c r="I57" s="258"/>
      <c r="J57" s="258"/>
      <c r="K57" s="258"/>
      <c r="L57" s="258"/>
      <c r="M57" s="258"/>
      <c r="N57" s="258"/>
      <c r="O57" s="258"/>
      <c r="P57" s="79" t="s">
        <v>102</v>
      </c>
      <c r="Q57" s="7"/>
      <c r="R57" s="5"/>
    </row>
    <row r="58" spans="1:18" s="6" customFormat="1" ht="278.25" customHeight="1">
      <c r="A58" s="274" t="s">
        <v>107</v>
      </c>
      <c r="B58" s="274"/>
      <c r="C58" s="274"/>
      <c r="D58" s="274"/>
      <c r="E58" s="274"/>
      <c r="F58" s="274"/>
      <c r="G58" s="274"/>
      <c r="H58" s="274"/>
      <c r="I58" s="274"/>
      <c r="J58" s="274"/>
      <c r="K58" s="274"/>
      <c r="L58" s="274"/>
      <c r="M58" s="274"/>
      <c r="N58" s="274"/>
      <c r="O58" s="274"/>
      <c r="P58" s="56">
        <v>10</v>
      </c>
      <c r="Q58" s="7"/>
      <c r="R58" s="5"/>
    </row>
    <row r="59" spans="1:18" s="6" customFormat="1" ht="48" customHeight="1">
      <c r="A59" s="261" t="s">
        <v>85</v>
      </c>
      <c r="B59" s="261"/>
      <c r="C59" s="273"/>
      <c r="D59" s="273"/>
      <c r="E59" s="273"/>
      <c r="F59" s="273"/>
      <c r="G59" s="273"/>
      <c r="H59" s="273"/>
      <c r="I59" s="273"/>
      <c r="J59" s="273"/>
      <c r="K59" s="273"/>
      <c r="L59" s="273"/>
      <c r="M59" s="273"/>
      <c r="N59" s="273"/>
      <c r="O59" s="273"/>
      <c r="P59" s="273"/>
      <c r="Q59" s="7"/>
      <c r="R59" s="5"/>
    </row>
    <row r="60" spans="1:18" s="6" customFormat="1" ht="44.25" customHeight="1">
      <c r="A60" s="275" t="s">
        <v>20</v>
      </c>
      <c r="B60" s="275"/>
      <c r="C60" s="275"/>
      <c r="D60" s="275"/>
      <c r="E60" s="275"/>
      <c r="F60" s="275"/>
      <c r="G60" s="275"/>
      <c r="H60" s="275"/>
      <c r="I60" s="275"/>
      <c r="J60" s="275"/>
      <c r="K60" s="275"/>
      <c r="L60" s="275"/>
      <c r="M60" s="275"/>
      <c r="N60" s="275"/>
      <c r="O60" s="275"/>
      <c r="P60" s="79" t="s">
        <v>102</v>
      </c>
      <c r="Q60" s="14"/>
      <c r="R60" s="5"/>
    </row>
    <row r="61" spans="1:18" s="6" customFormat="1" ht="270" customHeight="1">
      <c r="A61" s="274" t="s">
        <v>108</v>
      </c>
      <c r="B61" s="274"/>
      <c r="C61" s="274"/>
      <c r="D61" s="274"/>
      <c r="E61" s="274"/>
      <c r="F61" s="274"/>
      <c r="G61" s="274"/>
      <c r="H61" s="274"/>
      <c r="I61" s="274"/>
      <c r="J61" s="274"/>
      <c r="K61" s="274"/>
      <c r="L61" s="274"/>
      <c r="M61" s="274"/>
      <c r="N61" s="274"/>
      <c r="O61" s="274"/>
      <c r="P61" s="56">
        <v>0</v>
      </c>
      <c r="Q61" s="15"/>
      <c r="R61" s="5"/>
    </row>
    <row r="62" spans="1:18" s="6" customFormat="1" ht="65.45" customHeight="1">
      <c r="A62" s="261" t="s">
        <v>85</v>
      </c>
      <c r="B62" s="261"/>
      <c r="C62" s="273"/>
      <c r="D62" s="273"/>
      <c r="E62" s="273"/>
      <c r="F62" s="273"/>
      <c r="G62" s="273"/>
      <c r="H62" s="273"/>
      <c r="I62" s="273"/>
      <c r="J62" s="273"/>
      <c r="K62" s="273"/>
      <c r="L62" s="273"/>
      <c r="M62" s="273"/>
      <c r="N62" s="273"/>
      <c r="O62" s="273"/>
      <c r="P62" s="273"/>
      <c r="Q62" s="7"/>
      <c r="R62" s="5"/>
    </row>
    <row r="63" spans="1:18" s="6" customFormat="1" ht="26.25">
      <c r="A63" s="258" t="s">
        <v>21</v>
      </c>
      <c r="B63" s="258"/>
      <c r="C63" s="258"/>
      <c r="D63" s="258"/>
      <c r="E63" s="258"/>
      <c r="F63" s="258"/>
      <c r="G63" s="258"/>
      <c r="H63" s="258"/>
      <c r="I63" s="258"/>
      <c r="J63" s="258"/>
      <c r="K63" s="258"/>
      <c r="L63" s="258"/>
      <c r="M63" s="258"/>
      <c r="N63" s="258"/>
      <c r="O63" s="258"/>
      <c r="P63" s="79" t="s">
        <v>102</v>
      </c>
      <c r="Q63" s="4"/>
      <c r="R63" s="5"/>
    </row>
    <row r="64" spans="1:18" s="6" customFormat="1" ht="166.7" customHeight="1">
      <c r="A64" s="272" t="s">
        <v>109</v>
      </c>
      <c r="B64" s="272"/>
      <c r="C64" s="272"/>
      <c r="D64" s="272"/>
      <c r="E64" s="272"/>
      <c r="F64" s="272"/>
      <c r="G64" s="272"/>
      <c r="H64" s="272"/>
      <c r="I64" s="272"/>
      <c r="J64" s="272"/>
      <c r="K64" s="272"/>
      <c r="L64" s="272"/>
      <c r="M64" s="272"/>
      <c r="N64" s="272"/>
      <c r="O64" s="272"/>
      <c r="P64" s="56">
        <v>0</v>
      </c>
      <c r="Q64" s="14"/>
      <c r="R64" s="5"/>
    </row>
    <row r="65" spans="1:18" s="6" customFormat="1" ht="56.45" customHeight="1">
      <c r="A65" s="261" t="s">
        <v>85</v>
      </c>
      <c r="B65" s="261"/>
      <c r="C65" s="273" t="s">
        <v>137</v>
      </c>
      <c r="D65" s="273"/>
      <c r="E65" s="273"/>
      <c r="F65" s="273"/>
      <c r="G65" s="273"/>
      <c r="H65" s="273"/>
      <c r="I65" s="273"/>
      <c r="J65" s="273"/>
      <c r="K65" s="273"/>
      <c r="L65" s="273"/>
      <c r="M65" s="273"/>
      <c r="N65" s="273"/>
      <c r="O65" s="273"/>
      <c r="P65" s="273"/>
      <c r="Q65" s="14"/>
      <c r="R65" s="5"/>
    </row>
    <row r="66" spans="1:18" s="31" customFormat="1" ht="26.25">
      <c r="A66" s="277" t="s">
        <v>22</v>
      </c>
      <c r="B66" s="278"/>
      <c r="C66" s="278"/>
      <c r="D66" s="278"/>
      <c r="E66" s="278"/>
      <c r="F66" s="278"/>
      <c r="G66" s="278"/>
      <c r="H66" s="278"/>
      <c r="I66" s="278"/>
      <c r="J66" s="278"/>
      <c r="K66" s="278"/>
      <c r="L66" s="278"/>
      <c r="M66" s="278"/>
      <c r="N66" s="278"/>
      <c r="O66" s="279"/>
      <c r="P66" s="79" t="s">
        <v>102</v>
      </c>
      <c r="Q66" s="14"/>
      <c r="R66" s="30"/>
    </row>
    <row r="67" spans="1:18" s="31" customFormat="1" ht="149.44999999999999" customHeight="1">
      <c r="A67" s="280" t="s">
        <v>110</v>
      </c>
      <c r="B67" s="280"/>
      <c r="C67" s="280"/>
      <c r="D67" s="280"/>
      <c r="E67" s="280"/>
      <c r="F67" s="280"/>
      <c r="G67" s="280"/>
      <c r="H67" s="280"/>
      <c r="I67" s="280"/>
      <c r="J67" s="280"/>
      <c r="K67" s="280"/>
      <c r="L67" s="280"/>
      <c r="M67" s="280"/>
      <c r="N67" s="280"/>
      <c r="O67" s="280"/>
      <c r="P67" s="56">
        <v>0</v>
      </c>
      <c r="Q67" s="14"/>
      <c r="R67" s="30"/>
    </row>
    <row r="68" spans="1:18" s="6" customFormat="1" ht="64.5" customHeight="1">
      <c r="A68" s="261" t="s">
        <v>85</v>
      </c>
      <c r="B68" s="261"/>
      <c r="C68" s="273"/>
      <c r="D68" s="273"/>
      <c r="E68" s="273"/>
      <c r="F68" s="273"/>
      <c r="G68" s="273"/>
      <c r="H68" s="273"/>
      <c r="I68" s="273"/>
      <c r="J68" s="273"/>
      <c r="K68" s="273"/>
      <c r="L68" s="273"/>
      <c r="M68" s="273"/>
      <c r="N68" s="273"/>
      <c r="O68" s="273"/>
      <c r="P68" s="273"/>
      <c r="Q68" s="14"/>
      <c r="R68" s="5"/>
    </row>
    <row r="69" spans="1:18" s="6" customFormat="1" ht="26.25">
      <c r="A69" s="276" t="s">
        <v>106</v>
      </c>
      <c r="B69" s="276"/>
      <c r="C69" s="276"/>
      <c r="D69" s="276"/>
      <c r="E69" s="276"/>
      <c r="F69" s="276"/>
      <c r="G69" s="276"/>
      <c r="H69" s="276"/>
      <c r="I69" s="276"/>
      <c r="J69" s="276"/>
      <c r="K69" s="276"/>
      <c r="L69" s="276"/>
      <c r="M69" s="276"/>
      <c r="N69" s="276"/>
      <c r="O69" s="276"/>
      <c r="P69" s="55">
        <f>SUM(P55,P58,P61,P64,P67)</f>
        <v>28.75</v>
      </c>
      <c r="Q69" s="14"/>
      <c r="R69" s="5"/>
    </row>
    <row r="70" spans="1:18" s="6" customFormat="1" ht="14.25" customHeight="1">
      <c r="Q70" s="4"/>
      <c r="R70" s="5"/>
    </row>
    <row r="71" spans="1:18" s="6" customFormat="1" ht="14.25" customHeight="1">
      <c r="Q71" s="4"/>
      <c r="R71" s="5"/>
    </row>
    <row r="72" spans="1:18" s="6" customFormat="1" ht="14.25" customHeight="1">
      <c r="Q72" s="4"/>
      <c r="R72" s="5"/>
    </row>
    <row r="73" spans="1:18" s="6" customFormat="1" ht="14.25" customHeight="1">
      <c r="Q73" s="4"/>
      <c r="R73" s="5"/>
    </row>
    <row r="74" spans="1:18" s="6" customFormat="1" ht="14.25" customHeight="1">
      <c r="C74" s="5"/>
      <c r="Q74" s="4"/>
      <c r="R74" s="5"/>
    </row>
    <row r="75" spans="1:18" s="6" customFormat="1" ht="14.25" customHeight="1">
      <c r="C75" s="5"/>
      <c r="Q75" s="4"/>
      <c r="R75" s="5"/>
    </row>
    <row r="76" spans="1:18" s="6" customFormat="1" ht="14.25" customHeight="1">
      <c r="Q76" s="4"/>
      <c r="R76" s="5"/>
    </row>
    <row r="77" spans="1:18" s="6" customFormat="1" ht="14.25" customHeight="1">
      <c r="C77" s="5"/>
      <c r="Q77" s="4"/>
      <c r="R77" s="5"/>
    </row>
    <row r="78" spans="1:18" s="6" customFormat="1" ht="14.25" customHeight="1">
      <c r="Q78" s="4"/>
      <c r="R78" s="5"/>
    </row>
    <row r="79" spans="1:18" s="6" customFormat="1" ht="14.25" customHeight="1">
      <c r="C79" s="5"/>
      <c r="Q79" s="4"/>
      <c r="R79" s="5"/>
    </row>
    <row r="80" spans="1:18" s="6" customFormat="1" ht="14.25" customHeight="1">
      <c r="Q80" s="4"/>
      <c r="R80" s="5"/>
    </row>
    <row r="81" spans="5:18" s="6" customFormat="1" ht="14.25" customHeight="1">
      <c r="Q81" s="4"/>
      <c r="R81" s="5"/>
    </row>
    <row r="82" spans="5:18" s="6" customFormat="1" ht="14.25" customHeight="1">
      <c r="Q82" s="4"/>
      <c r="R82" s="5"/>
    </row>
    <row r="83" spans="5:18" s="6" customFormat="1" ht="14.25" customHeight="1">
      <c r="Q83" s="4"/>
      <c r="R83" s="5"/>
    </row>
    <row r="84" spans="5:18" s="6" customFormat="1" ht="14.25" customHeight="1">
      <c r="Q84" s="4"/>
      <c r="R84" s="5"/>
    </row>
    <row r="85" spans="5:18" s="6" customFormat="1" ht="14.25" customHeight="1">
      <c r="E85" s="50"/>
      <c r="F85" s="50"/>
      <c r="Q85" s="4"/>
      <c r="R85" s="5"/>
    </row>
    <row r="86" spans="5:18" s="6" customFormat="1" ht="14.25" customHeight="1">
      <c r="E86" s="50"/>
      <c r="F86" s="50"/>
      <c r="Q86" s="4"/>
      <c r="R86" s="5"/>
    </row>
    <row r="87" spans="5:18" ht="14.25" customHeight="1">
      <c r="E87" s="50"/>
      <c r="F87" s="50"/>
    </row>
    <row r="88" spans="5:18" ht="14.25" customHeight="1">
      <c r="E88" s="50"/>
      <c r="F88" s="50"/>
    </row>
    <row r="89" spans="5:18" ht="14.25" customHeight="1"/>
    <row r="90" spans="5:18" ht="14.25" customHeight="1"/>
    <row r="91" spans="5:18" ht="14.25" customHeight="1"/>
    <row r="92" spans="5:18" ht="14.25" customHeight="1"/>
    <row r="93" spans="5:18" ht="14.25" customHeight="1"/>
    <row r="94" spans="5:18" ht="14.25" customHeight="1"/>
    <row r="95" spans="5:18" ht="14.25" customHeight="1"/>
    <row r="96" spans="5:18"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sheetData>
  <mergeCells count="94">
    <mergeCell ref="A69:O69"/>
    <mergeCell ref="A65:B65"/>
    <mergeCell ref="C65:P65"/>
    <mergeCell ref="A66:O66"/>
    <mergeCell ref="A67:O67"/>
    <mergeCell ref="A68:B68"/>
    <mergeCell ref="C68:P68"/>
    <mergeCell ref="A64:O64"/>
    <mergeCell ref="A56:B56"/>
    <mergeCell ref="C56:P56"/>
    <mergeCell ref="A57:O57"/>
    <mergeCell ref="A58:O58"/>
    <mergeCell ref="A59:B59"/>
    <mergeCell ref="C59:P59"/>
    <mergeCell ref="A60:O60"/>
    <mergeCell ref="A61:O61"/>
    <mergeCell ref="A62:B62"/>
    <mergeCell ref="C62:P62"/>
    <mergeCell ref="A63:O63"/>
    <mergeCell ref="A55:O55"/>
    <mergeCell ref="A46:B46"/>
    <mergeCell ref="C46:P46"/>
    <mergeCell ref="A47:O47"/>
    <mergeCell ref="A48:O48"/>
    <mergeCell ref="A49:B49"/>
    <mergeCell ref="C49:P49"/>
    <mergeCell ref="A50:P50"/>
    <mergeCell ref="A51:O51"/>
    <mergeCell ref="A52:O52"/>
    <mergeCell ref="A53:O53"/>
    <mergeCell ref="A54:O54"/>
    <mergeCell ref="A45:O45"/>
    <mergeCell ref="A36:O36"/>
    <mergeCell ref="A37:B37"/>
    <mergeCell ref="C37:P37"/>
    <mergeCell ref="A38:O38"/>
    <mergeCell ref="A39:O39"/>
    <mergeCell ref="A40:B40"/>
    <mergeCell ref="C40:P40"/>
    <mergeCell ref="A41:O41"/>
    <mergeCell ref="A42:O42"/>
    <mergeCell ref="A43:B43"/>
    <mergeCell ref="C43:P43"/>
    <mergeCell ref="A44:O44"/>
    <mergeCell ref="O23:P23"/>
    <mergeCell ref="A24:N24"/>
    <mergeCell ref="O24:P24"/>
    <mergeCell ref="E25:F25"/>
    <mergeCell ref="A35:O35"/>
    <mergeCell ref="E27:F27"/>
    <mergeCell ref="E28:F28"/>
    <mergeCell ref="E29:F29"/>
    <mergeCell ref="E30:F30"/>
    <mergeCell ref="E31:F31"/>
    <mergeCell ref="A32:J32"/>
    <mergeCell ref="K32:N32"/>
    <mergeCell ref="O32:P32"/>
    <mergeCell ref="A33:B33"/>
    <mergeCell ref="C33:P33"/>
    <mergeCell ref="A34:P34"/>
    <mergeCell ref="E26:F26"/>
    <mergeCell ref="E19:F19"/>
    <mergeCell ref="E20:F20"/>
    <mergeCell ref="A21:J21"/>
    <mergeCell ref="K21:N21"/>
    <mergeCell ref="A23:N23"/>
    <mergeCell ref="O21:P21"/>
    <mergeCell ref="B22:P22"/>
    <mergeCell ref="A12:N12"/>
    <mergeCell ref="O12:P12"/>
    <mergeCell ref="A13:N13"/>
    <mergeCell ref="O13:P13"/>
    <mergeCell ref="E14:F14"/>
    <mergeCell ref="A15:A20"/>
    <mergeCell ref="E15:F15"/>
    <mergeCell ref="E16:F16"/>
    <mergeCell ref="E17:F17"/>
    <mergeCell ref="E18:F18"/>
    <mergeCell ref="A11:P11"/>
    <mergeCell ref="A1:P1"/>
    <mergeCell ref="A2:P2"/>
    <mergeCell ref="A3:P3"/>
    <mergeCell ref="A4:A9"/>
    <mergeCell ref="B4:I9"/>
    <mergeCell ref="J4:O4"/>
    <mergeCell ref="J5:O5"/>
    <mergeCell ref="J6:O6"/>
    <mergeCell ref="J7:O7"/>
    <mergeCell ref="J8:O8"/>
    <mergeCell ref="J9:O9"/>
    <mergeCell ref="B10:C10"/>
    <mergeCell ref="D10:I10"/>
    <mergeCell ref="J10:K10"/>
    <mergeCell ref="L10:M10"/>
  </mergeCells>
  <conditionalFormatting sqref="P15:P20">
    <cfRule type="expression" dxfId="59" priority="7">
      <formula>$P15="NO CUMPLE"</formula>
    </cfRule>
  </conditionalFormatting>
  <conditionalFormatting sqref="P26:P31">
    <cfRule type="expression" dxfId="58" priority="8">
      <formula>$P26="NO CUMPLE"</formula>
    </cfRule>
  </conditionalFormatting>
  <conditionalFormatting sqref="P36">
    <cfRule type="expression" dxfId="57" priority="15">
      <formula>$P36="NO CUMPLE"</formula>
    </cfRule>
  </conditionalFormatting>
  <conditionalFormatting sqref="P39">
    <cfRule type="expression" dxfId="56" priority="14">
      <formula>$P39="NO CUMPLE"</formula>
    </cfRule>
  </conditionalFormatting>
  <conditionalFormatting sqref="P42">
    <cfRule type="cellIs" dxfId="55" priority="5" operator="equal">
      <formula>"RECHAZADO"</formula>
    </cfRule>
    <cfRule type="expression" dxfId="54" priority="6">
      <formula>$P42="NO CUMPLE"</formula>
    </cfRule>
  </conditionalFormatting>
  <conditionalFormatting sqref="P45">
    <cfRule type="cellIs" dxfId="53" priority="3" operator="equal">
      <formula>"RECHAZADO"</formula>
    </cfRule>
    <cfRule type="expression" dxfId="52" priority="4">
      <formula>$P45="NO CUMPLE"</formula>
    </cfRule>
  </conditionalFormatting>
  <conditionalFormatting sqref="P48">
    <cfRule type="cellIs" dxfId="51" priority="1" operator="equal">
      <formula>"RECHAZADO"</formula>
    </cfRule>
    <cfRule type="expression" dxfId="50" priority="2">
      <formula>$P48="NO CUMPLE"</formula>
    </cfRule>
  </conditionalFormatting>
  <dataValidations count="3">
    <dataValidation type="list" allowBlank="1" showInputMessage="1" showErrorMessage="1" sqref="I18:I20 G18:G20 G26:I26 I27:I31 G27:G31 G15:I17" xr:uid="{2438674B-CA0D-48E4-934C-774934DA6C7E}">
      <formula1>"SI,NO"</formula1>
    </dataValidation>
    <dataValidation type="list" allowBlank="1" showInputMessage="1" showErrorMessage="1" sqref="P36 P39 P15:P20 P26:P31" xr:uid="{DC18943C-2E63-4A86-A848-C0D0DFB660C7}">
      <formula1>"CUMPLE,NO CUMPLE"</formula1>
    </dataValidation>
    <dataValidation type="list" allowBlank="1" showInputMessage="1" showErrorMessage="1" sqref="P42 P45 P48" xr:uid="{EEC350B7-1A14-0A4B-B329-5BB2C6296068}">
      <formula1>"CUMPLE,NO CUMPLE,RECHAZADO"</formula1>
    </dataValidation>
  </dataValidations>
  <pageMargins left="0.11811023622047245" right="0.11811023622047245" top="0.27559055118110237" bottom="0.23622047244094491" header="0" footer="0"/>
  <pageSetup paperSize="9" scale="4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6FABE-8066-4237-B16B-060F5396CFFB}">
  <sheetPr>
    <tabColor rgb="FF50F828"/>
  </sheetPr>
  <dimension ref="A1:U994"/>
  <sheetViews>
    <sheetView zoomScale="60" zoomScaleNormal="40" workbookViewId="0">
      <selection activeCell="P48" sqref="P48"/>
    </sheetView>
  </sheetViews>
  <sheetFormatPr baseColWidth="10" defaultColWidth="14.5703125" defaultRowHeight="15" customHeight="1"/>
  <cols>
    <col min="1" max="1" width="17.42578125" style="3" customWidth="1"/>
    <col min="2" max="2" width="12.7109375" style="3" customWidth="1"/>
    <col min="3" max="3" width="15.85546875" style="3" customWidth="1"/>
    <col min="4" max="4" width="24.140625" style="3" customWidth="1"/>
    <col min="5" max="5" width="52.140625" style="3" customWidth="1"/>
    <col min="6" max="6" width="49.5703125" style="3" customWidth="1"/>
    <col min="7" max="7" width="15.28515625" style="3" customWidth="1"/>
    <col min="8" max="8" width="13.140625" style="3" customWidth="1"/>
    <col min="9" max="9" width="15.42578125" style="3" customWidth="1"/>
    <col min="10" max="10" width="27.42578125" style="3" customWidth="1"/>
    <col min="11" max="11" width="19.140625" style="3" customWidth="1"/>
    <col min="12" max="12" width="20.28515625" style="3" bestFit="1" customWidth="1"/>
    <col min="13" max="13" width="23.5703125" style="3" bestFit="1" customWidth="1"/>
    <col min="14" max="14" width="15.42578125" style="3" customWidth="1"/>
    <col min="15" max="15" width="14.85546875" style="3" customWidth="1"/>
    <col min="16" max="16" width="26" style="3" customWidth="1"/>
    <col min="17" max="17" width="6.140625" style="1" bestFit="1" customWidth="1"/>
    <col min="18" max="18" width="10" style="2" bestFit="1" customWidth="1"/>
    <col min="19" max="16384" width="14.5703125" style="3"/>
  </cols>
  <sheetData>
    <row r="1" spans="1:21" ht="25.5">
      <c r="A1" s="209" t="s">
        <v>38</v>
      </c>
      <c r="B1" s="210"/>
      <c r="C1" s="210"/>
      <c r="D1" s="210"/>
      <c r="E1" s="210"/>
      <c r="F1" s="210"/>
      <c r="G1" s="210"/>
      <c r="H1" s="210"/>
      <c r="I1" s="210"/>
      <c r="J1" s="210"/>
      <c r="K1" s="210"/>
      <c r="L1" s="210"/>
      <c r="M1" s="210"/>
      <c r="N1" s="210"/>
      <c r="O1" s="210"/>
      <c r="P1" s="211"/>
    </row>
    <row r="2" spans="1:21" ht="25.5">
      <c r="A2" s="212" t="str">
        <f>+RESUMEN!C5</f>
        <v>24001216 H3 DE 2024</v>
      </c>
      <c r="B2" s="213"/>
      <c r="C2" s="213"/>
      <c r="D2" s="213"/>
      <c r="E2" s="213"/>
      <c r="F2" s="213"/>
      <c r="G2" s="213"/>
      <c r="H2" s="213"/>
      <c r="I2" s="213"/>
      <c r="J2" s="213"/>
      <c r="K2" s="213"/>
      <c r="L2" s="213"/>
      <c r="M2" s="213"/>
      <c r="N2" s="213"/>
      <c r="O2" s="213"/>
      <c r="P2" s="214"/>
    </row>
    <row r="3" spans="1:21" ht="60" customHeight="1">
      <c r="A3" s="215" t="str">
        <f>+RESUMEN!G5</f>
        <v>REALIZAR MANTENIMIENTO A LOS SISTEMAS UPS DEL CENTRO DE GESTION AERONAUTICA
DE COLOMBIA CGAC, INCLUYE RENOVAR BANCOS DE BATERÍAS POR LOTES. (VIGENCIA FUTURA).</v>
      </c>
      <c r="B3" s="216"/>
      <c r="C3" s="216"/>
      <c r="D3" s="216"/>
      <c r="E3" s="216"/>
      <c r="F3" s="216"/>
      <c r="G3" s="216"/>
      <c r="H3" s="216"/>
      <c r="I3" s="216"/>
      <c r="J3" s="217"/>
      <c r="K3" s="217"/>
      <c r="L3" s="217"/>
      <c r="M3" s="217"/>
      <c r="N3" s="217"/>
      <c r="O3" s="217"/>
      <c r="P3" s="218"/>
    </row>
    <row r="4" spans="1:21" s="6" customFormat="1" ht="19.5" customHeight="1">
      <c r="A4" s="219">
        <f>+RESUMEN!B12</f>
        <v>4</v>
      </c>
      <c r="B4" s="222" t="str">
        <f>+RESUMEN!C12</f>
        <v>ASAC SAS</v>
      </c>
      <c r="C4" s="223"/>
      <c r="D4" s="223"/>
      <c r="E4" s="223"/>
      <c r="F4" s="223"/>
      <c r="G4" s="223"/>
      <c r="H4" s="223"/>
      <c r="I4" s="223"/>
      <c r="J4" s="227" t="s">
        <v>39</v>
      </c>
      <c r="K4" s="228"/>
      <c r="L4" s="228"/>
      <c r="M4" s="228"/>
      <c r="N4" s="228"/>
      <c r="O4" s="229"/>
      <c r="P4" s="28" t="s">
        <v>40</v>
      </c>
      <c r="Q4" s="4"/>
      <c r="R4" s="5"/>
    </row>
    <row r="5" spans="1:21" s="6" customFormat="1" ht="19.5" customHeight="1">
      <c r="A5" s="220"/>
      <c r="B5" s="224"/>
      <c r="C5" s="225"/>
      <c r="D5" s="225"/>
      <c r="E5" s="225"/>
      <c r="F5" s="225"/>
      <c r="G5" s="225"/>
      <c r="H5" s="225"/>
      <c r="I5" s="225"/>
      <c r="J5" s="230" t="s">
        <v>138</v>
      </c>
      <c r="K5" s="231"/>
      <c r="L5" s="231"/>
      <c r="M5" s="231"/>
      <c r="N5" s="231"/>
      <c r="O5" s="232"/>
      <c r="P5" s="76">
        <v>1</v>
      </c>
      <c r="Q5" s="4"/>
      <c r="R5" s="5"/>
      <c r="S5" s="50"/>
      <c r="T5" s="50"/>
      <c r="U5" s="50"/>
    </row>
    <row r="6" spans="1:21" s="6" customFormat="1" ht="19.5" customHeight="1">
      <c r="A6" s="220"/>
      <c r="B6" s="224"/>
      <c r="C6" s="225"/>
      <c r="D6" s="225"/>
      <c r="E6" s="225"/>
      <c r="F6" s="225"/>
      <c r="G6" s="225"/>
      <c r="H6" s="225"/>
      <c r="I6" s="225"/>
      <c r="J6" s="230"/>
      <c r="K6" s="231"/>
      <c r="L6" s="231"/>
      <c r="M6" s="231"/>
      <c r="N6" s="231"/>
      <c r="O6" s="232"/>
      <c r="P6" s="76"/>
      <c r="Q6" s="4"/>
      <c r="R6" s="5"/>
      <c r="S6" s="50"/>
      <c r="T6" s="50"/>
      <c r="U6" s="50"/>
    </row>
    <row r="7" spans="1:21" s="6" customFormat="1" ht="19.5" customHeight="1">
      <c r="A7" s="220"/>
      <c r="B7" s="224"/>
      <c r="C7" s="225"/>
      <c r="D7" s="225"/>
      <c r="E7" s="225"/>
      <c r="F7" s="225"/>
      <c r="G7" s="225"/>
      <c r="H7" s="225"/>
      <c r="I7" s="225"/>
      <c r="J7" s="230"/>
      <c r="K7" s="231"/>
      <c r="L7" s="231"/>
      <c r="M7" s="231"/>
      <c r="N7" s="231"/>
      <c r="O7" s="232"/>
      <c r="P7" s="76"/>
      <c r="Q7" s="4"/>
      <c r="R7" s="5"/>
      <c r="S7" s="50"/>
      <c r="T7" s="50"/>
      <c r="U7" s="50"/>
    </row>
    <row r="8" spans="1:21" s="6" customFormat="1" ht="19.5" customHeight="1">
      <c r="A8" s="220"/>
      <c r="B8" s="224"/>
      <c r="C8" s="225"/>
      <c r="D8" s="225"/>
      <c r="E8" s="225"/>
      <c r="F8" s="225"/>
      <c r="G8" s="225"/>
      <c r="H8" s="225"/>
      <c r="I8" s="225"/>
      <c r="J8" s="230"/>
      <c r="K8" s="231"/>
      <c r="L8" s="231"/>
      <c r="M8" s="231"/>
      <c r="N8" s="231"/>
      <c r="O8" s="232"/>
      <c r="P8" s="76"/>
      <c r="Q8" s="4"/>
      <c r="R8" s="5"/>
    </row>
    <row r="9" spans="1:21" s="6" customFormat="1" ht="21" customHeight="1">
      <c r="A9" s="221"/>
      <c r="B9" s="224"/>
      <c r="C9" s="225"/>
      <c r="D9" s="225"/>
      <c r="E9" s="225"/>
      <c r="F9" s="225"/>
      <c r="G9" s="225"/>
      <c r="H9" s="225"/>
      <c r="I9" s="226"/>
      <c r="J9" s="233" t="s">
        <v>43</v>
      </c>
      <c r="K9" s="234"/>
      <c r="L9" s="234"/>
      <c r="M9" s="234"/>
      <c r="N9" s="234"/>
      <c r="O9" s="235"/>
      <c r="P9" s="29">
        <f>SUM(P5:P8)</f>
        <v>1</v>
      </c>
      <c r="Q9" s="7"/>
      <c r="R9" s="5"/>
    </row>
    <row r="10" spans="1:21" s="6" customFormat="1" ht="65.25" customHeight="1">
      <c r="A10" s="66" t="s">
        <v>44</v>
      </c>
      <c r="B10" s="236" t="s">
        <v>45</v>
      </c>
      <c r="C10" s="236"/>
      <c r="D10" s="237" t="s">
        <v>46</v>
      </c>
      <c r="E10" s="237"/>
      <c r="F10" s="237"/>
      <c r="G10" s="237"/>
      <c r="H10" s="237"/>
      <c r="I10" s="237"/>
      <c r="J10" s="238">
        <f>RESUMEN!U5</f>
        <v>1927454798</v>
      </c>
      <c r="K10" s="239"/>
      <c r="L10" s="240" t="s">
        <v>47</v>
      </c>
      <c r="M10" s="241"/>
      <c r="N10" s="67">
        <f>P69</f>
        <v>29.25</v>
      </c>
      <c r="O10" s="68" t="s">
        <v>48</v>
      </c>
      <c r="P10" s="69">
        <f>J10/'Serie Historica SMMLV'!C47</f>
        <v>1482.657536923077</v>
      </c>
      <c r="Q10" s="8"/>
      <c r="R10" s="5"/>
      <c r="T10" s="43"/>
    </row>
    <row r="11" spans="1:21" s="6" customFormat="1" ht="26.25">
      <c r="A11" s="207" t="s">
        <v>49</v>
      </c>
      <c r="B11" s="208"/>
      <c r="C11" s="208"/>
      <c r="D11" s="208"/>
      <c r="E11" s="208"/>
      <c r="F11" s="208"/>
      <c r="G11" s="208"/>
      <c r="H11" s="208"/>
      <c r="I11" s="208"/>
      <c r="J11" s="208"/>
      <c r="K11" s="208"/>
      <c r="L11" s="208"/>
      <c r="M11" s="208"/>
      <c r="N11" s="208"/>
      <c r="O11" s="208"/>
      <c r="P11" s="208"/>
      <c r="Q11" s="4"/>
      <c r="R11" s="5"/>
    </row>
    <row r="12" spans="1:21" s="6" customFormat="1" ht="26.25">
      <c r="A12" s="244" t="s">
        <v>11</v>
      </c>
      <c r="B12" s="244"/>
      <c r="C12" s="244"/>
      <c r="D12" s="244"/>
      <c r="E12" s="244"/>
      <c r="F12" s="244"/>
      <c r="G12" s="244"/>
      <c r="H12" s="244"/>
      <c r="I12" s="244"/>
      <c r="J12" s="244"/>
      <c r="K12" s="244"/>
      <c r="L12" s="244"/>
      <c r="M12" s="244"/>
      <c r="N12" s="244"/>
      <c r="O12" s="245" t="s">
        <v>50</v>
      </c>
      <c r="P12" s="245"/>
      <c r="Q12" s="4"/>
      <c r="R12" s="5"/>
    </row>
    <row r="13" spans="1:21" s="6" customFormat="1" ht="115.7" customHeight="1">
      <c r="A13" s="246" t="s">
        <v>51</v>
      </c>
      <c r="B13" s="246"/>
      <c r="C13" s="246"/>
      <c r="D13" s="246"/>
      <c r="E13" s="246"/>
      <c r="F13" s="246"/>
      <c r="G13" s="246"/>
      <c r="H13" s="246"/>
      <c r="I13" s="246"/>
      <c r="J13" s="246"/>
      <c r="K13" s="246"/>
      <c r="L13" s="246"/>
      <c r="M13" s="246"/>
      <c r="N13" s="246"/>
      <c r="O13" s="247" t="s">
        <v>111</v>
      </c>
      <c r="P13" s="247"/>
      <c r="Q13" s="4"/>
      <c r="R13" s="5"/>
    </row>
    <row r="14" spans="1:21" s="6" customFormat="1" ht="102" customHeight="1">
      <c r="A14" s="81" t="s">
        <v>52</v>
      </c>
      <c r="B14" s="81" t="s">
        <v>53</v>
      </c>
      <c r="C14" s="81" t="s">
        <v>54</v>
      </c>
      <c r="D14" s="81" t="s">
        <v>55</v>
      </c>
      <c r="E14" s="248" t="s">
        <v>3</v>
      </c>
      <c r="F14" s="248"/>
      <c r="G14" s="81" t="s">
        <v>56</v>
      </c>
      <c r="H14" s="81" t="str">
        <f>"CUMPLE CODIGOS?
"&amp;B10</f>
        <v>CUMPLE CODIGOS?
72151500
81101700
26111700</v>
      </c>
      <c r="I14" s="81" t="s">
        <v>57</v>
      </c>
      <c r="J14" s="81" t="s">
        <v>58</v>
      </c>
      <c r="K14" s="81" t="s">
        <v>59</v>
      </c>
      <c r="L14" s="81" t="s">
        <v>60</v>
      </c>
      <c r="M14" s="81" t="s">
        <v>61</v>
      </c>
      <c r="N14" s="81" t="s">
        <v>62</v>
      </c>
      <c r="O14" s="81" t="s">
        <v>63</v>
      </c>
      <c r="P14" s="81" t="s">
        <v>64</v>
      </c>
      <c r="Q14" s="9"/>
      <c r="R14" s="10"/>
    </row>
    <row r="15" spans="1:21" s="6" customFormat="1" ht="18">
      <c r="A15" s="249">
        <f>+P10</f>
        <v>1482.657536923077</v>
      </c>
      <c r="B15" s="47" t="s">
        <v>65</v>
      </c>
      <c r="C15" s="63"/>
      <c r="D15" s="82"/>
      <c r="E15" s="250"/>
      <c r="F15" s="250"/>
      <c r="G15" s="70"/>
      <c r="H15" s="70"/>
      <c r="I15" s="70"/>
      <c r="J15" s="71"/>
      <c r="K15" s="59"/>
      <c r="L15" s="60"/>
      <c r="M15" s="61"/>
      <c r="N15" s="62"/>
      <c r="O15" s="38" t="str">
        <f>IF(AND(H15="SI",I15="SI")=TRUE,M15*N15,"")</f>
        <v/>
      </c>
      <c r="P15" s="65"/>
      <c r="Q15" s="11"/>
      <c r="R15" s="5"/>
    </row>
    <row r="16" spans="1:21" s="31" customFormat="1" ht="18">
      <c r="A16" s="249"/>
      <c r="B16" s="47" t="s">
        <v>70</v>
      </c>
      <c r="C16" s="63"/>
      <c r="D16" s="82"/>
      <c r="E16" s="250"/>
      <c r="F16" s="250"/>
      <c r="G16" s="70"/>
      <c r="H16" s="70"/>
      <c r="I16" s="70"/>
      <c r="J16" s="71"/>
      <c r="K16" s="59"/>
      <c r="L16" s="60"/>
      <c r="M16" s="61"/>
      <c r="N16" s="62"/>
      <c r="O16" s="38" t="str">
        <f t="shared" ref="O16:O20" si="0">IF(AND(H16="SI",I16="SI")=TRUE,M16*N16,"")</f>
        <v/>
      </c>
      <c r="P16" s="65"/>
      <c r="Q16" s="36"/>
      <c r="R16" s="30"/>
    </row>
    <row r="17" spans="1:19" s="6" customFormat="1" ht="18">
      <c r="A17" s="249"/>
      <c r="B17" s="47" t="s">
        <v>74</v>
      </c>
      <c r="C17" s="63"/>
      <c r="D17" s="82"/>
      <c r="E17" s="250"/>
      <c r="F17" s="250"/>
      <c r="G17" s="70"/>
      <c r="H17" s="70"/>
      <c r="I17" s="70"/>
      <c r="J17" s="71"/>
      <c r="K17" s="59"/>
      <c r="L17" s="60"/>
      <c r="M17" s="61"/>
      <c r="N17" s="62"/>
      <c r="O17" s="38" t="str">
        <f t="shared" si="0"/>
        <v/>
      </c>
      <c r="P17" s="65"/>
      <c r="Q17" s="11"/>
      <c r="R17" s="5"/>
    </row>
    <row r="18" spans="1:19" s="6" customFormat="1" ht="18">
      <c r="A18" s="249"/>
      <c r="B18" s="47" t="s">
        <v>78</v>
      </c>
      <c r="C18" s="70"/>
      <c r="D18" s="82"/>
      <c r="E18" s="251"/>
      <c r="F18" s="251"/>
      <c r="G18" s="57"/>
      <c r="H18" s="57"/>
      <c r="I18" s="57"/>
      <c r="J18" s="84"/>
      <c r="K18" s="59"/>
      <c r="L18" s="60"/>
      <c r="M18" s="61"/>
      <c r="N18" s="62"/>
      <c r="O18" s="38" t="str">
        <f t="shared" si="0"/>
        <v/>
      </c>
      <c r="P18" s="65"/>
      <c r="Q18" s="11"/>
      <c r="R18" s="5"/>
    </row>
    <row r="19" spans="1:19" s="6" customFormat="1" ht="18">
      <c r="A19" s="249"/>
      <c r="B19" s="47" t="s">
        <v>82</v>
      </c>
      <c r="C19" s="70"/>
      <c r="D19" s="82"/>
      <c r="E19" s="251"/>
      <c r="F19" s="251"/>
      <c r="G19" s="57"/>
      <c r="H19" s="57"/>
      <c r="I19" s="57"/>
      <c r="J19" s="84"/>
      <c r="K19" s="59"/>
      <c r="L19" s="60"/>
      <c r="M19" s="61"/>
      <c r="N19" s="62"/>
      <c r="O19" s="38" t="str">
        <f t="shared" si="0"/>
        <v/>
      </c>
      <c r="P19" s="65"/>
      <c r="Q19" s="11"/>
      <c r="R19" s="5"/>
    </row>
    <row r="20" spans="1:19" s="6" customFormat="1" ht="18">
      <c r="A20" s="249"/>
      <c r="B20" s="47" t="s">
        <v>83</v>
      </c>
      <c r="C20" s="70"/>
      <c r="D20" s="82"/>
      <c r="E20" s="251"/>
      <c r="F20" s="251"/>
      <c r="G20" s="57"/>
      <c r="H20" s="57"/>
      <c r="I20" s="57"/>
      <c r="J20" s="84"/>
      <c r="K20" s="59"/>
      <c r="L20" s="60"/>
      <c r="M20" s="61"/>
      <c r="N20" s="62"/>
      <c r="O20" s="38" t="str">
        <f t="shared" si="0"/>
        <v/>
      </c>
      <c r="P20" s="65"/>
      <c r="Q20" s="11"/>
      <c r="R20" s="5"/>
    </row>
    <row r="21" spans="1:19" s="6" customFormat="1" ht="26.25">
      <c r="A21" s="252"/>
      <c r="B21" s="253"/>
      <c r="C21" s="253"/>
      <c r="D21" s="253"/>
      <c r="E21" s="253"/>
      <c r="F21" s="253"/>
      <c r="G21" s="253"/>
      <c r="H21" s="253"/>
      <c r="I21" s="253"/>
      <c r="J21" s="254"/>
      <c r="K21" s="255" t="s">
        <v>84</v>
      </c>
      <c r="L21" s="256"/>
      <c r="M21" s="256"/>
      <c r="N21" s="257"/>
      <c r="O21" s="242">
        <f>SUMIF(P15:P20,"CUMPLE",O15:O20)</f>
        <v>0</v>
      </c>
      <c r="P21" s="242"/>
      <c r="Q21" s="11"/>
      <c r="R21" s="5"/>
      <c r="S21" s="44"/>
    </row>
    <row r="22" spans="1:19" s="6" customFormat="1" ht="72.95" customHeight="1">
      <c r="A22" s="20" t="s">
        <v>85</v>
      </c>
      <c r="B22" s="288" t="s">
        <v>112</v>
      </c>
      <c r="C22" s="288"/>
      <c r="D22" s="288"/>
      <c r="E22" s="288"/>
      <c r="F22" s="288"/>
      <c r="G22" s="288"/>
      <c r="H22" s="288"/>
      <c r="I22" s="288"/>
      <c r="J22" s="288"/>
      <c r="K22" s="288"/>
      <c r="L22" s="288"/>
      <c r="M22" s="288"/>
      <c r="N22" s="288"/>
      <c r="O22" s="288"/>
      <c r="P22" s="288"/>
      <c r="Q22" s="11"/>
      <c r="R22" s="5"/>
    </row>
    <row r="23" spans="1:19" s="54" customFormat="1" ht="26.25">
      <c r="A23" s="258" t="s">
        <v>12</v>
      </c>
      <c r="B23" s="259"/>
      <c r="C23" s="259"/>
      <c r="D23" s="259"/>
      <c r="E23" s="259"/>
      <c r="F23" s="259"/>
      <c r="G23" s="259"/>
      <c r="H23" s="259"/>
      <c r="I23" s="259"/>
      <c r="J23" s="259"/>
      <c r="K23" s="259"/>
      <c r="L23" s="259"/>
      <c r="M23" s="259"/>
      <c r="N23" s="259"/>
      <c r="O23" s="245" t="s">
        <v>50</v>
      </c>
      <c r="P23" s="245"/>
      <c r="Q23" s="52"/>
      <c r="R23" s="53"/>
    </row>
    <row r="24" spans="1:19" s="6" customFormat="1" ht="168.95" customHeight="1">
      <c r="A24" s="260" t="s">
        <v>86</v>
      </c>
      <c r="B24" s="260"/>
      <c r="C24" s="260"/>
      <c r="D24" s="260"/>
      <c r="E24" s="260"/>
      <c r="F24" s="260"/>
      <c r="G24" s="260"/>
      <c r="H24" s="260"/>
      <c r="I24" s="260"/>
      <c r="J24" s="260"/>
      <c r="K24" s="260"/>
      <c r="L24" s="260"/>
      <c r="M24" s="260"/>
      <c r="N24" s="260"/>
      <c r="O24" s="247" t="s">
        <v>111</v>
      </c>
      <c r="P24" s="247"/>
      <c r="Q24" s="12"/>
      <c r="R24" s="5"/>
    </row>
    <row r="25" spans="1:19" s="6" customFormat="1" ht="76.5">
      <c r="A25" s="51" t="s">
        <v>87</v>
      </c>
      <c r="B25" s="81" t="s">
        <v>53</v>
      </c>
      <c r="C25" s="81" t="s">
        <v>54</v>
      </c>
      <c r="D25" s="81" t="s">
        <v>55</v>
      </c>
      <c r="E25" s="248" t="s">
        <v>3</v>
      </c>
      <c r="F25" s="248"/>
      <c r="G25" s="81" t="s">
        <v>88</v>
      </c>
      <c r="H25" s="81" t="s">
        <v>89</v>
      </c>
      <c r="I25" s="81" t="s">
        <v>90</v>
      </c>
      <c r="J25" s="81" t="s">
        <v>58</v>
      </c>
      <c r="K25" s="81" t="s">
        <v>59</v>
      </c>
      <c r="L25" s="81" t="s">
        <v>91</v>
      </c>
      <c r="M25" s="81" t="s">
        <v>61</v>
      </c>
      <c r="N25" s="81" t="s">
        <v>62</v>
      </c>
      <c r="O25" s="81" t="s">
        <v>63</v>
      </c>
      <c r="P25" s="81" t="s">
        <v>64</v>
      </c>
      <c r="Q25" s="9"/>
      <c r="R25" s="10"/>
    </row>
    <row r="26" spans="1:19" s="6" customFormat="1" ht="18">
      <c r="A26" s="25">
        <v>1</v>
      </c>
      <c r="B26" s="47" t="s">
        <v>65</v>
      </c>
      <c r="C26" s="63"/>
      <c r="D26" s="63"/>
      <c r="E26" s="282"/>
      <c r="F26" s="282"/>
      <c r="G26" s="57"/>
      <c r="H26" s="57"/>
      <c r="I26" s="57"/>
      <c r="J26" s="58"/>
      <c r="K26" s="59"/>
      <c r="L26" s="60"/>
      <c r="M26" s="61"/>
      <c r="N26" s="62"/>
      <c r="O26" s="38" t="str">
        <f t="shared" ref="O26:O31" si="1">IF(AND(H26="SI",I26="SI")=TRUE,M26*N26,"")</f>
        <v/>
      </c>
      <c r="P26" s="65"/>
      <c r="Q26" s="11"/>
      <c r="R26" s="5"/>
    </row>
    <row r="27" spans="1:19" s="31" customFormat="1" ht="18">
      <c r="A27" s="37">
        <v>2</v>
      </c>
      <c r="B27" s="47" t="s">
        <v>70</v>
      </c>
      <c r="C27" s="84"/>
      <c r="D27" s="82"/>
      <c r="E27" s="251"/>
      <c r="F27" s="251"/>
      <c r="G27" s="84"/>
      <c r="H27" s="84"/>
      <c r="I27" s="84"/>
      <c r="J27" s="84"/>
      <c r="K27" s="59"/>
      <c r="L27" s="60"/>
      <c r="M27" s="61"/>
      <c r="N27" s="62"/>
      <c r="O27" s="38" t="str">
        <f t="shared" si="1"/>
        <v/>
      </c>
      <c r="P27" s="65"/>
      <c r="Q27" s="36"/>
      <c r="R27" s="30"/>
    </row>
    <row r="28" spans="1:19" s="40" customFormat="1" ht="18">
      <c r="A28" s="25">
        <v>3</v>
      </c>
      <c r="B28" s="47" t="s">
        <v>74</v>
      </c>
      <c r="C28" s="84"/>
      <c r="D28" s="83"/>
      <c r="E28" s="251"/>
      <c r="F28" s="251"/>
      <c r="G28" s="57"/>
      <c r="H28" s="57"/>
      <c r="I28" s="57"/>
      <c r="J28" s="84"/>
      <c r="K28" s="59"/>
      <c r="L28" s="60"/>
      <c r="M28" s="61"/>
      <c r="N28" s="62"/>
      <c r="O28" s="38" t="str">
        <f t="shared" si="1"/>
        <v/>
      </c>
      <c r="P28" s="65"/>
      <c r="Q28" s="11"/>
      <c r="R28" s="39"/>
    </row>
    <row r="29" spans="1:19" s="42" customFormat="1" ht="18">
      <c r="A29" s="37">
        <v>4</v>
      </c>
      <c r="B29" s="47" t="s">
        <v>78</v>
      </c>
      <c r="C29" s="57"/>
      <c r="D29" s="83"/>
      <c r="E29" s="251"/>
      <c r="F29" s="251"/>
      <c r="G29" s="57"/>
      <c r="H29" s="84"/>
      <c r="I29" s="57"/>
      <c r="J29" s="84"/>
      <c r="K29" s="59"/>
      <c r="L29" s="60"/>
      <c r="M29" s="61"/>
      <c r="N29" s="62"/>
      <c r="O29" s="38" t="str">
        <f t="shared" si="1"/>
        <v/>
      </c>
      <c r="P29" s="65"/>
      <c r="Q29" s="36"/>
      <c r="R29" s="41"/>
    </row>
    <row r="30" spans="1:19" s="40" customFormat="1" ht="18">
      <c r="A30" s="25">
        <v>5</v>
      </c>
      <c r="B30" s="47" t="s">
        <v>82</v>
      </c>
      <c r="C30" s="84"/>
      <c r="D30" s="64"/>
      <c r="E30" s="251"/>
      <c r="F30" s="251"/>
      <c r="G30" s="84"/>
      <c r="H30" s="84"/>
      <c r="I30" s="84"/>
      <c r="J30" s="84"/>
      <c r="K30" s="59"/>
      <c r="L30" s="60"/>
      <c r="M30" s="61"/>
      <c r="N30" s="62"/>
      <c r="O30" s="38" t="str">
        <f t="shared" si="1"/>
        <v/>
      </c>
      <c r="P30" s="65"/>
      <c r="Q30" s="11"/>
      <c r="R30" s="39"/>
    </row>
    <row r="31" spans="1:19" s="6" customFormat="1" ht="18">
      <c r="A31" s="37">
        <v>6</v>
      </c>
      <c r="B31" s="47" t="s">
        <v>83</v>
      </c>
      <c r="C31" s="84"/>
      <c r="D31" s="82"/>
      <c r="E31" s="250"/>
      <c r="F31" s="250"/>
      <c r="G31" s="84"/>
      <c r="H31" s="84"/>
      <c r="I31" s="84"/>
      <c r="J31" s="63"/>
      <c r="K31" s="59"/>
      <c r="L31" s="60"/>
      <c r="M31" s="61"/>
      <c r="N31" s="62"/>
      <c r="O31" s="38" t="str">
        <f t="shared" si="1"/>
        <v/>
      </c>
      <c r="P31" s="65"/>
      <c r="Q31" s="11"/>
      <c r="R31" s="46"/>
    </row>
    <row r="32" spans="1:19" s="6" customFormat="1" ht="26.25">
      <c r="A32" s="252"/>
      <c r="B32" s="253"/>
      <c r="C32" s="253"/>
      <c r="D32" s="253"/>
      <c r="E32" s="253"/>
      <c r="F32" s="253"/>
      <c r="G32" s="253"/>
      <c r="H32" s="253"/>
      <c r="I32" s="253"/>
      <c r="J32" s="254"/>
      <c r="K32" s="255" t="s">
        <v>84</v>
      </c>
      <c r="L32" s="256"/>
      <c r="M32" s="256"/>
      <c r="N32" s="257"/>
      <c r="O32" s="242">
        <f>SUMIF(P26:P31,"CUMPLE",O26:O31)</f>
        <v>0</v>
      </c>
      <c r="P32" s="242"/>
      <c r="Q32" s="13"/>
      <c r="R32" s="5"/>
    </row>
    <row r="33" spans="1:21" s="6" customFormat="1" ht="18" customHeight="1">
      <c r="A33" s="123" t="s">
        <v>85</v>
      </c>
      <c r="B33" s="287" t="s">
        <v>112</v>
      </c>
      <c r="C33" s="287"/>
      <c r="D33" s="287"/>
      <c r="E33" s="287"/>
      <c r="F33" s="287"/>
      <c r="G33" s="287"/>
      <c r="H33" s="287"/>
      <c r="I33" s="287"/>
      <c r="J33" s="287"/>
      <c r="K33" s="287"/>
      <c r="L33" s="287"/>
      <c r="M33" s="287"/>
      <c r="N33" s="287"/>
      <c r="O33" s="287"/>
      <c r="P33" s="287"/>
      <c r="Q33" s="124"/>
      <c r="R33" s="125"/>
      <c r="S33" s="126"/>
      <c r="T33" s="126"/>
      <c r="U33" s="126"/>
    </row>
    <row r="34" spans="1:21" s="6" customFormat="1" ht="26.25">
      <c r="A34" s="207" t="s">
        <v>94</v>
      </c>
      <c r="B34" s="208"/>
      <c r="C34" s="208"/>
      <c r="D34" s="208"/>
      <c r="E34" s="208"/>
      <c r="F34" s="208"/>
      <c r="G34" s="208"/>
      <c r="H34" s="208"/>
      <c r="I34" s="208"/>
      <c r="J34" s="208"/>
      <c r="K34" s="208"/>
      <c r="L34" s="208"/>
      <c r="M34" s="208"/>
      <c r="N34" s="208"/>
      <c r="O34" s="208"/>
      <c r="P34" s="208"/>
      <c r="Q34" s="13"/>
      <c r="R34" s="5"/>
    </row>
    <row r="35" spans="1:21" s="6" customFormat="1" ht="52.5">
      <c r="A35" s="258" t="s">
        <v>13</v>
      </c>
      <c r="B35" s="258"/>
      <c r="C35" s="258"/>
      <c r="D35" s="258"/>
      <c r="E35" s="258"/>
      <c r="F35" s="258"/>
      <c r="G35" s="258"/>
      <c r="H35" s="258"/>
      <c r="I35" s="258"/>
      <c r="J35" s="258"/>
      <c r="K35" s="258"/>
      <c r="L35" s="258"/>
      <c r="M35" s="258"/>
      <c r="N35" s="258"/>
      <c r="O35" s="258"/>
      <c r="P35" s="79" t="s">
        <v>50</v>
      </c>
      <c r="Q35" s="13"/>
      <c r="R35" s="5"/>
    </row>
    <row r="36" spans="1:21" s="6" customFormat="1" ht="74.45" customHeight="1">
      <c r="A36" s="265" t="s">
        <v>95</v>
      </c>
      <c r="B36" s="265"/>
      <c r="C36" s="265"/>
      <c r="D36" s="265"/>
      <c r="E36" s="265"/>
      <c r="F36" s="265"/>
      <c r="G36" s="265"/>
      <c r="H36" s="265"/>
      <c r="I36" s="265"/>
      <c r="J36" s="265"/>
      <c r="K36" s="265"/>
      <c r="L36" s="265"/>
      <c r="M36" s="265"/>
      <c r="N36" s="265"/>
      <c r="O36" s="265"/>
      <c r="P36" s="56" t="s">
        <v>69</v>
      </c>
      <c r="Q36" s="13"/>
      <c r="R36" s="5"/>
    </row>
    <row r="37" spans="1:21" s="6" customFormat="1" ht="35.450000000000003" customHeight="1">
      <c r="A37" s="261" t="s">
        <v>85</v>
      </c>
      <c r="B37" s="261"/>
      <c r="C37" s="266"/>
      <c r="D37" s="266"/>
      <c r="E37" s="266"/>
      <c r="F37" s="266"/>
      <c r="G37" s="266"/>
      <c r="H37" s="266"/>
      <c r="I37" s="266"/>
      <c r="J37" s="266"/>
      <c r="K37" s="266"/>
      <c r="L37" s="266"/>
      <c r="M37" s="266"/>
      <c r="N37" s="266"/>
      <c r="O37" s="266"/>
      <c r="P37" s="266"/>
      <c r="Q37" s="13"/>
      <c r="R37" s="5"/>
    </row>
    <row r="38" spans="1:21" s="6" customFormat="1" ht="52.5">
      <c r="A38" s="267" t="s">
        <v>14</v>
      </c>
      <c r="B38" s="258"/>
      <c r="C38" s="258"/>
      <c r="D38" s="258"/>
      <c r="E38" s="258"/>
      <c r="F38" s="258"/>
      <c r="G38" s="258"/>
      <c r="H38" s="258"/>
      <c r="I38" s="258"/>
      <c r="J38" s="258"/>
      <c r="K38" s="258"/>
      <c r="L38" s="258"/>
      <c r="M38" s="258"/>
      <c r="N38" s="258"/>
      <c r="O38" s="258"/>
      <c r="P38" s="79" t="s">
        <v>50</v>
      </c>
      <c r="Q38" s="13"/>
      <c r="R38" s="5"/>
    </row>
    <row r="39" spans="1:21" s="6" customFormat="1" ht="222.95" customHeight="1">
      <c r="A39" s="263" t="s">
        <v>96</v>
      </c>
      <c r="B39" s="264"/>
      <c r="C39" s="264"/>
      <c r="D39" s="264"/>
      <c r="E39" s="264"/>
      <c r="F39" s="264"/>
      <c r="G39" s="264"/>
      <c r="H39" s="264"/>
      <c r="I39" s="264"/>
      <c r="J39" s="264"/>
      <c r="K39" s="264"/>
      <c r="L39" s="264"/>
      <c r="M39" s="264"/>
      <c r="N39" s="264"/>
      <c r="O39" s="264"/>
      <c r="P39" s="56" t="s">
        <v>111</v>
      </c>
      <c r="Q39" s="13"/>
      <c r="R39" s="5"/>
    </row>
    <row r="40" spans="1:21" s="6" customFormat="1" ht="36.950000000000003" customHeight="1">
      <c r="A40" s="123" t="s">
        <v>85</v>
      </c>
      <c r="B40" s="287" t="s">
        <v>112</v>
      </c>
      <c r="C40" s="287"/>
      <c r="D40" s="287"/>
      <c r="E40" s="287"/>
      <c r="F40" s="287"/>
      <c r="G40" s="287"/>
      <c r="H40" s="287"/>
      <c r="I40" s="287"/>
      <c r="J40" s="287"/>
      <c r="K40" s="287"/>
      <c r="L40" s="287"/>
      <c r="M40" s="287"/>
      <c r="N40" s="287"/>
      <c r="O40" s="287"/>
      <c r="P40" s="287"/>
      <c r="Q40" s="124"/>
      <c r="R40" s="125"/>
      <c r="S40" s="126"/>
      <c r="T40" s="126"/>
      <c r="U40" s="126"/>
    </row>
    <row r="41" spans="1:21" s="6" customFormat="1" ht="52.5">
      <c r="A41" s="267" t="s">
        <v>15</v>
      </c>
      <c r="B41" s="258"/>
      <c r="C41" s="258"/>
      <c r="D41" s="258"/>
      <c r="E41" s="258"/>
      <c r="F41" s="258"/>
      <c r="G41" s="258"/>
      <c r="H41" s="258"/>
      <c r="I41" s="258"/>
      <c r="J41" s="258"/>
      <c r="K41" s="258"/>
      <c r="L41" s="258"/>
      <c r="M41" s="258"/>
      <c r="N41" s="258"/>
      <c r="O41" s="258"/>
      <c r="P41" s="79" t="s">
        <v>50</v>
      </c>
      <c r="Q41" s="13"/>
      <c r="R41" s="5"/>
    </row>
    <row r="42" spans="1:21" s="6" customFormat="1" ht="90" customHeight="1">
      <c r="A42" s="263" t="s">
        <v>97</v>
      </c>
      <c r="B42" s="264"/>
      <c r="C42" s="264"/>
      <c r="D42" s="264"/>
      <c r="E42" s="264"/>
      <c r="F42" s="264"/>
      <c r="G42" s="264"/>
      <c r="H42" s="264"/>
      <c r="I42" s="264"/>
      <c r="J42" s="264"/>
      <c r="K42" s="264"/>
      <c r="L42" s="264"/>
      <c r="M42" s="264"/>
      <c r="N42" s="264"/>
      <c r="O42" s="264"/>
      <c r="P42" s="56" t="s">
        <v>111</v>
      </c>
      <c r="Q42" s="13"/>
      <c r="R42" s="5"/>
    </row>
    <row r="43" spans="1:21" s="6" customFormat="1" ht="36.950000000000003" customHeight="1">
      <c r="A43" s="123" t="s">
        <v>85</v>
      </c>
      <c r="B43" s="287" t="s">
        <v>112</v>
      </c>
      <c r="C43" s="287"/>
      <c r="D43" s="287"/>
      <c r="E43" s="287"/>
      <c r="F43" s="287"/>
      <c r="G43" s="287"/>
      <c r="H43" s="287"/>
      <c r="I43" s="287"/>
      <c r="J43" s="287"/>
      <c r="K43" s="287"/>
      <c r="L43" s="287"/>
      <c r="M43" s="287"/>
      <c r="N43" s="287"/>
      <c r="O43" s="287"/>
      <c r="P43" s="287"/>
      <c r="Q43" s="124"/>
      <c r="R43" s="125"/>
      <c r="S43" s="126"/>
      <c r="T43" s="126"/>
      <c r="U43" s="126"/>
    </row>
    <row r="44" spans="1:21" s="6" customFormat="1" ht="52.5">
      <c r="A44" s="267" t="s">
        <v>16</v>
      </c>
      <c r="B44" s="258"/>
      <c r="C44" s="258"/>
      <c r="D44" s="258"/>
      <c r="E44" s="258"/>
      <c r="F44" s="258"/>
      <c r="G44" s="258"/>
      <c r="H44" s="258"/>
      <c r="I44" s="258"/>
      <c r="J44" s="258"/>
      <c r="K44" s="258"/>
      <c r="L44" s="258"/>
      <c r="M44" s="258"/>
      <c r="N44" s="258"/>
      <c r="O44" s="258"/>
      <c r="P44" s="79" t="s">
        <v>50</v>
      </c>
      <c r="Q44" s="13"/>
      <c r="R44" s="5"/>
    </row>
    <row r="45" spans="1:21" s="6" customFormat="1" ht="64.349999999999994" customHeight="1">
      <c r="A45" s="263" t="s">
        <v>98</v>
      </c>
      <c r="B45" s="264"/>
      <c r="C45" s="264"/>
      <c r="D45" s="264"/>
      <c r="E45" s="264"/>
      <c r="F45" s="264"/>
      <c r="G45" s="264"/>
      <c r="H45" s="264"/>
      <c r="I45" s="264"/>
      <c r="J45" s="264"/>
      <c r="K45" s="264"/>
      <c r="L45" s="264"/>
      <c r="M45" s="264"/>
      <c r="N45" s="264"/>
      <c r="O45" s="264"/>
      <c r="P45" s="56" t="s">
        <v>111</v>
      </c>
      <c r="Q45" s="13"/>
      <c r="R45" s="5"/>
    </row>
    <row r="46" spans="1:21" s="6" customFormat="1" ht="36.950000000000003" customHeight="1">
      <c r="A46" s="123" t="s">
        <v>85</v>
      </c>
      <c r="B46" s="287" t="s">
        <v>112</v>
      </c>
      <c r="C46" s="287"/>
      <c r="D46" s="287"/>
      <c r="E46" s="287"/>
      <c r="F46" s="287"/>
      <c r="G46" s="287"/>
      <c r="H46" s="287"/>
      <c r="I46" s="287"/>
      <c r="J46" s="287"/>
      <c r="K46" s="287"/>
      <c r="L46" s="287"/>
      <c r="M46" s="287"/>
      <c r="N46" s="287"/>
      <c r="O46" s="287"/>
      <c r="P46" s="287"/>
      <c r="Q46" s="124"/>
      <c r="R46" s="125"/>
      <c r="S46" s="126"/>
      <c r="T46" s="126"/>
      <c r="U46" s="126"/>
    </row>
    <row r="47" spans="1:21" s="6" customFormat="1" ht="52.5">
      <c r="A47" s="267" t="s">
        <v>17</v>
      </c>
      <c r="B47" s="258"/>
      <c r="C47" s="258"/>
      <c r="D47" s="258"/>
      <c r="E47" s="258"/>
      <c r="F47" s="258"/>
      <c r="G47" s="258"/>
      <c r="H47" s="258"/>
      <c r="I47" s="258"/>
      <c r="J47" s="258"/>
      <c r="K47" s="258"/>
      <c r="L47" s="258"/>
      <c r="M47" s="258"/>
      <c r="N47" s="258"/>
      <c r="O47" s="258"/>
      <c r="P47" s="79" t="s">
        <v>50</v>
      </c>
      <c r="Q47" s="13"/>
      <c r="R47" s="5"/>
    </row>
    <row r="48" spans="1:21" s="6" customFormat="1" ht="97.7" customHeight="1">
      <c r="A48" s="263" t="s">
        <v>99</v>
      </c>
      <c r="B48" s="264"/>
      <c r="C48" s="264"/>
      <c r="D48" s="264"/>
      <c r="E48" s="264"/>
      <c r="F48" s="264"/>
      <c r="G48" s="264"/>
      <c r="H48" s="264"/>
      <c r="I48" s="264"/>
      <c r="J48" s="264"/>
      <c r="K48" s="264"/>
      <c r="L48" s="264"/>
      <c r="M48" s="264"/>
      <c r="N48" s="264"/>
      <c r="O48" s="264"/>
      <c r="P48" s="56" t="s">
        <v>111</v>
      </c>
      <c r="Q48" s="13"/>
      <c r="R48" s="5"/>
    </row>
    <row r="49" spans="1:21" s="6" customFormat="1" ht="54.95" customHeight="1">
      <c r="A49" s="123" t="s">
        <v>85</v>
      </c>
      <c r="B49" s="287" t="s">
        <v>112</v>
      </c>
      <c r="C49" s="287"/>
      <c r="D49" s="287"/>
      <c r="E49" s="287"/>
      <c r="F49" s="287"/>
      <c r="G49" s="287"/>
      <c r="H49" s="287"/>
      <c r="I49" s="287"/>
      <c r="J49" s="287"/>
      <c r="K49" s="287"/>
      <c r="L49" s="287"/>
      <c r="M49" s="287"/>
      <c r="N49" s="287"/>
      <c r="O49" s="287"/>
      <c r="P49" s="287"/>
      <c r="Q49" s="124"/>
      <c r="R49" s="125"/>
      <c r="S49" s="126"/>
      <c r="T49" s="126"/>
      <c r="U49" s="126"/>
    </row>
    <row r="50" spans="1:21" customFormat="1" ht="206.45" customHeight="1">
      <c r="A50" s="270"/>
      <c r="B50" s="270"/>
      <c r="C50" s="270"/>
      <c r="D50" s="270"/>
      <c r="E50" s="270"/>
      <c r="F50" s="270"/>
      <c r="G50" s="270"/>
      <c r="H50" s="270"/>
      <c r="I50" s="270"/>
      <c r="J50" s="270"/>
      <c r="K50" s="270"/>
      <c r="L50" s="270"/>
      <c r="M50" s="270"/>
      <c r="N50" s="270"/>
      <c r="O50" s="270"/>
      <c r="P50" s="270"/>
    </row>
    <row r="51" spans="1:21" s="6" customFormat="1" ht="26.25">
      <c r="A51" s="258" t="s">
        <v>101</v>
      </c>
      <c r="B51" s="258"/>
      <c r="C51" s="258"/>
      <c r="D51" s="258"/>
      <c r="E51" s="258"/>
      <c r="F51" s="258"/>
      <c r="G51" s="258"/>
      <c r="H51" s="258"/>
      <c r="I51" s="258"/>
      <c r="J51" s="258"/>
      <c r="K51" s="258"/>
      <c r="L51" s="258"/>
      <c r="M51" s="258"/>
      <c r="N51" s="258"/>
      <c r="O51" s="258"/>
      <c r="P51" s="79" t="s">
        <v>102</v>
      </c>
      <c r="Q51" s="13"/>
      <c r="R51" s="5"/>
    </row>
    <row r="52" spans="1:21" s="6" customFormat="1" ht="66" customHeight="1">
      <c r="A52" s="271" t="s">
        <v>103</v>
      </c>
      <c r="B52" s="271"/>
      <c r="C52" s="271"/>
      <c r="D52" s="271"/>
      <c r="E52" s="271"/>
      <c r="F52" s="271"/>
      <c r="G52" s="271"/>
      <c r="H52" s="271"/>
      <c r="I52" s="271"/>
      <c r="J52" s="271"/>
      <c r="K52" s="271"/>
      <c r="L52" s="271"/>
      <c r="M52" s="271"/>
      <c r="N52" s="271"/>
      <c r="O52" s="271"/>
      <c r="P52" s="56">
        <v>10</v>
      </c>
      <c r="Q52" s="13"/>
      <c r="R52" s="5"/>
    </row>
    <row r="53" spans="1:21" s="6" customFormat="1" ht="36.75" customHeight="1">
      <c r="A53" s="271" t="s">
        <v>104</v>
      </c>
      <c r="B53" s="271"/>
      <c r="C53" s="271"/>
      <c r="D53" s="271"/>
      <c r="E53" s="271"/>
      <c r="F53" s="271"/>
      <c r="G53" s="271"/>
      <c r="H53" s="271"/>
      <c r="I53" s="271"/>
      <c r="J53" s="271"/>
      <c r="K53" s="271"/>
      <c r="L53" s="271"/>
      <c r="M53" s="271"/>
      <c r="N53" s="271"/>
      <c r="O53" s="271"/>
      <c r="P53" s="56">
        <v>5</v>
      </c>
      <c r="Q53" s="13"/>
      <c r="R53" s="5"/>
    </row>
    <row r="54" spans="1:21" s="6" customFormat="1" ht="36.75" customHeight="1">
      <c r="A54" s="271" t="s">
        <v>105</v>
      </c>
      <c r="B54" s="271"/>
      <c r="C54" s="271"/>
      <c r="D54" s="271"/>
      <c r="E54" s="271"/>
      <c r="F54" s="271"/>
      <c r="G54" s="271"/>
      <c r="H54" s="271"/>
      <c r="I54" s="271"/>
      <c r="J54" s="271"/>
      <c r="K54" s="271"/>
      <c r="L54" s="271"/>
      <c r="M54" s="271"/>
      <c r="N54" s="271"/>
      <c r="O54" s="271"/>
      <c r="P54" s="56">
        <v>3.75</v>
      </c>
      <c r="Q54" s="13"/>
      <c r="R54" s="5"/>
    </row>
    <row r="55" spans="1:21" s="6" customFormat="1" ht="26.25">
      <c r="A55" s="269" t="s">
        <v>106</v>
      </c>
      <c r="B55" s="269"/>
      <c r="C55" s="269"/>
      <c r="D55" s="269"/>
      <c r="E55" s="269"/>
      <c r="F55" s="269"/>
      <c r="G55" s="269"/>
      <c r="H55" s="269"/>
      <c r="I55" s="269"/>
      <c r="J55" s="269"/>
      <c r="K55" s="269"/>
      <c r="L55" s="269"/>
      <c r="M55" s="269"/>
      <c r="N55" s="269"/>
      <c r="O55" s="269"/>
      <c r="P55" s="80">
        <f>SUM(P52:P54)</f>
        <v>18.75</v>
      </c>
      <c r="Q55" s="13"/>
      <c r="R55" s="5"/>
    </row>
    <row r="56" spans="1:21" s="6" customFormat="1" ht="48" customHeight="1">
      <c r="A56" s="261" t="s">
        <v>85</v>
      </c>
      <c r="B56" s="261"/>
      <c r="C56" s="273"/>
      <c r="D56" s="273"/>
      <c r="E56" s="273"/>
      <c r="F56" s="273"/>
      <c r="G56" s="273"/>
      <c r="H56" s="273"/>
      <c r="I56" s="273"/>
      <c r="J56" s="273"/>
      <c r="K56" s="273"/>
      <c r="L56" s="273"/>
      <c r="M56" s="273"/>
      <c r="N56" s="273"/>
      <c r="O56" s="273"/>
      <c r="P56" s="273"/>
      <c r="Q56" s="7"/>
      <c r="R56" s="5"/>
    </row>
    <row r="57" spans="1:21" s="6" customFormat="1" ht="26.25">
      <c r="A57" s="258" t="s">
        <v>19</v>
      </c>
      <c r="B57" s="258"/>
      <c r="C57" s="258"/>
      <c r="D57" s="258"/>
      <c r="E57" s="258"/>
      <c r="F57" s="258"/>
      <c r="G57" s="258"/>
      <c r="H57" s="258"/>
      <c r="I57" s="258"/>
      <c r="J57" s="258"/>
      <c r="K57" s="258"/>
      <c r="L57" s="258"/>
      <c r="M57" s="258"/>
      <c r="N57" s="258"/>
      <c r="O57" s="258"/>
      <c r="P57" s="79" t="s">
        <v>102</v>
      </c>
      <c r="Q57" s="7"/>
      <c r="R57" s="5"/>
    </row>
    <row r="58" spans="1:21" s="6" customFormat="1" ht="223.35" customHeight="1">
      <c r="A58" s="274" t="s">
        <v>107</v>
      </c>
      <c r="B58" s="274"/>
      <c r="C58" s="274"/>
      <c r="D58" s="274"/>
      <c r="E58" s="274"/>
      <c r="F58" s="274"/>
      <c r="G58" s="274"/>
      <c r="H58" s="274"/>
      <c r="I58" s="274"/>
      <c r="J58" s="274"/>
      <c r="K58" s="274"/>
      <c r="L58" s="274"/>
      <c r="M58" s="274"/>
      <c r="N58" s="274"/>
      <c r="O58" s="274"/>
      <c r="P58" s="56">
        <v>10</v>
      </c>
      <c r="Q58" s="7"/>
      <c r="R58" s="5"/>
    </row>
    <row r="59" spans="1:21" s="6" customFormat="1" ht="48" customHeight="1">
      <c r="A59" s="261" t="s">
        <v>85</v>
      </c>
      <c r="B59" s="261"/>
      <c r="C59" s="273"/>
      <c r="D59" s="273"/>
      <c r="E59" s="273"/>
      <c r="F59" s="273"/>
      <c r="G59" s="273"/>
      <c r="H59" s="273"/>
      <c r="I59" s="273"/>
      <c r="J59" s="273"/>
      <c r="K59" s="273"/>
      <c r="L59" s="273"/>
      <c r="M59" s="273"/>
      <c r="N59" s="273"/>
      <c r="O59" s="273"/>
      <c r="P59" s="273"/>
      <c r="Q59" s="7"/>
      <c r="R59" s="5"/>
    </row>
    <row r="60" spans="1:21" s="6" customFormat="1" ht="44.25" customHeight="1">
      <c r="A60" s="275" t="s">
        <v>20</v>
      </c>
      <c r="B60" s="275"/>
      <c r="C60" s="275"/>
      <c r="D60" s="275"/>
      <c r="E60" s="275"/>
      <c r="F60" s="275"/>
      <c r="G60" s="275"/>
      <c r="H60" s="275"/>
      <c r="I60" s="275"/>
      <c r="J60" s="275"/>
      <c r="K60" s="275"/>
      <c r="L60" s="275"/>
      <c r="M60" s="275"/>
      <c r="N60" s="275"/>
      <c r="O60" s="275"/>
      <c r="P60" s="79" t="s">
        <v>102</v>
      </c>
      <c r="Q60" s="14"/>
      <c r="R60" s="5"/>
    </row>
    <row r="61" spans="1:21" s="6" customFormat="1" ht="270" customHeight="1">
      <c r="A61" s="274" t="s">
        <v>108</v>
      </c>
      <c r="B61" s="274"/>
      <c r="C61" s="274"/>
      <c r="D61" s="274"/>
      <c r="E61" s="274"/>
      <c r="F61" s="274"/>
      <c r="G61" s="274"/>
      <c r="H61" s="274"/>
      <c r="I61" s="274"/>
      <c r="J61" s="274"/>
      <c r="K61" s="274"/>
      <c r="L61" s="274"/>
      <c r="M61" s="274"/>
      <c r="N61" s="274"/>
      <c r="O61" s="274"/>
      <c r="P61" s="56">
        <v>0</v>
      </c>
      <c r="Q61" s="15"/>
      <c r="R61" s="5"/>
    </row>
    <row r="62" spans="1:21" s="6" customFormat="1" ht="65.45" customHeight="1">
      <c r="A62" s="261" t="s">
        <v>85</v>
      </c>
      <c r="B62" s="261"/>
      <c r="C62" s="273"/>
      <c r="D62" s="273"/>
      <c r="E62" s="273"/>
      <c r="F62" s="273"/>
      <c r="G62" s="273"/>
      <c r="H62" s="273"/>
      <c r="I62" s="273"/>
      <c r="J62" s="273"/>
      <c r="K62" s="273"/>
      <c r="L62" s="273"/>
      <c r="M62" s="273"/>
      <c r="N62" s="273"/>
      <c r="O62" s="273"/>
      <c r="P62" s="273"/>
      <c r="Q62" s="7"/>
      <c r="R62" s="5"/>
    </row>
    <row r="63" spans="1:21" s="6" customFormat="1" ht="26.25">
      <c r="A63" s="258" t="s">
        <v>21</v>
      </c>
      <c r="B63" s="258"/>
      <c r="C63" s="258"/>
      <c r="D63" s="258"/>
      <c r="E63" s="258"/>
      <c r="F63" s="258"/>
      <c r="G63" s="258"/>
      <c r="H63" s="258"/>
      <c r="I63" s="258"/>
      <c r="J63" s="258"/>
      <c r="K63" s="258"/>
      <c r="L63" s="258"/>
      <c r="M63" s="258"/>
      <c r="N63" s="258"/>
      <c r="O63" s="258"/>
      <c r="P63" s="79" t="s">
        <v>102</v>
      </c>
      <c r="Q63" s="4"/>
      <c r="R63" s="5"/>
    </row>
    <row r="64" spans="1:21" s="6" customFormat="1" ht="166.7" customHeight="1">
      <c r="A64" s="272" t="s">
        <v>109</v>
      </c>
      <c r="B64" s="272"/>
      <c r="C64" s="272"/>
      <c r="D64" s="272"/>
      <c r="E64" s="272"/>
      <c r="F64" s="272"/>
      <c r="G64" s="272"/>
      <c r="H64" s="272"/>
      <c r="I64" s="272"/>
      <c r="J64" s="272"/>
      <c r="K64" s="272"/>
      <c r="L64" s="272"/>
      <c r="M64" s="272"/>
      <c r="N64" s="272"/>
      <c r="O64" s="272"/>
      <c r="P64" s="56">
        <v>0.25</v>
      </c>
      <c r="Q64" s="14"/>
      <c r="R64" s="5"/>
    </row>
    <row r="65" spans="1:18" s="6" customFormat="1" ht="56.45" customHeight="1">
      <c r="A65" s="261" t="s">
        <v>85</v>
      </c>
      <c r="B65" s="261"/>
      <c r="C65" s="273"/>
      <c r="D65" s="273"/>
      <c r="E65" s="273"/>
      <c r="F65" s="273"/>
      <c r="G65" s="273"/>
      <c r="H65" s="273"/>
      <c r="I65" s="273"/>
      <c r="J65" s="273"/>
      <c r="K65" s="273"/>
      <c r="L65" s="273"/>
      <c r="M65" s="273"/>
      <c r="N65" s="273"/>
      <c r="O65" s="273"/>
      <c r="P65" s="273"/>
      <c r="Q65" s="14"/>
      <c r="R65" s="5"/>
    </row>
    <row r="66" spans="1:18" s="31" customFormat="1" ht="26.25">
      <c r="A66" s="277" t="s">
        <v>22</v>
      </c>
      <c r="B66" s="278"/>
      <c r="C66" s="278"/>
      <c r="D66" s="278"/>
      <c r="E66" s="278"/>
      <c r="F66" s="278"/>
      <c r="G66" s="278"/>
      <c r="H66" s="278"/>
      <c r="I66" s="278"/>
      <c r="J66" s="278"/>
      <c r="K66" s="278"/>
      <c r="L66" s="278"/>
      <c r="M66" s="278"/>
      <c r="N66" s="278"/>
      <c r="O66" s="279"/>
      <c r="P66" s="79" t="s">
        <v>102</v>
      </c>
      <c r="Q66" s="14"/>
      <c r="R66" s="30"/>
    </row>
    <row r="67" spans="1:18" s="31" customFormat="1" ht="149.44999999999999" customHeight="1">
      <c r="A67" s="280" t="s">
        <v>110</v>
      </c>
      <c r="B67" s="280"/>
      <c r="C67" s="280"/>
      <c r="D67" s="280"/>
      <c r="E67" s="280"/>
      <c r="F67" s="280"/>
      <c r="G67" s="280"/>
      <c r="H67" s="280"/>
      <c r="I67" s="280"/>
      <c r="J67" s="280"/>
      <c r="K67" s="280"/>
      <c r="L67" s="280"/>
      <c r="M67" s="280"/>
      <c r="N67" s="280"/>
      <c r="O67" s="280"/>
      <c r="P67" s="56">
        <v>0.25</v>
      </c>
      <c r="Q67" s="14"/>
      <c r="R67" s="30"/>
    </row>
    <row r="68" spans="1:18" s="6" customFormat="1" ht="64.5" customHeight="1">
      <c r="A68" s="261" t="s">
        <v>85</v>
      </c>
      <c r="B68" s="261"/>
      <c r="C68" s="273"/>
      <c r="D68" s="273"/>
      <c r="E68" s="273"/>
      <c r="F68" s="273"/>
      <c r="G68" s="273"/>
      <c r="H68" s="273"/>
      <c r="I68" s="273"/>
      <c r="J68" s="273"/>
      <c r="K68" s="273"/>
      <c r="L68" s="273"/>
      <c r="M68" s="273"/>
      <c r="N68" s="273"/>
      <c r="O68" s="273"/>
      <c r="P68" s="273"/>
      <c r="Q68" s="14"/>
      <c r="R68" s="5"/>
    </row>
    <row r="69" spans="1:18" s="6" customFormat="1" ht="26.25">
      <c r="A69" s="276" t="s">
        <v>106</v>
      </c>
      <c r="B69" s="276"/>
      <c r="C69" s="276"/>
      <c r="D69" s="276"/>
      <c r="E69" s="276"/>
      <c r="F69" s="276"/>
      <c r="G69" s="276"/>
      <c r="H69" s="276"/>
      <c r="I69" s="276"/>
      <c r="J69" s="276"/>
      <c r="K69" s="276"/>
      <c r="L69" s="276"/>
      <c r="M69" s="276"/>
      <c r="N69" s="276"/>
      <c r="O69" s="276"/>
      <c r="P69" s="55">
        <f>SUM(P55,P58,P61,P64,P67)</f>
        <v>29.25</v>
      </c>
      <c r="Q69" s="14"/>
      <c r="R69" s="5"/>
    </row>
    <row r="70" spans="1:18" s="6" customFormat="1" ht="14.25" customHeight="1">
      <c r="Q70" s="4"/>
      <c r="R70" s="5"/>
    </row>
    <row r="71" spans="1:18" s="6" customFormat="1" ht="14.25" customHeight="1">
      <c r="Q71" s="4"/>
      <c r="R71" s="5"/>
    </row>
    <row r="72" spans="1:18" s="6" customFormat="1" ht="14.25" customHeight="1">
      <c r="Q72" s="4"/>
      <c r="R72" s="5"/>
    </row>
    <row r="73" spans="1:18" s="6" customFormat="1" ht="14.25" customHeight="1">
      <c r="Q73" s="4"/>
      <c r="R73" s="5"/>
    </row>
    <row r="74" spans="1:18" s="6" customFormat="1" ht="14.25" customHeight="1">
      <c r="C74" s="5"/>
      <c r="Q74" s="4"/>
      <c r="R74" s="5"/>
    </row>
    <row r="75" spans="1:18" s="6" customFormat="1" ht="14.25" customHeight="1">
      <c r="C75" s="5"/>
      <c r="Q75" s="4"/>
      <c r="R75" s="5"/>
    </row>
    <row r="76" spans="1:18" s="6" customFormat="1" ht="14.25" customHeight="1">
      <c r="Q76" s="4"/>
      <c r="R76" s="5"/>
    </row>
    <row r="77" spans="1:18" s="6" customFormat="1" ht="14.25" customHeight="1">
      <c r="C77" s="5"/>
      <c r="Q77" s="4"/>
      <c r="R77" s="5"/>
    </row>
    <row r="78" spans="1:18" s="6" customFormat="1" ht="14.25" customHeight="1">
      <c r="Q78" s="4"/>
      <c r="R78" s="5"/>
    </row>
    <row r="79" spans="1:18" s="6" customFormat="1" ht="14.25" customHeight="1">
      <c r="C79" s="5"/>
      <c r="Q79" s="4"/>
      <c r="R79" s="5"/>
    </row>
    <row r="80" spans="1:18" s="6" customFormat="1" ht="14.25" customHeight="1">
      <c r="Q80" s="4"/>
      <c r="R80" s="5"/>
    </row>
    <row r="81" spans="5:18" s="6" customFormat="1" ht="14.25" customHeight="1">
      <c r="Q81" s="4"/>
      <c r="R81" s="5"/>
    </row>
    <row r="82" spans="5:18" s="6" customFormat="1" ht="14.25" customHeight="1">
      <c r="Q82" s="4"/>
      <c r="R82" s="5"/>
    </row>
    <row r="83" spans="5:18" s="6" customFormat="1" ht="14.25" customHeight="1">
      <c r="Q83" s="4"/>
      <c r="R83" s="5"/>
    </row>
    <row r="84" spans="5:18" s="6" customFormat="1" ht="14.25" customHeight="1">
      <c r="Q84" s="4"/>
      <c r="R84" s="5"/>
    </row>
    <row r="85" spans="5:18" s="6" customFormat="1" ht="14.25" customHeight="1">
      <c r="E85" s="50"/>
      <c r="F85" s="50"/>
      <c r="Q85" s="4"/>
      <c r="R85" s="5"/>
    </row>
    <row r="86" spans="5:18" s="6" customFormat="1" ht="14.25" customHeight="1">
      <c r="E86" s="50"/>
      <c r="F86" s="50"/>
      <c r="Q86" s="4"/>
      <c r="R86" s="5"/>
    </row>
    <row r="87" spans="5:18" ht="14.25" customHeight="1">
      <c r="E87" s="50"/>
      <c r="F87" s="50"/>
    </row>
    <row r="88" spans="5:18" ht="14.25" customHeight="1">
      <c r="E88" s="50"/>
      <c r="F88" s="50"/>
    </row>
    <row r="89" spans="5:18" ht="14.25" customHeight="1"/>
    <row r="90" spans="5:18" ht="14.25" customHeight="1"/>
    <row r="91" spans="5:18" ht="14.25" customHeight="1"/>
    <row r="92" spans="5:18" ht="14.25" customHeight="1"/>
    <row r="93" spans="5:18" ht="14.25" customHeight="1"/>
    <row r="94" spans="5:18" ht="14.25" customHeight="1"/>
    <row r="95" spans="5:18" ht="14.25" customHeight="1"/>
    <row r="96" spans="5:18"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sheetData>
  <mergeCells count="89">
    <mergeCell ref="A55:O55"/>
    <mergeCell ref="A69:O69"/>
    <mergeCell ref="A65:B65"/>
    <mergeCell ref="C65:P65"/>
    <mergeCell ref="A66:O66"/>
    <mergeCell ref="A67:O67"/>
    <mergeCell ref="A68:B68"/>
    <mergeCell ref="C68:P68"/>
    <mergeCell ref="A64:O64"/>
    <mergeCell ref="A56:B56"/>
    <mergeCell ref="C56:P56"/>
    <mergeCell ref="A57:O57"/>
    <mergeCell ref="A58:O58"/>
    <mergeCell ref="A59:B59"/>
    <mergeCell ref="C59:P59"/>
    <mergeCell ref="A60:O60"/>
    <mergeCell ref="A61:O61"/>
    <mergeCell ref="A62:B62"/>
    <mergeCell ref="C62:P62"/>
    <mergeCell ref="A63:O63"/>
    <mergeCell ref="A47:O47"/>
    <mergeCell ref="A48:O48"/>
    <mergeCell ref="A50:P50"/>
    <mergeCell ref="A51:O51"/>
    <mergeCell ref="A52:O52"/>
    <mergeCell ref="A53:O53"/>
    <mergeCell ref="A54:O54"/>
    <mergeCell ref="B49:P49"/>
    <mergeCell ref="A15:A20"/>
    <mergeCell ref="E15:F15"/>
    <mergeCell ref="E16:F16"/>
    <mergeCell ref="E17:F17"/>
    <mergeCell ref="E18:F18"/>
    <mergeCell ref="E19:F19"/>
    <mergeCell ref="E20:F20"/>
    <mergeCell ref="A38:O38"/>
    <mergeCell ref="A39:O39"/>
    <mergeCell ref="B40:P40"/>
    <mergeCell ref="B43:P43"/>
    <mergeCell ref="B46:P46"/>
    <mergeCell ref="A45:O45"/>
    <mergeCell ref="A12:N12"/>
    <mergeCell ref="O12:P12"/>
    <mergeCell ref="A13:N13"/>
    <mergeCell ref="O13:P13"/>
    <mergeCell ref="E14:F14"/>
    <mergeCell ref="A11:P11"/>
    <mergeCell ref="A1:P1"/>
    <mergeCell ref="A2:P2"/>
    <mergeCell ref="A3:P3"/>
    <mergeCell ref="A4:A9"/>
    <mergeCell ref="B4:I9"/>
    <mergeCell ref="J4:O4"/>
    <mergeCell ref="J5:O5"/>
    <mergeCell ref="J6:O6"/>
    <mergeCell ref="J7:O7"/>
    <mergeCell ref="J8:O8"/>
    <mergeCell ref="J9:O9"/>
    <mergeCell ref="B10:C10"/>
    <mergeCell ref="D10:I10"/>
    <mergeCell ref="J10:K10"/>
    <mergeCell ref="L10:M10"/>
    <mergeCell ref="A44:O44"/>
    <mergeCell ref="A21:J21"/>
    <mergeCell ref="K21:N21"/>
    <mergeCell ref="A36:O36"/>
    <mergeCell ref="A37:B37"/>
    <mergeCell ref="C37:P37"/>
    <mergeCell ref="E26:F26"/>
    <mergeCell ref="B33:P33"/>
    <mergeCell ref="O21:P21"/>
    <mergeCell ref="B22:P22"/>
    <mergeCell ref="A23:N23"/>
    <mergeCell ref="O23:P23"/>
    <mergeCell ref="A24:N24"/>
    <mergeCell ref="O24:P24"/>
    <mergeCell ref="E28:F28"/>
    <mergeCell ref="E29:F29"/>
    <mergeCell ref="E25:F25"/>
    <mergeCell ref="A35:O35"/>
    <mergeCell ref="E27:F27"/>
    <mergeCell ref="A41:O41"/>
    <mergeCell ref="A42:O42"/>
    <mergeCell ref="E30:F30"/>
    <mergeCell ref="E31:F31"/>
    <mergeCell ref="A32:J32"/>
    <mergeCell ref="K32:N32"/>
    <mergeCell ref="O32:P32"/>
    <mergeCell ref="A34:P34"/>
  </mergeCells>
  <conditionalFormatting sqref="P15:P20">
    <cfRule type="expression" dxfId="49" priority="13">
      <formula>$P15="NO CUMPLE"</formula>
    </cfRule>
  </conditionalFormatting>
  <conditionalFormatting sqref="P26:P31">
    <cfRule type="expression" dxfId="48" priority="14">
      <formula>$P26="NO CUMPLE"</formula>
    </cfRule>
  </conditionalFormatting>
  <conditionalFormatting sqref="P36">
    <cfRule type="expression" dxfId="47" priority="16">
      <formula>$P36="NO CUMPLE"</formula>
    </cfRule>
  </conditionalFormatting>
  <conditionalFormatting sqref="P39">
    <cfRule type="cellIs" dxfId="46" priority="7" operator="equal">
      <formula>"RECHAZADO"</formula>
    </cfRule>
    <cfRule type="expression" dxfId="45" priority="8">
      <formula>$P39="NO CUMPLE"</formula>
    </cfRule>
  </conditionalFormatting>
  <conditionalFormatting sqref="P42">
    <cfRule type="cellIs" dxfId="44" priority="5" operator="equal">
      <formula>"RECHAZADO"</formula>
    </cfRule>
    <cfRule type="expression" dxfId="43" priority="6">
      <formula>$P42="NO CUMPLE"</formula>
    </cfRule>
  </conditionalFormatting>
  <conditionalFormatting sqref="P45">
    <cfRule type="cellIs" dxfId="42" priority="3" operator="equal">
      <formula>"RECHAZADO"</formula>
    </cfRule>
    <cfRule type="expression" dxfId="41" priority="4">
      <formula>$P45="NO CUMPLE"</formula>
    </cfRule>
  </conditionalFormatting>
  <conditionalFormatting sqref="P48">
    <cfRule type="cellIs" dxfId="40" priority="1" operator="equal">
      <formula>"RECHAZADO"</formula>
    </cfRule>
    <cfRule type="expression" dxfId="39" priority="2">
      <formula>$P48="NO CUMPLE"</formula>
    </cfRule>
  </conditionalFormatting>
  <dataValidations count="3">
    <dataValidation type="list" allowBlank="1" showInputMessage="1" showErrorMessage="1" sqref="P36 P15:P20 P26:P31" xr:uid="{C81C4AC8-EBDE-4140-9144-C4EC64870806}">
      <formula1>"CUMPLE,NO CUMPLE"</formula1>
    </dataValidation>
    <dataValidation type="list" allowBlank="1" showInputMessage="1" showErrorMessage="1" sqref="I18:I20 G18:G20 G15:I17 G26:I26 I27:I31 G27:G31" xr:uid="{0F3F9162-D4F0-4AEB-903B-00C56B2A2FB0}">
      <formula1>"SI,NO"</formula1>
    </dataValidation>
    <dataValidation type="list" allowBlank="1" showInputMessage="1" showErrorMessage="1" sqref="P45 P39 P42 P48" xr:uid="{BC72277F-988B-4841-B50A-DFFDAE51E72F}">
      <formula1>"CUMPLE,NO CUMPLE,RECHAZADO"</formula1>
    </dataValidation>
  </dataValidations>
  <pageMargins left="0.11811023622047245" right="0.11811023622047245" top="0.27559055118110237" bottom="0.23622047244094491" header="0" footer="0"/>
  <pageSetup paperSize="9" scale="4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40233-4931-4055-9A45-D2BDFC395226}">
  <sheetPr>
    <tabColor rgb="FF50F828"/>
  </sheetPr>
  <dimension ref="A1:U994"/>
  <sheetViews>
    <sheetView topLeftCell="A35" zoomScale="70" zoomScaleNormal="70" workbookViewId="0">
      <selection activeCell="C43" sqref="C43:P43"/>
    </sheetView>
  </sheetViews>
  <sheetFormatPr baseColWidth="10" defaultColWidth="14.5703125" defaultRowHeight="15" customHeight="1"/>
  <cols>
    <col min="1" max="1" width="17.42578125" style="3" customWidth="1"/>
    <col min="2" max="2" width="12.7109375" style="3" customWidth="1"/>
    <col min="3" max="3" width="15.85546875" style="3" customWidth="1"/>
    <col min="4" max="4" width="24.140625" style="3" customWidth="1"/>
    <col min="5" max="5" width="52.140625" style="3" customWidth="1"/>
    <col min="6" max="6" width="49.5703125" style="3" customWidth="1"/>
    <col min="7" max="7" width="15.28515625" style="3" customWidth="1"/>
    <col min="8" max="8" width="13.140625" style="3" customWidth="1"/>
    <col min="9" max="9" width="15.42578125" style="3" customWidth="1"/>
    <col min="10" max="10" width="27.42578125" style="3" customWidth="1"/>
    <col min="11" max="11" width="19.140625" style="3" customWidth="1"/>
    <col min="12" max="12" width="20.28515625" style="3" bestFit="1" customWidth="1"/>
    <col min="13" max="13" width="23.5703125" style="3" bestFit="1" customWidth="1"/>
    <col min="14" max="14" width="15.42578125" style="3" customWidth="1"/>
    <col min="15" max="15" width="14.85546875" style="3" customWidth="1"/>
    <col min="16" max="16" width="26" style="3" customWidth="1"/>
    <col min="17" max="17" width="6.140625" style="1" bestFit="1" customWidth="1"/>
    <col min="18" max="18" width="10" style="2" bestFit="1" customWidth="1"/>
    <col min="19" max="16384" width="14.5703125" style="3"/>
  </cols>
  <sheetData>
    <row r="1" spans="1:21" ht="25.5">
      <c r="A1" s="209" t="s">
        <v>38</v>
      </c>
      <c r="B1" s="210"/>
      <c r="C1" s="210"/>
      <c r="D1" s="210"/>
      <c r="E1" s="210"/>
      <c r="F1" s="210"/>
      <c r="G1" s="210"/>
      <c r="H1" s="210"/>
      <c r="I1" s="210"/>
      <c r="J1" s="210"/>
      <c r="K1" s="210"/>
      <c r="L1" s="210"/>
      <c r="M1" s="210"/>
      <c r="N1" s="210"/>
      <c r="O1" s="210"/>
      <c r="P1" s="211"/>
    </row>
    <row r="2" spans="1:21" ht="25.5">
      <c r="A2" s="212" t="str">
        <f>+RESUMEN!C5</f>
        <v>24001216 H3 DE 2024</v>
      </c>
      <c r="B2" s="213"/>
      <c r="C2" s="213"/>
      <c r="D2" s="213"/>
      <c r="E2" s="213"/>
      <c r="F2" s="213"/>
      <c r="G2" s="213"/>
      <c r="H2" s="213"/>
      <c r="I2" s="213"/>
      <c r="J2" s="213"/>
      <c r="K2" s="213"/>
      <c r="L2" s="213"/>
      <c r="M2" s="213"/>
      <c r="N2" s="213"/>
      <c r="O2" s="213"/>
      <c r="P2" s="214"/>
    </row>
    <row r="3" spans="1:21" ht="60" customHeight="1">
      <c r="A3" s="215" t="str">
        <f>+RESUMEN!G5</f>
        <v>REALIZAR MANTENIMIENTO A LOS SISTEMAS UPS DEL CENTRO DE GESTION AERONAUTICA
DE COLOMBIA CGAC, INCLUYE RENOVAR BANCOS DE BATERÍAS POR LOTES. (VIGENCIA FUTURA).</v>
      </c>
      <c r="B3" s="216"/>
      <c r="C3" s="216"/>
      <c r="D3" s="216"/>
      <c r="E3" s="216"/>
      <c r="F3" s="216"/>
      <c r="G3" s="216"/>
      <c r="H3" s="216"/>
      <c r="I3" s="216"/>
      <c r="J3" s="217"/>
      <c r="K3" s="217"/>
      <c r="L3" s="217"/>
      <c r="M3" s="217"/>
      <c r="N3" s="217"/>
      <c r="O3" s="217"/>
      <c r="P3" s="218"/>
    </row>
    <row r="4" spans="1:21" s="6" customFormat="1" ht="19.5" customHeight="1">
      <c r="A4" s="219">
        <f>+RESUMEN!B11</f>
        <v>5</v>
      </c>
      <c r="B4" s="222" t="str">
        <f>+RESUMEN!C11</f>
        <v>COTEL SAS</v>
      </c>
      <c r="C4" s="223"/>
      <c r="D4" s="223"/>
      <c r="E4" s="223"/>
      <c r="F4" s="223"/>
      <c r="G4" s="223"/>
      <c r="H4" s="223"/>
      <c r="I4" s="223"/>
      <c r="J4" s="227" t="s">
        <v>39</v>
      </c>
      <c r="K4" s="228"/>
      <c r="L4" s="228"/>
      <c r="M4" s="228"/>
      <c r="N4" s="228"/>
      <c r="O4" s="229"/>
      <c r="P4" s="28" t="s">
        <v>40</v>
      </c>
      <c r="Q4" s="4"/>
      <c r="R4" s="5"/>
    </row>
    <row r="5" spans="1:21" s="6" customFormat="1" ht="19.5" customHeight="1">
      <c r="A5" s="220"/>
      <c r="B5" s="224"/>
      <c r="C5" s="225"/>
      <c r="D5" s="225"/>
      <c r="E5" s="225"/>
      <c r="F5" s="225"/>
      <c r="G5" s="225"/>
      <c r="H5" s="225"/>
      <c r="I5" s="225"/>
      <c r="J5" s="230"/>
      <c r="K5" s="231"/>
      <c r="L5" s="231"/>
      <c r="M5" s="231"/>
      <c r="N5" s="231"/>
      <c r="O5" s="232"/>
      <c r="P5" s="76"/>
      <c r="Q5" s="4"/>
      <c r="R5" s="5"/>
      <c r="S5" s="50"/>
      <c r="T5" s="50"/>
      <c r="U5" s="50"/>
    </row>
    <row r="6" spans="1:21" s="6" customFormat="1" ht="19.5" customHeight="1">
      <c r="A6" s="220"/>
      <c r="B6" s="224"/>
      <c r="C6" s="225"/>
      <c r="D6" s="225"/>
      <c r="E6" s="225"/>
      <c r="F6" s="225"/>
      <c r="G6" s="225"/>
      <c r="H6" s="225"/>
      <c r="I6" s="225"/>
      <c r="J6" s="230"/>
      <c r="K6" s="231"/>
      <c r="L6" s="231"/>
      <c r="M6" s="231"/>
      <c r="N6" s="231"/>
      <c r="O6" s="232"/>
      <c r="P6" s="76"/>
      <c r="Q6" s="4"/>
      <c r="R6" s="5"/>
      <c r="S6" s="50"/>
      <c r="T6" s="50"/>
      <c r="U6" s="50"/>
    </row>
    <row r="7" spans="1:21" s="6" customFormat="1" ht="19.5" customHeight="1">
      <c r="A7" s="220"/>
      <c r="B7" s="224"/>
      <c r="C7" s="225"/>
      <c r="D7" s="225"/>
      <c r="E7" s="225"/>
      <c r="F7" s="225"/>
      <c r="G7" s="225"/>
      <c r="H7" s="225"/>
      <c r="I7" s="225"/>
      <c r="J7" s="230"/>
      <c r="K7" s="231"/>
      <c r="L7" s="231"/>
      <c r="M7" s="231"/>
      <c r="N7" s="231"/>
      <c r="O7" s="232"/>
      <c r="P7" s="76"/>
      <c r="Q7" s="4"/>
      <c r="R7" s="5"/>
      <c r="S7" s="50"/>
      <c r="T7" s="50"/>
      <c r="U7" s="50"/>
    </row>
    <row r="8" spans="1:21" s="6" customFormat="1" ht="19.5" customHeight="1">
      <c r="A8" s="220"/>
      <c r="B8" s="224"/>
      <c r="C8" s="225"/>
      <c r="D8" s="225"/>
      <c r="E8" s="225"/>
      <c r="F8" s="225"/>
      <c r="G8" s="225"/>
      <c r="H8" s="225"/>
      <c r="I8" s="225"/>
      <c r="J8" s="230"/>
      <c r="K8" s="231"/>
      <c r="L8" s="231"/>
      <c r="M8" s="231"/>
      <c r="N8" s="231"/>
      <c r="O8" s="232"/>
      <c r="P8" s="76"/>
      <c r="Q8" s="4"/>
      <c r="R8" s="5"/>
    </row>
    <row r="9" spans="1:21" s="6" customFormat="1" ht="21" customHeight="1">
      <c r="A9" s="221"/>
      <c r="B9" s="224"/>
      <c r="C9" s="225"/>
      <c r="D9" s="225"/>
      <c r="E9" s="225"/>
      <c r="F9" s="225"/>
      <c r="G9" s="225"/>
      <c r="H9" s="225"/>
      <c r="I9" s="226"/>
      <c r="J9" s="233" t="s">
        <v>43</v>
      </c>
      <c r="K9" s="234"/>
      <c r="L9" s="234"/>
      <c r="M9" s="234"/>
      <c r="N9" s="234"/>
      <c r="O9" s="235"/>
      <c r="P9" s="29">
        <f>SUM(P5:P8)</f>
        <v>0</v>
      </c>
      <c r="Q9" s="7"/>
      <c r="R9" s="5"/>
    </row>
    <row r="10" spans="1:21" s="6" customFormat="1" ht="65.25" customHeight="1">
      <c r="A10" s="66" t="s">
        <v>44</v>
      </c>
      <c r="B10" s="236" t="s">
        <v>45</v>
      </c>
      <c r="C10" s="236"/>
      <c r="D10" s="237" t="s">
        <v>46</v>
      </c>
      <c r="E10" s="237"/>
      <c r="F10" s="237"/>
      <c r="G10" s="237"/>
      <c r="H10" s="237"/>
      <c r="I10" s="237"/>
      <c r="J10" s="238">
        <f>RESUMEN!U5</f>
        <v>1927454798</v>
      </c>
      <c r="K10" s="239"/>
      <c r="L10" s="240" t="s">
        <v>47</v>
      </c>
      <c r="M10" s="241"/>
      <c r="N10" s="67">
        <f>P69</f>
        <v>28.75</v>
      </c>
      <c r="O10" s="68" t="s">
        <v>48</v>
      </c>
      <c r="P10" s="69">
        <f>J10/'Serie Historica SMMLV'!C47</f>
        <v>1482.657536923077</v>
      </c>
      <c r="Q10" s="8"/>
      <c r="R10" s="5"/>
      <c r="T10" s="43"/>
    </row>
    <row r="11" spans="1:21" s="6" customFormat="1" ht="26.25">
      <c r="A11" s="207" t="s">
        <v>49</v>
      </c>
      <c r="B11" s="208"/>
      <c r="C11" s="208"/>
      <c r="D11" s="208"/>
      <c r="E11" s="208"/>
      <c r="F11" s="208"/>
      <c r="G11" s="208"/>
      <c r="H11" s="208"/>
      <c r="I11" s="208"/>
      <c r="J11" s="208"/>
      <c r="K11" s="208"/>
      <c r="L11" s="208"/>
      <c r="M11" s="208"/>
      <c r="N11" s="208"/>
      <c r="O11" s="208"/>
      <c r="P11" s="208"/>
      <c r="Q11" s="4"/>
      <c r="R11" s="5"/>
    </row>
    <row r="12" spans="1:21" s="6" customFormat="1" ht="26.25">
      <c r="A12" s="244" t="s">
        <v>11</v>
      </c>
      <c r="B12" s="244"/>
      <c r="C12" s="244"/>
      <c r="D12" s="244"/>
      <c r="E12" s="244"/>
      <c r="F12" s="244"/>
      <c r="G12" s="244"/>
      <c r="H12" s="244"/>
      <c r="I12" s="244"/>
      <c r="J12" s="244"/>
      <c r="K12" s="244"/>
      <c r="L12" s="244"/>
      <c r="M12" s="244"/>
      <c r="N12" s="244"/>
      <c r="O12" s="245" t="s">
        <v>50</v>
      </c>
      <c r="P12" s="245"/>
      <c r="Q12" s="4"/>
      <c r="R12" s="5"/>
    </row>
    <row r="13" spans="1:21" s="6" customFormat="1" ht="115.7" customHeight="1">
      <c r="A13" s="246" t="s">
        <v>51</v>
      </c>
      <c r="B13" s="246"/>
      <c r="C13" s="246"/>
      <c r="D13" s="246"/>
      <c r="E13" s="246"/>
      <c r="F13" s="246"/>
      <c r="G13" s="246"/>
      <c r="H13" s="246"/>
      <c r="I13" s="246"/>
      <c r="J13" s="246"/>
      <c r="K13" s="246"/>
      <c r="L13" s="246"/>
      <c r="M13" s="246"/>
      <c r="N13" s="246"/>
      <c r="O13" s="247" t="str">
        <f>IF(AND(O21&gt;=$P$10,O21&lt;&gt;0),"CUMPLE", "NO CUMPLE")</f>
        <v>CUMPLE</v>
      </c>
      <c r="P13" s="247"/>
      <c r="Q13" s="4"/>
      <c r="R13" s="5"/>
    </row>
    <row r="14" spans="1:21" s="6" customFormat="1" ht="102" customHeight="1">
      <c r="A14" s="81" t="s">
        <v>52</v>
      </c>
      <c r="B14" s="81" t="s">
        <v>53</v>
      </c>
      <c r="C14" s="81" t="s">
        <v>54</v>
      </c>
      <c r="D14" s="81" t="s">
        <v>55</v>
      </c>
      <c r="E14" s="248" t="s">
        <v>3</v>
      </c>
      <c r="F14" s="248"/>
      <c r="G14" s="81" t="s">
        <v>56</v>
      </c>
      <c r="H14" s="81" t="str">
        <f>"CUMPLE CODIGOS?
"&amp;B10</f>
        <v>CUMPLE CODIGOS?
72151500
81101700
26111700</v>
      </c>
      <c r="I14" s="81" t="s">
        <v>57</v>
      </c>
      <c r="J14" s="81" t="s">
        <v>58</v>
      </c>
      <c r="K14" s="81" t="s">
        <v>59</v>
      </c>
      <c r="L14" s="81" t="s">
        <v>60</v>
      </c>
      <c r="M14" s="81" t="s">
        <v>61</v>
      </c>
      <c r="N14" s="81" t="s">
        <v>62</v>
      </c>
      <c r="O14" s="81" t="s">
        <v>63</v>
      </c>
      <c r="P14" s="81" t="s">
        <v>64</v>
      </c>
      <c r="Q14" s="9"/>
      <c r="R14" s="10"/>
    </row>
    <row r="15" spans="1:21" s="6" customFormat="1" ht="38.25">
      <c r="A15" s="249">
        <f>+P10</f>
        <v>1482.657536923077</v>
      </c>
      <c r="B15" s="47" t="s">
        <v>65</v>
      </c>
      <c r="C15" s="63">
        <v>148</v>
      </c>
      <c r="D15" s="82" t="s">
        <v>139</v>
      </c>
      <c r="E15" s="250" t="s">
        <v>140</v>
      </c>
      <c r="F15" s="250"/>
      <c r="G15" s="70" t="s">
        <v>30</v>
      </c>
      <c r="H15" s="70" t="s">
        <v>30</v>
      </c>
      <c r="I15" s="70" t="s">
        <v>30</v>
      </c>
      <c r="J15" s="71" t="s">
        <v>32</v>
      </c>
      <c r="K15" s="59" t="s">
        <v>141</v>
      </c>
      <c r="L15" s="60">
        <v>408427425</v>
      </c>
      <c r="M15" s="61">
        <v>449.55</v>
      </c>
      <c r="N15" s="62">
        <v>1</v>
      </c>
      <c r="O15" s="38">
        <f>IF(AND(H15="SI",I15="SI")=TRUE,M15*N15,"")</f>
        <v>449.55</v>
      </c>
      <c r="P15" s="65" t="s">
        <v>69</v>
      </c>
      <c r="Q15" s="11"/>
      <c r="R15" s="5"/>
    </row>
    <row r="16" spans="1:21" s="31" customFormat="1" ht="25.5">
      <c r="A16" s="249"/>
      <c r="B16" s="47" t="s">
        <v>70</v>
      </c>
      <c r="C16" s="63">
        <v>105</v>
      </c>
      <c r="D16" s="82" t="s">
        <v>142</v>
      </c>
      <c r="E16" s="289" t="s">
        <v>143</v>
      </c>
      <c r="F16" s="250"/>
      <c r="G16" s="70" t="s">
        <v>30</v>
      </c>
      <c r="H16" s="70" t="s">
        <v>30</v>
      </c>
      <c r="I16" s="70" t="s">
        <v>30</v>
      </c>
      <c r="J16" s="71" t="s">
        <v>32</v>
      </c>
      <c r="K16" s="88" t="s">
        <v>144</v>
      </c>
      <c r="L16" s="60">
        <v>1764929498</v>
      </c>
      <c r="M16" s="61">
        <v>2259.13</v>
      </c>
      <c r="N16" s="62">
        <v>1</v>
      </c>
      <c r="O16" s="38">
        <f t="shared" ref="O16:O20" si="0">IF(AND(H16="SI",I16="SI")=TRUE,M16*N16,"")</f>
        <v>2259.13</v>
      </c>
      <c r="P16" s="65" t="s">
        <v>69</v>
      </c>
      <c r="Q16" s="36"/>
      <c r="R16" s="30"/>
    </row>
    <row r="17" spans="1:19" s="6" customFormat="1" ht="25.5">
      <c r="A17" s="249"/>
      <c r="B17" s="47" t="s">
        <v>74</v>
      </c>
      <c r="C17" s="63">
        <v>131</v>
      </c>
      <c r="D17" s="82" t="s">
        <v>145</v>
      </c>
      <c r="E17" s="250" t="s">
        <v>146</v>
      </c>
      <c r="F17" s="250"/>
      <c r="G17" s="70" t="s">
        <v>30</v>
      </c>
      <c r="H17" s="70" t="s">
        <v>30</v>
      </c>
      <c r="I17" s="70" t="s">
        <v>30</v>
      </c>
      <c r="J17" s="71" t="s">
        <v>32</v>
      </c>
      <c r="K17" s="59" t="s">
        <v>147</v>
      </c>
      <c r="L17" s="60">
        <v>106211361</v>
      </c>
      <c r="M17" s="61">
        <v>106.21</v>
      </c>
      <c r="N17" s="62">
        <v>1</v>
      </c>
      <c r="O17" s="38">
        <f t="shared" si="0"/>
        <v>106.21</v>
      </c>
      <c r="P17" s="65" t="s">
        <v>69</v>
      </c>
      <c r="Q17" s="11"/>
      <c r="R17" s="5"/>
    </row>
    <row r="18" spans="1:19" s="6" customFormat="1" ht="38.25">
      <c r="A18" s="249"/>
      <c r="B18" s="47" t="s">
        <v>78</v>
      </c>
      <c r="C18" s="70">
        <v>137</v>
      </c>
      <c r="D18" s="82" t="s">
        <v>148</v>
      </c>
      <c r="E18" s="251" t="s">
        <v>149</v>
      </c>
      <c r="F18" s="251"/>
      <c r="G18" s="57" t="s">
        <v>30</v>
      </c>
      <c r="H18" s="70" t="s">
        <v>30</v>
      </c>
      <c r="I18" s="57" t="s">
        <v>30</v>
      </c>
      <c r="J18" s="71" t="s">
        <v>32</v>
      </c>
      <c r="K18" s="59" t="s">
        <v>150</v>
      </c>
      <c r="L18" s="60">
        <v>102485774</v>
      </c>
      <c r="M18" s="61">
        <v>242.3</v>
      </c>
      <c r="N18" s="62">
        <v>1</v>
      </c>
      <c r="O18" s="38">
        <f t="shared" si="0"/>
        <v>242.3</v>
      </c>
      <c r="P18" s="65" t="s">
        <v>69</v>
      </c>
      <c r="Q18" s="11"/>
      <c r="R18" s="5"/>
    </row>
    <row r="19" spans="1:19" s="6" customFormat="1" ht="18">
      <c r="A19" s="249"/>
      <c r="B19" s="47" t="s">
        <v>82</v>
      </c>
      <c r="C19" s="70"/>
      <c r="D19" s="82"/>
      <c r="E19" s="251"/>
      <c r="F19" s="251"/>
      <c r="G19" s="57"/>
      <c r="H19" s="57"/>
      <c r="I19" s="57"/>
      <c r="J19" s="84"/>
      <c r="K19" s="59"/>
      <c r="L19" s="60"/>
      <c r="M19" s="61"/>
      <c r="N19" s="62"/>
      <c r="O19" s="38" t="str">
        <f t="shared" si="0"/>
        <v/>
      </c>
      <c r="P19" s="65"/>
      <c r="Q19" s="11"/>
      <c r="R19" s="5"/>
    </row>
    <row r="20" spans="1:19" s="6" customFormat="1" ht="18">
      <c r="A20" s="249"/>
      <c r="B20" s="47" t="s">
        <v>83</v>
      </c>
      <c r="C20" s="70"/>
      <c r="D20" s="82"/>
      <c r="E20" s="251"/>
      <c r="F20" s="251"/>
      <c r="G20" s="57"/>
      <c r="H20" s="57"/>
      <c r="I20" s="57"/>
      <c r="J20" s="84"/>
      <c r="K20" s="59"/>
      <c r="L20" s="60"/>
      <c r="M20" s="61"/>
      <c r="N20" s="62"/>
      <c r="O20" s="38" t="str">
        <f t="shared" si="0"/>
        <v/>
      </c>
      <c r="P20" s="65"/>
      <c r="Q20" s="11"/>
      <c r="R20" s="5"/>
    </row>
    <row r="21" spans="1:19" s="6" customFormat="1" ht="26.25">
      <c r="A21" s="252"/>
      <c r="B21" s="253"/>
      <c r="C21" s="253"/>
      <c r="D21" s="253"/>
      <c r="E21" s="253"/>
      <c r="F21" s="253"/>
      <c r="G21" s="253"/>
      <c r="H21" s="253"/>
      <c r="I21" s="253"/>
      <c r="J21" s="254"/>
      <c r="K21" s="255" t="s">
        <v>84</v>
      </c>
      <c r="L21" s="256"/>
      <c r="M21" s="256"/>
      <c r="N21" s="257"/>
      <c r="O21" s="242">
        <f>SUMIF(P15:P20,"CUMPLE",O15:O20)</f>
        <v>3057.1900000000005</v>
      </c>
      <c r="P21" s="242"/>
      <c r="Q21" s="11"/>
      <c r="R21" s="5"/>
      <c r="S21" s="44"/>
    </row>
    <row r="22" spans="1:19" s="6" customFormat="1" ht="93" customHeight="1">
      <c r="A22" s="20" t="s">
        <v>85</v>
      </c>
      <c r="B22" s="243"/>
      <c r="C22" s="243"/>
      <c r="D22" s="243"/>
      <c r="E22" s="243"/>
      <c r="F22" s="243"/>
      <c r="G22" s="243"/>
      <c r="H22" s="243"/>
      <c r="I22" s="243"/>
      <c r="J22" s="243"/>
      <c r="K22" s="243"/>
      <c r="L22" s="243"/>
      <c r="M22" s="243"/>
      <c r="N22" s="243"/>
      <c r="O22" s="243"/>
      <c r="P22" s="243"/>
      <c r="Q22" s="11"/>
      <c r="R22" s="5"/>
    </row>
    <row r="23" spans="1:19" s="54" customFormat="1" ht="26.25">
      <c r="A23" s="258" t="s">
        <v>12</v>
      </c>
      <c r="B23" s="259"/>
      <c r="C23" s="259"/>
      <c r="D23" s="259"/>
      <c r="E23" s="259"/>
      <c r="F23" s="259"/>
      <c r="G23" s="259"/>
      <c r="H23" s="259"/>
      <c r="I23" s="259"/>
      <c r="J23" s="259"/>
      <c r="K23" s="259"/>
      <c r="L23" s="259"/>
      <c r="M23" s="259"/>
      <c r="N23" s="259"/>
      <c r="O23" s="245" t="s">
        <v>50</v>
      </c>
      <c r="P23" s="245"/>
      <c r="Q23" s="52"/>
      <c r="R23" s="53"/>
    </row>
    <row r="24" spans="1:19" s="6" customFormat="1" ht="168.95" customHeight="1">
      <c r="A24" s="260" t="s">
        <v>86</v>
      </c>
      <c r="B24" s="260"/>
      <c r="C24" s="260"/>
      <c r="D24" s="260"/>
      <c r="E24" s="260"/>
      <c r="F24" s="260"/>
      <c r="G24" s="260"/>
      <c r="H24" s="260"/>
      <c r="I24" s="260"/>
      <c r="J24" s="260"/>
      <c r="K24" s="260"/>
      <c r="L24" s="260"/>
      <c r="M24" s="260"/>
      <c r="N24" s="260"/>
      <c r="O24" s="247" t="str">
        <f>IF(AND(O32&gt;=$P$10,O32&lt;&gt;0),"CUMPLE","NO CUMPLE")</f>
        <v>CUMPLE</v>
      </c>
      <c r="P24" s="247"/>
      <c r="Q24" s="12"/>
      <c r="R24" s="5"/>
    </row>
    <row r="25" spans="1:19" s="6" customFormat="1" ht="76.5">
      <c r="A25" s="51" t="s">
        <v>87</v>
      </c>
      <c r="B25" s="81" t="s">
        <v>53</v>
      </c>
      <c r="C25" s="81" t="s">
        <v>54</v>
      </c>
      <c r="D25" s="81" t="s">
        <v>55</v>
      </c>
      <c r="E25" s="248" t="s">
        <v>3</v>
      </c>
      <c r="F25" s="248"/>
      <c r="G25" s="81" t="s">
        <v>88</v>
      </c>
      <c r="H25" s="81" t="s">
        <v>89</v>
      </c>
      <c r="I25" s="81" t="s">
        <v>90</v>
      </c>
      <c r="J25" s="81" t="s">
        <v>58</v>
      </c>
      <c r="K25" s="81" t="s">
        <v>59</v>
      </c>
      <c r="L25" s="81" t="s">
        <v>91</v>
      </c>
      <c r="M25" s="81" t="s">
        <v>61</v>
      </c>
      <c r="N25" s="81" t="s">
        <v>62</v>
      </c>
      <c r="O25" s="81" t="s">
        <v>63</v>
      </c>
      <c r="P25" s="81" t="s">
        <v>64</v>
      </c>
      <c r="Q25" s="9"/>
      <c r="R25" s="10"/>
    </row>
    <row r="26" spans="1:19" s="6" customFormat="1" ht="51" customHeight="1">
      <c r="A26" s="25">
        <v>1</v>
      </c>
      <c r="B26" s="47" t="s">
        <v>65</v>
      </c>
      <c r="C26" s="63">
        <v>26</v>
      </c>
      <c r="D26" s="63" t="s">
        <v>38</v>
      </c>
      <c r="E26" s="282" t="s">
        <v>151</v>
      </c>
      <c r="F26" s="282"/>
      <c r="G26" s="57" t="s">
        <v>28</v>
      </c>
      <c r="H26" s="57" t="s">
        <v>30</v>
      </c>
      <c r="I26" s="57" t="s">
        <v>28</v>
      </c>
      <c r="J26" s="71" t="s">
        <v>32</v>
      </c>
      <c r="K26" s="59" t="s">
        <v>152</v>
      </c>
      <c r="L26" s="60">
        <v>13957039044</v>
      </c>
      <c r="M26" s="61">
        <v>20243.580000000002</v>
      </c>
      <c r="N26" s="62">
        <v>0.92</v>
      </c>
      <c r="O26" s="38" t="str">
        <f>IF(AND(H26="SI",I26="SI")=TRUE,M26*N26,"")</f>
        <v/>
      </c>
      <c r="P26" s="65" t="s">
        <v>92</v>
      </c>
      <c r="Q26" s="11"/>
      <c r="R26" s="5"/>
    </row>
    <row r="27" spans="1:19" s="31" customFormat="1" ht="36" customHeight="1">
      <c r="A27" s="37">
        <v>2</v>
      </c>
      <c r="B27" s="47" t="s">
        <v>70</v>
      </c>
      <c r="C27" s="84">
        <v>25</v>
      </c>
      <c r="D27" s="82" t="s">
        <v>153</v>
      </c>
      <c r="E27" s="251" t="s">
        <v>154</v>
      </c>
      <c r="F27" s="251"/>
      <c r="G27" s="84" t="s">
        <v>30</v>
      </c>
      <c r="H27" s="84" t="s">
        <v>30</v>
      </c>
      <c r="I27" s="84" t="s">
        <v>30</v>
      </c>
      <c r="J27" s="71" t="s">
        <v>32</v>
      </c>
      <c r="K27" s="59">
        <v>41922</v>
      </c>
      <c r="L27" s="60">
        <v>3584100567</v>
      </c>
      <c r="M27" s="61">
        <v>5818</v>
      </c>
      <c r="N27" s="62">
        <v>1</v>
      </c>
      <c r="O27" s="38">
        <f>IF(AND(H27="SI",I27="SI")=TRUE,M27*N27,"")</f>
        <v>5818</v>
      </c>
      <c r="P27" s="65" t="s">
        <v>69</v>
      </c>
      <c r="Q27" s="36"/>
      <c r="R27" s="30"/>
    </row>
    <row r="28" spans="1:19" s="40" customFormat="1" ht="18">
      <c r="A28" s="25">
        <v>3</v>
      </c>
      <c r="B28" s="47" t="s">
        <v>74</v>
      </c>
      <c r="C28" s="84"/>
      <c r="D28" s="83"/>
      <c r="E28" s="251"/>
      <c r="F28" s="251"/>
      <c r="G28" s="57"/>
      <c r="H28" s="57"/>
      <c r="I28" s="57"/>
      <c r="J28" s="84"/>
      <c r="K28" s="59"/>
      <c r="L28" s="60"/>
      <c r="M28" s="61"/>
      <c r="N28" s="62"/>
      <c r="O28" s="38" t="str">
        <f t="shared" ref="O28:O31" si="1">IF(AND(H28="SI",I28="SI")=TRUE,M28*N28,"")</f>
        <v/>
      </c>
      <c r="P28" s="65"/>
      <c r="Q28" s="11"/>
      <c r="R28" s="39"/>
    </row>
    <row r="29" spans="1:19" s="42" customFormat="1" ht="18">
      <c r="A29" s="37">
        <v>4</v>
      </c>
      <c r="B29" s="47" t="s">
        <v>78</v>
      </c>
      <c r="C29" s="57"/>
      <c r="D29" s="83"/>
      <c r="E29" s="251"/>
      <c r="F29" s="251"/>
      <c r="G29" s="57"/>
      <c r="H29" s="84"/>
      <c r="I29" s="57"/>
      <c r="J29" s="84"/>
      <c r="K29" s="59"/>
      <c r="L29" s="60"/>
      <c r="M29" s="61"/>
      <c r="N29" s="62"/>
      <c r="O29" s="38" t="str">
        <f t="shared" si="1"/>
        <v/>
      </c>
      <c r="P29" s="65"/>
      <c r="Q29" s="36"/>
      <c r="R29" s="41"/>
    </row>
    <row r="30" spans="1:19" s="40" customFormat="1" ht="18">
      <c r="A30" s="25">
        <v>5</v>
      </c>
      <c r="B30" s="47" t="s">
        <v>82</v>
      </c>
      <c r="C30" s="84"/>
      <c r="D30" s="64"/>
      <c r="E30" s="251"/>
      <c r="F30" s="251"/>
      <c r="G30" s="84"/>
      <c r="H30" s="84"/>
      <c r="I30" s="84"/>
      <c r="J30" s="84"/>
      <c r="K30" s="59"/>
      <c r="L30" s="60"/>
      <c r="M30" s="61"/>
      <c r="N30" s="62"/>
      <c r="O30" s="38" t="str">
        <f t="shared" si="1"/>
        <v/>
      </c>
      <c r="P30" s="65"/>
      <c r="Q30" s="11"/>
      <c r="R30" s="39"/>
    </row>
    <row r="31" spans="1:19" s="6" customFormat="1" ht="18">
      <c r="A31" s="37">
        <v>6</v>
      </c>
      <c r="B31" s="47" t="s">
        <v>83</v>
      </c>
      <c r="C31" s="84"/>
      <c r="D31" s="82"/>
      <c r="E31" s="250"/>
      <c r="F31" s="250"/>
      <c r="G31" s="84"/>
      <c r="H31" s="84"/>
      <c r="I31" s="84"/>
      <c r="J31" s="63"/>
      <c r="K31" s="59"/>
      <c r="L31" s="60"/>
      <c r="M31" s="61"/>
      <c r="N31" s="62"/>
      <c r="O31" s="38" t="str">
        <f t="shared" si="1"/>
        <v/>
      </c>
      <c r="P31" s="65"/>
      <c r="Q31" s="11"/>
      <c r="R31" s="46"/>
    </row>
    <row r="32" spans="1:19" s="6" customFormat="1" ht="26.25">
      <c r="A32" s="252"/>
      <c r="B32" s="253"/>
      <c r="C32" s="253"/>
      <c r="D32" s="253"/>
      <c r="E32" s="253"/>
      <c r="F32" s="253"/>
      <c r="G32" s="253"/>
      <c r="H32" s="253"/>
      <c r="I32" s="253"/>
      <c r="J32" s="254"/>
      <c r="K32" s="255" t="s">
        <v>84</v>
      </c>
      <c r="L32" s="256"/>
      <c r="M32" s="256"/>
      <c r="N32" s="257"/>
      <c r="O32" s="242">
        <f>SUMIF(P26:P31,"CUMPLE",O26:O31)</f>
        <v>5818</v>
      </c>
      <c r="P32" s="242"/>
      <c r="Q32" s="13"/>
      <c r="R32" s="5"/>
    </row>
    <row r="33" spans="1:18" s="6" customFormat="1" ht="236.25" customHeight="1">
      <c r="A33" s="261" t="s">
        <v>85</v>
      </c>
      <c r="B33" s="261"/>
      <c r="C33" s="290" t="s">
        <v>247</v>
      </c>
      <c r="D33" s="290"/>
      <c r="E33" s="290"/>
      <c r="F33" s="290"/>
      <c r="G33" s="290"/>
      <c r="H33" s="290"/>
      <c r="I33" s="290"/>
      <c r="J33" s="290"/>
      <c r="K33" s="290"/>
      <c r="L33" s="290"/>
      <c r="M33" s="290"/>
      <c r="N33" s="290"/>
      <c r="O33" s="290"/>
      <c r="P33" s="290"/>
      <c r="Q33" s="7"/>
      <c r="R33" s="45"/>
    </row>
    <row r="34" spans="1:18" s="6" customFormat="1" ht="26.25">
      <c r="A34" s="207" t="s">
        <v>94</v>
      </c>
      <c r="B34" s="208"/>
      <c r="C34" s="208"/>
      <c r="D34" s="208"/>
      <c r="E34" s="208"/>
      <c r="F34" s="208"/>
      <c r="G34" s="208"/>
      <c r="H34" s="208"/>
      <c r="I34" s="208"/>
      <c r="J34" s="208"/>
      <c r="K34" s="208"/>
      <c r="L34" s="208"/>
      <c r="M34" s="208"/>
      <c r="N34" s="208"/>
      <c r="O34" s="208"/>
      <c r="P34" s="208"/>
      <c r="Q34" s="13"/>
      <c r="R34" s="5"/>
    </row>
    <row r="35" spans="1:18" s="6" customFormat="1" ht="52.5">
      <c r="A35" s="258" t="s">
        <v>13</v>
      </c>
      <c r="B35" s="258"/>
      <c r="C35" s="258"/>
      <c r="D35" s="258"/>
      <c r="E35" s="258"/>
      <c r="F35" s="258"/>
      <c r="G35" s="258"/>
      <c r="H35" s="258"/>
      <c r="I35" s="258"/>
      <c r="J35" s="258"/>
      <c r="K35" s="258"/>
      <c r="L35" s="258"/>
      <c r="M35" s="258"/>
      <c r="N35" s="258"/>
      <c r="O35" s="258"/>
      <c r="P35" s="79" t="s">
        <v>50</v>
      </c>
      <c r="Q35" s="13"/>
      <c r="R35" s="5"/>
    </row>
    <row r="36" spans="1:18" s="6" customFormat="1" ht="74.45" customHeight="1">
      <c r="A36" s="265" t="s">
        <v>95</v>
      </c>
      <c r="B36" s="265"/>
      <c r="C36" s="265"/>
      <c r="D36" s="265"/>
      <c r="E36" s="265"/>
      <c r="F36" s="265"/>
      <c r="G36" s="265"/>
      <c r="H36" s="265"/>
      <c r="I36" s="265"/>
      <c r="J36" s="265"/>
      <c r="K36" s="265"/>
      <c r="L36" s="265"/>
      <c r="M36" s="265"/>
      <c r="N36" s="265"/>
      <c r="O36" s="265"/>
      <c r="P36" s="56" t="s">
        <v>69</v>
      </c>
      <c r="Q36" s="13"/>
      <c r="R36" s="5"/>
    </row>
    <row r="37" spans="1:18" s="6" customFormat="1" ht="35.450000000000003" customHeight="1">
      <c r="A37" s="261" t="s">
        <v>85</v>
      </c>
      <c r="B37" s="261"/>
      <c r="C37" s="266"/>
      <c r="D37" s="266"/>
      <c r="E37" s="266"/>
      <c r="F37" s="266"/>
      <c r="G37" s="266"/>
      <c r="H37" s="266"/>
      <c r="I37" s="266"/>
      <c r="J37" s="266"/>
      <c r="K37" s="266"/>
      <c r="L37" s="266"/>
      <c r="M37" s="266"/>
      <c r="N37" s="266"/>
      <c r="O37" s="266"/>
      <c r="P37" s="266"/>
      <c r="Q37" s="13"/>
      <c r="R37" s="5"/>
    </row>
    <row r="38" spans="1:18" s="6" customFormat="1" ht="52.5">
      <c r="A38" s="267" t="s">
        <v>14</v>
      </c>
      <c r="B38" s="258"/>
      <c r="C38" s="258"/>
      <c r="D38" s="258"/>
      <c r="E38" s="258"/>
      <c r="F38" s="258"/>
      <c r="G38" s="258"/>
      <c r="H38" s="258"/>
      <c r="I38" s="258"/>
      <c r="J38" s="258"/>
      <c r="K38" s="258"/>
      <c r="L38" s="258"/>
      <c r="M38" s="258"/>
      <c r="N38" s="258"/>
      <c r="O38" s="258"/>
      <c r="P38" s="79" t="s">
        <v>50</v>
      </c>
      <c r="Q38" s="13"/>
      <c r="R38" s="5"/>
    </row>
    <row r="39" spans="1:18" s="6" customFormat="1" ht="222.95" customHeight="1">
      <c r="A39" s="263" t="s">
        <v>96</v>
      </c>
      <c r="B39" s="264"/>
      <c r="C39" s="264"/>
      <c r="D39" s="264"/>
      <c r="E39" s="264"/>
      <c r="F39" s="264"/>
      <c r="G39" s="264"/>
      <c r="H39" s="264"/>
      <c r="I39" s="264"/>
      <c r="J39" s="264"/>
      <c r="K39" s="264"/>
      <c r="L39" s="264"/>
      <c r="M39" s="264"/>
      <c r="N39" s="264"/>
      <c r="O39" s="264"/>
      <c r="P39" s="56" t="s">
        <v>69</v>
      </c>
      <c r="Q39" s="13"/>
      <c r="R39" s="5"/>
    </row>
    <row r="40" spans="1:18" s="6" customFormat="1" ht="36.950000000000003" customHeight="1">
      <c r="A40" s="261" t="s">
        <v>85</v>
      </c>
      <c r="B40" s="261"/>
      <c r="C40" s="266"/>
      <c r="D40" s="266"/>
      <c r="E40" s="266"/>
      <c r="F40" s="266"/>
      <c r="G40" s="266"/>
      <c r="H40" s="266"/>
      <c r="I40" s="266"/>
      <c r="J40" s="266"/>
      <c r="K40" s="266"/>
      <c r="L40" s="266"/>
      <c r="M40" s="266"/>
      <c r="N40" s="266"/>
      <c r="O40" s="266"/>
      <c r="P40" s="266"/>
      <c r="Q40" s="13"/>
      <c r="R40" s="5"/>
    </row>
    <row r="41" spans="1:18" s="6" customFormat="1" ht="52.5">
      <c r="A41" s="267" t="s">
        <v>15</v>
      </c>
      <c r="B41" s="258"/>
      <c r="C41" s="258"/>
      <c r="D41" s="258"/>
      <c r="E41" s="258"/>
      <c r="F41" s="258"/>
      <c r="G41" s="258"/>
      <c r="H41" s="258"/>
      <c r="I41" s="258"/>
      <c r="J41" s="258"/>
      <c r="K41" s="258"/>
      <c r="L41" s="258"/>
      <c r="M41" s="258"/>
      <c r="N41" s="258"/>
      <c r="O41" s="258"/>
      <c r="P41" s="79" t="s">
        <v>50</v>
      </c>
      <c r="Q41" s="13"/>
      <c r="R41" s="5"/>
    </row>
    <row r="42" spans="1:18" s="6" customFormat="1" ht="90" customHeight="1">
      <c r="A42" s="263" t="s">
        <v>97</v>
      </c>
      <c r="B42" s="264"/>
      <c r="C42" s="264"/>
      <c r="D42" s="264"/>
      <c r="E42" s="264"/>
      <c r="F42" s="264"/>
      <c r="G42" s="264"/>
      <c r="H42" s="264"/>
      <c r="I42" s="264"/>
      <c r="J42" s="264"/>
      <c r="K42" s="264"/>
      <c r="L42" s="264"/>
      <c r="M42" s="264"/>
      <c r="N42" s="264"/>
      <c r="O42" s="264"/>
      <c r="P42" s="56" t="s">
        <v>111</v>
      </c>
      <c r="Q42" s="13"/>
      <c r="R42" s="5"/>
    </row>
    <row r="43" spans="1:18" s="6" customFormat="1" ht="294" customHeight="1">
      <c r="A43" s="261" t="s">
        <v>85</v>
      </c>
      <c r="B43" s="261"/>
      <c r="C43" s="268" t="s">
        <v>249</v>
      </c>
      <c r="D43" s="268"/>
      <c r="E43" s="268"/>
      <c r="F43" s="268"/>
      <c r="G43" s="268"/>
      <c r="H43" s="268"/>
      <c r="I43" s="268"/>
      <c r="J43" s="268"/>
      <c r="K43" s="268"/>
      <c r="L43" s="268"/>
      <c r="M43" s="268"/>
      <c r="N43" s="268"/>
      <c r="O43" s="268"/>
      <c r="P43" s="268"/>
      <c r="Q43" s="13"/>
      <c r="R43" s="5"/>
    </row>
    <row r="44" spans="1:18" s="6" customFormat="1" ht="52.5">
      <c r="A44" s="267" t="s">
        <v>16</v>
      </c>
      <c r="B44" s="258"/>
      <c r="C44" s="258"/>
      <c r="D44" s="258"/>
      <c r="E44" s="258"/>
      <c r="F44" s="258"/>
      <c r="G44" s="258"/>
      <c r="H44" s="258"/>
      <c r="I44" s="258"/>
      <c r="J44" s="258"/>
      <c r="K44" s="258"/>
      <c r="L44" s="258"/>
      <c r="M44" s="258"/>
      <c r="N44" s="258"/>
      <c r="O44" s="258"/>
      <c r="P44" s="79" t="s">
        <v>50</v>
      </c>
      <c r="Q44" s="13"/>
      <c r="R44" s="5"/>
    </row>
    <row r="45" spans="1:18" s="6" customFormat="1" ht="64.349999999999994" customHeight="1">
      <c r="A45" s="263" t="s">
        <v>98</v>
      </c>
      <c r="B45" s="264"/>
      <c r="C45" s="264"/>
      <c r="D45" s="264"/>
      <c r="E45" s="264"/>
      <c r="F45" s="264"/>
      <c r="G45" s="264"/>
      <c r="H45" s="264"/>
      <c r="I45" s="264"/>
      <c r="J45" s="264"/>
      <c r="K45" s="264"/>
      <c r="L45" s="264"/>
      <c r="M45" s="264"/>
      <c r="N45" s="264"/>
      <c r="O45" s="264"/>
      <c r="P45" s="56" t="s">
        <v>69</v>
      </c>
      <c r="Q45" s="13"/>
      <c r="R45" s="5"/>
    </row>
    <row r="46" spans="1:18" s="6" customFormat="1" ht="36.950000000000003" customHeight="1">
      <c r="A46" s="261" t="s">
        <v>85</v>
      </c>
      <c r="B46" s="261"/>
      <c r="C46" s="266"/>
      <c r="D46" s="266"/>
      <c r="E46" s="266"/>
      <c r="F46" s="266"/>
      <c r="G46" s="266"/>
      <c r="H46" s="266"/>
      <c r="I46" s="266"/>
      <c r="J46" s="266"/>
      <c r="K46" s="266"/>
      <c r="L46" s="266"/>
      <c r="M46" s="266"/>
      <c r="N46" s="266"/>
      <c r="O46" s="266"/>
      <c r="P46" s="266"/>
      <c r="Q46" s="13"/>
      <c r="R46" s="5"/>
    </row>
    <row r="47" spans="1:18" s="6" customFormat="1" ht="52.5">
      <c r="A47" s="267" t="s">
        <v>17</v>
      </c>
      <c r="B47" s="258"/>
      <c r="C47" s="258"/>
      <c r="D47" s="258"/>
      <c r="E47" s="258"/>
      <c r="F47" s="258"/>
      <c r="G47" s="258"/>
      <c r="H47" s="258"/>
      <c r="I47" s="258"/>
      <c r="J47" s="258"/>
      <c r="K47" s="258"/>
      <c r="L47" s="258"/>
      <c r="M47" s="258"/>
      <c r="N47" s="258"/>
      <c r="O47" s="258"/>
      <c r="P47" s="79" t="s">
        <v>50</v>
      </c>
      <c r="Q47" s="13"/>
      <c r="R47" s="5"/>
    </row>
    <row r="48" spans="1:18" s="6" customFormat="1" ht="138.75" customHeight="1">
      <c r="A48" s="263" t="s">
        <v>99</v>
      </c>
      <c r="B48" s="264"/>
      <c r="C48" s="264"/>
      <c r="D48" s="264"/>
      <c r="E48" s="264"/>
      <c r="F48" s="264"/>
      <c r="G48" s="264"/>
      <c r="H48" s="264"/>
      <c r="I48" s="264"/>
      <c r="J48" s="264"/>
      <c r="K48" s="264"/>
      <c r="L48" s="264"/>
      <c r="M48" s="264"/>
      <c r="N48" s="264"/>
      <c r="O48" s="264"/>
      <c r="P48" s="56" t="s">
        <v>111</v>
      </c>
      <c r="Q48" s="13"/>
      <c r="R48" s="5"/>
    </row>
    <row r="49" spans="1:18" s="6" customFormat="1" ht="149.1" customHeight="1">
      <c r="A49" s="261" t="s">
        <v>85</v>
      </c>
      <c r="B49" s="261"/>
      <c r="C49" s="291" t="s">
        <v>239</v>
      </c>
      <c r="D49" s="268"/>
      <c r="E49" s="268"/>
      <c r="F49" s="268"/>
      <c r="G49" s="268"/>
      <c r="H49" s="268"/>
      <c r="I49" s="268"/>
      <c r="J49" s="268"/>
      <c r="K49" s="268"/>
      <c r="L49" s="268"/>
      <c r="M49" s="268"/>
      <c r="N49" s="268"/>
      <c r="O49" s="268"/>
      <c r="P49" s="268"/>
      <c r="Q49" s="13"/>
      <c r="R49" s="5"/>
    </row>
    <row r="50" spans="1:18" customFormat="1" ht="206.45" customHeight="1">
      <c r="A50" s="270"/>
      <c r="B50" s="270"/>
      <c r="C50" s="270"/>
      <c r="D50" s="270"/>
      <c r="E50" s="270"/>
      <c r="F50" s="270"/>
      <c r="G50" s="270"/>
      <c r="H50" s="270"/>
      <c r="I50" s="270"/>
      <c r="J50" s="270"/>
      <c r="K50" s="270"/>
      <c r="L50" s="270"/>
      <c r="M50" s="270"/>
      <c r="N50" s="270"/>
      <c r="O50" s="270"/>
      <c r="P50" s="270"/>
    </row>
    <row r="51" spans="1:18" s="6" customFormat="1" ht="26.25">
      <c r="A51" s="258" t="s">
        <v>101</v>
      </c>
      <c r="B51" s="258"/>
      <c r="C51" s="258"/>
      <c r="D51" s="258"/>
      <c r="E51" s="258"/>
      <c r="F51" s="258"/>
      <c r="G51" s="258"/>
      <c r="H51" s="258"/>
      <c r="I51" s="258"/>
      <c r="J51" s="258"/>
      <c r="K51" s="258"/>
      <c r="L51" s="258"/>
      <c r="M51" s="258"/>
      <c r="N51" s="258"/>
      <c r="O51" s="258"/>
      <c r="P51" s="79" t="s">
        <v>102</v>
      </c>
      <c r="Q51" s="13"/>
      <c r="R51" s="5"/>
    </row>
    <row r="52" spans="1:18" s="6" customFormat="1" ht="66" customHeight="1">
      <c r="A52" s="271" t="s">
        <v>103</v>
      </c>
      <c r="B52" s="271"/>
      <c r="C52" s="271"/>
      <c r="D52" s="271"/>
      <c r="E52" s="271"/>
      <c r="F52" s="271"/>
      <c r="G52" s="271"/>
      <c r="H52" s="271"/>
      <c r="I52" s="271"/>
      <c r="J52" s="271"/>
      <c r="K52" s="271"/>
      <c r="L52" s="271"/>
      <c r="M52" s="271"/>
      <c r="N52" s="271"/>
      <c r="O52" s="271"/>
      <c r="P52" s="56">
        <v>10</v>
      </c>
      <c r="Q52" s="13"/>
      <c r="R52" s="5"/>
    </row>
    <row r="53" spans="1:18" s="6" customFormat="1" ht="36.75" customHeight="1">
      <c r="A53" s="271" t="s">
        <v>104</v>
      </c>
      <c r="B53" s="271"/>
      <c r="C53" s="271"/>
      <c r="D53" s="271"/>
      <c r="E53" s="271"/>
      <c r="F53" s="271"/>
      <c r="G53" s="271"/>
      <c r="H53" s="271"/>
      <c r="I53" s="271"/>
      <c r="J53" s="271"/>
      <c r="K53" s="271"/>
      <c r="L53" s="271"/>
      <c r="M53" s="271"/>
      <c r="N53" s="271"/>
      <c r="O53" s="271"/>
      <c r="P53" s="56">
        <v>5</v>
      </c>
      <c r="Q53" s="13"/>
      <c r="R53" s="5"/>
    </row>
    <row r="54" spans="1:18" s="6" customFormat="1" ht="36.75" customHeight="1">
      <c r="A54" s="271" t="s">
        <v>105</v>
      </c>
      <c r="B54" s="271"/>
      <c r="C54" s="271"/>
      <c r="D54" s="271"/>
      <c r="E54" s="271"/>
      <c r="F54" s="271"/>
      <c r="G54" s="271"/>
      <c r="H54" s="271"/>
      <c r="I54" s="271"/>
      <c r="J54" s="271"/>
      <c r="K54" s="271"/>
      <c r="L54" s="271"/>
      <c r="M54" s="271"/>
      <c r="N54" s="271"/>
      <c r="O54" s="271"/>
      <c r="P54" s="56">
        <v>3.75</v>
      </c>
      <c r="Q54" s="13"/>
      <c r="R54" s="5"/>
    </row>
    <row r="55" spans="1:18" s="6" customFormat="1" ht="26.25">
      <c r="A55" s="269" t="s">
        <v>106</v>
      </c>
      <c r="B55" s="269"/>
      <c r="C55" s="269"/>
      <c r="D55" s="269"/>
      <c r="E55" s="269"/>
      <c r="F55" s="269"/>
      <c r="G55" s="269"/>
      <c r="H55" s="269"/>
      <c r="I55" s="269"/>
      <c r="J55" s="269"/>
      <c r="K55" s="269"/>
      <c r="L55" s="269"/>
      <c r="M55" s="269"/>
      <c r="N55" s="269"/>
      <c r="O55" s="269"/>
      <c r="P55" s="80">
        <f>SUM(P52:P54)</f>
        <v>18.75</v>
      </c>
      <c r="Q55" s="13"/>
      <c r="R55" s="5"/>
    </row>
    <row r="56" spans="1:18" s="6" customFormat="1" ht="48" customHeight="1">
      <c r="A56" s="261" t="s">
        <v>85</v>
      </c>
      <c r="B56" s="261"/>
      <c r="C56" s="273"/>
      <c r="D56" s="273"/>
      <c r="E56" s="273"/>
      <c r="F56" s="273"/>
      <c r="G56" s="273"/>
      <c r="H56" s="273"/>
      <c r="I56" s="273"/>
      <c r="J56" s="273"/>
      <c r="K56" s="273"/>
      <c r="L56" s="273"/>
      <c r="M56" s="273"/>
      <c r="N56" s="273"/>
      <c r="O56" s="273"/>
      <c r="P56" s="273"/>
      <c r="Q56" s="7"/>
      <c r="R56" s="5"/>
    </row>
    <row r="57" spans="1:18" s="6" customFormat="1" ht="26.25">
      <c r="A57" s="258" t="s">
        <v>19</v>
      </c>
      <c r="B57" s="258"/>
      <c r="C57" s="258"/>
      <c r="D57" s="258"/>
      <c r="E57" s="258"/>
      <c r="F57" s="258"/>
      <c r="G57" s="258"/>
      <c r="H57" s="258"/>
      <c r="I57" s="258"/>
      <c r="J57" s="258"/>
      <c r="K57" s="258"/>
      <c r="L57" s="258"/>
      <c r="M57" s="258"/>
      <c r="N57" s="258"/>
      <c r="O57" s="258"/>
      <c r="P57" s="79" t="s">
        <v>102</v>
      </c>
      <c r="Q57" s="7"/>
      <c r="R57" s="5"/>
    </row>
    <row r="58" spans="1:18" s="6" customFormat="1" ht="223.35" customHeight="1">
      <c r="A58" s="274" t="s">
        <v>107</v>
      </c>
      <c r="B58" s="274"/>
      <c r="C58" s="274"/>
      <c r="D58" s="274"/>
      <c r="E58" s="274"/>
      <c r="F58" s="274"/>
      <c r="G58" s="274"/>
      <c r="H58" s="274"/>
      <c r="I58" s="274"/>
      <c r="J58" s="274"/>
      <c r="K58" s="274"/>
      <c r="L58" s="274"/>
      <c r="M58" s="274"/>
      <c r="N58" s="274"/>
      <c r="O58" s="274"/>
      <c r="P58" s="56">
        <v>10</v>
      </c>
      <c r="Q58" s="7"/>
      <c r="R58" s="5"/>
    </row>
    <row r="59" spans="1:18" s="6" customFormat="1" ht="48" customHeight="1">
      <c r="A59" s="261" t="s">
        <v>85</v>
      </c>
      <c r="B59" s="261"/>
      <c r="C59" s="273"/>
      <c r="D59" s="273"/>
      <c r="E59" s="273"/>
      <c r="F59" s="273"/>
      <c r="G59" s="273"/>
      <c r="H59" s="273"/>
      <c r="I59" s="273"/>
      <c r="J59" s="273"/>
      <c r="K59" s="273"/>
      <c r="L59" s="273"/>
      <c r="M59" s="273"/>
      <c r="N59" s="273"/>
      <c r="O59" s="273"/>
      <c r="P59" s="273"/>
      <c r="Q59" s="7"/>
      <c r="R59" s="5"/>
    </row>
    <row r="60" spans="1:18" s="6" customFormat="1" ht="44.25" customHeight="1">
      <c r="A60" s="275" t="s">
        <v>20</v>
      </c>
      <c r="B60" s="275"/>
      <c r="C60" s="275"/>
      <c r="D60" s="275"/>
      <c r="E60" s="275"/>
      <c r="F60" s="275"/>
      <c r="G60" s="275"/>
      <c r="H60" s="275"/>
      <c r="I60" s="275"/>
      <c r="J60" s="275"/>
      <c r="K60" s="275"/>
      <c r="L60" s="275"/>
      <c r="M60" s="275"/>
      <c r="N60" s="275"/>
      <c r="O60" s="275"/>
      <c r="P60" s="79" t="s">
        <v>102</v>
      </c>
      <c r="Q60" s="14"/>
      <c r="R60" s="5"/>
    </row>
    <row r="61" spans="1:18" s="6" customFormat="1" ht="297" customHeight="1">
      <c r="A61" s="274" t="s">
        <v>108</v>
      </c>
      <c r="B61" s="274"/>
      <c r="C61" s="274"/>
      <c r="D61" s="274"/>
      <c r="E61" s="274"/>
      <c r="F61" s="274"/>
      <c r="G61" s="274"/>
      <c r="H61" s="274"/>
      <c r="I61" s="274"/>
      <c r="J61" s="274"/>
      <c r="K61" s="274"/>
      <c r="L61" s="274"/>
      <c r="M61" s="274"/>
      <c r="N61" s="274"/>
      <c r="O61" s="274"/>
      <c r="P61" s="56">
        <v>0</v>
      </c>
      <c r="Q61" s="15"/>
      <c r="R61" s="5"/>
    </row>
    <row r="62" spans="1:18" s="6" customFormat="1" ht="65.45" customHeight="1">
      <c r="A62" s="261" t="s">
        <v>85</v>
      </c>
      <c r="B62" s="261"/>
      <c r="C62" s="262" t="s">
        <v>155</v>
      </c>
      <c r="D62" s="262"/>
      <c r="E62" s="262"/>
      <c r="F62" s="262"/>
      <c r="G62" s="262"/>
      <c r="H62" s="262"/>
      <c r="I62" s="262"/>
      <c r="J62" s="262"/>
      <c r="K62" s="262"/>
      <c r="L62" s="262"/>
      <c r="M62" s="262"/>
      <c r="N62" s="262"/>
      <c r="O62" s="262"/>
      <c r="P62" s="262"/>
      <c r="Q62" s="7"/>
      <c r="R62" s="5"/>
    </row>
    <row r="63" spans="1:18" s="6" customFormat="1" ht="26.25">
      <c r="A63" s="258" t="s">
        <v>21</v>
      </c>
      <c r="B63" s="258"/>
      <c r="C63" s="258"/>
      <c r="D63" s="258"/>
      <c r="E63" s="258"/>
      <c r="F63" s="258"/>
      <c r="G63" s="258"/>
      <c r="H63" s="258"/>
      <c r="I63" s="258"/>
      <c r="J63" s="258"/>
      <c r="K63" s="258"/>
      <c r="L63" s="258"/>
      <c r="M63" s="258"/>
      <c r="N63" s="258"/>
      <c r="O63" s="258"/>
      <c r="P63" s="79" t="s">
        <v>102</v>
      </c>
      <c r="Q63" s="4"/>
      <c r="R63" s="5"/>
    </row>
    <row r="64" spans="1:18" s="6" customFormat="1" ht="166.7" customHeight="1">
      <c r="A64" s="272" t="s">
        <v>109</v>
      </c>
      <c r="B64" s="272"/>
      <c r="C64" s="272"/>
      <c r="D64" s="272"/>
      <c r="E64" s="272"/>
      <c r="F64" s="272"/>
      <c r="G64" s="272"/>
      <c r="H64" s="272"/>
      <c r="I64" s="272"/>
      <c r="J64" s="272"/>
      <c r="K64" s="272"/>
      <c r="L64" s="272"/>
      <c r="M64" s="272"/>
      <c r="N64" s="272"/>
      <c r="O64" s="272"/>
      <c r="P64" s="56">
        <v>0</v>
      </c>
      <c r="Q64" s="14"/>
      <c r="R64" s="5"/>
    </row>
    <row r="65" spans="1:18" s="6" customFormat="1" ht="56.45" customHeight="1">
      <c r="A65" s="261" t="s">
        <v>85</v>
      </c>
      <c r="B65" s="261"/>
      <c r="C65" s="262" t="s">
        <v>155</v>
      </c>
      <c r="D65" s="262"/>
      <c r="E65" s="262"/>
      <c r="F65" s="262"/>
      <c r="G65" s="262"/>
      <c r="H65" s="262"/>
      <c r="I65" s="262"/>
      <c r="J65" s="262"/>
      <c r="K65" s="262"/>
      <c r="L65" s="262"/>
      <c r="M65" s="262"/>
      <c r="N65" s="262"/>
      <c r="O65" s="262"/>
      <c r="P65" s="262"/>
      <c r="Q65" s="14"/>
      <c r="R65" s="5"/>
    </row>
    <row r="66" spans="1:18" s="31" customFormat="1" ht="26.25">
      <c r="A66" s="277" t="s">
        <v>22</v>
      </c>
      <c r="B66" s="278"/>
      <c r="C66" s="278"/>
      <c r="D66" s="278"/>
      <c r="E66" s="278"/>
      <c r="F66" s="278"/>
      <c r="G66" s="278"/>
      <c r="H66" s="278"/>
      <c r="I66" s="278"/>
      <c r="J66" s="278"/>
      <c r="K66" s="278"/>
      <c r="L66" s="278"/>
      <c r="M66" s="278"/>
      <c r="N66" s="278"/>
      <c r="O66" s="279"/>
      <c r="P66" s="79" t="s">
        <v>102</v>
      </c>
      <c r="Q66" s="14"/>
      <c r="R66" s="30"/>
    </row>
    <row r="67" spans="1:18" s="31" customFormat="1" ht="149.44999999999999" customHeight="1">
      <c r="A67" s="280" t="s">
        <v>110</v>
      </c>
      <c r="B67" s="280"/>
      <c r="C67" s="280"/>
      <c r="D67" s="280"/>
      <c r="E67" s="280"/>
      <c r="F67" s="280"/>
      <c r="G67" s="280"/>
      <c r="H67" s="280"/>
      <c r="I67" s="280"/>
      <c r="J67" s="280"/>
      <c r="K67" s="280"/>
      <c r="L67" s="280"/>
      <c r="M67" s="280"/>
      <c r="N67" s="280"/>
      <c r="O67" s="280"/>
      <c r="P67" s="56">
        <v>0</v>
      </c>
      <c r="Q67" s="14"/>
      <c r="R67" s="30"/>
    </row>
    <row r="68" spans="1:18" s="6" customFormat="1" ht="64.5" customHeight="1">
      <c r="A68" s="261" t="s">
        <v>85</v>
      </c>
      <c r="B68" s="261"/>
      <c r="C68" s="262" t="s">
        <v>156</v>
      </c>
      <c r="D68" s="262"/>
      <c r="E68" s="262"/>
      <c r="F68" s="262"/>
      <c r="G68" s="262"/>
      <c r="H68" s="262"/>
      <c r="I68" s="262"/>
      <c r="J68" s="262"/>
      <c r="K68" s="262"/>
      <c r="L68" s="262"/>
      <c r="M68" s="262"/>
      <c r="N68" s="262"/>
      <c r="O68" s="262"/>
      <c r="P68" s="262"/>
      <c r="Q68" s="14"/>
      <c r="R68" s="5"/>
    </row>
    <row r="69" spans="1:18" s="6" customFormat="1" ht="26.25">
      <c r="A69" s="276" t="s">
        <v>106</v>
      </c>
      <c r="B69" s="276"/>
      <c r="C69" s="276"/>
      <c r="D69" s="276"/>
      <c r="E69" s="276"/>
      <c r="F69" s="276"/>
      <c r="G69" s="276"/>
      <c r="H69" s="276"/>
      <c r="I69" s="276"/>
      <c r="J69" s="276"/>
      <c r="K69" s="276"/>
      <c r="L69" s="276"/>
      <c r="M69" s="276"/>
      <c r="N69" s="276"/>
      <c r="O69" s="276"/>
      <c r="P69" s="55">
        <f>SUM(P55,P58,P61,P64,P67)</f>
        <v>28.75</v>
      </c>
      <c r="Q69" s="14"/>
      <c r="R69" s="5"/>
    </row>
    <row r="70" spans="1:18" s="6" customFormat="1" ht="14.25" customHeight="1">
      <c r="Q70" s="4"/>
      <c r="R70" s="5"/>
    </row>
    <row r="71" spans="1:18" s="6" customFormat="1" ht="14.25" customHeight="1">
      <c r="Q71" s="4"/>
      <c r="R71" s="5"/>
    </row>
    <row r="72" spans="1:18" s="6" customFormat="1" ht="14.25" customHeight="1">
      <c r="Q72" s="4"/>
      <c r="R72" s="5"/>
    </row>
    <row r="73" spans="1:18" s="6" customFormat="1" ht="14.25" customHeight="1">
      <c r="Q73" s="4"/>
      <c r="R73" s="5"/>
    </row>
    <row r="74" spans="1:18" s="6" customFormat="1" ht="14.25" customHeight="1">
      <c r="C74" s="5"/>
      <c r="Q74" s="4"/>
      <c r="R74" s="5"/>
    </row>
    <row r="75" spans="1:18" s="6" customFormat="1" ht="14.25" customHeight="1">
      <c r="C75" s="5"/>
      <c r="Q75" s="4"/>
      <c r="R75" s="5"/>
    </row>
    <row r="76" spans="1:18" s="6" customFormat="1" ht="14.25" customHeight="1">
      <c r="Q76" s="4"/>
      <c r="R76" s="5"/>
    </row>
    <row r="77" spans="1:18" s="6" customFormat="1" ht="14.25" customHeight="1">
      <c r="C77" s="5"/>
      <c r="Q77" s="4"/>
      <c r="R77" s="5"/>
    </row>
    <row r="78" spans="1:18" s="6" customFormat="1" ht="14.25" customHeight="1">
      <c r="Q78" s="4"/>
      <c r="R78" s="5"/>
    </row>
    <row r="79" spans="1:18" s="6" customFormat="1" ht="14.25" customHeight="1">
      <c r="C79" s="5"/>
      <c r="Q79" s="4"/>
      <c r="R79" s="5"/>
    </row>
    <row r="80" spans="1:18" s="6" customFormat="1" ht="14.25" customHeight="1">
      <c r="Q80" s="4"/>
      <c r="R80" s="5"/>
    </row>
    <row r="81" spans="5:18" s="6" customFormat="1" ht="14.25" customHeight="1">
      <c r="Q81" s="4"/>
      <c r="R81" s="5"/>
    </row>
    <row r="82" spans="5:18" s="6" customFormat="1" ht="14.25" customHeight="1">
      <c r="Q82" s="4"/>
      <c r="R82" s="5"/>
    </row>
    <row r="83" spans="5:18" s="6" customFormat="1" ht="14.25" customHeight="1">
      <c r="Q83" s="4"/>
      <c r="R83" s="5"/>
    </row>
    <row r="84" spans="5:18" s="6" customFormat="1" ht="14.25" customHeight="1">
      <c r="Q84" s="4"/>
      <c r="R84" s="5"/>
    </row>
    <row r="85" spans="5:18" s="6" customFormat="1" ht="14.25" customHeight="1">
      <c r="E85" s="50"/>
      <c r="F85" s="50"/>
      <c r="Q85" s="4"/>
      <c r="R85" s="5"/>
    </row>
    <row r="86" spans="5:18" s="6" customFormat="1" ht="14.25" customHeight="1">
      <c r="E86" s="50"/>
      <c r="F86" s="50"/>
      <c r="Q86" s="4"/>
      <c r="R86" s="5"/>
    </row>
    <row r="87" spans="5:18" ht="14.25" customHeight="1">
      <c r="E87" s="50"/>
      <c r="F87" s="50"/>
    </row>
    <row r="88" spans="5:18" ht="14.25" customHeight="1">
      <c r="E88" s="50"/>
      <c r="F88" s="50"/>
    </row>
    <row r="89" spans="5:18" ht="14.25" customHeight="1"/>
    <row r="90" spans="5:18" ht="14.25" customHeight="1"/>
    <row r="91" spans="5:18" ht="14.25" customHeight="1"/>
    <row r="92" spans="5:18" ht="14.25" customHeight="1"/>
    <row r="93" spans="5:18" ht="14.25" customHeight="1"/>
    <row r="94" spans="5:18" ht="14.25" customHeight="1"/>
    <row r="95" spans="5:18" ht="14.25" customHeight="1"/>
    <row r="96" spans="5:18"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sheetData>
  <mergeCells count="94">
    <mergeCell ref="A69:O69"/>
    <mergeCell ref="A65:B65"/>
    <mergeCell ref="C65:P65"/>
    <mergeCell ref="A66:O66"/>
    <mergeCell ref="A67:O67"/>
    <mergeCell ref="A68:B68"/>
    <mergeCell ref="C68:P68"/>
    <mergeCell ref="A64:O64"/>
    <mergeCell ref="A56:B56"/>
    <mergeCell ref="C56:P56"/>
    <mergeCell ref="A57:O57"/>
    <mergeCell ref="A58:O58"/>
    <mergeCell ref="A59:B59"/>
    <mergeCell ref="C59:P59"/>
    <mergeCell ref="A60:O60"/>
    <mergeCell ref="A61:O61"/>
    <mergeCell ref="A62:B62"/>
    <mergeCell ref="C62:P62"/>
    <mergeCell ref="A63:O63"/>
    <mergeCell ref="A55:O55"/>
    <mergeCell ref="A46:B46"/>
    <mergeCell ref="C46:P46"/>
    <mergeCell ref="A47:O47"/>
    <mergeCell ref="A48:O48"/>
    <mergeCell ref="A49:B49"/>
    <mergeCell ref="C49:P49"/>
    <mergeCell ref="A50:P50"/>
    <mergeCell ref="A51:O51"/>
    <mergeCell ref="A52:O52"/>
    <mergeCell ref="A53:O53"/>
    <mergeCell ref="A54:O54"/>
    <mergeCell ref="A45:O45"/>
    <mergeCell ref="A36:O36"/>
    <mergeCell ref="A37:B37"/>
    <mergeCell ref="C37:P37"/>
    <mergeCell ref="A38:O38"/>
    <mergeCell ref="A39:O39"/>
    <mergeCell ref="A40:B40"/>
    <mergeCell ref="C40:P40"/>
    <mergeCell ref="A41:O41"/>
    <mergeCell ref="A42:O42"/>
    <mergeCell ref="A43:B43"/>
    <mergeCell ref="C43:P43"/>
    <mergeCell ref="A44:O44"/>
    <mergeCell ref="O23:P23"/>
    <mergeCell ref="A24:N24"/>
    <mergeCell ref="O24:P24"/>
    <mergeCell ref="E25:F25"/>
    <mergeCell ref="A35:O35"/>
    <mergeCell ref="E27:F27"/>
    <mergeCell ref="E28:F28"/>
    <mergeCell ref="E29:F29"/>
    <mergeCell ref="E30:F30"/>
    <mergeCell ref="E31:F31"/>
    <mergeCell ref="A32:J32"/>
    <mergeCell ref="K32:N32"/>
    <mergeCell ref="O32:P32"/>
    <mergeCell ref="A33:B33"/>
    <mergeCell ref="C33:P33"/>
    <mergeCell ref="A34:P34"/>
    <mergeCell ref="E26:F26"/>
    <mergeCell ref="E19:F19"/>
    <mergeCell ref="E20:F20"/>
    <mergeCell ref="A21:J21"/>
    <mergeCell ref="K21:N21"/>
    <mergeCell ref="A23:N23"/>
    <mergeCell ref="O21:P21"/>
    <mergeCell ref="B22:P22"/>
    <mergeCell ref="A12:N12"/>
    <mergeCell ref="O12:P12"/>
    <mergeCell ref="A13:N13"/>
    <mergeCell ref="O13:P13"/>
    <mergeCell ref="E14:F14"/>
    <mergeCell ref="A15:A20"/>
    <mergeCell ref="E15:F15"/>
    <mergeCell ref="E16:F16"/>
    <mergeCell ref="E17:F17"/>
    <mergeCell ref="E18:F18"/>
    <mergeCell ref="A11:P11"/>
    <mergeCell ref="A1:P1"/>
    <mergeCell ref="A2:P2"/>
    <mergeCell ref="A3:P3"/>
    <mergeCell ref="A4:A9"/>
    <mergeCell ref="B4:I9"/>
    <mergeCell ref="J4:O4"/>
    <mergeCell ref="J5:O5"/>
    <mergeCell ref="J6:O6"/>
    <mergeCell ref="J7:O7"/>
    <mergeCell ref="J8:O8"/>
    <mergeCell ref="J9:O9"/>
    <mergeCell ref="B10:C10"/>
    <mergeCell ref="D10:I10"/>
    <mergeCell ref="J10:K10"/>
    <mergeCell ref="L10:M10"/>
  </mergeCells>
  <conditionalFormatting sqref="P15:P20">
    <cfRule type="expression" dxfId="38" priority="6">
      <formula>$P15="NO CUMPLE"</formula>
    </cfRule>
  </conditionalFormatting>
  <conditionalFormatting sqref="P26:P31">
    <cfRule type="expression" dxfId="37" priority="5">
      <formula>$P26="NO CUMPLE"</formula>
    </cfRule>
  </conditionalFormatting>
  <conditionalFormatting sqref="P36">
    <cfRule type="expression" dxfId="36" priority="13">
      <formula>$P36="NO CUMPLE"</formula>
    </cfRule>
  </conditionalFormatting>
  <conditionalFormatting sqref="P39">
    <cfRule type="expression" dxfId="35" priority="12">
      <formula>$P39="NO CUMPLE"</formula>
    </cfRule>
  </conditionalFormatting>
  <conditionalFormatting sqref="P45">
    <cfRule type="expression" dxfId="34" priority="8">
      <formula>$P45="NO CUMPLE"</formula>
    </cfRule>
  </conditionalFormatting>
  <conditionalFormatting sqref="P48">
    <cfRule type="cellIs" dxfId="33" priority="3" operator="equal">
      <formula>"RECHAZADO"</formula>
    </cfRule>
    <cfRule type="expression" dxfId="32" priority="4">
      <formula>$P48="NO CUMPLE"</formula>
    </cfRule>
  </conditionalFormatting>
  <conditionalFormatting sqref="P42">
    <cfRule type="cellIs" dxfId="31" priority="1" operator="equal">
      <formula>"RECHAZADO"</formula>
    </cfRule>
    <cfRule type="expression" dxfId="30" priority="2">
      <formula>$P42="NO CUMPLE"</formula>
    </cfRule>
  </conditionalFormatting>
  <dataValidations count="3">
    <dataValidation type="list" allowBlank="1" showInputMessage="1" showErrorMessage="1" sqref="G19:G20 G28:G31 I19:I20 G15:I18 I28:I31 G26:I27" xr:uid="{4D97E411-D0BC-4282-9FA3-CA1D5305C476}">
      <formula1>"SI,NO"</formula1>
    </dataValidation>
    <dataValidation type="list" allowBlank="1" showInputMessage="1" showErrorMessage="1" sqref="P36 P39 P15:P20 P26:P31 P45" xr:uid="{28115530-1E4A-4731-ADF9-66285FDABEEE}">
      <formula1>"CUMPLE,NO CUMPLE"</formula1>
    </dataValidation>
    <dataValidation type="list" allowBlank="1" showInputMessage="1" showErrorMessage="1" sqref="P48 P42" xr:uid="{EE079A85-1073-B24F-80E6-10C783EF809D}">
      <formula1>"CUMPLE,NO CUMPLE,RECHAZADO"</formula1>
    </dataValidation>
  </dataValidations>
  <pageMargins left="0.11811023622047245" right="0.11811023622047245" top="0.27559055118110237" bottom="0.23622047244094491" header="0" footer="0"/>
  <pageSetup paperSize="9" scale="4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4EBDC8-5307-4183-A6C0-3AA038E999D3}">
  <sheetPr>
    <tabColor rgb="FF50F828"/>
  </sheetPr>
  <dimension ref="A1:U994"/>
  <sheetViews>
    <sheetView topLeftCell="A39" zoomScale="70" zoomScaleNormal="70" workbookViewId="0">
      <selection activeCell="P42" sqref="P42"/>
    </sheetView>
  </sheetViews>
  <sheetFormatPr baseColWidth="10" defaultColWidth="14.5703125" defaultRowHeight="15" customHeight="1"/>
  <cols>
    <col min="1" max="1" width="17.42578125" style="3" customWidth="1"/>
    <col min="2" max="2" width="12.7109375" style="3" customWidth="1"/>
    <col min="3" max="3" width="15.85546875" style="3" customWidth="1"/>
    <col min="4" max="4" width="24.140625" style="3" customWidth="1"/>
    <col min="5" max="5" width="52.140625" style="3" customWidth="1"/>
    <col min="6" max="6" width="49.5703125" style="3" customWidth="1"/>
    <col min="7" max="7" width="15.28515625" style="3" customWidth="1"/>
    <col min="8" max="8" width="13.140625" style="3" customWidth="1"/>
    <col min="9" max="9" width="15.42578125" style="3" customWidth="1"/>
    <col min="10" max="10" width="27.42578125" style="3" customWidth="1"/>
    <col min="11" max="11" width="19.140625" style="3" customWidth="1"/>
    <col min="12" max="12" width="20.28515625" style="3" bestFit="1" customWidth="1"/>
    <col min="13" max="13" width="23.5703125" style="3" bestFit="1" customWidth="1"/>
    <col min="14" max="14" width="15.42578125" style="3" customWidth="1"/>
    <col min="15" max="15" width="14.85546875" style="3" customWidth="1"/>
    <col min="16" max="16" width="26" style="3" customWidth="1"/>
    <col min="17" max="17" width="6.140625" style="1" bestFit="1" customWidth="1"/>
    <col min="18" max="18" width="10" style="2" bestFit="1" customWidth="1"/>
    <col min="19" max="16384" width="14.5703125" style="3"/>
  </cols>
  <sheetData>
    <row r="1" spans="1:21" ht="25.5">
      <c r="A1" s="209" t="s">
        <v>38</v>
      </c>
      <c r="B1" s="210"/>
      <c r="C1" s="210"/>
      <c r="D1" s="210"/>
      <c r="E1" s="210"/>
      <c r="F1" s="210"/>
      <c r="G1" s="210"/>
      <c r="H1" s="210"/>
      <c r="I1" s="210"/>
      <c r="J1" s="210"/>
      <c r="K1" s="210"/>
      <c r="L1" s="210"/>
      <c r="M1" s="210"/>
      <c r="N1" s="210"/>
      <c r="O1" s="210"/>
      <c r="P1" s="211"/>
    </row>
    <row r="2" spans="1:21" ht="25.5">
      <c r="A2" s="212" t="str">
        <f>+RESUMEN!C5</f>
        <v>24001216 H3 DE 2024</v>
      </c>
      <c r="B2" s="213"/>
      <c r="C2" s="213"/>
      <c r="D2" s="213"/>
      <c r="E2" s="213"/>
      <c r="F2" s="213"/>
      <c r="G2" s="213"/>
      <c r="H2" s="213"/>
      <c r="I2" s="213"/>
      <c r="J2" s="213"/>
      <c r="K2" s="213"/>
      <c r="L2" s="213"/>
      <c r="M2" s="213"/>
      <c r="N2" s="213"/>
      <c r="O2" s="213"/>
      <c r="P2" s="214"/>
    </row>
    <row r="3" spans="1:21" ht="60" customHeight="1">
      <c r="A3" s="215" t="str">
        <f>+RESUMEN!G5</f>
        <v>REALIZAR MANTENIMIENTO A LOS SISTEMAS UPS DEL CENTRO DE GESTION AERONAUTICA
DE COLOMBIA CGAC, INCLUYE RENOVAR BANCOS DE BATERÍAS POR LOTES. (VIGENCIA FUTURA).</v>
      </c>
      <c r="B3" s="216"/>
      <c r="C3" s="216"/>
      <c r="D3" s="216"/>
      <c r="E3" s="216"/>
      <c r="F3" s="216"/>
      <c r="G3" s="216"/>
      <c r="H3" s="216"/>
      <c r="I3" s="216"/>
      <c r="J3" s="217"/>
      <c r="K3" s="217"/>
      <c r="L3" s="217"/>
      <c r="M3" s="217"/>
      <c r="N3" s="217"/>
      <c r="O3" s="217"/>
      <c r="P3" s="218"/>
    </row>
    <row r="4" spans="1:21" s="6" customFormat="1" ht="19.5" customHeight="1">
      <c r="A4" s="219">
        <f>+RESUMEN!B10</f>
        <v>6</v>
      </c>
      <c r="B4" s="222" t="str">
        <f>+RESUMEN!C10</f>
        <v>UT INVER TES AEROCIVIL MATTOS</v>
      </c>
      <c r="C4" s="223"/>
      <c r="D4" s="223"/>
      <c r="E4" s="223"/>
      <c r="F4" s="223"/>
      <c r="G4" s="223"/>
      <c r="H4" s="223"/>
      <c r="I4" s="223"/>
      <c r="J4" s="227" t="s">
        <v>39</v>
      </c>
      <c r="K4" s="228"/>
      <c r="L4" s="228"/>
      <c r="M4" s="228"/>
      <c r="N4" s="228"/>
      <c r="O4" s="229"/>
      <c r="P4" s="28" t="s">
        <v>40</v>
      </c>
      <c r="Q4" s="4"/>
      <c r="R4" s="5"/>
    </row>
    <row r="5" spans="1:21" s="6" customFormat="1" ht="19.5" customHeight="1">
      <c r="A5" s="220"/>
      <c r="B5" s="224"/>
      <c r="C5" s="225"/>
      <c r="D5" s="225"/>
      <c r="E5" s="225"/>
      <c r="F5" s="225"/>
      <c r="G5" s="225"/>
      <c r="H5" s="225"/>
      <c r="I5" s="225"/>
      <c r="J5" s="230" t="s">
        <v>157</v>
      </c>
      <c r="K5" s="231"/>
      <c r="L5" s="231"/>
      <c r="M5" s="231"/>
      <c r="N5" s="231"/>
      <c r="O5" s="232"/>
      <c r="P5" s="76">
        <v>0.6</v>
      </c>
      <c r="Q5" s="4"/>
      <c r="R5" s="5"/>
      <c r="S5" s="50"/>
      <c r="T5" s="50"/>
      <c r="U5" s="50"/>
    </row>
    <row r="6" spans="1:21" s="6" customFormat="1" ht="19.5" customHeight="1">
      <c r="A6" s="220"/>
      <c r="B6" s="224"/>
      <c r="C6" s="225"/>
      <c r="D6" s="225"/>
      <c r="E6" s="225"/>
      <c r="F6" s="225"/>
      <c r="G6" s="225"/>
      <c r="H6" s="225"/>
      <c r="I6" s="225"/>
      <c r="J6" s="230" t="s">
        <v>158</v>
      </c>
      <c r="K6" s="231"/>
      <c r="L6" s="231"/>
      <c r="M6" s="231"/>
      <c r="N6" s="231"/>
      <c r="O6" s="232"/>
      <c r="P6" s="76">
        <v>0.4</v>
      </c>
      <c r="Q6" s="4"/>
      <c r="R6" s="5"/>
      <c r="S6" s="50"/>
      <c r="T6" s="50"/>
      <c r="U6" s="50"/>
    </row>
    <row r="7" spans="1:21" s="6" customFormat="1" ht="19.5" customHeight="1">
      <c r="A7" s="220"/>
      <c r="B7" s="224"/>
      <c r="C7" s="225"/>
      <c r="D7" s="225"/>
      <c r="E7" s="225"/>
      <c r="F7" s="225"/>
      <c r="G7" s="225"/>
      <c r="H7" s="225"/>
      <c r="I7" s="225"/>
      <c r="J7" s="230"/>
      <c r="K7" s="231"/>
      <c r="L7" s="231"/>
      <c r="M7" s="231"/>
      <c r="N7" s="231"/>
      <c r="O7" s="232"/>
      <c r="P7" s="76"/>
      <c r="Q7" s="4"/>
      <c r="R7" s="5"/>
      <c r="S7" s="50"/>
      <c r="T7" s="50"/>
      <c r="U7" s="50"/>
    </row>
    <row r="8" spans="1:21" s="6" customFormat="1" ht="19.5" customHeight="1">
      <c r="A8" s="220"/>
      <c r="B8" s="224"/>
      <c r="C8" s="225"/>
      <c r="D8" s="225"/>
      <c r="E8" s="225"/>
      <c r="F8" s="225"/>
      <c r="G8" s="225"/>
      <c r="H8" s="225"/>
      <c r="I8" s="225"/>
      <c r="J8" s="230"/>
      <c r="K8" s="231"/>
      <c r="L8" s="231"/>
      <c r="M8" s="231"/>
      <c r="N8" s="231"/>
      <c r="O8" s="232"/>
      <c r="P8" s="76"/>
      <c r="Q8" s="4"/>
      <c r="R8" s="5"/>
    </row>
    <row r="9" spans="1:21" s="6" customFormat="1" ht="21" customHeight="1">
      <c r="A9" s="221"/>
      <c r="B9" s="224"/>
      <c r="C9" s="225"/>
      <c r="D9" s="225"/>
      <c r="E9" s="225"/>
      <c r="F9" s="225"/>
      <c r="G9" s="225"/>
      <c r="H9" s="225"/>
      <c r="I9" s="226"/>
      <c r="J9" s="233" t="s">
        <v>43</v>
      </c>
      <c r="K9" s="234"/>
      <c r="L9" s="234"/>
      <c r="M9" s="234"/>
      <c r="N9" s="234"/>
      <c r="O9" s="235"/>
      <c r="P9" s="29">
        <f>SUM(P5:P8)</f>
        <v>1</v>
      </c>
      <c r="Q9" s="7"/>
      <c r="R9" s="5"/>
    </row>
    <row r="10" spans="1:21" s="6" customFormat="1" ht="65.25" customHeight="1">
      <c r="A10" s="66" t="s">
        <v>44</v>
      </c>
      <c r="B10" s="236" t="s">
        <v>45</v>
      </c>
      <c r="C10" s="236"/>
      <c r="D10" s="237" t="s">
        <v>46</v>
      </c>
      <c r="E10" s="237"/>
      <c r="F10" s="237"/>
      <c r="G10" s="237"/>
      <c r="H10" s="237"/>
      <c r="I10" s="237"/>
      <c r="J10" s="238">
        <f>RESUMEN!U5</f>
        <v>1927454798</v>
      </c>
      <c r="K10" s="239"/>
      <c r="L10" s="240" t="s">
        <v>47</v>
      </c>
      <c r="M10" s="241"/>
      <c r="N10" s="67">
        <f>P69</f>
        <v>29</v>
      </c>
      <c r="O10" s="68" t="s">
        <v>48</v>
      </c>
      <c r="P10" s="69">
        <f>J10/'Serie Historica SMMLV'!C47</f>
        <v>1482.657536923077</v>
      </c>
      <c r="Q10" s="8"/>
      <c r="R10" s="5"/>
      <c r="T10" s="43"/>
    </row>
    <row r="11" spans="1:21" s="6" customFormat="1" ht="26.25">
      <c r="A11" s="207" t="s">
        <v>49</v>
      </c>
      <c r="B11" s="208"/>
      <c r="C11" s="208"/>
      <c r="D11" s="208"/>
      <c r="E11" s="208"/>
      <c r="F11" s="208"/>
      <c r="G11" s="208"/>
      <c r="H11" s="208"/>
      <c r="I11" s="208"/>
      <c r="J11" s="208"/>
      <c r="K11" s="208"/>
      <c r="L11" s="208"/>
      <c r="M11" s="208"/>
      <c r="N11" s="208"/>
      <c r="O11" s="208"/>
      <c r="P11" s="208"/>
      <c r="Q11" s="4"/>
      <c r="R11" s="5"/>
    </row>
    <row r="12" spans="1:21" s="6" customFormat="1" ht="26.25">
      <c r="A12" s="244" t="s">
        <v>11</v>
      </c>
      <c r="B12" s="244"/>
      <c r="C12" s="244"/>
      <c r="D12" s="244"/>
      <c r="E12" s="244"/>
      <c r="F12" s="244"/>
      <c r="G12" s="244"/>
      <c r="H12" s="244"/>
      <c r="I12" s="244"/>
      <c r="J12" s="244"/>
      <c r="K12" s="244"/>
      <c r="L12" s="244"/>
      <c r="M12" s="244"/>
      <c r="N12" s="244"/>
      <c r="O12" s="245" t="s">
        <v>50</v>
      </c>
      <c r="P12" s="245"/>
      <c r="Q12" s="4"/>
      <c r="R12" s="5"/>
    </row>
    <row r="13" spans="1:21" s="6" customFormat="1" ht="115.7" customHeight="1">
      <c r="A13" s="246" t="s">
        <v>51</v>
      </c>
      <c r="B13" s="246"/>
      <c r="C13" s="246"/>
      <c r="D13" s="246"/>
      <c r="E13" s="246"/>
      <c r="F13" s="246"/>
      <c r="G13" s="246"/>
      <c r="H13" s="246"/>
      <c r="I13" s="246"/>
      <c r="J13" s="246"/>
      <c r="K13" s="246"/>
      <c r="L13" s="246"/>
      <c r="M13" s="246"/>
      <c r="N13" s="246"/>
      <c r="O13" s="247" t="str">
        <f>IF(AND(O21&gt;=$P$10,O21&lt;&gt;0),"CUMPLE", "NO CUMPLE")</f>
        <v>CUMPLE</v>
      </c>
      <c r="P13" s="247"/>
      <c r="Q13" s="4"/>
      <c r="R13" s="5"/>
    </row>
    <row r="14" spans="1:21" s="6" customFormat="1" ht="102" customHeight="1">
      <c r="A14" s="81" t="s">
        <v>52</v>
      </c>
      <c r="B14" s="81" t="s">
        <v>53</v>
      </c>
      <c r="C14" s="81" t="s">
        <v>54</v>
      </c>
      <c r="D14" s="81" t="s">
        <v>55</v>
      </c>
      <c r="E14" s="248" t="s">
        <v>3</v>
      </c>
      <c r="F14" s="248"/>
      <c r="G14" s="81" t="s">
        <v>56</v>
      </c>
      <c r="H14" s="81" t="str">
        <f>"CUMPLE CODIGOS?
"&amp;B10</f>
        <v>CUMPLE CODIGOS?
72151500
81101700
26111700</v>
      </c>
      <c r="I14" s="81" t="s">
        <v>57</v>
      </c>
      <c r="J14" s="81" t="s">
        <v>58</v>
      </c>
      <c r="K14" s="81" t="s">
        <v>59</v>
      </c>
      <c r="L14" s="81" t="s">
        <v>60</v>
      </c>
      <c r="M14" s="81" t="s">
        <v>61</v>
      </c>
      <c r="N14" s="81" t="s">
        <v>62</v>
      </c>
      <c r="O14" s="81" t="s">
        <v>63</v>
      </c>
      <c r="P14" s="81" t="s">
        <v>64</v>
      </c>
      <c r="Q14" s="9"/>
      <c r="R14" s="10"/>
    </row>
    <row r="15" spans="1:21" s="6" customFormat="1" ht="25.5">
      <c r="A15" s="249">
        <f>+P10</f>
        <v>1482.657536923077</v>
      </c>
      <c r="B15" s="47" t="s">
        <v>65</v>
      </c>
      <c r="C15" s="63">
        <v>82</v>
      </c>
      <c r="D15" s="82" t="s">
        <v>159</v>
      </c>
      <c r="E15" s="250" t="s">
        <v>160</v>
      </c>
      <c r="F15" s="250"/>
      <c r="G15" s="70" t="s">
        <v>30</v>
      </c>
      <c r="H15" s="70" t="s">
        <v>30</v>
      </c>
      <c r="I15" s="70" t="s">
        <v>30</v>
      </c>
      <c r="J15" s="71" t="s">
        <v>161</v>
      </c>
      <c r="K15" s="59" t="s">
        <v>162</v>
      </c>
      <c r="L15" s="60">
        <v>1371672000</v>
      </c>
      <c r="M15" s="61">
        <v>1775.75</v>
      </c>
      <c r="N15" s="62">
        <v>1</v>
      </c>
      <c r="O15" s="38">
        <f>IF(AND(H15="SI",I15="SI")=TRUE,M15*N15,"")</f>
        <v>1775.75</v>
      </c>
      <c r="P15" s="65" t="s">
        <v>69</v>
      </c>
      <c r="Q15" s="11"/>
      <c r="R15" s="5"/>
    </row>
    <row r="16" spans="1:21" s="31" customFormat="1" ht="25.5">
      <c r="A16" s="249"/>
      <c r="B16" s="47" t="s">
        <v>70</v>
      </c>
      <c r="C16" s="63">
        <v>142</v>
      </c>
      <c r="D16" s="82" t="s">
        <v>163</v>
      </c>
      <c r="E16" s="250" t="s">
        <v>164</v>
      </c>
      <c r="F16" s="250"/>
      <c r="G16" s="70" t="s">
        <v>30</v>
      </c>
      <c r="H16" s="70" t="s">
        <v>30</v>
      </c>
      <c r="I16" s="70" t="s">
        <v>30</v>
      </c>
      <c r="J16" s="71" t="s">
        <v>161</v>
      </c>
      <c r="K16" s="59">
        <v>44932</v>
      </c>
      <c r="L16" s="60">
        <v>1447848924</v>
      </c>
      <c r="M16" s="61">
        <v>1334.97</v>
      </c>
      <c r="N16" s="62">
        <v>1</v>
      </c>
      <c r="O16" s="38">
        <f>IF(AND(H16="SI",I16="SI")=TRUE,M16*N16,"")</f>
        <v>1334.97</v>
      </c>
      <c r="P16" s="65" t="s">
        <v>69</v>
      </c>
      <c r="Q16" s="36"/>
      <c r="R16" s="30"/>
    </row>
    <row r="17" spans="1:19" s="6" customFormat="1" ht="18">
      <c r="A17" s="249"/>
      <c r="B17" s="47" t="s">
        <v>74</v>
      </c>
      <c r="C17" s="63">
        <v>144</v>
      </c>
      <c r="D17" s="82" t="s">
        <v>165</v>
      </c>
      <c r="E17" s="250" t="s">
        <v>166</v>
      </c>
      <c r="F17" s="250"/>
      <c r="G17" s="70" t="s">
        <v>30</v>
      </c>
      <c r="H17" s="70" t="s">
        <v>30</v>
      </c>
      <c r="I17" s="70" t="s">
        <v>30</v>
      </c>
      <c r="J17" s="71" t="s">
        <v>161</v>
      </c>
      <c r="K17" s="59" t="s">
        <v>167</v>
      </c>
      <c r="L17" s="60">
        <v>4025703</v>
      </c>
      <c r="M17" s="61">
        <v>4861.2700000000004</v>
      </c>
      <c r="N17" s="62">
        <v>1</v>
      </c>
      <c r="O17" s="38">
        <f>IF(AND(H17="SI",I17="SI")=TRUE,M17*N17,"")</f>
        <v>4861.2700000000004</v>
      </c>
      <c r="P17" s="65" t="s">
        <v>69</v>
      </c>
      <c r="Q17" s="11"/>
      <c r="R17" s="5"/>
    </row>
    <row r="18" spans="1:19" s="6" customFormat="1" ht="25.5">
      <c r="A18" s="249"/>
      <c r="B18" s="47" t="s">
        <v>78</v>
      </c>
      <c r="C18" s="70">
        <v>30</v>
      </c>
      <c r="D18" s="82" t="s">
        <v>168</v>
      </c>
      <c r="E18" s="251" t="s">
        <v>169</v>
      </c>
      <c r="F18" s="251"/>
      <c r="G18" s="70" t="s">
        <v>30</v>
      </c>
      <c r="H18" s="57" t="s">
        <v>30</v>
      </c>
      <c r="I18" s="57" t="s">
        <v>30</v>
      </c>
      <c r="J18" s="71" t="s">
        <v>170</v>
      </c>
      <c r="K18" s="59">
        <v>44082</v>
      </c>
      <c r="L18" s="60" t="s">
        <v>171</v>
      </c>
      <c r="M18" s="61">
        <v>30079.08</v>
      </c>
      <c r="N18" s="62">
        <v>0.4</v>
      </c>
      <c r="O18" s="38">
        <f>IF(AND(H18="SI",I18="SI")=TRUE,M18*N18,"")</f>
        <v>12031.632000000001</v>
      </c>
      <c r="P18" s="65" t="s">
        <v>69</v>
      </c>
      <c r="Q18" s="11"/>
      <c r="R18" s="5"/>
    </row>
    <row r="19" spans="1:19" s="6" customFormat="1" ht="18">
      <c r="A19" s="249"/>
      <c r="B19" s="47" t="s">
        <v>82</v>
      </c>
      <c r="C19" s="70"/>
      <c r="D19" s="70"/>
      <c r="E19" s="251"/>
      <c r="F19" s="251"/>
      <c r="G19" s="70"/>
      <c r="H19" s="57"/>
      <c r="I19" s="57"/>
      <c r="J19" s="57"/>
      <c r="K19" s="84"/>
      <c r="L19" s="59"/>
      <c r="M19" s="60"/>
      <c r="N19" s="61"/>
      <c r="O19" s="38"/>
      <c r="P19" s="65"/>
      <c r="Q19" s="11"/>
      <c r="R19" s="5"/>
    </row>
    <row r="20" spans="1:19" s="6" customFormat="1" ht="18">
      <c r="A20" s="249"/>
      <c r="B20" s="47" t="s">
        <v>83</v>
      </c>
      <c r="C20" s="70"/>
      <c r="D20" s="82"/>
      <c r="E20" s="251"/>
      <c r="F20" s="251"/>
      <c r="G20" s="57"/>
      <c r="H20" s="57"/>
      <c r="I20" s="57"/>
      <c r="J20" s="84"/>
      <c r="K20" s="59"/>
      <c r="L20" s="60"/>
      <c r="M20" s="61"/>
      <c r="N20" s="62"/>
      <c r="O20" s="38" t="str">
        <f t="shared" ref="O20" si="0">IF(AND(H20="SI",I20="SI")=TRUE,M20*N20,"")</f>
        <v/>
      </c>
      <c r="P20" s="65"/>
      <c r="Q20" s="11"/>
      <c r="R20" s="5"/>
    </row>
    <row r="21" spans="1:19" s="6" customFormat="1" ht="26.25">
      <c r="A21" s="252"/>
      <c r="B21" s="253"/>
      <c r="C21" s="253"/>
      <c r="D21" s="253"/>
      <c r="E21" s="253"/>
      <c r="F21" s="253"/>
      <c r="G21" s="253"/>
      <c r="H21" s="253"/>
      <c r="I21" s="253"/>
      <c r="J21" s="254"/>
      <c r="K21" s="255" t="s">
        <v>84</v>
      </c>
      <c r="L21" s="256"/>
      <c r="M21" s="256"/>
      <c r="N21" s="257"/>
      <c r="O21" s="242">
        <f>SUMIF(P15:P20,"CUMPLE",O15:O20)</f>
        <v>20003.622000000003</v>
      </c>
      <c r="P21" s="242"/>
      <c r="Q21" s="11"/>
      <c r="R21" s="5"/>
      <c r="S21" s="44"/>
    </row>
    <row r="22" spans="1:19" s="6" customFormat="1" ht="93" customHeight="1">
      <c r="A22" s="20" t="s">
        <v>85</v>
      </c>
      <c r="B22" s="243" t="s">
        <v>172</v>
      </c>
      <c r="C22" s="243"/>
      <c r="D22" s="243"/>
      <c r="E22" s="243"/>
      <c r="F22" s="243"/>
      <c r="G22" s="243"/>
      <c r="H22" s="243"/>
      <c r="I22" s="243"/>
      <c r="J22" s="243"/>
      <c r="K22" s="243"/>
      <c r="L22" s="243"/>
      <c r="M22" s="243"/>
      <c r="N22" s="243"/>
      <c r="O22" s="243"/>
      <c r="P22" s="243"/>
      <c r="Q22" s="11"/>
      <c r="R22" s="5"/>
    </row>
    <row r="23" spans="1:19" s="54" customFormat="1" ht="26.25">
      <c r="A23" s="258" t="s">
        <v>12</v>
      </c>
      <c r="B23" s="259"/>
      <c r="C23" s="259"/>
      <c r="D23" s="259"/>
      <c r="E23" s="259"/>
      <c r="F23" s="259"/>
      <c r="G23" s="259"/>
      <c r="H23" s="259"/>
      <c r="I23" s="259"/>
      <c r="J23" s="259"/>
      <c r="K23" s="259"/>
      <c r="L23" s="259"/>
      <c r="M23" s="259"/>
      <c r="N23" s="259"/>
      <c r="O23" s="245" t="s">
        <v>50</v>
      </c>
      <c r="P23" s="245"/>
      <c r="Q23" s="52"/>
      <c r="R23" s="53"/>
    </row>
    <row r="24" spans="1:19" s="6" customFormat="1" ht="168.95" customHeight="1">
      <c r="A24" s="260" t="s">
        <v>86</v>
      </c>
      <c r="B24" s="260"/>
      <c r="C24" s="260"/>
      <c r="D24" s="260"/>
      <c r="E24" s="260"/>
      <c r="F24" s="260"/>
      <c r="G24" s="260"/>
      <c r="H24" s="260"/>
      <c r="I24" s="260"/>
      <c r="J24" s="260"/>
      <c r="K24" s="260"/>
      <c r="L24" s="260"/>
      <c r="M24" s="260"/>
      <c r="N24" s="260"/>
      <c r="O24" s="247" t="str">
        <f>IF(AND(O32&gt;=$P$10,O32&lt;&gt;0),"CUMPLE","NO CUMPLE")</f>
        <v>CUMPLE</v>
      </c>
      <c r="P24" s="247"/>
      <c r="Q24" s="12"/>
      <c r="R24" s="5"/>
    </row>
    <row r="25" spans="1:19" s="6" customFormat="1" ht="76.5">
      <c r="A25" s="51" t="s">
        <v>87</v>
      </c>
      <c r="B25" s="81" t="s">
        <v>53</v>
      </c>
      <c r="C25" s="81" t="s">
        <v>54</v>
      </c>
      <c r="D25" s="81" t="s">
        <v>55</v>
      </c>
      <c r="E25" s="248" t="s">
        <v>3</v>
      </c>
      <c r="F25" s="248"/>
      <c r="G25" s="81" t="s">
        <v>88</v>
      </c>
      <c r="H25" s="81" t="s">
        <v>89</v>
      </c>
      <c r="I25" s="81" t="s">
        <v>90</v>
      </c>
      <c r="J25" s="81" t="s">
        <v>58</v>
      </c>
      <c r="K25" s="81" t="s">
        <v>59</v>
      </c>
      <c r="L25" s="81" t="s">
        <v>91</v>
      </c>
      <c r="M25" s="81" t="s">
        <v>61</v>
      </c>
      <c r="N25" s="81" t="s">
        <v>62</v>
      </c>
      <c r="O25" s="81" t="s">
        <v>63</v>
      </c>
      <c r="P25" s="81" t="s">
        <v>64</v>
      </c>
      <c r="Q25" s="9"/>
      <c r="R25" s="10"/>
    </row>
    <row r="26" spans="1:19" s="4" customFormat="1" ht="25.5">
      <c r="A26" s="25">
        <v>1</v>
      </c>
      <c r="B26" s="47" t="s">
        <v>65</v>
      </c>
      <c r="C26" s="63">
        <v>82</v>
      </c>
      <c r="D26" s="63" t="s">
        <v>159</v>
      </c>
      <c r="E26" s="282" t="s">
        <v>160</v>
      </c>
      <c r="F26" s="282"/>
      <c r="G26" s="57" t="s">
        <v>30</v>
      </c>
      <c r="H26" s="57" t="s">
        <v>30</v>
      </c>
      <c r="I26" s="57" t="s">
        <v>30</v>
      </c>
      <c r="J26" s="84" t="s">
        <v>161</v>
      </c>
      <c r="K26" s="59" t="s">
        <v>162</v>
      </c>
      <c r="L26" s="60">
        <v>507164599</v>
      </c>
      <c r="M26" s="61">
        <v>649.17700000000002</v>
      </c>
      <c r="N26" s="62">
        <v>1</v>
      </c>
      <c r="O26" s="38">
        <v>649.17999999999995</v>
      </c>
      <c r="P26" s="65" t="s">
        <v>69</v>
      </c>
      <c r="Q26" s="11"/>
      <c r="R26" s="89"/>
    </row>
    <row r="27" spans="1:19" s="91" customFormat="1" ht="25.5">
      <c r="A27" s="37">
        <v>2</v>
      </c>
      <c r="B27" s="47" t="s">
        <v>70</v>
      </c>
      <c r="C27" s="63">
        <v>142</v>
      </c>
      <c r="D27" s="63" t="s">
        <v>163</v>
      </c>
      <c r="E27" s="292" t="s">
        <v>164</v>
      </c>
      <c r="F27" s="292"/>
      <c r="G27" s="84" t="s">
        <v>30</v>
      </c>
      <c r="H27" s="57" t="s">
        <v>30</v>
      </c>
      <c r="I27" s="84" t="s">
        <v>30</v>
      </c>
      <c r="J27" s="84" t="s">
        <v>161</v>
      </c>
      <c r="K27" s="59">
        <v>44932</v>
      </c>
      <c r="L27" s="60">
        <v>1447848924</v>
      </c>
      <c r="M27" s="61">
        <v>1334.97</v>
      </c>
      <c r="N27" s="62">
        <v>1</v>
      </c>
      <c r="O27" s="38">
        <f t="shared" ref="O27:O28" si="1">IF(AND(H27="SI",I27="SI")=TRUE,M27*N27,"")</f>
        <v>1334.97</v>
      </c>
      <c r="P27" s="65" t="s">
        <v>69</v>
      </c>
      <c r="Q27" s="36"/>
      <c r="R27" s="90"/>
    </row>
    <row r="28" spans="1:19" s="93" customFormat="1" ht="18">
      <c r="A28" s="25">
        <v>3</v>
      </c>
      <c r="B28" s="47" t="s">
        <v>74</v>
      </c>
      <c r="C28" s="84">
        <v>114</v>
      </c>
      <c r="D28" s="84" t="s">
        <v>165</v>
      </c>
      <c r="E28" s="282" t="s">
        <v>166</v>
      </c>
      <c r="F28" s="282"/>
      <c r="G28" s="57" t="s">
        <v>30</v>
      </c>
      <c r="H28" s="57" t="s">
        <v>30</v>
      </c>
      <c r="I28" s="57" t="s">
        <v>30</v>
      </c>
      <c r="J28" s="84" t="s">
        <v>161</v>
      </c>
      <c r="K28" s="59">
        <v>44226</v>
      </c>
      <c r="L28" s="60">
        <v>691105769</v>
      </c>
      <c r="M28" s="61">
        <v>834.55</v>
      </c>
      <c r="N28" s="62">
        <v>1</v>
      </c>
      <c r="O28" s="38">
        <f t="shared" si="1"/>
        <v>834.55</v>
      </c>
      <c r="P28" s="65" t="s">
        <v>69</v>
      </c>
      <c r="Q28" s="11"/>
      <c r="R28" s="92"/>
    </row>
    <row r="29" spans="1:19" s="42" customFormat="1" ht="18">
      <c r="A29" s="37">
        <v>4</v>
      </c>
      <c r="B29" s="47" t="s">
        <v>78</v>
      </c>
      <c r="C29" s="57"/>
      <c r="D29" s="83"/>
      <c r="E29" s="293"/>
      <c r="F29" s="294"/>
      <c r="G29" s="57"/>
      <c r="H29" s="84"/>
      <c r="I29" s="57"/>
      <c r="J29" s="84"/>
      <c r="K29" s="59"/>
      <c r="L29" s="60"/>
      <c r="M29" s="61"/>
      <c r="N29" s="62"/>
      <c r="O29" s="38" t="str">
        <f t="shared" ref="O29:O31" si="2">IF(AND(H29="SI",I29="SI")=TRUE,M29*N29,"")</f>
        <v/>
      </c>
      <c r="P29" s="65"/>
      <c r="Q29" s="36"/>
      <c r="R29" s="41"/>
    </row>
    <row r="30" spans="1:19" s="40" customFormat="1" ht="18" customHeight="1">
      <c r="A30" s="25">
        <v>5</v>
      </c>
      <c r="B30" s="47" t="s">
        <v>82</v>
      </c>
      <c r="C30" s="84"/>
      <c r="D30" s="64"/>
      <c r="E30" s="293"/>
      <c r="F30" s="294"/>
      <c r="G30" s="84"/>
      <c r="H30" s="84"/>
      <c r="I30" s="84"/>
      <c r="J30" s="84"/>
      <c r="K30" s="59"/>
      <c r="L30" s="60"/>
      <c r="M30" s="61"/>
      <c r="N30" s="62"/>
      <c r="O30" s="38" t="str">
        <f t="shared" si="2"/>
        <v/>
      </c>
      <c r="P30" s="65"/>
      <c r="Q30" s="11"/>
      <c r="R30" s="39"/>
    </row>
    <row r="31" spans="1:19" s="6" customFormat="1" ht="18">
      <c r="A31" s="37">
        <v>6</v>
      </c>
      <c r="B31" s="47" t="s">
        <v>83</v>
      </c>
      <c r="C31" s="84"/>
      <c r="D31" s="82"/>
      <c r="E31" s="250"/>
      <c r="F31" s="250"/>
      <c r="G31" s="84"/>
      <c r="H31" s="84"/>
      <c r="I31" s="84"/>
      <c r="J31" s="63"/>
      <c r="K31" s="59"/>
      <c r="L31" s="60"/>
      <c r="M31" s="61"/>
      <c r="N31" s="62"/>
      <c r="O31" s="38" t="str">
        <f t="shared" si="2"/>
        <v/>
      </c>
      <c r="P31" s="65"/>
      <c r="Q31" s="11"/>
      <c r="R31" s="46"/>
    </row>
    <row r="32" spans="1:19" s="6" customFormat="1" ht="26.25">
      <c r="A32" s="252"/>
      <c r="B32" s="253"/>
      <c r="C32" s="253"/>
      <c r="D32" s="253"/>
      <c r="E32" s="253"/>
      <c r="F32" s="253"/>
      <c r="G32" s="253"/>
      <c r="H32" s="253"/>
      <c r="I32" s="253"/>
      <c r="J32" s="254"/>
      <c r="K32" s="255" t="s">
        <v>84</v>
      </c>
      <c r="L32" s="256"/>
      <c r="M32" s="256"/>
      <c r="N32" s="257"/>
      <c r="O32" s="242">
        <f>SUMIF(P26:P31,"CUMPLE",O26:O31)</f>
        <v>2818.7</v>
      </c>
      <c r="P32" s="242"/>
      <c r="Q32" s="13"/>
      <c r="R32" s="5"/>
    </row>
    <row r="33" spans="1:18" s="6" customFormat="1" ht="87" customHeight="1">
      <c r="A33" s="261" t="s">
        <v>85</v>
      </c>
      <c r="B33" s="261"/>
      <c r="C33" s="273" t="s">
        <v>173</v>
      </c>
      <c r="D33" s="273"/>
      <c r="E33" s="273"/>
      <c r="F33" s="273"/>
      <c r="G33" s="273"/>
      <c r="H33" s="273"/>
      <c r="I33" s="273"/>
      <c r="J33" s="273"/>
      <c r="K33" s="273"/>
      <c r="L33" s="273"/>
      <c r="M33" s="273"/>
      <c r="N33" s="273"/>
      <c r="O33" s="273"/>
      <c r="P33" s="273"/>
      <c r="Q33" s="7"/>
      <c r="R33" s="45"/>
    </row>
    <row r="34" spans="1:18" s="6" customFormat="1" ht="26.25">
      <c r="A34" s="207" t="s">
        <v>94</v>
      </c>
      <c r="B34" s="208"/>
      <c r="C34" s="208"/>
      <c r="D34" s="208"/>
      <c r="E34" s="208"/>
      <c r="F34" s="208"/>
      <c r="G34" s="208"/>
      <c r="H34" s="208"/>
      <c r="I34" s="208"/>
      <c r="J34" s="208"/>
      <c r="K34" s="208"/>
      <c r="L34" s="208"/>
      <c r="M34" s="208"/>
      <c r="N34" s="208"/>
      <c r="O34" s="208"/>
      <c r="P34" s="208"/>
      <c r="Q34" s="13"/>
      <c r="R34" s="5"/>
    </row>
    <row r="35" spans="1:18" s="6" customFormat="1" ht="52.5">
      <c r="A35" s="258" t="s">
        <v>13</v>
      </c>
      <c r="B35" s="258"/>
      <c r="C35" s="258"/>
      <c r="D35" s="258"/>
      <c r="E35" s="258"/>
      <c r="F35" s="258"/>
      <c r="G35" s="258"/>
      <c r="H35" s="258"/>
      <c r="I35" s="258"/>
      <c r="J35" s="258"/>
      <c r="K35" s="258"/>
      <c r="L35" s="258"/>
      <c r="M35" s="258"/>
      <c r="N35" s="258"/>
      <c r="O35" s="258"/>
      <c r="P35" s="79" t="s">
        <v>50</v>
      </c>
      <c r="Q35" s="13"/>
      <c r="R35" s="5"/>
    </row>
    <row r="36" spans="1:18" s="6" customFormat="1" ht="74.45" customHeight="1">
      <c r="A36" s="265" t="s">
        <v>95</v>
      </c>
      <c r="B36" s="265"/>
      <c r="C36" s="265"/>
      <c r="D36" s="265"/>
      <c r="E36" s="265"/>
      <c r="F36" s="265"/>
      <c r="G36" s="265"/>
      <c r="H36" s="265"/>
      <c r="I36" s="265"/>
      <c r="J36" s="265"/>
      <c r="K36" s="265"/>
      <c r="L36" s="265"/>
      <c r="M36" s="265"/>
      <c r="N36" s="265"/>
      <c r="O36" s="265"/>
      <c r="P36" s="56" t="s">
        <v>69</v>
      </c>
      <c r="Q36" s="13"/>
      <c r="R36" s="5"/>
    </row>
    <row r="37" spans="1:18" s="6" customFormat="1" ht="35.450000000000003" customHeight="1">
      <c r="A37" s="261" t="s">
        <v>85</v>
      </c>
      <c r="B37" s="261"/>
      <c r="C37" s="266"/>
      <c r="D37" s="266"/>
      <c r="E37" s="266"/>
      <c r="F37" s="266"/>
      <c r="G37" s="266"/>
      <c r="H37" s="266"/>
      <c r="I37" s="266"/>
      <c r="J37" s="266"/>
      <c r="K37" s="266"/>
      <c r="L37" s="266"/>
      <c r="M37" s="266"/>
      <c r="N37" s="266"/>
      <c r="O37" s="266"/>
      <c r="P37" s="266"/>
      <c r="Q37" s="13"/>
      <c r="R37" s="5"/>
    </row>
    <row r="38" spans="1:18" s="6" customFormat="1" ht="52.5">
      <c r="A38" s="267" t="s">
        <v>14</v>
      </c>
      <c r="B38" s="258"/>
      <c r="C38" s="258"/>
      <c r="D38" s="258"/>
      <c r="E38" s="258"/>
      <c r="F38" s="258"/>
      <c r="G38" s="258"/>
      <c r="H38" s="258"/>
      <c r="I38" s="258"/>
      <c r="J38" s="258"/>
      <c r="K38" s="258"/>
      <c r="L38" s="258"/>
      <c r="M38" s="258"/>
      <c r="N38" s="258"/>
      <c r="O38" s="258"/>
      <c r="P38" s="79" t="s">
        <v>50</v>
      </c>
      <c r="Q38" s="13"/>
      <c r="R38" s="5"/>
    </row>
    <row r="39" spans="1:18" s="6" customFormat="1" ht="222.95" customHeight="1">
      <c r="A39" s="263" t="s">
        <v>96</v>
      </c>
      <c r="B39" s="264"/>
      <c r="C39" s="264"/>
      <c r="D39" s="264"/>
      <c r="E39" s="264"/>
      <c r="F39" s="264"/>
      <c r="G39" s="264"/>
      <c r="H39" s="264"/>
      <c r="I39" s="264"/>
      <c r="J39" s="264"/>
      <c r="K39" s="264"/>
      <c r="L39" s="264"/>
      <c r="M39" s="264"/>
      <c r="N39" s="264"/>
      <c r="O39" s="264"/>
      <c r="P39" s="56" t="s">
        <v>69</v>
      </c>
      <c r="Q39" s="13"/>
      <c r="R39" s="5"/>
    </row>
    <row r="40" spans="1:18" s="6" customFormat="1" ht="36.950000000000003" customHeight="1">
      <c r="A40" s="261" t="s">
        <v>85</v>
      </c>
      <c r="B40" s="261"/>
      <c r="C40" s="266"/>
      <c r="D40" s="266"/>
      <c r="E40" s="266"/>
      <c r="F40" s="266"/>
      <c r="G40" s="266"/>
      <c r="H40" s="266"/>
      <c r="I40" s="266"/>
      <c r="J40" s="266"/>
      <c r="K40" s="266"/>
      <c r="L40" s="266"/>
      <c r="M40" s="266"/>
      <c r="N40" s="266"/>
      <c r="O40" s="266"/>
      <c r="P40" s="266"/>
      <c r="Q40" s="13"/>
      <c r="R40" s="5"/>
    </row>
    <row r="41" spans="1:18" s="6" customFormat="1" ht="52.5">
      <c r="A41" s="267" t="s">
        <v>15</v>
      </c>
      <c r="B41" s="258"/>
      <c r="C41" s="258"/>
      <c r="D41" s="258"/>
      <c r="E41" s="258"/>
      <c r="F41" s="258"/>
      <c r="G41" s="258"/>
      <c r="H41" s="258"/>
      <c r="I41" s="258"/>
      <c r="J41" s="258"/>
      <c r="K41" s="258"/>
      <c r="L41" s="258"/>
      <c r="M41" s="258"/>
      <c r="N41" s="258"/>
      <c r="O41" s="258"/>
      <c r="P41" s="79" t="s">
        <v>50</v>
      </c>
      <c r="Q41" s="13"/>
      <c r="R41" s="5"/>
    </row>
    <row r="42" spans="1:18" s="6" customFormat="1" ht="90" customHeight="1">
      <c r="A42" s="263" t="s">
        <v>97</v>
      </c>
      <c r="B42" s="264"/>
      <c r="C42" s="264"/>
      <c r="D42" s="264"/>
      <c r="E42" s="264"/>
      <c r="F42" s="264"/>
      <c r="G42" s="264"/>
      <c r="H42" s="264"/>
      <c r="I42" s="264"/>
      <c r="J42" s="264"/>
      <c r="K42" s="264"/>
      <c r="L42" s="264"/>
      <c r="M42" s="264"/>
      <c r="N42" s="264"/>
      <c r="O42" s="264"/>
      <c r="P42" s="56" t="s">
        <v>111</v>
      </c>
      <c r="Q42" s="13"/>
      <c r="R42" s="5"/>
    </row>
    <row r="43" spans="1:18" s="6" customFormat="1" ht="408" customHeight="1">
      <c r="A43" s="261" t="s">
        <v>85</v>
      </c>
      <c r="B43" s="261"/>
      <c r="C43" s="268" t="s">
        <v>250</v>
      </c>
      <c r="D43" s="268"/>
      <c r="E43" s="268"/>
      <c r="F43" s="268"/>
      <c r="G43" s="268"/>
      <c r="H43" s="268"/>
      <c r="I43" s="268"/>
      <c r="J43" s="268"/>
      <c r="K43" s="268"/>
      <c r="L43" s="268"/>
      <c r="M43" s="268"/>
      <c r="N43" s="268"/>
      <c r="O43" s="268"/>
      <c r="P43" s="268"/>
      <c r="Q43" s="13"/>
      <c r="R43" s="5"/>
    </row>
    <row r="44" spans="1:18" s="6" customFormat="1" ht="52.5">
      <c r="A44" s="267" t="s">
        <v>16</v>
      </c>
      <c r="B44" s="258"/>
      <c r="C44" s="258"/>
      <c r="D44" s="258"/>
      <c r="E44" s="258"/>
      <c r="F44" s="258"/>
      <c r="G44" s="258"/>
      <c r="H44" s="258"/>
      <c r="I44" s="258"/>
      <c r="J44" s="258"/>
      <c r="K44" s="258"/>
      <c r="L44" s="258"/>
      <c r="M44" s="258"/>
      <c r="N44" s="258"/>
      <c r="O44" s="258"/>
      <c r="P44" s="79" t="s">
        <v>50</v>
      </c>
      <c r="Q44" s="13"/>
      <c r="R44" s="5"/>
    </row>
    <row r="45" spans="1:18" s="6" customFormat="1" ht="64.349999999999994" customHeight="1">
      <c r="A45" s="263" t="s">
        <v>98</v>
      </c>
      <c r="B45" s="264"/>
      <c r="C45" s="264"/>
      <c r="D45" s="264"/>
      <c r="E45" s="264"/>
      <c r="F45" s="264"/>
      <c r="G45" s="264"/>
      <c r="H45" s="264"/>
      <c r="I45" s="264"/>
      <c r="J45" s="264"/>
      <c r="K45" s="264"/>
      <c r="L45" s="264"/>
      <c r="M45" s="264"/>
      <c r="N45" s="264"/>
      <c r="O45" s="264"/>
      <c r="P45" s="56" t="s">
        <v>69</v>
      </c>
      <c r="Q45" s="13"/>
      <c r="R45" s="5"/>
    </row>
    <row r="46" spans="1:18" s="6" customFormat="1" ht="36.950000000000003" customHeight="1">
      <c r="A46" s="261" t="s">
        <v>85</v>
      </c>
      <c r="B46" s="261"/>
      <c r="C46" s="266"/>
      <c r="D46" s="266"/>
      <c r="E46" s="266"/>
      <c r="F46" s="266"/>
      <c r="G46" s="266"/>
      <c r="H46" s="266"/>
      <c r="I46" s="266"/>
      <c r="J46" s="266"/>
      <c r="K46" s="266"/>
      <c r="L46" s="266"/>
      <c r="M46" s="266"/>
      <c r="N46" s="266"/>
      <c r="O46" s="266"/>
      <c r="P46" s="266"/>
      <c r="Q46" s="13"/>
      <c r="R46" s="5"/>
    </row>
    <row r="47" spans="1:18" s="6" customFormat="1" ht="52.5">
      <c r="A47" s="267" t="s">
        <v>17</v>
      </c>
      <c r="B47" s="258"/>
      <c r="C47" s="258"/>
      <c r="D47" s="258"/>
      <c r="E47" s="258"/>
      <c r="F47" s="258"/>
      <c r="G47" s="258"/>
      <c r="H47" s="258"/>
      <c r="I47" s="258"/>
      <c r="J47" s="258"/>
      <c r="K47" s="258"/>
      <c r="L47" s="258"/>
      <c r="M47" s="258"/>
      <c r="N47" s="258"/>
      <c r="O47" s="258"/>
      <c r="P47" s="79" t="s">
        <v>50</v>
      </c>
      <c r="Q47" s="13"/>
      <c r="R47" s="5"/>
    </row>
    <row r="48" spans="1:18" s="6" customFormat="1" ht="141" customHeight="1">
      <c r="A48" s="263" t="s">
        <v>99</v>
      </c>
      <c r="B48" s="264"/>
      <c r="C48" s="264"/>
      <c r="D48" s="264"/>
      <c r="E48" s="264"/>
      <c r="F48" s="264"/>
      <c r="G48" s="264"/>
      <c r="H48" s="264"/>
      <c r="I48" s="264"/>
      <c r="J48" s="264"/>
      <c r="K48" s="264"/>
      <c r="L48" s="264"/>
      <c r="M48" s="264"/>
      <c r="N48" s="264"/>
      <c r="O48" s="264"/>
      <c r="P48" s="56" t="s">
        <v>69</v>
      </c>
      <c r="Q48" s="13"/>
      <c r="R48" s="5"/>
    </row>
    <row r="49" spans="1:18" s="6" customFormat="1" ht="36.950000000000003" customHeight="1">
      <c r="A49" s="261" t="s">
        <v>85</v>
      </c>
      <c r="B49" s="261"/>
      <c r="C49" s="266"/>
      <c r="D49" s="266"/>
      <c r="E49" s="266"/>
      <c r="F49" s="266"/>
      <c r="G49" s="266"/>
      <c r="H49" s="266"/>
      <c r="I49" s="266"/>
      <c r="J49" s="266"/>
      <c r="K49" s="266"/>
      <c r="L49" s="266"/>
      <c r="M49" s="266"/>
      <c r="N49" s="266"/>
      <c r="O49" s="266"/>
      <c r="P49" s="266"/>
      <c r="Q49" s="13"/>
      <c r="R49" s="5"/>
    </row>
    <row r="50" spans="1:18" customFormat="1" ht="206.45" customHeight="1">
      <c r="A50" s="270"/>
      <c r="B50" s="270"/>
      <c r="C50" s="270"/>
      <c r="D50" s="270"/>
      <c r="E50" s="270"/>
      <c r="F50" s="270"/>
      <c r="G50" s="270"/>
      <c r="H50" s="270"/>
      <c r="I50" s="270"/>
      <c r="J50" s="270"/>
      <c r="K50" s="270"/>
      <c r="L50" s="270"/>
      <c r="M50" s="270"/>
      <c r="N50" s="270"/>
      <c r="O50" s="270"/>
      <c r="P50" s="270"/>
    </row>
    <row r="51" spans="1:18" s="6" customFormat="1" ht="26.25">
      <c r="A51" s="258" t="s">
        <v>101</v>
      </c>
      <c r="B51" s="258"/>
      <c r="C51" s="258"/>
      <c r="D51" s="258"/>
      <c r="E51" s="258"/>
      <c r="F51" s="258"/>
      <c r="G51" s="258"/>
      <c r="H51" s="258"/>
      <c r="I51" s="258"/>
      <c r="J51" s="258"/>
      <c r="K51" s="258"/>
      <c r="L51" s="258"/>
      <c r="M51" s="258"/>
      <c r="N51" s="258"/>
      <c r="O51" s="258"/>
      <c r="P51" s="79" t="s">
        <v>102</v>
      </c>
      <c r="Q51" s="13"/>
      <c r="R51" s="5"/>
    </row>
    <row r="52" spans="1:18" s="6" customFormat="1" ht="66" customHeight="1">
      <c r="A52" s="271" t="s">
        <v>103</v>
      </c>
      <c r="B52" s="271"/>
      <c r="C52" s="271"/>
      <c r="D52" s="271"/>
      <c r="E52" s="271"/>
      <c r="F52" s="271"/>
      <c r="G52" s="271"/>
      <c r="H52" s="271"/>
      <c r="I52" s="271"/>
      <c r="J52" s="271"/>
      <c r="K52" s="271"/>
      <c r="L52" s="271"/>
      <c r="M52" s="271"/>
      <c r="N52" s="271"/>
      <c r="O52" s="271"/>
      <c r="P52" s="56">
        <v>10</v>
      </c>
      <c r="Q52" s="13"/>
      <c r="R52" s="5"/>
    </row>
    <row r="53" spans="1:18" s="6" customFormat="1" ht="36.75" customHeight="1">
      <c r="A53" s="271" t="s">
        <v>104</v>
      </c>
      <c r="B53" s="271"/>
      <c r="C53" s="271"/>
      <c r="D53" s="271"/>
      <c r="E53" s="271"/>
      <c r="F53" s="271"/>
      <c r="G53" s="271"/>
      <c r="H53" s="271"/>
      <c r="I53" s="271"/>
      <c r="J53" s="271"/>
      <c r="K53" s="271"/>
      <c r="L53" s="271"/>
      <c r="M53" s="271"/>
      <c r="N53" s="271"/>
      <c r="O53" s="271"/>
      <c r="P53" s="56">
        <v>5</v>
      </c>
      <c r="Q53" s="13"/>
      <c r="R53" s="5"/>
    </row>
    <row r="54" spans="1:18" s="6" customFormat="1" ht="36.75" customHeight="1">
      <c r="A54" s="271" t="s">
        <v>105</v>
      </c>
      <c r="B54" s="271"/>
      <c r="C54" s="271"/>
      <c r="D54" s="271"/>
      <c r="E54" s="271"/>
      <c r="F54" s="271"/>
      <c r="G54" s="271"/>
      <c r="H54" s="271"/>
      <c r="I54" s="271"/>
      <c r="J54" s="271"/>
      <c r="K54" s="271"/>
      <c r="L54" s="271"/>
      <c r="M54" s="271"/>
      <c r="N54" s="271"/>
      <c r="O54" s="271"/>
      <c r="P54" s="56">
        <v>3.75</v>
      </c>
      <c r="Q54" s="13"/>
      <c r="R54" s="5"/>
    </row>
    <row r="55" spans="1:18" s="6" customFormat="1" ht="26.25">
      <c r="A55" s="269" t="s">
        <v>106</v>
      </c>
      <c r="B55" s="269"/>
      <c r="C55" s="269"/>
      <c r="D55" s="269"/>
      <c r="E55" s="269"/>
      <c r="F55" s="269"/>
      <c r="G55" s="269"/>
      <c r="H55" s="269"/>
      <c r="I55" s="269"/>
      <c r="J55" s="269"/>
      <c r="K55" s="269"/>
      <c r="L55" s="269"/>
      <c r="M55" s="269"/>
      <c r="N55" s="269"/>
      <c r="O55" s="269"/>
      <c r="P55" s="80">
        <f>SUM(P52:P54)</f>
        <v>18.75</v>
      </c>
      <c r="Q55" s="13"/>
      <c r="R55" s="5"/>
    </row>
    <row r="56" spans="1:18" s="6" customFormat="1" ht="48" customHeight="1">
      <c r="A56" s="261" t="s">
        <v>85</v>
      </c>
      <c r="B56" s="261"/>
      <c r="C56" s="273"/>
      <c r="D56" s="273"/>
      <c r="E56" s="273"/>
      <c r="F56" s="273"/>
      <c r="G56" s="273"/>
      <c r="H56" s="273"/>
      <c r="I56" s="273"/>
      <c r="J56" s="273"/>
      <c r="K56" s="273"/>
      <c r="L56" s="273"/>
      <c r="M56" s="273"/>
      <c r="N56" s="273"/>
      <c r="O56" s="273"/>
      <c r="P56" s="273"/>
      <c r="Q56" s="7"/>
      <c r="R56" s="5"/>
    </row>
    <row r="57" spans="1:18" s="6" customFormat="1" ht="26.25">
      <c r="A57" s="258" t="s">
        <v>19</v>
      </c>
      <c r="B57" s="258"/>
      <c r="C57" s="258"/>
      <c r="D57" s="258"/>
      <c r="E57" s="258"/>
      <c r="F57" s="258"/>
      <c r="G57" s="258"/>
      <c r="H57" s="258"/>
      <c r="I57" s="258"/>
      <c r="J57" s="258"/>
      <c r="K57" s="258"/>
      <c r="L57" s="258"/>
      <c r="M57" s="258"/>
      <c r="N57" s="258"/>
      <c r="O57" s="258"/>
      <c r="P57" s="79" t="s">
        <v>102</v>
      </c>
      <c r="Q57" s="7"/>
      <c r="R57" s="5"/>
    </row>
    <row r="58" spans="1:18" s="6" customFormat="1" ht="223.35" customHeight="1">
      <c r="A58" s="274" t="s">
        <v>107</v>
      </c>
      <c r="B58" s="274"/>
      <c r="C58" s="274"/>
      <c r="D58" s="274"/>
      <c r="E58" s="274"/>
      <c r="F58" s="274"/>
      <c r="G58" s="274"/>
      <c r="H58" s="274"/>
      <c r="I58" s="274"/>
      <c r="J58" s="274"/>
      <c r="K58" s="274"/>
      <c r="L58" s="274"/>
      <c r="M58" s="274"/>
      <c r="N58" s="274"/>
      <c r="O58" s="274"/>
      <c r="P58" s="56">
        <v>10</v>
      </c>
      <c r="Q58" s="7"/>
      <c r="R58" s="5"/>
    </row>
    <row r="59" spans="1:18" s="6" customFormat="1" ht="48" customHeight="1">
      <c r="A59" s="261" t="s">
        <v>85</v>
      </c>
      <c r="B59" s="261"/>
      <c r="C59" s="273"/>
      <c r="D59" s="273"/>
      <c r="E59" s="273"/>
      <c r="F59" s="273"/>
      <c r="G59" s="273"/>
      <c r="H59" s="273"/>
      <c r="I59" s="273"/>
      <c r="J59" s="273"/>
      <c r="K59" s="273"/>
      <c r="L59" s="273"/>
      <c r="M59" s="273"/>
      <c r="N59" s="273"/>
      <c r="O59" s="273"/>
      <c r="P59" s="273"/>
      <c r="Q59" s="7"/>
      <c r="R59" s="5"/>
    </row>
    <row r="60" spans="1:18" s="6" customFormat="1" ht="44.25" customHeight="1">
      <c r="A60" s="275" t="s">
        <v>20</v>
      </c>
      <c r="B60" s="275"/>
      <c r="C60" s="275"/>
      <c r="D60" s="275"/>
      <c r="E60" s="275"/>
      <c r="F60" s="275"/>
      <c r="G60" s="275"/>
      <c r="H60" s="275"/>
      <c r="I60" s="275"/>
      <c r="J60" s="275"/>
      <c r="K60" s="275"/>
      <c r="L60" s="275"/>
      <c r="M60" s="275"/>
      <c r="N60" s="275"/>
      <c r="O60" s="275"/>
      <c r="P60" s="79" t="s">
        <v>102</v>
      </c>
      <c r="Q60" s="14"/>
      <c r="R60" s="5"/>
    </row>
    <row r="61" spans="1:18" s="6" customFormat="1" ht="270" customHeight="1">
      <c r="A61" s="274" t="s">
        <v>108</v>
      </c>
      <c r="B61" s="274"/>
      <c r="C61" s="274"/>
      <c r="D61" s="274"/>
      <c r="E61" s="274"/>
      <c r="F61" s="274"/>
      <c r="G61" s="274"/>
      <c r="H61" s="274"/>
      <c r="I61" s="274"/>
      <c r="J61" s="274"/>
      <c r="K61" s="274"/>
      <c r="L61" s="274"/>
      <c r="M61" s="274"/>
      <c r="N61" s="274"/>
      <c r="O61" s="274"/>
      <c r="P61" s="56">
        <v>0</v>
      </c>
      <c r="Q61" s="15"/>
      <c r="R61" s="5"/>
    </row>
    <row r="62" spans="1:18" s="6" customFormat="1" ht="65.45" customHeight="1">
      <c r="A62" s="261" t="s">
        <v>85</v>
      </c>
      <c r="B62" s="261"/>
      <c r="C62" s="273"/>
      <c r="D62" s="273"/>
      <c r="E62" s="273"/>
      <c r="F62" s="273"/>
      <c r="G62" s="273"/>
      <c r="H62" s="273"/>
      <c r="I62" s="273"/>
      <c r="J62" s="273"/>
      <c r="K62" s="273"/>
      <c r="L62" s="273"/>
      <c r="M62" s="273"/>
      <c r="N62" s="273"/>
      <c r="O62" s="273"/>
      <c r="P62" s="273"/>
      <c r="Q62" s="7"/>
      <c r="R62" s="5"/>
    </row>
    <row r="63" spans="1:18" s="6" customFormat="1" ht="26.25">
      <c r="A63" s="258" t="s">
        <v>21</v>
      </c>
      <c r="B63" s="258"/>
      <c r="C63" s="258"/>
      <c r="D63" s="258"/>
      <c r="E63" s="258"/>
      <c r="F63" s="258"/>
      <c r="G63" s="258"/>
      <c r="H63" s="258"/>
      <c r="I63" s="258"/>
      <c r="J63" s="258"/>
      <c r="K63" s="258"/>
      <c r="L63" s="258"/>
      <c r="M63" s="258"/>
      <c r="N63" s="258"/>
      <c r="O63" s="258"/>
      <c r="P63" s="79" t="s">
        <v>102</v>
      </c>
      <c r="Q63" s="4"/>
      <c r="R63" s="5"/>
    </row>
    <row r="64" spans="1:18" s="6" customFormat="1" ht="166.7" customHeight="1">
      <c r="A64" s="272" t="s">
        <v>109</v>
      </c>
      <c r="B64" s="272"/>
      <c r="C64" s="272"/>
      <c r="D64" s="272"/>
      <c r="E64" s="272"/>
      <c r="F64" s="272"/>
      <c r="G64" s="272"/>
      <c r="H64" s="272"/>
      <c r="I64" s="272"/>
      <c r="J64" s="272"/>
      <c r="K64" s="272"/>
      <c r="L64" s="272"/>
      <c r="M64" s="272"/>
      <c r="N64" s="272"/>
      <c r="O64" s="272"/>
      <c r="P64" s="56">
        <v>0</v>
      </c>
      <c r="Q64" s="14"/>
      <c r="R64" s="5"/>
    </row>
    <row r="65" spans="1:18" s="6" customFormat="1" ht="56.45" customHeight="1">
      <c r="A65" s="261" t="s">
        <v>85</v>
      </c>
      <c r="B65" s="261"/>
      <c r="C65" s="273"/>
      <c r="D65" s="273"/>
      <c r="E65" s="273"/>
      <c r="F65" s="273"/>
      <c r="G65" s="273"/>
      <c r="H65" s="273"/>
      <c r="I65" s="273"/>
      <c r="J65" s="273"/>
      <c r="K65" s="273"/>
      <c r="L65" s="273"/>
      <c r="M65" s="273"/>
      <c r="N65" s="273"/>
      <c r="O65" s="273"/>
      <c r="P65" s="273"/>
      <c r="Q65" s="14"/>
      <c r="R65" s="5"/>
    </row>
    <row r="66" spans="1:18" s="31" customFormat="1" ht="26.25">
      <c r="A66" s="277" t="s">
        <v>22</v>
      </c>
      <c r="B66" s="278"/>
      <c r="C66" s="278"/>
      <c r="D66" s="278"/>
      <c r="E66" s="278"/>
      <c r="F66" s="278"/>
      <c r="G66" s="278"/>
      <c r="H66" s="278"/>
      <c r="I66" s="278"/>
      <c r="J66" s="278"/>
      <c r="K66" s="278"/>
      <c r="L66" s="278"/>
      <c r="M66" s="278"/>
      <c r="N66" s="278"/>
      <c r="O66" s="279"/>
      <c r="P66" s="79" t="s">
        <v>102</v>
      </c>
      <c r="Q66" s="14"/>
      <c r="R66" s="30"/>
    </row>
    <row r="67" spans="1:18" s="31" customFormat="1" ht="149.44999999999999" customHeight="1">
      <c r="A67" s="280" t="s">
        <v>110</v>
      </c>
      <c r="B67" s="280"/>
      <c r="C67" s="280"/>
      <c r="D67" s="280"/>
      <c r="E67" s="280"/>
      <c r="F67" s="280"/>
      <c r="G67" s="280"/>
      <c r="H67" s="280"/>
      <c r="I67" s="280"/>
      <c r="J67" s="280"/>
      <c r="K67" s="280"/>
      <c r="L67" s="280"/>
      <c r="M67" s="280"/>
      <c r="N67" s="280"/>
      <c r="O67" s="280"/>
      <c r="P67" s="56">
        <v>0.25</v>
      </c>
      <c r="Q67" s="14"/>
      <c r="R67" s="30"/>
    </row>
    <row r="68" spans="1:18" s="6" customFormat="1" ht="64.5" customHeight="1">
      <c r="A68" s="261" t="s">
        <v>85</v>
      </c>
      <c r="B68" s="261"/>
      <c r="C68" s="273"/>
      <c r="D68" s="273"/>
      <c r="E68" s="273"/>
      <c r="F68" s="273"/>
      <c r="G68" s="273"/>
      <c r="H68" s="273"/>
      <c r="I68" s="273"/>
      <c r="J68" s="273"/>
      <c r="K68" s="273"/>
      <c r="L68" s="273"/>
      <c r="M68" s="273"/>
      <c r="N68" s="273"/>
      <c r="O68" s="273"/>
      <c r="P68" s="273"/>
      <c r="Q68" s="14"/>
      <c r="R68" s="5"/>
    </row>
    <row r="69" spans="1:18" s="6" customFormat="1" ht="26.25">
      <c r="A69" s="276" t="s">
        <v>106</v>
      </c>
      <c r="B69" s="276"/>
      <c r="C69" s="276"/>
      <c r="D69" s="276"/>
      <c r="E69" s="276"/>
      <c r="F69" s="276"/>
      <c r="G69" s="276"/>
      <c r="H69" s="276"/>
      <c r="I69" s="276"/>
      <c r="J69" s="276"/>
      <c r="K69" s="276"/>
      <c r="L69" s="276"/>
      <c r="M69" s="276"/>
      <c r="N69" s="276"/>
      <c r="O69" s="276"/>
      <c r="P69" s="55">
        <f>SUM(P55,P58,P61,P64,P67)</f>
        <v>29</v>
      </c>
      <c r="Q69" s="14"/>
      <c r="R69" s="5"/>
    </row>
    <row r="70" spans="1:18" s="6" customFormat="1" ht="14.25" customHeight="1">
      <c r="Q70" s="4"/>
      <c r="R70" s="5"/>
    </row>
    <row r="71" spans="1:18" s="6" customFormat="1" ht="14.25" customHeight="1">
      <c r="Q71" s="4"/>
      <c r="R71" s="5"/>
    </row>
    <row r="72" spans="1:18" s="6" customFormat="1" ht="14.25" customHeight="1">
      <c r="Q72" s="4"/>
      <c r="R72" s="5"/>
    </row>
    <row r="73" spans="1:18" s="6" customFormat="1" ht="14.25" customHeight="1">
      <c r="Q73" s="4"/>
      <c r="R73" s="5"/>
    </row>
    <row r="74" spans="1:18" s="6" customFormat="1" ht="14.25" customHeight="1">
      <c r="C74" s="5"/>
      <c r="Q74" s="4"/>
      <c r="R74" s="5"/>
    </row>
    <row r="75" spans="1:18" s="6" customFormat="1" ht="14.25" customHeight="1">
      <c r="C75" s="5"/>
      <c r="Q75" s="4"/>
      <c r="R75" s="5"/>
    </row>
    <row r="76" spans="1:18" s="6" customFormat="1" ht="14.25" customHeight="1">
      <c r="Q76" s="4"/>
      <c r="R76" s="5"/>
    </row>
    <row r="77" spans="1:18" s="6" customFormat="1" ht="14.25" customHeight="1">
      <c r="C77" s="5"/>
      <c r="Q77" s="4"/>
      <c r="R77" s="5"/>
    </row>
    <row r="78" spans="1:18" s="6" customFormat="1" ht="14.25" customHeight="1">
      <c r="Q78" s="4"/>
      <c r="R78" s="5"/>
    </row>
    <row r="79" spans="1:18" s="6" customFormat="1" ht="14.25" customHeight="1">
      <c r="C79" s="5"/>
      <c r="Q79" s="4"/>
      <c r="R79" s="5"/>
    </row>
    <row r="80" spans="1:18" s="6" customFormat="1" ht="14.25" customHeight="1">
      <c r="Q80" s="4"/>
      <c r="R80" s="5"/>
    </row>
    <row r="81" spans="5:18" s="6" customFormat="1" ht="14.25" customHeight="1">
      <c r="Q81" s="4"/>
      <c r="R81" s="5"/>
    </row>
    <row r="82" spans="5:18" s="6" customFormat="1" ht="14.25" customHeight="1">
      <c r="Q82" s="4"/>
      <c r="R82" s="5"/>
    </row>
    <row r="83" spans="5:18" s="6" customFormat="1" ht="14.25" customHeight="1">
      <c r="Q83" s="4"/>
      <c r="R83" s="5"/>
    </row>
    <row r="84" spans="5:18" s="6" customFormat="1" ht="14.25" customHeight="1">
      <c r="Q84" s="4"/>
      <c r="R84" s="5"/>
    </row>
    <row r="85" spans="5:18" s="6" customFormat="1" ht="14.25" customHeight="1">
      <c r="E85" s="50"/>
      <c r="F85" s="50"/>
      <c r="Q85" s="4"/>
      <c r="R85" s="5"/>
    </row>
    <row r="86" spans="5:18" s="6" customFormat="1" ht="14.25" customHeight="1">
      <c r="E86" s="50"/>
      <c r="F86" s="50"/>
      <c r="Q86" s="4"/>
      <c r="R86" s="5"/>
    </row>
    <row r="87" spans="5:18" ht="14.25" customHeight="1">
      <c r="E87" s="50"/>
      <c r="F87" s="50"/>
    </row>
    <row r="88" spans="5:18" ht="14.25" customHeight="1">
      <c r="E88" s="50"/>
      <c r="F88" s="50"/>
    </row>
    <row r="89" spans="5:18" ht="14.25" customHeight="1"/>
    <row r="90" spans="5:18" ht="14.25" customHeight="1"/>
    <row r="91" spans="5:18" ht="14.25" customHeight="1"/>
    <row r="92" spans="5:18" ht="14.25" customHeight="1"/>
    <row r="93" spans="5:18" ht="14.25" customHeight="1"/>
    <row r="94" spans="5:18" ht="14.25" customHeight="1"/>
    <row r="95" spans="5:18" ht="14.25" customHeight="1"/>
    <row r="96" spans="5:18"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sheetData>
  <mergeCells count="94">
    <mergeCell ref="A64:O64"/>
    <mergeCell ref="A56:B56"/>
    <mergeCell ref="C56:P56"/>
    <mergeCell ref="A57:O57"/>
    <mergeCell ref="A58:O58"/>
    <mergeCell ref="A59:B59"/>
    <mergeCell ref="C59:P59"/>
    <mergeCell ref="A60:O60"/>
    <mergeCell ref="A61:O61"/>
    <mergeCell ref="A62:B62"/>
    <mergeCell ref="C62:P62"/>
    <mergeCell ref="A63:O63"/>
    <mergeCell ref="A69:O69"/>
    <mergeCell ref="A65:B65"/>
    <mergeCell ref="C65:P65"/>
    <mergeCell ref="A66:O66"/>
    <mergeCell ref="A67:O67"/>
    <mergeCell ref="A68:B68"/>
    <mergeCell ref="C68:P68"/>
    <mergeCell ref="A55:O55"/>
    <mergeCell ref="A46:B46"/>
    <mergeCell ref="C46:P46"/>
    <mergeCell ref="A47:O47"/>
    <mergeCell ref="A48:O48"/>
    <mergeCell ref="A49:B49"/>
    <mergeCell ref="C49:P49"/>
    <mergeCell ref="A50:P50"/>
    <mergeCell ref="A51:O51"/>
    <mergeCell ref="A52:O52"/>
    <mergeCell ref="A53:O53"/>
    <mergeCell ref="A54:O54"/>
    <mergeCell ref="A45:O45"/>
    <mergeCell ref="A36:O36"/>
    <mergeCell ref="A37:B37"/>
    <mergeCell ref="C37:P37"/>
    <mergeCell ref="A38:O38"/>
    <mergeCell ref="A39:O39"/>
    <mergeCell ref="A40:B40"/>
    <mergeCell ref="C40:P40"/>
    <mergeCell ref="A41:O41"/>
    <mergeCell ref="A42:O42"/>
    <mergeCell ref="A43:B43"/>
    <mergeCell ref="C43:P43"/>
    <mergeCell ref="A44:O44"/>
    <mergeCell ref="O23:P23"/>
    <mergeCell ref="A24:N24"/>
    <mergeCell ref="O24:P24"/>
    <mergeCell ref="E25:F25"/>
    <mergeCell ref="A35:O35"/>
    <mergeCell ref="E27:F27"/>
    <mergeCell ref="E28:F28"/>
    <mergeCell ref="E29:F29"/>
    <mergeCell ref="E30:F30"/>
    <mergeCell ref="E31:F31"/>
    <mergeCell ref="A32:J32"/>
    <mergeCell ref="K32:N32"/>
    <mergeCell ref="O32:P32"/>
    <mergeCell ref="A33:B33"/>
    <mergeCell ref="C33:P33"/>
    <mergeCell ref="A34:P34"/>
    <mergeCell ref="E26:F26"/>
    <mergeCell ref="E20:F20"/>
    <mergeCell ref="A21:J21"/>
    <mergeCell ref="K21:N21"/>
    <mergeCell ref="A23:N23"/>
    <mergeCell ref="O21:P21"/>
    <mergeCell ref="B22:P22"/>
    <mergeCell ref="A12:N12"/>
    <mergeCell ref="O12:P12"/>
    <mergeCell ref="A13:N13"/>
    <mergeCell ref="O13:P13"/>
    <mergeCell ref="E14:F14"/>
    <mergeCell ref="A15:A20"/>
    <mergeCell ref="E19:F19"/>
    <mergeCell ref="E15:F15"/>
    <mergeCell ref="E16:F16"/>
    <mergeCell ref="E17:F17"/>
    <mergeCell ref="E18:F18"/>
    <mergeCell ref="A11:P11"/>
    <mergeCell ref="A1:P1"/>
    <mergeCell ref="A2:P2"/>
    <mergeCell ref="A3:P3"/>
    <mergeCell ref="A4:A9"/>
    <mergeCell ref="B4:I9"/>
    <mergeCell ref="J4:O4"/>
    <mergeCell ref="J5:O5"/>
    <mergeCell ref="J6:O6"/>
    <mergeCell ref="J7:O7"/>
    <mergeCell ref="J8:O8"/>
    <mergeCell ref="J9:O9"/>
    <mergeCell ref="B10:C10"/>
    <mergeCell ref="D10:I10"/>
    <mergeCell ref="J10:K10"/>
    <mergeCell ref="L10:M10"/>
  </mergeCells>
  <conditionalFormatting sqref="P15:P20">
    <cfRule type="expression" dxfId="29" priority="6">
      <formula>$P15="NO CUMPLE"</formula>
    </cfRule>
  </conditionalFormatting>
  <conditionalFormatting sqref="P26:P31">
    <cfRule type="expression" dxfId="28" priority="7">
      <formula>$P26="NO CUMPLE"</formula>
    </cfRule>
  </conditionalFormatting>
  <conditionalFormatting sqref="P36">
    <cfRule type="expression" dxfId="27" priority="9">
      <formula>$P36="NO CUMPLE"</formula>
    </cfRule>
  </conditionalFormatting>
  <conditionalFormatting sqref="P39">
    <cfRule type="expression" dxfId="26" priority="8">
      <formula>$P39="NO CUMPLE"</formula>
    </cfRule>
  </conditionalFormatting>
  <conditionalFormatting sqref="P45">
    <cfRule type="expression" dxfId="25" priority="4">
      <formula>$P45="NO CUMPLE"</formula>
    </cfRule>
  </conditionalFormatting>
  <conditionalFormatting sqref="P48">
    <cfRule type="expression" dxfId="24" priority="3">
      <formula>$P48="NO CUMPLE"</formula>
    </cfRule>
  </conditionalFormatting>
  <conditionalFormatting sqref="P42">
    <cfRule type="cellIs" dxfId="23" priority="1" operator="equal">
      <formula>"RECHAZADO"</formula>
    </cfRule>
    <cfRule type="expression" dxfId="22" priority="2">
      <formula>$P42="NO CUMPLE"</formula>
    </cfRule>
  </conditionalFormatting>
  <dataValidations count="3">
    <dataValidation type="list" allowBlank="1" showInputMessage="1" showErrorMessage="1" sqref="P36 P39 P26:P31 P15:P20 P48 P45" xr:uid="{32D53D9D-D834-401B-880F-273E1E7206CE}">
      <formula1>"CUMPLE,NO CUMPLE"</formula1>
    </dataValidation>
    <dataValidation type="list" allowBlank="1" showInputMessage="1" showErrorMessage="1" sqref="I27:I31 G27:G31 G26:I26 I20 J18:J19 H18:H19 H15:J17 G15:G20 H27:H28" xr:uid="{33A1A14B-C8A9-4CAE-8846-B974ACAEF024}">
      <formula1>"SI,NO"</formula1>
    </dataValidation>
    <dataValidation type="list" allowBlank="1" showInputMessage="1" showErrorMessage="1" sqref="P42" xr:uid="{E2972007-1664-4737-983B-1C58F67940EF}">
      <formula1>"CUMPLE,NO CUMPLE,RECHAZADO"</formula1>
    </dataValidation>
  </dataValidations>
  <pageMargins left="0.11811023622047245" right="0.11811023622047245" top="0.27559055118110237" bottom="0.23622047244094491" header="0" footer="0"/>
  <pageSetup paperSize="9" scale="4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962AD-A075-4D40-AD78-A6BFDCF778A7}">
  <sheetPr>
    <tabColor rgb="FF50F828"/>
  </sheetPr>
  <dimension ref="A1:U994"/>
  <sheetViews>
    <sheetView topLeftCell="A45" zoomScale="61" zoomScaleNormal="40" workbookViewId="0">
      <selection activeCell="O32" sqref="O32:P32"/>
    </sheetView>
  </sheetViews>
  <sheetFormatPr baseColWidth="10" defaultColWidth="14.5703125" defaultRowHeight="15" customHeight="1"/>
  <cols>
    <col min="1" max="1" width="17.42578125" style="3" customWidth="1"/>
    <col min="2" max="2" width="12.7109375" style="3" customWidth="1"/>
    <col min="3" max="3" width="15.85546875" style="3" customWidth="1"/>
    <col min="4" max="4" width="24.140625" style="3" customWidth="1"/>
    <col min="5" max="5" width="52.140625" style="3" customWidth="1"/>
    <col min="6" max="6" width="49.5703125" style="3" customWidth="1"/>
    <col min="7" max="7" width="15.28515625" style="3" customWidth="1"/>
    <col min="8" max="8" width="13.140625" style="3" customWidth="1"/>
    <col min="9" max="9" width="15.42578125" style="3" customWidth="1"/>
    <col min="10" max="10" width="27.42578125" style="3" customWidth="1"/>
    <col min="11" max="11" width="19.140625" style="3" customWidth="1"/>
    <col min="12" max="12" width="20.28515625" style="3" bestFit="1" customWidth="1"/>
    <col min="13" max="13" width="23.5703125" style="3" bestFit="1" customWidth="1"/>
    <col min="14" max="14" width="15.42578125" style="3" customWidth="1"/>
    <col min="15" max="15" width="14.85546875" style="3" customWidth="1"/>
    <col min="16" max="16" width="26" style="3" customWidth="1"/>
    <col min="17" max="17" width="6.140625" style="1" bestFit="1" customWidth="1"/>
    <col min="18" max="18" width="10" style="2" bestFit="1" customWidth="1"/>
    <col min="19" max="16384" width="14.5703125" style="3"/>
  </cols>
  <sheetData>
    <row r="1" spans="1:21" ht="25.5">
      <c r="A1" s="209" t="s">
        <v>38</v>
      </c>
      <c r="B1" s="210"/>
      <c r="C1" s="210"/>
      <c r="D1" s="210"/>
      <c r="E1" s="210"/>
      <c r="F1" s="210"/>
      <c r="G1" s="210"/>
      <c r="H1" s="210"/>
      <c r="I1" s="210"/>
      <c r="J1" s="210"/>
      <c r="K1" s="210"/>
      <c r="L1" s="210"/>
      <c r="M1" s="210"/>
      <c r="N1" s="210"/>
      <c r="O1" s="210"/>
      <c r="P1" s="211"/>
    </row>
    <row r="2" spans="1:21" ht="25.5">
      <c r="A2" s="212" t="str">
        <f>+RESUMEN!C5</f>
        <v>24001216 H3 DE 2024</v>
      </c>
      <c r="B2" s="213"/>
      <c r="C2" s="213"/>
      <c r="D2" s="213"/>
      <c r="E2" s="213"/>
      <c r="F2" s="213"/>
      <c r="G2" s="213"/>
      <c r="H2" s="213"/>
      <c r="I2" s="213"/>
      <c r="J2" s="213"/>
      <c r="K2" s="213"/>
      <c r="L2" s="213"/>
      <c r="M2" s="213"/>
      <c r="N2" s="213"/>
      <c r="O2" s="213"/>
      <c r="P2" s="214"/>
    </row>
    <row r="3" spans="1:21" ht="60" customHeight="1">
      <c r="A3" s="215" t="str">
        <f>+RESUMEN!G5</f>
        <v>REALIZAR MANTENIMIENTO A LOS SISTEMAS UPS DEL CENTRO DE GESTION AERONAUTICA
DE COLOMBIA CGAC, INCLUYE RENOVAR BANCOS DE BATERÍAS POR LOTES. (VIGENCIA FUTURA).</v>
      </c>
      <c r="B3" s="216"/>
      <c r="C3" s="216"/>
      <c r="D3" s="216"/>
      <c r="E3" s="216"/>
      <c r="F3" s="216"/>
      <c r="G3" s="216"/>
      <c r="H3" s="216"/>
      <c r="I3" s="216"/>
      <c r="J3" s="217"/>
      <c r="K3" s="217"/>
      <c r="L3" s="217"/>
      <c r="M3" s="217"/>
      <c r="N3" s="217"/>
      <c r="O3" s="217"/>
      <c r="P3" s="218"/>
    </row>
    <row r="4" spans="1:21" s="6" customFormat="1" ht="19.5" customHeight="1">
      <c r="A4" s="219">
        <f>+RESUMEN!B9</f>
        <v>7</v>
      </c>
      <c r="B4" s="222" t="str">
        <f>+RESUMEN!C9</f>
        <v>SUCOMPUTO SAS</v>
      </c>
      <c r="C4" s="223"/>
      <c r="D4" s="223"/>
      <c r="E4" s="223"/>
      <c r="F4" s="223"/>
      <c r="G4" s="223"/>
      <c r="H4" s="223"/>
      <c r="I4" s="223"/>
      <c r="J4" s="227" t="s">
        <v>39</v>
      </c>
      <c r="K4" s="228"/>
      <c r="L4" s="228"/>
      <c r="M4" s="228"/>
      <c r="N4" s="228"/>
      <c r="O4" s="229"/>
      <c r="P4" s="28" t="s">
        <v>40</v>
      </c>
      <c r="Q4" s="4"/>
      <c r="R4" s="5"/>
    </row>
    <row r="5" spans="1:21" s="6" customFormat="1" ht="19.5" customHeight="1">
      <c r="A5" s="220"/>
      <c r="B5" s="224"/>
      <c r="C5" s="225"/>
      <c r="D5" s="225"/>
      <c r="E5" s="225"/>
      <c r="F5" s="225"/>
      <c r="G5" s="225"/>
      <c r="H5" s="225"/>
      <c r="I5" s="225"/>
      <c r="J5" s="230"/>
      <c r="K5" s="231"/>
      <c r="L5" s="231"/>
      <c r="M5" s="231"/>
      <c r="N5" s="231"/>
      <c r="O5" s="232"/>
      <c r="P5" s="76"/>
      <c r="Q5" s="4"/>
      <c r="R5" s="5"/>
      <c r="S5" s="50"/>
      <c r="T5" s="50"/>
      <c r="U5" s="50"/>
    </row>
    <row r="6" spans="1:21" s="6" customFormat="1" ht="19.5" customHeight="1">
      <c r="A6" s="220"/>
      <c r="B6" s="224"/>
      <c r="C6" s="225"/>
      <c r="D6" s="225"/>
      <c r="E6" s="225"/>
      <c r="F6" s="225"/>
      <c r="G6" s="225"/>
      <c r="H6" s="225"/>
      <c r="I6" s="225"/>
      <c r="J6" s="230"/>
      <c r="K6" s="231"/>
      <c r="L6" s="231"/>
      <c r="M6" s="231"/>
      <c r="N6" s="231"/>
      <c r="O6" s="232"/>
      <c r="P6" s="76"/>
      <c r="Q6" s="4"/>
      <c r="R6" s="5"/>
      <c r="S6" s="50"/>
      <c r="T6" s="50"/>
      <c r="U6" s="50"/>
    </row>
    <row r="7" spans="1:21" s="6" customFormat="1" ht="19.5" customHeight="1">
      <c r="A7" s="220"/>
      <c r="B7" s="224"/>
      <c r="C7" s="225"/>
      <c r="D7" s="225"/>
      <c r="E7" s="225"/>
      <c r="F7" s="225"/>
      <c r="G7" s="225"/>
      <c r="H7" s="225"/>
      <c r="I7" s="225"/>
      <c r="J7" s="230"/>
      <c r="K7" s="231"/>
      <c r="L7" s="231"/>
      <c r="M7" s="231"/>
      <c r="N7" s="231"/>
      <c r="O7" s="232"/>
      <c r="P7" s="76"/>
      <c r="Q7" s="4"/>
      <c r="R7" s="5"/>
      <c r="S7" s="50"/>
      <c r="T7" s="50"/>
      <c r="U7" s="50"/>
    </row>
    <row r="8" spans="1:21" s="6" customFormat="1" ht="19.5" customHeight="1">
      <c r="A8" s="220"/>
      <c r="B8" s="224"/>
      <c r="C8" s="225"/>
      <c r="D8" s="225"/>
      <c r="E8" s="225"/>
      <c r="F8" s="225"/>
      <c r="G8" s="225"/>
      <c r="H8" s="225"/>
      <c r="I8" s="225"/>
      <c r="J8" s="230"/>
      <c r="K8" s="231"/>
      <c r="L8" s="231"/>
      <c r="M8" s="231"/>
      <c r="N8" s="231"/>
      <c r="O8" s="232"/>
      <c r="P8" s="76"/>
      <c r="Q8" s="4"/>
      <c r="R8" s="5"/>
    </row>
    <row r="9" spans="1:21" s="6" customFormat="1" ht="21" customHeight="1">
      <c r="A9" s="221"/>
      <c r="B9" s="224"/>
      <c r="C9" s="225"/>
      <c r="D9" s="225"/>
      <c r="E9" s="225"/>
      <c r="F9" s="225"/>
      <c r="G9" s="225"/>
      <c r="H9" s="225"/>
      <c r="I9" s="226"/>
      <c r="J9" s="233" t="s">
        <v>43</v>
      </c>
      <c r="K9" s="234"/>
      <c r="L9" s="234"/>
      <c r="M9" s="234"/>
      <c r="N9" s="234"/>
      <c r="O9" s="235"/>
      <c r="P9" s="29">
        <f>SUM(P5:P8)</f>
        <v>0</v>
      </c>
      <c r="Q9" s="7"/>
      <c r="R9" s="5"/>
    </row>
    <row r="10" spans="1:21" s="6" customFormat="1" ht="65.25" customHeight="1">
      <c r="A10" s="66" t="s">
        <v>44</v>
      </c>
      <c r="B10" s="236" t="s">
        <v>45</v>
      </c>
      <c r="C10" s="236"/>
      <c r="D10" s="237" t="s">
        <v>46</v>
      </c>
      <c r="E10" s="237"/>
      <c r="F10" s="237"/>
      <c r="G10" s="237"/>
      <c r="H10" s="237"/>
      <c r="I10" s="237"/>
      <c r="J10" s="238">
        <f>RESUMEN!U5</f>
        <v>1927454798</v>
      </c>
      <c r="K10" s="239"/>
      <c r="L10" s="240" t="s">
        <v>47</v>
      </c>
      <c r="M10" s="241"/>
      <c r="N10" s="67">
        <f>P69</f>
        <v>29.25</v>
      </c>
      <c r="O10" s="68" t="s">
        <v>48</v>
      </c>
      <c r="P10" s="69">
        <f>J10/'Serie Historica SMMLV'!C47</f>
        <v>1482.657536923077</v>
      </c>
      <c r="Q10" s="8"/>
      <c r="R10" s="5"/>
      <c r="T10" s="43"/>
    </row>
    <row r="11" spans="1:21" s="6" customFormat="1" ht="26.25">
      <c r="A11" s="207" t="s">
        <v>49</v>
      </c>
      <c r="B11" s="208"/>
      <c r="C11" s="208"/>
      <c r="D11" s="208"/>
      <c r="E11" s="208"/>
      <c r="F11" s="208"/>
      <c r="G11" s="208"/>
      <c r="H11" s="208"/>
      <c r="I11" s="208"/>
      <c r="J11" s="208"/>
      <c r="K11" s="208"/>
      <c r="L11" s="208"/>
      <c r="M11" s="208"/>
      <c r="N11" s="208"/>
      <c r="O11" s="208"/>
      <c r="P11" s="208"/>
      <c r="Q11" s="4"/>
      <c r="R11" s="5"/>
    </row>
    <row r="12" spans="1:21" s="6" customFormat="1" ht="26.25">
      <c r="A12" s="244" t="s">
        <v>11</v>
      </c>
      <c r="B12" s="244"/>
      <c r="C12" s="244"/>
      <c r="D12" s="244"/>
      <c r="E12" s="244"/>
      <c r="F12" s="244"/>
      <c r="G12" s="244"/>
      <c r="H12" s="244"/>
      <c r="I12" s="244"/>
      <c r="J12" s="244"/>
      <c r="K12" s="244"/>
      <c r="L12" s="244"/>
      <c r="M12" s="244"/>
      <c r="N12" s="244"/>
      <c r="O12" s="245" t="s">
        <v>50</v>
      </c>
      <c r="P12" s="245"/>
      <c r="Q12" s="4"/>
      <c r="R12" s="5"/>
    </row>
    <row r="13" spans="1:21" s="6" customFormat="1" ht="115.7" customHeight="1">
      <c r="A13" s="246" t="s">
        <v>51</v>
      </c>
      <c r="B13" s="246"/>
      <c r="C13" s="246"/>
      <c r="D13" s="246"/>
      <c r="E13" s="246"/>
      <c r="F13" s="246"/>
      <c r="G13" s="246"/>
      <c r="H13" s="246"/>
      <c r="I13" s="246"/>
      <c r="J13" s="246"/>
      <c r="K13" s="246"/>
      <c r="L13" s="246"/>
      <c r="M13" s="246"/>
      <c r="N13" s="246"/>
      <c r="O13" s="247" t="str">
        <f>IF(AND(O21&gt;=$P$10,O21&lt;&gt;0),"CUMPLE", "NO CUMPLE")</f>
        <v>CUMPLE</v>
      </c>
      <c r="P13" s="247"/>
      <c r="Q13" s="4"/>
      <c r="R13" s="5"/>
    </row>
    <row r="14" spans="1:21" s="6" customFormat="1" ht="102" customHeight="1">
      <c r="A14" s="81" t="s">
        <v>52</v>
      </c>
      <c r="B14" s="81" t="s">
        <v>53</v>
      </c>
      <c r="C14" s="81" t="s">
        <v>54</v>
      </c>
      <c r="D14" s="81" t="s">
        <v>55</v>
      </c>
      <c r="E14" s="248" t="s">
        <v>3</v>
      </c>
      <c r="F14" s="248"/>
      <c r="G14" s="81" t="s">
        <v>56</v>
      </c>
      <c r="H14" s="81" t="str">
        <f>"CUMPLE CODIGOS?
"&amp;B10</f>
        <v>CUMPLE CODIGOS?
72151500
81101700
26111700</v>
      </c>
      <c r="I14" s="81" t="s">
        <v>57</v>
      </c>
      <c r="J14" s="81" t="s">
        <v>58</v>
      </c>
      <c r="K14" s="81" t="s">
        <v>59</v>
      </c>
      <c r="L14" s="81" t="s">
        <v>60</v>
      </c>
      <c r="M14" s="81" t="s">
        <v>61</v>
      </c>
      <c r="N14" s="81" t="s">
        <v>62</v>
      </c>
      <c r="O14" s="81" t="s">
        <v>63</v>
      </c>
      <c r="P14" s="81" t="s">
        <v>64</v>
      </c>
      <c r="Q14" s="9"/>
      <c r="R14" s="10"/>
    </row>
    <row r="15" spans="1:21" s="6" customFormat="1" ht="18">
      <c r="A15" s="249">
        <f>+P10</f>
        <v>1482.657536923077</v>
      </c>
      <c r="B15" s="47" t="s">
        <v>65</v>
      </c>
      <c r="C15" s="63">
        <v>34</v>
      </c>
      <c r="D15" s="82" t="s">
        <v>174</v>
      </c>
      <c r="E15" s="250" t="s">
        <v>175</v>
      </c>
      <c r="F15" s="250"/>
      <c r="G15" s="70" t="s">
        <v>30</v>
      </c>
      <c r="H15" s="70" t="s">
        <v>30</v>
      </c>
      <c r="I15" s="70" t="s">
        <v>30</v>
      </c>
      <c r="J15" s="71" t="s">
        <v>29</v>
      </c>
      <c r="K15" s="59">
        <v>42430</v>
      </c>
      <c r="L15" s="60">
        <v>455536316</v>
      </c>
      <c r="M15" s="61">
        <v>660.72</v>
      </c>
      <c r="N15" s="62">
        <v>1</v>
      </c>
      <c r="O15" s="38">
        <f>IF(AND(H15="SI",I15="SI")=TRUE,M15*N15,"")</f>
        <v>660.72</v>
      </c>
      <c r="P15" s="65" t="s">
        <v>69</v>
      </c>
      <c r="Q15" s="11"/>
      <c r="R15" s="5"/>
    </row>
    <row r="16" spans="1:21" s="31" customFormat="1" ht="51">
      <c r="A16" s="249"/>
      <c r="B16" s="47" t="s">
        <v>70</v>
      </c>
      <c r="C16" s="63">
        <v>37</v>
      </c>
      <c r="D16" s="82" t="s">
        <v>176</v>
      </c>
      <c r="E16" s="250" t="s">
        <v>177</v>
      </c>
      <c r="F16" s="250"/>
      <c r="G16" s="70" t="s">
        <v>30</v>
      </c>
      <c r="H16" s="70" t="s">
        <v>30</v>
      </c>
      <c r="I16" s="70" t="s">
        <v>30</v>
      </c>
      <c r="J16" s="71" t="s">
        <v>29</v>
      </c>
      <c r="K16" s="59">
        <v>43738</v>
      </c>
      <c r="L16" s="60">
        <v>707962424</v>
      </c>
      <c r="M16" s="61">
        <v>854.9</v>
      </c>
      <c r="N16" s="62">
        <v>1</v>
      </c>
      <c r="O16" s="38">
        <f t="shared" ref="O16:O20" si="0">IF(AND(H16="SI",I16="SI")=TRUE,M16*N16,"")</f>
        <v>854.9</v>
      </c>
      <c r="P16" s="65" t="s">
        <v>69</v>
      </c>
      <c r="Q16" s="36"/>
      <c r="R16" s="30"/>
    </row>
    <row r="17" spans="1:19" s="6" customFormat="1" ht="18">
      <c r="A17" s="249"/>
      <c r="B17" s="47" t="s">
        <v>74</v>
      </c>
      <c r="C17" s="63">
        <v>45</v>
      </c>
      <c r="D17" s="82" t="s">
        <v>178</v>
      </c>
      <c r="E17" s="250" t="s">
        <v>179</v>
      </c>
      <c r="F17" s="250"/>
      <c r="G17" s="70" t="s">
        <v>30</v>
      </c>
      <c r="H17" s="70" t="s">
        <v>30</v>
      </c>
      <c r="I17" s="70" t="s">
        <v>30</v>
      </c>
      <c r="J17" s="71" t="s">
        <v>29</v>
      </c>
      <c r="K17" s="59">
        <v>44256</v>
      </c>
      <c r="L17" s="60">
        <v>528271170</v>
      </c>
      <c r="M17" s="61">
        <v>581.45000000000005</v>
      </c>
      <c r="N17" s="62">
        <v>1</v>
      </c>
      <c r="O17" s="38">
        <f t="shared" si="0"/>
        <v>581.45000000000005</v>
      </c>
      <c r="P17" s="65" t="s">
        <v>69</v>
      </c>
      <c r="Q17" s="11"/>
      <c r="R17" s="5"/>
    </row>
    <row r="18" spans="1:19" s="6" customFormat="1" ht="51">
      <c r="A18" s="249"/>
      <c r="B18" s="47" t="s">
        <v>78</v>
      </c>
      <c r="C18" s="70">
        <v>50</v>
      </c>
      <c r="D18" s="82" t="s">
        <v>176</v>
      </c>
      <c r="E18" s="251" t="s">
        <v>177</v>
      </c>
      <c r="F18" s="251"/>
      <c r="G18" s="57" t="s">
        <v>30</v>
      </c>
      <c r="H18" s="57" t="s">
        <v>30</v>
      </c>
      <c r="I18" s="57" t="s">
        <v>30</v>
      </c>
      <c r="J18" s="84" t="s">
        <v>29</v>
      </c>
      <c r="K18" s="59">
        <v>44834</v>
      </c>
      <c r="L18" s="60">
        <v>848000000</v>
      </c>
      <c r="M18" s="61">
        <v>848</v>
      </c>
      <c r="N18" s="62">
        <v>1</v>
      </c>
      <c r="O18" s="38">
        <f t="shared" si="0"/>
        <v>848</v>
      </c>
      <c r="P18" s="65" t="s">
        <v>69</v>
      </c>
      <c r="Q18" s="11"/>
      <c r="R18" s="5"/>
    </row>
    <row r="19" spans="1:19" s="6" customFormat="1" ht="18">
      <c r="A19" s="249"/>
      <c r="B19" s="47" t="s">
        <v>82</v>
      </c>
      <c r="C19" s="70">
        <v>48</v>
      </c>
      <c r="D19" s="82" t="s">
        <v>180</v>
      </c>
      <c r="E19" s="251" t="s">
        <v>181</v>
      </c>
      <c r="F19" s="251"/>
      <c r="G19" s="57" t="s">
        <v>30</v>
      </c>
      <c r="H19" s="57" t="s">
        <v>30</v>
      </c>
      <c r="I19" s="57" t="s">
        <v>30</v>
      </c>
      <c r="J19" s="84" t="s">
        <v>29</v>
      </c>
      <c r="K19" s="59">
        <v>44621</v>
      </c>
      <c r="L19" s="60">
        <v>365065456</v>
      </c>
      <c r="M19" s="61">
        <v>365.06</v>
      </c>
      <c r="N19" s="62">
        <v>1</v>
      </c>
      <c r="O19" s="38">
        <f t="shared" si="0"/>
        <v>365.06</v>
      </c>
      <c r="P19" s="65" t="s">
        <v>69</v>
      </c>
      <c r="Q19" s="11"/>
      <c r="R19" s="5"/>
    </row>
    <row r="20" spans="1:19" s="6" customFormat="1" ht="18">
      <c r="A20" s="249"/>
      <c r="B20" s="47" t="s">
        <v>83</v>
      </c>
      <c r="C20" s="70"/>
      <c r="D20" s="82"/>
      <c r="E20" s="251"/>
      <c r="F20" s="251"/>
      <c r="G20" s="57"/>
      <c r="H20" s="57"/>
      <c r="I20" s="57"/>
      <c r="J20" s="84"/>
      <c r="K20" s="59"/>
      <c r="L20" s="60"/>
      <c r="M20" s="61"/>
      <c r="N20" s="62"/>
      <c r="O20" s="38" t="str">
        <f t="shared" si="0"/>
        <v/>
      </c>
      <c r="P20" s="65"/>
      <c r="Q20" s="11"/>
      <c r="R20" s="5"/>
    </row>
    <row r="21" spans="1:19" s="6" customFormat="1" ht="26.25">
      <c r="A21" s="252"/>
      <c r="B21" s="253"/>
      <c r="C21" s="253"/>
      <c r="D21" s="253"/>
      <c r="E21" s="253"/>
      <c r="F21" s="253"/>
      <c r="G21" s="253"/>
      <c r="H21" s="253"/>
      <c r="I21" s="253"/>
      <c r="J21" s="254"/>
      <c r="K21" s="255" t="s">
        <v>84</v>
      </c>
      <c r="L21" s="256"/>
      <c r="M21" s="256"/>
      <c r="N21" s="257"/>
      <c r="O21" s="242">
        <f>SUMIF(P15:P20,"CUMPLE",O15:O20)</f>
        <v>3310.1299999999997</v>
      </c>
      <c r="P21" s="242"/>
      <c r="Q21" s="11"/>
      <c r="R21" s="5"/>
      <c r="S21" s="44"/>
    </row>
    <row r="22" spans="1:19" s="6" customFormat="1" ht="93" customHeight="1">
      <c r="A22" s="20" t="s">
        <v>85</v>
      </c>
      <c r="B22" s="243"/>
      <c r="C22" s="243"/>
      <c r="D22" s="243"/>
      <c r="E22" s="243"/>
      <c r="F22" s="243"/>
      <c r="G22" s="243"/>
      <c r="H22" s="243"/>
      <c r="I22" s="243"/>
      <c r="J22" s="243"/>
      <c r="K22" s="243"/>
      <c r="L22" s="243"/>
      <c r="M22" s="243"/>
      <c r="N22" s="243"/>
      <c r="O22" s="243"/>
      <c r="P22" s="243"/>
      <c r="Q22" s="11"/>
      <c r="R22" s="5"/>
    </row>
    <row r="23" spans="1:19" s="54" customFormat="1" ht="26.25">
      <c r="A23" s="258" t="s">
        <v>12</v>
      </c>
      <c r="B23" s="259"/>
      <c r="C23" s="259"/>
      <c r="D23" s="259"/>
      <c r="E23" s="259"/>
      <c r="F23" s="259"/>
      <c r="G23" s="259"/>
      <c r="H23" s="259"/>
      <c r="I23" s="259"/>
      <c r="J23" s="259"/>
      <c r="K23" s="259"/>
      <c r="L23" s="259"/>
      <c r="M23" s="259"/>
      <c r="N23" s="259"/>
      <c r="O23" s="245" t="s">
        <v>50</v>
      </c>
      <c r="P23" s="245"/>
      <c r="Q23" s="52"/>
      <c r="R23" s="53"/>
    </row>
    <row r="24" spans="1:19" s="6" customFormat="1" ht="168.95" customHeight="1">
      <c r="A24" s="260" t="s">
        <v>86</v>
      </c>
      <c r="B24" s="260"/>
      <c r="C24" s="260"/>
      <c r="D24" s="260"/>
      <c r="E24" s="260"/>
      <c r="F24" s="260"/>
      <c r="G24" s="260"/>
      <c r="H24" s="260"/>
      <c r="I24" s="260"/>
      <c r="J24" s="260"/>
      <c r="K24" s="260"/>
      <c r="L24" s="260"/>
      <c r="M24" s="260"/>
      <c r="N24" s="260"/>
      <c r="O24" s="295" t="s">
        <v>111</v>
      </c>
      <c r="P24" s="296"/>
      <c r="Q24" s="12"/>
      <c r="R24" s="5"/>
    </row>
    <row r="25" spans="1:19" s="6" customFormat="1" ht="76.5">
      <c r="A25" s="51" t="s">
        <v>87</v>
      </c>
      <c r="B25" s="81" t="s">
        <v>53</v>
      </c>
      <c r="C25" s="81" t="s">
        <v>54</v>
      </c>
      <c r="D25" s="81" t="s">
        <v>55</v>
      </c>
      <c r="E25" s="248" t="s">
        <v>3</v>
      </c>
      <c r="F25" s="248"/>
      <c r="G25" s="81" t="s">
        <v>88</v>
      </c>
      <c r="H25" s="81" t="s">
        <v>89</v>
      </c>
      <c r="I25" s="81" t="s">
        <v>90</v>
      </c>
      <c r="J25" s="81" t="s">
        <v>58</v>
      </c>
      <c r="K25" s="81" t="s">
        <v>59</v>
      </c>
      <c r="L25" s="81" t="s">
        <v>91</v>
      </c>
      <c r="M25" s="81" t="s">
        <v>61</v>
      </c>
      <c r="N25" s="81" t="s">
        <v>62</v>
      </c>
      <c r="O25" s="81" t="s">
        <v>63</v>
      </c>
      <c r="P25" s="81" t="s">
        <v>64</v>
      </c>
      <c r="Q25" s="9"/>
      <c r="R25" s="10"/>
    </row>
    <row r="26" spans="1:19" s="6" customFormat="1" ht="18">
      <c r="A26" s="25">
        <v>1</v>
      </c>
      <c r="B26" s="47" t="s">
        <v>65</v>
      </c>
      <c r="C26" s="63">
        <v>34</v>
      </c>
      <c r="D26" s="63" t="s">
        <v>174</v>
      </c>
      <c r="E26" s="282" t="s">
        <v>175</v>
      </c>
      <c r="F26" s="282"/>
      <c r="G26" s="57" t="s">
        <v>30</v>
      </c>
      <c r="H26" s="57" t="s">
        <v>30</v>
      </c>
      <c r="I26" s="57" t="s">
        <v>30</v>
      </c>
      <c r="J26" s="58" t="s">
        <v>29</v>
      </c>
      <c r="K26" s="86">
        <v>42430</v>
      </c>
      <c r="L26" s="60">
        <v>455536316</v>
      </c>
      <c r="M26" s="61">
        <v>660.72</v>
      </c>
      <c r="N26" s="62">
        <v>1</v>
      </c>
      <c r="O26" s="38">
        <f t="shared" ref="O26:O31" si="1">IF(AND(H26="SI",I26="SI")=TRUE,M26*N26,"")</f>
        <v>660.72</v>
      </c>
      <c r="P26" s="65" t="s">
        <v>69</v>
      </c>
      <c r="Q26" s="11"/>
      <c r="R26" s="5"/>
    </row>
    <row r="27" spans="1:19" s="31" customFormat="1" ht="51">
      <c r="A27" s="37">
        <v>2</v>
      </c>
      <c r="B27" s="47" t="s">
        <v>70</v>
      </c>
      <c r="C27" s="84">
        <v>37</v>
      </c>
      <c r="D27" s="82" t="s">
        <v>176</v>
      </c>
      <c r="E27" s="251" t="s">
        <v>177</v>
      </c>
      <c r="F27" s="251"/>
      <c r="G27" s="84" t="s">
        <v>30</v>
      </c>
      <c r="H27" s="84" t="s">
        <v>30</v>
      </c>
      <c r="I27" s="84" t="s">
        <v>28</v>
      </c>
      <c r="J27" s="84" t="s">
        <v>29</v>
      </c>
      <c r="K27" s="59">
        <v>43738</v>
      </c>
      <c r="L27" s="60">
        <v>707962424</v>
      </c>
      <c r="M27" s="61">
        <v>854.9</v>
      </c>
      <c r="N27" s="62">
        <v>1</v>
      </c>
      <c r="O27" s="38" t="str">
        <f t="shared" si="1"/>
        <v/>
      </c>
      <c r="P27" s="65" t="s">
        <v>92</v>
      </c>
      <c r="Q27" s="36"/>
      <c r="R27" s="30"/>
    </row>
    <row r="28" spans="1:19" s="40" customFormat="1" ht="18">
      <c r="A28" s="25">
        <v>3</v>
      </c>
      <c r="B28" s="47" t="s">
        <v>74</v>
      </c>
      <c r="C28" s="84">
        <v>45</v>
      </c>
      <c r="D28" s="83" t="s">
        <v>178</v>
      </c>
      <c r="E28" s="251" t="s">
        <v>179</v>
      </c>
      <c r="F28" s="251"/>
      <c r="G28" s="57" t="s">
        <v>30</v>
      </c>
      <c r="H28" s="57" t="s">
        <v>30</v>
      </c>
      <c r="I28" s="57" t="s">
        <v>30</v>
      </c>
      <c r="J28" s="84" t="s">
        <v>29</v>
      </c>
      <c r="K28" s="59">
        <v>44199</v>
      </c>
      <c r="L28" s="60">
        <v>528271170</v>
      </c>
      <c r="M28" s="61">
        <v>581.45000000000005</v>
      </c>
      <c r="N28" s="62">
        <v>1</v>
      </c>
      <c r="O28" s="38">
        <f t="shared" si="1"/>
        <v>581.45000000000005</v>
      </c>
      <c r="P28" s="65" t="s">
        <v>69</v>
      </c>
      <c r="Q28" s="11"/>
      <c r="R28" s="39"/>
    </row>
    <row r="29" spans="1:19" s="42" customFormat="1" ht="51">
      <c r="A29" s="37">
        <v>4</v>
      </c>
      <c r="B29" s="47" t="s">
        <v>78</v>
      </c>
      <c r="C29" s="57">
        <v>50</v>
      </c>
      <c r="D29" s="83" t="s">
        <v>176</v>
      </c>
      <c r="E29" s="251" t="s">
        <v>177</v>
      </c>
      <c r="F29" s="251"/>
      <c r="G29" s="57" t="s">
        <v>30</v>
      </c>
      <c r="H29" s="84" t="s">
        <v>30</v>
      </c>
      <c r="I29" s="57"/>
      <c r="J29" s="84" t="s">
        <v>29</v>
      </c>
      <c r="K29" s="59">
        <v>44834</v>
      </c>
      <c r="L29" s="60">
        <v>848000000</v>
      </c>
      <c r="M29" s="61">
        <v>848</v>
      </c>
      <c r="N29" s="62">
        <v>1</v>
      </c>
      <c r="O29" s="38" t="str">
        <f t="shared" si="1"/>
        <v/>
      </c>
      <c r="P29" s="65" t="s">
        <v>92</v>
      </c>
      <c r="Q29" s="36"/>
      <c r="R29" s="41"/>
    </row>
    <row r="30" spans="1:19" s="40" customFormat="1" ht="39" customHeight="1">
      <c r="A30" s="25">
        <v>5</v>
      </c>
      <c r="B30" s="47" t="s">
        <v>82</v>
      </c>
      <c r="C30" s="84">
        <v>21</v>
      </c>
      <c r="D30" s="64" t="s">
        <v>182</v>
      </c>
      <c r="E30" s="251" t="s">
        <v>183</v>
      </c>
      <c r="F30" s="251"/>
      <c r="G30" s="84" t="s">
        <v>30</v>
      </c>
      <c r="H30" s="84" t="s">
        <v>30</v>
      </c>
      <c r="I30" s="84" t="s">
        <v>28</v>
      </c>
      <c r="J30" s="84" t="s">
        <v>29</v>
      </c>
      <c r="K30" s="59">
        <v>42369</v>
      </c>
      <c r="L30" s="60">
        <v>417770362</v>
      </c>
      <c r="M30" s="61">
        <v>648.35</v>
      </c>
      <c r="N30" s="62">
        <v>1</v>
      </c>
      <c r="O30" s="38" t="str">
        <f t="shared" si="1"/>
        <v/>
      </c>
      <c r="P30" s="65" t="s">
        <v>92</v>
      </c>
      <c r="Q30" s="11"/>
      <c r="R30" s="39"/>
    </row>
    <row r="31" spans="1:19" s="6" customFormat="1" ht="18">
      <c r="A31" s="37">
        <v>6</v>
      </c>
      <c r="B31" s="47" t="s">
        <v>83</v>
      </c>
      <c r="C31" s="84"/>
      <c r="D31" s="82"/>
      <c r="E31" s="250"/>
      <c r="F31" s="250"/>
      <c r="G31" s="84"/>
      <c r="H31" s="84"/>
      <c r="I31" s="84"/>
      <c r="J31" s="63"/>
      <c r="K31" s="59"/>
      <c r="L31" s="60"/>
      <c r="M31" s="61"/>
      <c r="N31" s="62"/>
      <c r="O31" s="38" t="str">
        <f t="shared" si="1"/>
        <v/>
      </c>
      <c r="P31" s="65"/>
      <c r="Q31" s="11"/>
      <c r="R31" s="46"/>
    </row>
    <row r="32" spans="1:19" s="6" customFormat="1" ht="26.25">
      <c r="A32" s="252"/>
      <c r="B32" s="253"/>
      <c r="C32" s="253"/>
      <c r="D32" s="253"/>
      <c r="E32" s="253"/>
      <c r="F32" s="253"/>
      <c r="G32" s="253"/>
      <c r="H32" s="253"/>
      <c r="I32" s="253"/>
      <c r="J32" s="254"/>
      <c r="K32" s="255" t="s">
        <v>84</v>
      </c>
      <c r="L32" s="256"/>
      <c r="M32" s="256"/>
      <c r="N32" s="257"/>
      <c r="O32" s="242">
        <f>SUMIF(P26:P31,"CUMPLE",O26:O31)</f>
        <v>1242.17</v>
      </c>
      <c r="P32" s="242"/>
      <c r="Q32" s="13"/>
      <c r="R32" s="5"/>
    </row>
    <row r="33" spans="1:18" s="6" customFormat="1" ht="87" customHeight="1">
      <c r="A33" s="261" t="s">
        <v>85</v>
      </c>
      <c r="B33" s="261"/>
      <c r="C33" s="273"/>
      <c r="D33" s="273"/>
      <c r="E33" s="273"/>
      <c r="F33" s="273"/>
      <c r="G33" s="273"/>
      <c r="H33" s="273"/>
      <c r="I33" s="273"/>
      <c r="J33" s="273"/>
      <c r="K33" s="273"/>
      <c r="L33" s="273"/>
      <c r="M33" s="273"/>
      <c r="N33" s="273"/>
      <c r="O33" s="273"/>
      <c r="P33" s="273"/>
      <c r="Q33" s="7"/>
      <c r="R33" s="45"/>
    </row>
    <row r="34" spans="1:18" s="6" customFormat="1" ht="26.25">
      <c r="A34" s="207" t="s">
        <v>94</v>
      </c>
      <c r="B34" s="208"/>
      <c r="C34" s="208"/>
      <c r="D34" s="208"/>
      <c r="E34" s="208"/>
      <c r="F34" s="208"/>
      <c r="G34" s="208"/>
      <c r="H34" s="208"/>
      <c r="I34" s="208"/>
      <c r="J34" s="208"/>
      <c r="K34" s="208"/>
      <c r="L34" s="208"/>
      <c r="M34" s="208"/>
      <c r="N34" s="208"/>
      <c r="O34" s="208"/>
      <c r="P34" s="208"/>
      <c r="Q34" s="13"/>
      <c r="R34" s="5"/>
    </row>
    <row r="35" spans="1:18" s="6" customFormat="1" ht="52.5">
      <c r="A35" s="258" t="s">
        <v>13</v>
      </c>
      <c r="B35" s="258"/>
      <c r="C35" s="258"/>
      <c r="D35" s="258"/>
      <c r="E35" s="258"/>
      <c r="F35" s="258"/>
      <c r="G35" s="258"/>
      <c r="H35" s="258"/>
      <c r="I35" s="258"/>
      <c r="J35" s="258"/>
      <c r="K35" s="258"/>
      <c r="L35" s="258"/>
      <c r="M35" s="258"/>
      <c r="N35" s="258"/>
      <c r="O35" s="258"/>
      <c r="P35" s="79" t="s">
        <v>50</v>
      </c>
      <c r="Q35" s="13"/>
      <c r="R35" s="5"/>
    </row>
    <row r="36" spans="1:18" s="6" customFormat="1" ht="74.45" customHeight="1">
      <c r="A36" s="265" t="s">
        <v>95</v>
      </c>
      <c r="B36" s="265"/>
      <c r="C36" s="265"/>
      <c r="D36" s="265"/>
      <c r="E36" s="265"/>
      <c r="F36" s="265"/>
      <c r="G36" s="265"/>
      <c r="H36" s="265"/>
      <c r="I36" s="265"/>
      <c r="J36" s="265"/>
      <c r="K36" s="265"/>
      <c r="L36" s="265"/>
      <c r="M36" s="265"/>
      <c r="N36" s="265"/>
      <c r="O36" s="265"/>
      <c r="P36" s="56" t="s">
        <v>69</v>
      </c>
      <c r="Q36" s="13"/>
      <c r="R36" s="5"/>
    </row>
    <row r="37" spans="1:18" s="6" customFormat="1" ht="35.450000000000003" customHeight="1">
      <c r="A37" s="261" t="s">
        <v>85</v>
      </c>
      <c r="B37" s="261"/>
      <c r="C37" s="266"/>
      <c r="D37" s="266"/>
      <c r="E37" s="266"/>
      <c r="F37" s="266"/>
      <c r="G37" s="266"/>
      <c r="H37" s="266"/>
      <c r="I37" s="266"/>
      <c r="J37" s="266"/>
      <c r="K37" s="266"/>
      <c r="L37" s="266"/>
      <c r="M37" s="266"/>
      <c r="N37" s="266"/>
      <c r="O37" s="266"/>
      <c r="P37" s="266"/>
      <c r="Q37" s="13"/>
      <c r="R37" s="5"/>
    </row>
    <row r="38" spans="1:18" s="6" customFormat="1" ht="52.5">
      <c r="A38" s="267" t="s">
        <v>14</v>
      </c>
      <c r="B38" s="258"/>
      <c r="C38" s="258"/>
      <c r="D38" s="258"/>
      <c r="E38" s="258"/>
      <c r="F38" s="258"/>
      <c r="G38" s="258"/>
      <c r="H38" s="258"/>
      <c r="I38" s="258"/>
      <c r="J38" s="258"/>
      <c r="K38" s="258"/>
      <c r="L38" s="258"/>
      <c r="M38" s="258"/>
      <c r="N38" s="258"/>
      <c r="O38" s="258"/>
      <c r="P38" s="79" t="s">
        <v>50</v>
      </c>
      <c r="Q38" s="13"/>
      <c r="R38" s="5"/>
    </row>
    <row r="39" spans="1:18" s="6" customFormat="1" ht="222.95" customHeight="1">
      <c r="A39" s="263" t="s">
        <v>96</v>
      </c>
      <c r="B39" s="264"/>
      <c r="C39" s="264"/>
      <c r="D39" s="264"/>
      <c r="E39" s="264"/>
      <c r="F39" s="264"/>
      <c r="G39" s="264"/>
      <c r="H39" s="264"/>
      <c r="I39" s="264"/>
      <c r="J39" s="264"/>
      <c r="K39" s="264"/>
      <c r="L39" s="264"/>
      <c r="M39" s="264"/>
      <c r="N39" s="264"/>
      <c r="O39" s="264"/>
      <c r="P39" s="56" t="s">
        <v>69</v>
      </c>
      <c r="Q39" s="13"/>
      <c r="R39" s="5"/>
    </row>
    <row r="40" spans="1:18" s="6" customFormat="1" ht="36.950000000000003" customHeight="1">
      <c r="A40" s="261" t="s">
        <v>85</v>
      </c>
      <c r="B40" s="261"/>
      <c r="C40" s="266"/>
      <c r="D40" s="266"/>
      <c r="E40" s="266"/>
      <c r="F40" s="266"/>
      <c r="G40" s="266"/>
      <c r="H40" s="266"/>
      <c r="I40" s="266"/>
      <c r="J40" s="266"/>
      <c r="K40" s="266"/>
      <c r="L40" s="266"/>
      <c r="M40" s="266"/>
      <c r="N40" s="266"/>
      <c r="O40" s="266"/>
      <c r="P40" s="266"/>
      <c r="Q40" s="13"/>
      <c r="R40" s="5"/>
    </row>
    <row r="41" spans="1:18" s="6" customFormat="1" ht="52.5">
      <c r="A41" s="267" t="s">
        <v>15</v>
      </c>
      <c r="B41" s="258"/>
      <c r="C41" s="258"/>
      <c r="D41" s="258"/>
      <c r="E41" s="258"/>
      <c r="F41" s="258"/>
      <c r="G41" s="258"/>
      <c r="H41" s="258"/>
      <c r="I41" s="258"/>
      <c r="J41" s="258"/>
      <c r="K41" s="258"/>
      <c r="L41" s="258"/>
      <c r="M41" s="258"/>
      <c r="N41" s="258"/>
      <c r="O41" s="258"/>
      <c r="P41" s="79" t="s">
        <v>50</v>
      </c>
      <c r="Q41" s="13"/>
      <c r="R41" s="5"/>
    </row>
    <row r="42" spans="1:18" s="6" customFormat="1" ht="90" customHeight="1">
      <c r="A42" s="263" t="s">
        <v>97</v>
      </c>
      <c r="B42" s="264"/>
      <c r="C42" s="264"/>
      <c r="D42" s="264"/>
      <c r="E42" s="264"/>
      <c r="F42" s="264"/>
      <c r="G42" s="264"/>
      <c r="H42" s="264"/>
      <c r="I42" s="264"/>
      <c r="J42" s="264"/>
      <c r="K42" s="264"/>
      <c r="L42" s="264"/>
      <c r="M42" s="264"/>
      <c r="N42" s="264"/>
      <c r="O42" s="264"/>
      <c r="P42" s="56" t="s">
        <v>111</v>
      </c>
      <c r="Q42" s="13"/>
      <c r="R42" s="5"/>
    </row>
    <row r="43" spans="1:18" s="6" customFormat="1" ht="366.95" customHeight="1">
      <c r="A43" s="261" t="s">
        <v>85</v>
      </c>
      <c r="B43" s="261"/>
      <c r="C43" s="297" t="s">
        <v>184</v>
      </c>
      <c r="D43" s="298"/>
      <c r="E43" s="298"/>
      <c r="F43" s="298"/>
      <c r="G43" s="298"/>
      <c r="H43" s="298"/>
      <c r="I43" s="298"/>
      <c r="J43" s="298"/>
      <c r="K43" s="298"/>
      <c r="L43" s="298"/>
      <c r="M43" s="298"/>
      <c r="N43" s="298"/>
      <c r="O43" s="298"/>
      <c r="P43" s="299"/>
      <c r="Q43" s="13"/>
      <c r="R43" s="5"/>
    </row>
    <row r="44" spans="1:18" s="6" customFormat="1" ht="52.5">
      <c r="A44" s="267" t="s">
        <v>16</v>
      </c>
      <c r="B44" s="258"/>
      <c r="C44" s="258"/>
      <c r="D44" s="258"/>
      <c r="E44" s="258"/>
      <c r="F44" s="258"/>
      <c r="G44" s="258"/>
      <c r="H44" s="258"/>
      <c r="I44" s="258"/>
      <c r="J44" s="258"/>
      <c r="K44" s="258"/>
      <c r="L44" s="258"/>
      <c r="M44" s="258"/>
      <c r="N44" s="258"/>
      <c r="O44" s="258"/>
      <c r="P44" s="79" t="s">
        <v>50</v>
      </c>
      <c r="Q44" s="13"/>
      <c r="R44" s="5"/>
    </row>
    <row r="45" spans="1:18" s="6" customFormat="1" ht="64.349999999999994" customHeight="1">
      <c r="A45" s="263" t="s">
        <v>98</v>
      </c>
      <c r="B45" s="264"/>
      <c r="C45" s="264"/>
      <c r="D45" s="264"/>
      <c r="E45" s="264"/>
      <c r="F45" s="264"/>
      <c r="G45" s="264"/>
      <c r="H45" s="264"/>
      <c r="I45" s="264"/>
      <c r="J45" s="264"/>
      <c r="K45" s="264"/>
      <c r="L45" s="264"/>
      <c r="M45" s="264"/>
      <c r="N45" s="264"/>
      <c r="O45" s="264"/>
      <c r="P45" s="56" t="s">
        <v>69</v>
      </c>
      <c r="Q45" s="13"/>
      <c r="R45" s="5"/>
    </row>
    <row r="46" spans="1:18" s="6" customFormat="1" ht="36.950000000000003" customHeight="1">
      <c r="A46" s="261" t="s">
        <v>85</v>
      </c>
      <c r="B46" s="261"/>
      <c r="C46" s="300" t="s">
        <v>185</v>
      </c>
      <c r="D46" s="300"/>
      <c r="E46" s="300"/>
      <c r="F46" s="300"/>
      <c r="G46" s="300"/>
      <c r="H46" s="300"/>
      <c r="I46" s="300"/>
      <c r="J46" s="300"/>
      <c r="K46" s="300"/>
      <c r="L46" s="300"/>
      <c r="M46" s="300"/>
      <c r="N46" s="300"/>
      <c r="O46" s="300"/>
      <c r="P46" s="300"/>
      <c r="Q46" s="13"/>
      <c r="R46" s="5"/>
    </row>
    <row r="47" spans="1:18" s="6" customFormat="1" ht="52.5">
      <c r="A47" s="267" t="s">
        <v>17</v>
      </c>
      <c r="B47" s="258"/>
      <c r="C47" s="258"/>
      <c r="D47" s="258"/>
      <c r="E47" s="258"/>
      <c r="F47" s="258"/>
      <c r="G47" s="258"/>
      <c r="H47" s="258"/>
      <c r="I47" s="258"/>
      <c r="J47" s="258"/>
      <c r="K47" s="258"/>
      <c r="L47" s="258"/>
      <c r="M47" s="258"/>
      <c r="N47" s="258"/>
      <c r="O47" s="258"/>
      <c r="P47" s="79" t="s">
        <v>50</v>
      </c>
      <c r="Q47" s="13"/>
      <c r="R47" s="5"/>
    </row>
    <row r="48" spans="1:18" s="6" customFormat="1" ht="97.7" customHeight="1">
      <c r="A48" s="263" t="s">
        <v>99</v>
      </c>
      <c r="B48" s="264"/>
      <c r="C48" s="264"/>
      <c r="D48" s="264"/>
      <c r="E48" s="264"/>
      <c r="F48" s="264"/>
      <c r="G48" s="264"/>
      <c r="H48" s="264"/>
      <c r="I48" s="264"/>
      <c r="J48" s="264"/>
      <c r="K48" s="264"/>
      <c r="L48" s="264"/>
      <c r="M48" s="264"/>
      <c r="N48" s="264"/>
      <c r="O48" s="264"/>
      <c r="P48" s="56" t="s">
        <v>111</v>
      </c>
      <c r="Q48" s="13"/>
      <c r="R48" s="5"/>
    </row>
    <row r="49" spans="1:18" s="6" customFormat="1" ht="195.75" customHeight="1">
      <c r="A49" s="261" t="s">
        <v>85</v>
      </c>
      <c r="B49" s="261"/>
      <c r="C49" s="301" t="s">
        <v>245</v>
      </c>
      <c r="D49" s="302"/>
      <c r="E49" s="302"/>
      <c r="F49" s="302"/>
      <c r="G49" s="302"/>
      <c r="H49" s="302"/>
      <c r="I49" s="302"/>
      <c r="J49" s="302"/>
      <c r="K49" s="302"/>
      <c r="L49" s="302"/>
      <c r="M49" s="302"/>
      <c r="N49" s="302"/>
      <c r="O49" s="302"/>
      <c r="P49" s="303"/>
      <c r="Q49" s="13"/>
      <c r="R49" s="5"/>
    </row>
    <row r="50" spans="1:18" customFormat="1" ht="206.45" customHeight="1">
      <c r="A50" s="270"/>
      <c r="B50" s="270"/>
      <c r="C50" s="270"/>
      <c r="D50" s="270"/>
      <c r="E50" s="270"/>
      <c r="F50" s="270"/>
      <c r="G50" s="270"/>
      <c r="H50" s="270"/>
      <c r="I50" s="270"/>
      <c r="J50" s="270"/>
      <c r="K50" s="270"/>
      <c r="L50" s="270"/>
      <c r="M50" s="270"/>
      <c r="N50" s="270"/>
      <c r="O50" s="270"/>
      <c r="P50" s="270"/>
    </row>
    <row r="51" spans="1:18" s="6" customFormat="1" ht="26.25">
      <c r="A51" s="258" t="s">
        <v>101</v>
      </c>
      <c r="B51" s="258"/>
      <c r="C51" s="258"/>
      <c r="D51" s="258"/>
      <c r="E51" s="258"/>
      <c r="F51" s="258"/>
      <c r="G51" s="258"/>
      <c r="H51" s="258"/>
      <c r="I51" s="258"/>
      <c r="J51" s="258"/>
      <c r="K51" s="258"/>
      <c r="L51" s="258"/>
      <c r="M51" s="258"/>
      <c r="N51" s="258"/>
      <c r="O51" s="258"/>
      <c r="P51" s="79" t="s">
        <v>102</v>
      </c>
      <c r="Q51" s="13"/>
      <c r="R51" s="5"/>
    </row>
    <row r="52" spans="1:18" s="6" customFormat="1" ht="66" customHeight="1">
      <c r="A52" s="271" t="s">
        <v>103</v>
      </c>
      <c r="B52" s="271"/>
      <c r="C52" s="271"/>
      <c r="D52" s="271"/>
      <c r="E52" s="271"/>
      <c r="F52" s="271"/>
      <c r="G52" s="271"/>
      <c r="H52" s="271"/>
      <c r="I52" s="271"/>
      <c r="J52" s="271"/>
      <c r="K52" s="271"/>
      <c r="L52" s="271"/>
      <c r="M52" s="271"/>
      <c r="N52" s="271"/>
      <c r="O52" s="271"/>
      <c r="P52" s="56">
        <v>10</v>
      </c>
      <c r="Q52" s="13"/>
      <c r="R52" s="5"/>
    </row>
    <row r="53" spans="1:18" s="6" customFormat="1" ht="36.75" customHeight="1">
      <c r="A53" s="271" t="s">
        <v>104</v>
      </c>
      <c r="B53" s="271"/>
      <c r="C53" s="271"/>
      <c r="D53" s="271"/>
      <c r="E53" s="271"/>
      <c r="F53" s="271"/>
      <c r="G53" s="271"/>
      <c r="H53" s="271"/>
      <c r="I53" s="271"/>
      <c r="J53" s="271"/>
      <c r="K53" s="271"/>
      <c r="L53" s="271"/>
      <c r="M53" s="271"/>
      <c r="N53" s="271"/>
      <c r="O53" s="271"/>
      <c r="P53" s="56">
        <v>5</v>
      </c>
      <c r="Q53" s="13"/>
      <c r="R53" s="5"/>
    </row>
    <row r="54" spans="1:18" s="6" customFormat="1" ht="36.75" customHeight="1">
      <c r="A54" s="271" t="s">
        <v>105</v>
      </c>
      <c r="B54" s="271"/>
      <c r="C54" s="271"/>
      <c r="D54" s="271"/>
      <c r="E54" s="271"/>
      <c r="F54" s="271"/>
      <c r="G54" s="271"/>
      <c r="H54" s="271"/>
      <c r="I54" s="271"/>
      <c r="J54" s="271"/>
      <c r="K54" s="271"/>
      <c r="L54" s="271"/>
      <c r="M54" s="271"/>
      <c r="N54" s="271"/>
      <c r="O54" s="271"/>
      <c r="P54" s="56">
        <v>3.75</v>
      </c>
      <c r="Q54" s="13"/>
      <c r="R54" s="5"/>
    </row>
    <row r="55" spans="1:18" s="6" customFormat="1" ht="26.25">
      <c r="A55" s="269" t="s">
        <v>106</v>
      </c>
      <c r="B55" s="269"/>
      <c r="C55" s="269"/>
      <c r="D55" s="269"/>
      <c r="E55" s="269"/>
      <c r="F55" s="269"/>
      <c r="G55" s="269"/>
      <c r="H55" s="269"/>
      <c r="I55" s="269"/>
      <c r="J55" s="269"/>
      <c r="K55" s="269"/>
      <c r="L55" s="269"/>
      <c r="M55" s="269"/>
      <c r="N55" s="269"/>
      <c r="O55" s="269"/>
      <c r="P55" s="80">
        <f>SUM(P52:P54)</f>
        <v>18.75</v>
      </c>
      <c r="Q55" s="13"/>
      <c r="R55" s="5"/>
    </row>
    <row r="56" spans="1:18" s="6" customFormat="1" ht="48" customHeight="1">
      <c r="A56" s="261" t="s">
        <v>85</v>
      </c>
      <c r="B56" s="261"/>
      <c r="C56" s="304"/>
      <c r="D56" s="304"/>
      <c r="E56" s="304"/>
      <c r="F56" s="304"/>
      <c r="G56" s="304"/>
      <c r="H56" s="304"/>
      <c r="I56" s="304"/>
      <c r="J56" s="304"/>
      <c r="K56" s="304"/>
      <c r="L56" s="304"/>
      <c r="M56" s="304"/>
      <c r="N56" s="304"/>
      <c r="O56" s="304"/>
      <c r="P56" s="304"/>
      <c r="Q56" s="7"/>
      <c r="R56" s="5"/>
    </row>
    <row r="57" spans="1:18" s="6" customFormat="1" ht="26.25">
      <c r="A57" s="258" t="s">
        <v>19</v>
      </c>
      <c r="B57" s="258"/>
      <c r="C57" s="258"/>
      <c r="D57" s="258"/>
      <c r="E57" s="258"/>
      <c r="F57" s="258"/>
      <c r="G57" s="258"/>
      <c r="H57" s="258"/>
      <c r="I57" s="258"/>
      <c r="J57" s="258"/>
      <c r="K57" s="258"/>
      <c r="L57" s="258"/>
      <c r="M57" s="258"/>
      <c r="N57" s="258"/>
      <c r="O57" s="258"/>
      <c r="P57" s="79" t="s">
        <v>102</v>
      </c>
      <c r="Q57" s="7"/>
      <c r="R57" s="5"/>
    </row>
    <row r="58" spans="1:18" s="6" customFormat="1" ht="223.35" customHeight="1">
      <c r="A58" s="274" t="s">
        <v>107</v>
      </c>
      <c r="B58" s="274"/>
      <c r="C58" s="274"/>
      <c r="D58" s="274"/>
      <c r="E58" s="274"/>
      <c r="F58" s="274"/>
      <c r="G58" s="274"/>
      <c r="H58" s="274"/>
      <c r="I58" s="274"/>
      <c r="J58" s="274"/>
      <c r="K58" s="274"/>
      <c r="L58" s="274"/>
      <c r="M58" s="274"/>
      <c r="N58" s="274"/>
      <c r="O58" s="274"/>
      <c r="P58" s="56">
        <v>10</v>
      </c>
      <c r="Q58" s="7"/>
      <c r="R58" s="5"/>
    </row>
    <row r="59" spans="1:18" s="6" customFormat="1" ht="48" customHeight="1">
      <c r="A59" s="261" t="s">
        <v>85</v>
      </c>
      <c r="B59" s="261"/>
      <c r="C59" s="273"/>
      <c r="D59" s="273"/>
      <c r="E59" s="273"/>
      <c r="F59" s="273"/>
      <c r="G59" s="273"/>
      <c r="H59" s="273"/>
      <c r="I59" s="273"/>
      <c r="J59" s="273"/>
      <c r="K59" s="273"/>
      <c r="L59" s="273"/>
      <c r="M59" s="273"/>
      <c r="N59" s="273"/>
      <c r="O59" s="273"/>
      <c r="P59" s="273"/>
      <c r="Q59" s="7"/>
      <c r="R59" s="5"/>
    </row>
    <row r="60" spans="1:18" s="6" customFormat="1" ht="44.25" customHeight="1">
      <c r="A60" s="275" t="s">
        <v>20</v>
      </c>
      <c r="B60" s="275"/>
      <c r="C60" s="275"/>
      <c r="D60" s="275"/>
      <c r="E60" s="275"/>
      <c r="F60" s="275"/>
      <c r="G60" s="275"/>
      <c r="H60" s="275"/>
      <c r="I60" s="275"/>
      <c r="J60" s="275"/>
      <c r="K60" s="275"/>
      <c r="L60" s="275"/>
      <c r="M60" s="275"/>
      <c r="N60" s="275"/>
      <c r="O60" s="275"/>
      <c r="P60" s="79" t="s">
        <v>102</v>
      </c>
      <c r="Q60" s="14"/>
      <c r="R60" s="5"/>
    </row>
    <row r="61" spans="1:18" s="6" customFormat="1" ht="270" customHeight="1">
      <c r="A61" s="274" t="s">
        <v>108</v>
      </c>
      <c r="B61" s="274"/>
      <c r="C61" s="274"/>
      <c r="D61" s="274"/>
      <c r="E61" s="274"/>
      <c r="F61" s="274"/>
      <c r="G61" s="274"/>
      <c r="H61" s="274"/>
      <c r="I61" s="274"/>
      <c r="J61" s="274"/>
      <c r="K61" s="274"/>
      <c r="L61" s="274"/>
      <c r="M61" s="274"/>
      <c r="N61" s="274"/>
      <c r="O61" s="274"/>
      <c r="P61" s="56">
        <v>0</v>
      </c>
      <c r="Q61" s="15"/>
      <c r="R61" s="5"/>
    </row>
    <row r="62" spans="1:18" s="6" customFormat="1" ht="65.45" customHeight="1">
      <c r="A62" s="261" t="s">
        <v>85</v>
      </c>
      <c r="B62" s="261"/>
      <c r="C62" s="273"/>
      <c r="D62" s="273"/>
      <c r="E62" s="273"/>
      <c r="F62" s="273"/>
      <c r="G62" s="273"/>
      <c r="H62" s="273"/>
      <c r="I62" s="273"/>
      <c r="J62" s="273"/>
      <c r="K62" s="273"/>
      <c r="L62" s="273"/>
      <c r="M62" s="273"/>
      <c r="N62" s="273"/>
      <c r="O62" s="273"/>
      <c r="P62" s="273"/>
      <c r="Q62" s="7"/>
      <c r="R62" s="5"/>
    </row>
    <row r="63" spans="1:18" s="6" customFormat="1" ht="26.25">
      <c r="A63" s="258" t="s">
        <v>21</v>
      </c>
      <c r="B63" s="258"/>
      <c r="C63" s="258"/>
      <c r="D63" s="258"/>
      <c r="E63" s="258"/>
      <c r="F63" s="258"/>
      <c r="G63" s="258"/>
      <c r="H63" s="258"/>
      <c r="I63" s="258"/>
      <c r="J63" s="258"/>
      <c r="K63" s="258"/>
      <c r="L63" s="258"/>
      <c r="M63" s="258"/>
      <c r="N63" s="258"/>
      <c r="O63" s="258"/>
      <c r="P63" s="79" t="s">
        <v>102</v>
      </c>
      <c r="Q63" s="4"/>
      <c r="R63" s="5"/>
    </row>
    <row r="64" spans="1:18" s="6" customFormat="1" ht="166.7" customHeight="1">
      <c r="A64" s="272" t="s">
        <v>109</v>
      </c>
      <c r="B64" s="272"/>
      <c r="C64" s="272"/>
      <c r="D64" s="272"/>
      <c r="E64" s="272"/>
      <c r="F64" s="272"/>
      <c r="G64" s="272"/>
      <c r="H64" s="272"/>
      <c r="I64" s="272"/>
      <c r="J64" s="272"/>
      <c r="K64" s="272"/>
      <c r="L64" s="272"/>
      <c r="M64" s="272"/>
      <c r="N64" s="272"/>
      <c r="O64" s="272"/>
      <c r="P64" s="56">
        <v>0.25</v>
      </c>
      <c r="Q64" s="14"/>
      <c r="R64" s="5"/>
    </row>
    <row r="65" spans="1:18" s="6" customFormat="1" ht="56.45" customHeight="1">
      <c r="A65" s="261" t="s">
        <v>85</v>
      </c>
      <c r="B65" s="261"/>
      <c r="C65" s="273"/>
      <c r="D65" s="273"/>
      <c r="E65" s="273"/>
      <c r="F65" s="273"/>
      <c r="G65" s="273"/>
      <c r="H65" s="273"/>
      <c r="I65" s="273"/>
      <c r="J65" s="273"/>
      <c r="K65" s="273"/>
      <c r="L65" s="273"/>
      <c r="M65" s="273"/>
      <c r="N65" s="273"/>
      <c r="O65" s="273"/>
      <c r="P65" s="273"/>
      <c r="Q65" s="14"/>
      <c r="R65" s="5"/>
    </row>
    <row r="66" spans="1:18" s="31" customFormat="1" ht="26.25">
      <c r="A66" s="277" t="s">
        <v>22</v>
      </c>
      <c r="B66" s="278"/>
      <c r="C66" s="278"/>
      <c r="D66" s="278"/>
      <c r="E66" s="278"/>
      <c r="F66" s="278"/>
      <c r="G66" s="278"/>
      <c r="H66" s="278"/>
      <c r="I66" s="278"/>
      <c r="J66" s="278"/>
      <c r="K66" s="278"/>
      <c r="L66" s="278"/>
      <c r="M66" s="278"/>
      <c r="N66" s="278"/>
      <c r="O66" s="279"/>
      <c r="P66" s="79" t="s">
        <v>102</v>
      </c>
      <c r="Q66" s="14"/>
      <c r="R66" s="30"/>
    </row>
    <row r="67" spans="1:18" s="31" customFormat="1" ht="149.44999999999999" customHeight="1">
      <c r="A67" s="280" t="s">
        <v>110</v>
      </c>
      <c r="B67" s="280"/>
      <c r="C67" s="280"/>
      <c r="D67" s="280"/>
      <c r="E67" s="280"/>
      <c r="F67" s="280"/>
      <c r="G67" s="280"/>
      <c r="H67" s="280"/>
      <c r="I67" s="280"/>
      <c r="J67" s="280"/>
      <c r="K67" s="280"/>
      <c r="L67" s="280"/>
      <c r="M67" s="280"/>
      <c r="N67" s="280"/>
      <c r="O67" s="280"/>
      <c r="P67" s="56">
        <v>0.25</v>
      </c>
      <c r="Q67" s="14"/>
      <c r="R67" s="30"/>
    </row>
    <row r="68" spans="1:18" s="6" customFormat="1" ht="64.5" customHeight="1">
      <c r="A68" s="261" t="s">
        <v>85</v>
      </c>
      <c r="B68" s="261"/>
      <c r="C68" s="273"/>
      <c r="D68" s="273"/>
      <c r="E68" s="273"/>
      <c r="F68" s="273"/>
      <c r="G68" s="273"/>
      <c r="H68" s="273"/>
      <c r="I68" s="273"/>
      <c r="J68" s="273"/>
      <c r="K68" s="273"/>
      <c r="L68" s="273"/>
      <c r="M68" s="273"/>
      <c r="N68" s="273"/>
      <c r="O68" s="273"/>
      <c r="P68" s="273"/>
      <c r="Q68" s="14"/>
      <c r="R68" s="5"/>
    </row>
    <row r="69" spans="1:18" s="6" customFormat="1" ht="26.25">
      <c r="A69" s="276" t="s">
        <v>106</v>
      </c>
      <c r="B69" s="276"/>
      <c r="C69" s="276"/>
      <c r="D69" s="276"/>
      <c r="E69" s="276"/>
      <c r="F69" s="276"/>
      <c r="G69" s="276"/>
      <c r="H69" s="276"/>
      <c r="I69" s="276"/>
      <c r="J69" s="276"/>
      <c r="K69" s="276"/>
      <c r="L69" s="276"/>
      <c r="M69" s="276"/>
      <c r="N69" s="276"/>
      <c r="O69" s="276"/>
      <c r="P69" s="55">
        <f>SUM(P55,P58,P61,P64,P67)</f>
        <v>29.25</v>
      </c>
      <c r="Q69" s="14"/>
      <c r="R69" s="5"/>
    </row>
    <row r="70" spans="1:18" s="6" customFormat="1" ht="14.25" customHeight="1">
      <c r="Q70" s="4"/>
      <c r="R70" s="5"/>
    </row>
    <row r="71" spans="1:18" s="6" customFormat="1" ht="14.25" customHeight="1">
      <c r="Q71" s="4"/>
      <c r="R71" s="5"/>
    </row>
    <row r="72" spans="1:18" s="6" customFormat="1" ht="14.25" customHeight="1">
      <c r="Q72" s="4"/>
      <c r="R72" s="5"/>
    </row>
    <row r="73" spans="1:18" s="6" customFormat="1" ht="14.25" customHeight="1">
      <c r="Q73" s="4"/>
      <c r="R73" s="5"/>
    </row>
    <row r="74" spans="1:18" s="6" customFormat="1" ht="14.25" customHeight="1">
      <c r="C74" s="5"/>
      <c r="Q74" s="4"/>
      <c r="R74" s="5"/>
    </row>
    <row r="75" spans="1:18" s="6" customFormat="1" ht="14.25" customHeight="1">
      <c r="C75" s="5"/>
      <c r="Q75" s="4"/>
      <c r="R75" s="5"/>
    </row>
    <row r="76" spans="1:18" s="6" customFormat="1" ht="14.25" customHeight="1">
      <c r="Q76" s="4"/>
      <c r="R76" s="5"/>
    </row>
    <row r="77" spans="1:18" s="6" customFormat="1" ht="14.25" customHeight="1">
      <c r="C77" s="5"/>
      <c r="Q77" s="4"/>
      <c r="R77" s="5"/>
    </row>
    <row r="78" spans="1:18" s="6" customFormat="1" ht="14.25" customHeight="1">
      <c r="Q78" s="4"/>
      <c r="R78" s="5"/>
    </row>
    <row r="79" spans="1:18" s="6" customFormat="1" ht="14.25" customHeight="1">
      <c r="C79" s="5"/>
      <c r="Q79" s="4"/>
      <c r="R79" s="5"/>
    </row>
    <row r="80" spans="1:18" s="6" customFormat="1" ht="14.25" customHeight="1">
      <c r="Q80" s="4"/>
      <c r="R80" s="5"/>
    </row>
    <row r="81" spans="5:18" s="6" customFormat="1" ht="14.25" customHeight="1">
      <c r="Q81" s="4"/>
      <c r="R81" s="5"/>
    </row>
    <row r="82" spans="5:18" s="6" customFormat="1" ht="14.25" customHeight="1">
      <c r="Q82" s="4"/>
      <c r="R82" s="5"/>
    </row>
    <row r="83" spans="5:18" s="6" customFormat="1" ht="14.25" customHeight="1">
      <c r="Q83" s="4"/>
      <c r="R83" s="5"/>
    </row>
    <row r="84" spans="5:18" s="6" customFormat="1" ht="14.25" customHeight="1">
      <c r="Q84" s="4"/>
      <c r="R84" s="5"/>
    </row>
    <row r="85" spans="5:18" s="6" customFormat="1" ht="14.25" customHeight="1">
      <c r="E85" s="50"/>
      <c r="F85" s="50"/>
      <c r="Q85" s="4"/>
      <c r="R85" s="5"/>
    </row>
    <row r="86" spans="5:18" s="6" customFormat="1" ht="14.25" customHeight="1">
      <c r="E86" s="50"/>
      <c r="F86" s="50"/>
      <c r="Q86" s="4"/>
      <c r="R86" s="5"/>
    </row>
    <row r="87" spans="5:18" ht="14.25" customHeight="1">
      <c r="E87" s="50"/>
      <c r="F87" s="50"/>
    </row>
    <row r="88" spans="5:18" ht="14.25" customHeight="1">
      <c r="E88" s="50"/>
      <c r="F88" s="50"/>
    </row>
    <row r="89" spans="5:18" ht="14.25" customHeight="1"/>
    <row r="90" spans="5:18" ht="14.25" customHeight="1"/>
    <row r="91" spans="5:18" ht="14.25" customHeight="1"/>
    <row r="92" spans="5:18" ht="14.25" customHeight="1"/>
    <row r="93" spans="5:18" ht="14.25" customHeight="1"/>
    <row r="94" spans="5:18" ht="14.25" customHeight="1"/>
    <row r="95" spans="5:18" ht="14.25" customHeight="1"/>
    <row r="96" spans="5:18"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sheetData>
  <mergeCells count="94">
    <mergeCell ref="A69:O69"/>
    <mergeCell ref="A65:B65"/>
    <mergeCell ref="C65:P65"/>
    <mergeCell ref="A66:O66"/>
    <mergeCell ref="A67:O67"/>
    <mergeCell ref="A68:B68"/>
    <mergeCell ref="C68:P68"/>
    <mergeCell ref="A64:O64"/>
    <mergeCell ref="A56:B56"/>
    <mergeCell ref="C56:P56"/>
    <mergeCell ref="A57:O57"/>
    <mergeCell ref="A58:O58"/>
    <mergeCell ref="A59:B59"/>
    <mergeCell ref="C59:P59"/>
    <mergeCell ref="A60:O60"/>
    <mergeCell ref="A61:O61"/>
    <mergeCell ref="A62:B62"/>
    <mergeCell ref="C62:P62"/>
    <mergeCell ref="A63:O63"/>
    <mergeCell ref="A55:O55"/>
    <mergeCell ref="A46:B46"/>
    <mergeCell ref="C46:P46"/>
    <mergeCell ref="A47:O47"/>
    <mergeCell ref="A48:O48"/>
    <mergeCell ref="A49:B49"/>
    <mergeCell ref="C49:P49"/>
    <mergeCell ref="A50:P50"/>
    <mergeCell ref="A51:O51"/>
    <mergeCell ref="A52:O52"/>
    <mergeCell ref="A53:O53"/>
    <mergeCell ref="A54:O54"/>
    <mergeCell ref="A45:O45"/>
    <mergeCell ref="A36:O36"/>
    <mergeCell ref="A37:B37"/>
    <mergeCell ref="C37:P37"/>
    <mergeCell ref="A38:O38"/>
    <mergeCell ref="A39:O39"/>
    <mergeCell ref="A40:B40"/>
    <mergeCell ref="C40:P40"/>
    <mergeCell ref="A41:O41"/>
    <mergeCell ref="A42:O42"/>
    <mergeCell ref="A43:B43"/>
    <mergeCell ref="C43:P43"/>
    <mergeCell ref="A44:O44"/>
    <mergeCell ref="O23:P23"/>
    <mergeCell ref="A24:N24"/>
    <mergeCell ref="O24:P24"/>
    <mergeCell ref="E25:F25"/>
    <mergeCell ref="A35:O35"/>
    <mergeCell ref="E27:F27"/>
    <mergeCell ref="E28:F28"/>
    <mergeCell ref="E29:F29"/>
    <mergeCell ref="E30:F30"/>
    <mergeCell ref="E31:F31"/>
    <mergeCell ref="A32:J32"/>
    <mergeCell ref="K32:N32"/>
    <mergeCell ref="O32:P32"/>
    <mergeCell ref="A33:B33"/>
    <mergeCell ref="C33:P33"/>
    <mergeCell ref="A34:P34"/>
    <mergeCell ref="E26:F26"/>
    <mergeCell ref="E19:F19"/>
    <mergeCell ref="E20:F20"/>
    <mergeCell ref="A21:J21"/>
    <mergeCell ref="K21:N21"/>
    <mergeCell ref="A23:N23"/>
    <mergeCell ref="O21:P21"/>
    <mergeCell ref="B22:P22"/>
    <mergeCell ref="A12:N12"/>
    <mergeCell ref="O12:P12"/>
    <mergeCell ref="A13:N13"/>
    <mergeCell ref="O13:P13"/>
    <mergeCell ref="E14:F14"/>
    <mergeCell ref="A15:A20"/>
    <mergeCell ref="E15:F15"/>
    <mergeCell ref="E16:F16"/>
    <mergeCell ref="E17:F17"/>
    <mergeCell ref="E18:F18"/>
    <mergeCell ref="A11:P11"/>
    <mergeCell ref="A1:P1"/>
    <mergeCell ref="A2:P2"/>
    <mergeCell ref="A3:P3"/>
    <mergeCell ref="A4:A9"/>
    <mergeCell ref="B4:I9"/>
    <mergeCell ref="J4:O4"/>
    <mergeCell ref="J5:O5"/>
    <mergeCell ref="J6:O6"/>
    <mergeCell ref="J7:O7"/>
    <mergeCell ref="J8:O8"/>
    <mergeCell ref="J9:O9"/>
    <mergeCell ref="B10:C10"/>
    <mergeCell ref="D10:I10"/>
    <mergeCell ref="J10:K10"/>
    <mergeCell ref="L10:M10"/>
  </mergeCells>
  <conditionalFormatting sqref="P15:P20">
    <cfRule type="expression" dxfId="21" priority="10">
      <formula>$P15="NO CUMPLE"</formula>
    </cfRule>
  </conditionalFormatting>
  <conditionalFormatting sqref="P26:P31">
    <cfRule type="expression" dxfId="20" priority="11">
      <formula>$P26="NO CUMPLE"</formula>
    </cfRule>
  </conditionalFormatting>
  <conditionalFormatting sqref="P36">
    <cfRule type="expression" dxfId="19" priority="13">
      <formula>$P36="NO CUMPLE"</formula>
    </cfRule>
  </conditionalFormatting>
  <conditionalFormatting sqref="P39">
    <cfRule type="expression" dxfId="18" priority="12">
      <formula>$P39="NO CUMPLE"</formula>
    </cfRule>
  </conditionalFormatting>
  <conditionalFormatting sqref="P45">
    <cfRule type="expression" dxfId="17" priority="8">
      <formula>$P45="NO CUMPLE"</formula>
    </cfRule>
  </conditionalFormatting>
  <conditionalFormatting sqref="P48">
    <cfRule type="cellIs" dxfId="16" priority="5" operator="equal">
      <formula>"RECHAZADO"</formula>
    </cfRule>
    <cfRule type="expression" dxfId="15" priority="6">
      <formula>$P48="NO CUMPLE"</formula>
    </cfRule>
  </conditionalFormatting>
  <conditionalFormatting sqref="P42">
    <cfRule type="cellIs" dxfId="14" priority="3" operator="equal">
      <formula>"RECHAZADO"</formula>
    </cfRule>
    <cfRule type="expression" dxfId="13" priority="4">
      <formula>$P42="NO CUMPLE"</formula>
    </cfRule>
  </conditionalFormatting>
  <conditionalFormatting sqref="O24">
    <cfRule type="cellIs" dxfId="12" priority="1" operator="equal">
      <formula>"RECHAZADO"</formula>
    </cfRule>
    <cfRule type="expression" dxfId="11" priority="2">
      <formula>$P24="NO CUMPLE"</formula>
    </cfRule>
  </conditionalFormatting>
  <dataValidations count="3">
    <dataValidation type="list" allowBlank="1" showInputMessage="1" showErrorMessage="1" sqref="G18:G20 G27:G31 G26:I26 I27:I31 I18:I20 G15:I17" xr:uid="{78899367-410B-4A25-A4E8-974B32CB816A}">
      <formula1>"SI,NO"</formula1>
    </dataValidation>
    <dataValidation type="list" allowBlank="1" showInputMessage="1" showErrorMessage="1" sqref="P36 P39 P26:P31 P15:P20 P45" xr:uid="{DDBB45DB-AD01-4C00-AA31-D3942B9D8DDD}">
      <formula1>"CUMPLE,NO CUMPLE"</formula1>
    </dataValidation>
    <dataValidation type="list" allowBlank="1" showInputMessage="1" showErrorMessage="1" sqref="P48 P42" xr:uid="{2FEF1BDD-60A2-B342-9B59-D7DEBE6E2B9E}">
      <formula1>"CUMPLE,NO CUMPLE,RECHAZADO"</formula1>
    </dataValidation>
  </dataValidations>
  <pageMargins left="0.11811023622047245" right="0.11811023622047245" top="0.27559055118110237" bottom="0.23622047244094491" header="0" footer="0"/>
  <pageSetup paperSize="9" scale="4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8D7DC-5049-42D9-8F13-D46FE133AE05}">
  <sheetPr>
    <tabColor rgb="FF50F828"/>
  </sheetPr>
  <dimension ref="A1:U994"/>
  <sheetViews>
    <sheetView zoomScale="70" zoomScaleNormal="70" workbookViewId="0">
      <selection activeCell="B10" sqref="B10:C10"/>
    </sheetView>
  </sheetViews>
  <sheetFormatPr baseColWidth="10" defaultColWidth="14.5703125" defaultRowHeight="15" customHeight="1"/>
  <cols>
    <col min="1" max="1" width="17.42578125" style="3" customWidth="1"/>
    <col min="2" max="2" width="12.7109375" style="3" customWidth="1"/>
    <col min="3" max="3" width="15.85546875" style="3" customWidth="1"/>
    <col min="4" max="4" width="24.140625" style="3" customWidth="1"/>
    <col min="5" max="5" width="52.140625" style="3" customWidth="1"/>
    <col min="6" max="6" width="49.5703125" style="3" customWidth="1"/>
    <col min="7" max="7" width="15.28515625" style="3" customWidth="1"/>
    <col min="8" max="8" width="13.140625" style="3" customWidth="1"/>
    <col min="9" max="9" width="15.42578125" style="3" customWidth="1"/>
    <col min="10" max="10" width="27.42578125" style="3" customWidth="1"/>
    <col min="11" max="11" width="19.140625" style="3" customWidth="1"/>
    <col min="12" max="12" width="20.28515625" style="3" bestFit="1" customWidth="1"/>
    <col min="13" max="13" width="23.5703125" style="3" bestFit="1" customWidth="1"/>
    <col min="14" max="14" width="15.42578125" style="3" customWidth="1"/>
    <col min="15" max="15" width="14.85546875" style="3" customWidth="1"/>
    <col min="16" max="16" width="26" style="3" customWidth="1"/>
    <col min="17" max="17" width="6.140625" style="1" bestFit="1" customWidth="1"/>
    <col min="18" max="18" width="10" style="2" bestFit="1" customWidth="1"/>
    <col min="19" max="16384" width="14.5703125" style="3"/>
  </cols>
  <sheetData>
    <row r="1" spans="1:21" ht="25.5">
      <c r="A1" s="209" t="s">
        <v>38</v>
      </c>
      <c r="B1" s="210"/>
      <c r="C1" s="210"/>
      <c r="D1" s="210"/>
      <c r="E1" s="210"/>
      <c r="F1" s="210"/>
      <c r="G1" s="210"/>
      <c r="H1" s="210"/>
      <c r="I1" s="210"/>
      <c r="J1" s="210"/>
      <c r="K1" s="210"/>
      <c r="L1" s="210"/>
      <c r="M1" s="210"/>
      <c r="N1" s="210"/>
      <c r="O1" s="210"/>
      <c r="P1" s="211"/>
    </row>
    <row r="2" spans="1:21" ht="25.5">
      <c r="A2" s="212" t="str">
        <f>+RESUMEN!C5</f>
        <v>24001216 H3 DE 2024</v>
      </c>
      <c r="B2" s="213"/>
      <c r="C2" s="213"/>
      <c r="D2" s="213"/>
      <c r="E2" s="213"/>
      <c r="F2" s="213"/>
      <c r="G2" s="213"/>
      <c r="H2" s="213"/>
      <c r="I2" s="213"/>
      <c r="J2" s="213"/>
      <c r="K2" s="213"/>
      <c r="L2" s="213"/>
      <c r="M2" s="213"/>
      <c r="N2" s="213"/>
      <c r="O2" s="213"/>
      <c r="P2" s="214"/>
    </row>
    <row r="3" spans="1:21" ht="60" customHeight="1">
      <c r="A3" s="215" t="str">
        <f>+RESUMEN!G5</f>
        <v>REALIZAR MANTENIMIENTO A LOS SISTEMAS UPS DEL CENTRO DE GESTION AERONAUTICA
DE COLOMBIA CGAC, INCLUYE RENOVAR BANCOS DE BATERÍAS POR LOTES. (VIGENCIA FUTURA).</v>
      </c>
      <c r="B3" s="216"/>
      <c r="C3" s="216"/>
      <c r="D3" s="216"/>
      <c r="E3" s="216"/>
      <c r="F3" s="216"/>
      <c r="G3" s="216"/>
      <c r="H3" s="216"/>
      <c r="I3" s="216"/>
      <c r="J3" s="217"/>
      <c r="K3" s="217"/>
      <c r="L3" s="217"/>
      <c r="M3" s="217"/>
      <c r="N3" s="217"/>
      <c r="O3" s="217"/>
      <c r="P3" s="218"/>
    </row>
    <row r="4" spans="1:21" s="6" customFormat="1" ht="19.5" customHeight="1">
      <c r="A4" s="219">
        <v>1</v>
      </c>
      <c r="B4" s="222" t="str">
        <f>+RESUMEN!C8</f>
        <v>SISELCOM SAS</v>
      </c>
      <c r="C4" s="223"/>
      <c r="D4" s="223"/>
      <c r="E4" s="223"/>
      <c r="F4" s="223"/>
      <c r="G4" s="223"/>
      <c r="H4" s="223"/>
      <c r="I4" s="223"/>
      <c r="J4" s="227" t="s">
        <v>39</v>
      </c>
      <c r="K4" s="228"/>
      <c r="L4" s="228"/>
      <c r="M4" s="228"/>
      <c r="N4" s="228"/>
      <c r="O4" s="229"/>
      <c r="P4" s="28" t="s">
        <v>40</v>
      </c>
      <c r="Q4" s="4"/>
      <c r="R4" s="5"/>
    </row>
    <row r="5" spans="1:21" s="6" customFormat="1" ht="19.5" customHeight="1">
      <c r="A5" s="220"/>
      <c r="B5" s="224"/>
      <c r="C5" s="225"/>
      <c r="D5" s="225"/>
      <c r="E5" s="225"/>
      <c r="F5" s="225"/>
      <c r="G5" s="225"/>
      <c r="H5" s="225"/>
      <c r="I5" s="225"/>
      <c r="J5" s="230"/>
      <c r="K5" s="231"/>
      <c r="L5" s="231"/>
      <c r="M5" s="231"/>
      <c r="N5" s="231"/>
      <c r="O5" s="232"/>
      <c r="P5" s="76"/>
      <c r="Q5" s="4"/>
      <c r="R5" s="5"/>
      <c r="S5" s="50"/>
      <c r="T5" s="50"/>
      <c r="U5" s="50"/>
    </row>
    <row r="6" spans="1:21" s="6" customFormat="1" ht="19.5" customHeight="1">
      <c r="A6" s="220"/>
      <c r="B6" s="224"/>
      <c r="C6" s="225"/>
      <c r="D6" s="225"/>
      <c r="E6" s="225"/>
      <c r="F6" s="225"/>
      <c r="G6" s="225"/>
      <c r="H6" s="225"/>
      <c r="I6" s="225"/>
      <c r="J6" s="230"/>
      <c r="K6" s="231"/>
      <c r="L6" s="231"/>
      <c r="M6" s="231"/>
      <c r="N6" s="231"/>
      <c r="O6" s="232"/>
      <c r="P6" s="76"/>
      <c r="Q6" s="4"/>
      <c r="R6" s="5"/>
      <c r="S6" s="50"/>
      <c r="T6" s="50"/>
      <c r="U6" s="50"/>
    </row>
    <row r="7" spans="1:21" s="6" customFormat="1" ht="19.5" customHeight="1">
      <c r="A7" s="220"/>
      <c r="B7" s="224"/>
      <c r="C7" s="225"/>
      <c r="D7" s="225"/>
      <c r="E7" s="225"/>
      <c r="F7" s="225"/>
      <c r="G7" s="225"/>
      <c r="H7" s="225"/>
      <c r="I7" s="225"/>
      <c r="J7" s="230"/>
      <c r="K7" s="231"/>
      <c r="L7" s="231"/>
      <c r="M7" s="231"/>
      <c r="N7" s="231"/>
      <c r="O7" s="232"/>
      <c r="P7" s="76"/>
      <c r="Q7" s="4"/>
      <c r="R7" s="5"/>
      <c r="S7" s="50"/>
      <c r="T7" s="50"/>
      <c r="U7" s="50"/>
    </row>
    <row r="8" spans="1:21" s="6" customFormat="1" ht="19.5" customHeight="1">
      <c r="A8" s="220"/>
      <c r="B8" s="224"/>
      <c r="C8" s="225"/>
      <c r="D8" s="225"/>
      <c r="E8" s="225"/>
      <c r="F8" s="225"/>
      <c r="G8" s="225"/>
      <c r="H8" s="225"/>
      <c r="I8" s="225"/>
      <c r="J8" s="230"/>
      <c r="K8" s="231"/>
      <c r="L8" s="231"/>
      <c r="M8" s="231"/>
      <c r="N8" s="231"/>
      <c r="O8" s="232"/>
      <c r="P8" s="76"/>
      <c r="Q8" s="4"/>
      <c r="R8" s="5"/>
    </row>
    <row r="9" spans="1:21" s="6" customFormat="1" ht="21" customHeight="1">
      <c r="A9" s="221"/>
      <c r="B9" s="224"/>
      <c r="C9" s="225"/>
      <c r="D9" s="225"/>
      <c r="E9" s="225"/>
      <c r="F9" s="225"/>
      <c r="G9" s="225"/>
      <c r="H9" s="225"/>
      <c r="I9" s="226"/>
      <c r="J9" s="233" t="s">
        <v>43</v>
      </c>
      <c r="K9" s="234"/>
      <c r="L9" s="234"/>
      <c r="M9" s="234"/>
      <c r="N9" s="234"/>
      <c r="O9" s="235"/>
      <c r="P9" s="29">
        <f>SUM(P5:P8)</f>
        <v>0</v>
      </c>
      <c r="Q9" s="7"/>
      <c r="R9" s="5"/>
    </row>
    <row r="10" spans="1:21" s="6" customFormat="1" ht="65.25" customHeight="1">
      <c r="A10" s="66" t="s">
        <v>44</v>
      </c>
      <c r="B10" s="236" t="s">
        <v>45</v>
      </c>
      <c r="C10" s="236"/>
      <c r="D10" s="237" t="s">
        <v>46</v>
      </c>
      <c r="E10" s="237"/>
      <c r="F10" s="237"/>
      <c r="G10" s="237"/>
      <c r="H10" s="237"/>
      <c r="I10" s="237"/>
      <c r="J10" s="238">
        <f>RESUMEN!U5</f>
        <v>1927454798</v>
      </c>
      <c r="K10" s="239"/>
      <c r="L10" s="240" t="s">
        <v>47</v>
      </c>
      <c r="M10" s="241"/>
      <c r="N10" s="67">
        <f>P69</f>
        <v>0</v>
      </c>
      <c r="O10" s="68" t="s">
        <v>48</v>
      </c>
      <c r="P10" s="69">
        <f>J10/'Serie Historica SMMLV'!C47</f>
        <v>1482.657536923077</v>
      </c>
      <c r="Q10" s="8"/>
      <c r="R10" s="5"/>
      <c r="T10" s="43"/>
    </row>
    <row r="11" spans="1:21" s="6" customFormat="1" ht="26.25">
      <c r="A11" s="207" t="s">
        <v>49</v>
      </c>
      <c r="B11" s="208"/>
      <c r="C11" s="208"/>
      <c r="D11" s="208"/>
      <c r="E11" s="208"/>
      <c r="F11" s="208"/>
      <c r="G11" s="208"/>
      <c r="H11" s="208"/>
      <c r="I11" s="208"/>
      <c r="J11" s="208"/>
      <c r="K11" s="208"/>
      <c r="L11" s="208"/>
      <c r="M11" s="208"/>
      <c r="N11" s="208"/>
      <c r="O11" s="208"/>
      <c r="P11" s="208"/>
      <c r="Q11" s="4"/>
      <c r="R11" s="5"/>
    </row>
    <row r="12" spans="1:21" s="6" customFormat="1" ht="26.25">
      <c r="A12" s="244" t="s">
        <v>11</v>
      </c>
      <c r="B12" s="244"/>
      <c r="C12" s="244"/>
      <c r="D12" s="244"/>
      <c r="E12" s="244"/>
      <c r="F12" s="244"/>
      <c r="G12" s="244"/>
      <c r="H12" s="244"/>
      <c r="I12" s="244"/>
      <c r="J12" s="244"/>
      <c r="K12" s="244"/>
      <c r="L12" s="244"/>
      <c r="M12" s="244"/>
      <c r="N12" s="244"/>
      <c r="O12" s="245" t="s">
        <v>50</v>
      </c>
      <c r="P12" s="245"/>
      <c r="Q12" s="4"/>
      <c r="R12" s="5"/>
    </row>
    <row r="13" spans="1:21" s="6" customFormat="1" ht="115.7" customHeight="1">
      <c r="A13" s="246" t="s">
        <v>51</v>
      </c>
      <c r="B13" s="246"/>
      <c r="C13" s="246"/>
      <c r="D13" s="246"/>
      <c r="E13" s="246"/>
      <c r="F13" s="246"/>
      <c r="G13" s="246"/>
      <c r="H13" s="246"/>
      <c r="I13" s="246"/>
      <c r="J13" s="246"/>
      <c r="K13" s="246"/>
      <c r="L13" s="246"/>
      <c r="M13" s="246"/>
      <c r="N13" s="246"/>
      <c r="O13" s="247"/>
      <c r="P13" s="247"/>
      <c r="Q13" s="4"/>
      <c r="R13" s="5"/>
    </row>
    <row r="14" spans="1:21" s="6" customFormat="1" ht="102" customHeight="1">
      <c r="A14" s="81" t="s">
        <v>52</v>
      </c>
      <c r="B14" s="81" t="s">
        <v>53</v>
      </c>
      <c r="C14" s="81" t="s">
        <v>54</v>
      </c>
      <c r="D14" s="81" t="s">
        <v>55</v>
      </c>
      <c r="E14" s="248" t="s">
        <v>3</v>
      </c>
      <c r="F14" s="248"/>
      <c r="G14" s="81" t="s">
        <v>56</v>
      </c>
      <c r="H14" s="81" t="str">
        <f>"CUMPLE CODIGOS?
"&amp;B10</f>
        <v>CUMPLE CODIGOS?
72151500
81101700
26111700</v>
      </c>
      <c r="I14" s="81" t="s">
        <v>57</v>
      </c>
      <c r="J14" s="81" t="s">
        <v>58</v>
      </c>
      <c r="K14" s="81" t="s">
        <v>59</v>
      </c>
      <c r="L14" s="81" t="s">
        <v>60</v>
      </c>
      <c r="M14" s="81" t="s">
        <v>61</v>
      </c>
      <c r="N14" s="81" t="s">
        <v>62</v>
      </c>
      <c r="O14" s="81" t="s">
        <v>63</v>
      </c>
      <c r="P14" s="81" t="s">
        <v>64</v>
      </c>
      <c r="Q14" s="9"/>
      <c r="R14" s="10"/>
    </row>
    <row r="15" spans="1:21" s="6" customFormat="1" ht="18">
      <c r="A15" s="249">
        <f>+P10</f>
        <v>1482.657536923077</v>
      </c>
      <c r="B15" s="47" t="s">
        <v>65</v>
      </c>
      <c r="C15" s="63"/>
      <c r="D15" s="82"/>
      <c r="E15" s="250"/>
      <c r="F15" s="250"/>
      <c r="G15" s="70"/>
      <c r="H15" s="70"/>
      <c r="I15" s="70"/>
      <c r="J15" s="71"/>
      <c r="K15" s="59"/>
      <c r="L15" s="60"/>
      <c r="M15" s="61"/>
      <c r="N15" s="62"/>
      <c r="O15" s="38" t="str">
        <f>IF(AND(H15="SI",I15="SI")=TRUE,M15*N15,"")</f>
        <v/>
      </c>
      <c r="P15" s="65"/>
      <c r="Q15" s="11"/>
      <c r="R15" s="5"/>
    </row>
    <row r="16" spans="1:21" s="31" customFormat="1" ht="18">
      <c r="A16" s="249"/>
      <c r="B16" s="47" t="s">
        <v>70</v>
      </c>
      <c r="C16" s="63"/>
      <c r="D16" s="82"/>
      <c r="E16" s="250"/>
      <c r="F16" s="250"/>
      <c r="G16" s="70"/>
      <c r="H16" s="70"/>
      <c r="I16" s="70"/>
      <c r="J16" s="71"/>
      <c r="K16" s="59"/>
      <c r="L16" s="60"/>
      <c r="M16" s="61"/>
      <c r="N16" s="62"/>
      <c r="O16" s="38" t="str">
        <f t="shared" ref="O16:O20" si="0">IF(AND(H16="SI",I16="SI")=TRUE,M16*N16,"")</f>
        <v/>
      </c>
      <c r="P16" s="65"/>
      <c r="Q16" s="36"/>
      <c r="R16" s="30"/>
    </row>
    <row r="17" spans="1:19" s="6" customFormat="1" ht="18">
      <c r="A17" s="249"/>
      <c r="B17" s="47" t="s">
        <v>74</v>
      </c>
      <c r="C17" s="63"/>
      <c r="D17" s="82"/>
      <c r="E17" s="250"/>
      <c r="F17" s="250"/>
      <c r="G17" s="70"/>
      <c r="H17" s="70"/>
      <c r="I17" s="70"/>
      <c r="J17" s="71"/>
      <c r="K17" s="59"/>
      <c r="L17" s="60"/>
      <c r="M17" s="61"/>
      <c r="N17" s="62"/>
      <c r="O17" s="38" t="str">
        <f t="shared" si="0"/>
        <v/>
      </c>
      <c r="P17" s="65"/>
      <c r="Q17" s="11"/>
      <c r="R17" s="5"/>
    </row>
    <row r="18" spans="1:19" s="6" customFormat="1" ht="18">
      <c r="A18" s="249"/>
      <c r="B18" s="47" t="s">
        <v>78</v>
      </c>
      <c r="C18" s="70"/>
      <c r="D18" s="82"/>
      <c r="E18" s="251"/>
      <c r="F18" s="251"/>
      <c r="G18" s="57"/>
      <c r="H18" s="57"/>
      <c r="I18" s="57"/>
      <c r="J18" s="84"/>
      <c r="K18" s="59"/>
      <c r="L18" s="60"/>
      <c r="M18" s="61"/>
      <c r="N18" s="62"/>
      <c r="O18" s="38" t="str">
        <f t="shared" si="0"/>
        <v/>
      </c>
      <c r="P18" s="65"/>
      <c r="Q18" s="11"/>
      <c r="R18" s="5"/>
    </row>
    <row r="19" spans="1:19" s="6" customFormat="1" ht="18">
      <c r="A19" s="249"/>
      <c r="B19" s="47" t="s">
        <v>82</v>
      </c>
      <c r="C19" s="70"/>
      <c r="D19" s="82"/>
      <c r="E19" s="251"/>
      <c r="F19" s="251"/>
      <c r="G19" s="57"/>
      <c r="H19" s="57"/>
      <c r="I19" s="57"/>
      <c r="J19" s="84"/>
      <c r="K19" s="59"/>
      <c r="L19" s="60"/>
      <c r="M19" s="61"/>
      <c r="N19" s="62"/>
      <c r="O19" s="38" t="str">
        <f t="shared" si="0"/>
        <v/>
      </c>
      <c r="P19" s="65"/>
      <c r="Q19" s="11"/>
      <c r="R19" s="5"/>
    </row>
    <row r="20" spans="1:19" s="6" customFormat="1" ht="18">
      <c r="A20" s="249"/>
      <c r="B20" s="47" t="s">
        <v>83</v>
      </c>
      <c r="C20" s="70"/>
      <c r="D20" s="82"/>
      <c r="E20" s="251"/>
      <c r="F20" s="251"/>
      <c r="G20" s="57"/>
      <c r="H20" s="57"/>
      <c r="I20" s="57"/>
      <c r="J20" s="84"/>
      <c r="K20" s="59"/>
      <c r="L20" s="60"/>
      <c r="M20" s="61"/>
      <c r="N20" s="62"/>
      <c r="O20" s="38" t="str">
        <f t="shared" si="0"/>
        <v/>
      </c>
      <c r="P20" s="65"/>
      <c r="Q20" s="11"/>
      <c r="R20" s="5"/>
    </row>
    <row r="21" spans="1:19" s="6" customFormat="1" ht="26.25">
      <c r="A21" s="252"/>
      <c r="B21" s="253"/>
      <c r="C21" s="253"/>
      <c r="D21" s="253"/>
      <c r="E21" s="253"/>
      <c r="F21" s="253"/>
      <c r="G21" s="253"/>
      <c r="H21" s="253"/>
      <c r="I21" s="253"/>
      <c r="J21" s="254"/>
      <c r="K21" s="255" t="s">
        <v>84</v>
      </c>
      <c r="L21" s="256"/>
      <c r="M21" s="256"/>
      <c r="N21" s="257"/>
      <c r="O21" s="242">
        <f>SUMIF(P15:P20,"CUMPLE",O15:O20)</f>
        <v>0</v>
      </c>
      <c r="P21" s="242"/>
      <c r="Q21" s="11"/>
      <c r="R21" s="5"/>
      <c r="S21" s="44"/>
    </row>
    <row r="22" spans="1:19" s="6" customFormat="1" ht="93" customHeight="1">
      <c r="A22" s="20" t="s">
        <v>85</v>
      </c>
      <c r="B22" s="243"/>
      <c r="C22" s="243"/>
      <c r="D22" s="243"/>
      <c r="E22" s="243"/>
      <c r="F22" s="243"/>
      <c r="G22" s="243"/>
      <c r="H22" s="243"/>
      <c r="I22" s="243"/>
      <c r="J22" s="243"/>
      <c r="K22" s="243"/>
      <c r="L22" s="243"/>
      <c r="M22" s="243"/>
      <c r="N22" s="243"/>
      <c r="O22" s="243"/>
      <c r="P22" s="243"/>
      <c r="Q22" s="11"/>
      <c r="R22" s="5"/>
    </row>
    <row r="23" spans="1:19" s="54" customFormat="1" ht="26.25">
      <c r="A23" s="258" t="s">
        <v>12</v>
      </c>
      <c r="B23" s="259"/>
      <c r="C23" s="259"/>
      <c r="D23" s="259"/>
      <c r="E23" s="259"/>
      <c r="F23" s="259"/>
      <c r="G23" s="259"/>
      <c r="H23" s="259"/>
      <c r="I23" s="259"/>
      <c r="J23" s="259"/>
      <c r="K23" s="259"/>
      <c r="L23" s="259"/>
      <c r="M23" s="259"/>
      <c r="N23" s="259"/>
      <c r="O23" s="245" t="s">
        <v>50</v>
      </c>
      <c r="P23" s="245"/>
      <c r="Q23" s="52"/>
      <c r="R23" s="53"/>
    </row>
    <row r="24" spans="1:19" s="6" customFormat="1" ht="168.95" customHeight="1">
      <c r="A24" s="260" t="s">
        <v>86</v>
      </c>
      <c r="B24" s="260"/>
      <c r="C24" s="260"/>
      <c r="D24" s="260"/>
      <c r="E24" s="260"/>
      <c r="F24" s="260"/>
      <c r="G24" s="260"/>
      <c r="H24" s="260"/>
      <c r="I24" s="260"/>
      <c r="J24" s="260"/>
      <c r="K24" s="260"/>
      <c r="L24" s="260"/>
      <c r="M24" s="260"/>
      <c r="N24" s="260"/>
      <c r="O24" s="247"/>
      <c r="P24" s="247"/>
      <c r="Q24" s="12"/>
      <c r="R24" s="5"/>
    </row>
    <row r="25" spans="1:19" s="6" customFormat="1" ht="76.5">
      <c r="A25" s="51" t="s">
        <v>87</v>
      </c>
      <c r="B25" s="81" t="s">
        <v>53</v>
      </c>
      <c r="C25" s="81" t="s">
        <v>54</v>
      </c>
      <c r="D25" s="81" t="s">
        <v>55</v>
      </c>
      <c r="E25" s="248" t="s">
        <v>3</v>
      </c>
      <c r="F25" s="248"/>
      <c r="G25" s="81" t="s">
        <v>88</v>
      </c>
      <c r="H25" s="81" t="s">
        <v>89</v>
      </c>
      <c r="I25" s="81" t="s">
        <v>90</v>
      </c>
      <c r="J25" s="81" t="s">
        <v>58</v>
      </c>
      <c r="K25" s="81" t="s">
        <v>59</v>
      </c>
      <c r="L25" s="81" t="s">
        <v>91</v>
      </c>
      <c r="M25" s="81" t="s">
        <v>61</v>
      </c>
      <c r="N25" s="81" t="s">
        <v>62</v>
      </c>
      <c r="O25" s="81" t="s">
        <v>63</v>
      </c>
      <c r="P25" s="81" t="s">
        <v>64</v>
      </c>
      <c r="Q25" s="9"/>
      <c r="R25" s="10"/>
    </row>
    <row r="26" spans="1:19" s="6" customFormat="1" ht="18">
      <c r="A26" s="25">
        <v>1</v>
      </c>
      <c r="B26" s="47" t="s">
        <v>65</v>
      </c>
      <c r="C26" s="63"/>
      <c r="D26" s="63"/>
      <c r="E26" s="282"/>
      <c r="F26" s="282"/>
      <c r="G26" s="57"/>
      <c r="H26" s="57"/>
      <c r="I26" s="57"/>
      <c r="J26" s="58"/>
      <c r="K26" s="59"/>
      <c r="L26" s="60"/>
      <c r="M26" s="61"/>
      <c r="N26" s="62"/>
      <c r="O26" s="38" t="str">
        <f t="shared" ref="O26:O31" si="1">IF(AND(H26="SI",I26="SI")=TRUE,M26*N26,"")</f>
        <v/>
      </c>
      <c r="P26" s="65"/>
      <c r="Q26" s="11"/>
      <c r="R26" s="5"/>
    </row>
    <row r="27" spans="1:19" s="31" customFormat="1" ht="18">
      <c r="A27" s="37">
        <v>2</v>
      </c>
      <c r="B27" s="47" t="s">
        <v>70</v>
      </c>
      <c r="C27" s="84"/>
      <c r="D27" s="82"/>
      <c r="E27" s="251"/>
      <c r="F27" s="251"/>
      <c r="G27" s="84"/>
      <c r="H27" s="84"/>
      <c r="I27" s="84"/>
      <c r="J27" s="84"/>
      <c r="K27" s="59"/>
      <c r="L27" s="60"/>
      <c r="M27" s="61"/>
      <c r="N27" s="62"/>
      <c r="O27" s="38" t="str">
        <f t="shared" si="1"/>
        <v/>
      </c>
      <c r="P27" s="65"/>
      <c r="Q27" s="36"/>
      <c r="R27" s="30"/>
    </row>
    <row r="28" spans="1:19" s="40" customFormat="1" ht="18">
      <c r="A28" s="25">
        <v>3</v>
      </c>
      <c r="B28" s="47" t="s">
        <v>74</v>
      </c>
      <c r="C28" s="84"/>
      <c r="D28" s="83"/>
      <c r="E28" s="251"/>
      <c r="F28" s="251"/>
      <c r="G28" s="57"/>
      <c r="H28" s="57"/>
      <c r="I28" s="57"/>
      <c r="J28" s="84"/>
      <c r="K28" s="59"/>
      <c r="L28" s="60"/>
      <c r="M28" s="61"/>
      <c r="N28" s="62"/>
      <c r="O28" s="38" t="str">
        <f t="shared" si="1"/>
        <v/>
      </c>
      <c r="P28" s="65"/>
      <c r="Q28" s="11"/>
      <c r="R28" s="39"/>
    </row>
    <row r="29" spans="1:19" s="42" customFormat="1" ht="18">
      <c r="A29" s="37">
        <v>4</v>
      </c>
      <c r="B29" s="47" t="s">
        <v>78</v>
      </c>
      <c r="C29" s="57"/>
      <c r="D29" s="83"/>
      <c r="E29" s="251"/>
      <c r="F29" s="251"/>
      <c r="G29" s="57"/>
      <c r="H29" s="84"/>
      <c r="I29" s="57"/>
      <c r="J29" s="84"/>
      <c r="K29" s="59"/>
      <c r="L29" s="60"/>
      <c r="M29" s="61"/>
      <c r="N29" s="62"/>
      <c r="O29" s="38" t="str">
        <f t="shared" si="1"/>
        <v/>
      </c>
      <c r="P29" s="65"/>
      <c r="Q29" s="36"/>
      <c r="R29" s="41"/>
    </row>
    <row r="30" spans="1:19" s="40" customFormat="1" ht="18">
      <c r="A30" s="25">
        <v>5</v>
      </c>
      <c r="B30" s="47" t="s">
        <v>82</v>
      </c>
      <c r="C30" s="84"/>
      <c r="D30" s="64"/>
      <c r="E30" s="251"/>
      <c r="F30" s="251"/>
      <c r="G30" s="84"/>
      <c r="H30" s="84"/>
      <c r="I30" s="84"/>
      <c r="J30" s="84"/>
      <c r="K30" s="59"/>
      <c r="L30" s="60"/>
      <c r="M30" s="61"/>
      <c r="N30" s="62"/>
      <c r="O30" s="38" t="str">
        <f t="shared" si="1"/>
        <v/>
      </c>
      <c r="P30" s="65"/>
      <c r="Q30" s="11"/>
      <c r="R30" s="39"/>
    </row>
    <row r="31" spans="1:19" s="6" customFormat="1" ht="18">
      <c r="A31" s="37">
        <v>6</v>
      </c>
      <c r="B31" s="47" t="s">
        <v>83</v>
      </c>
      <c r="C31" s="84"/>
      <c r="D31" s="82"/>
      <c r="E31" s="250"/>
      <c r="F31" s="250"/>
      <c r="G31" s="84"/>
      <c r="H31" s="84"/>
      <c r="I31" s="84"/>
      <c r="J31" s="63"/>
      <c r="K31" s="59"/>
      <c r="L31" s="60"/>
      <c r="M31" s="61"/>
      <c r="N31" s="62"/>
      <c r="O31" s="38" t="str">
        <f t="shared" si="1"/>
        <v/>
      </c>
      <c r="P31" s="65"/>
      <c r="Q31" s="11"/>
      <c r="R31" s="46"/>
    </row>
    <row r="32" spans="1:19" s="6" customFormat="1" ht="26.25">
      <c r="A32" s="252"/>
      <c r="B32" s="253"/>
      <c r="C32" s="253"/>
      <c r="D32" s="253"/>
      <c r="E32" s="253"/>
      <c r="F32" s="253"/>
      <c r="G32" s="253"/>
      <c r="H32" s="253"/>
      <c r="I32" s="253"/>
      <c r="J32" s="254"/>
      <c r="K32" s="255" t="s">
        <v>84</v>
      </c>
      <c r="L32" s="256"/>
      <c r="M32" s="256"/>
      <c r="N32" s="257"/>
      <c r="O32" s="242">
        <f>SUMIF(P26:P31,"CUMPLE",O26:O31)</f>
        <v>0</v>
      </c>
      <c r="P32" s="242"/>
      <c r="Q32" s="13"/>
      <c r="R32" s="5"/>
    </row>
    <row r="33" spans="1:18" s="6" customFormat="1" ht="87" customHeight="1">
      <c r="A33" s="261" t="s">
        <v>85</v>
      </c>
      <c r="B33" s="261"/>
      <c r="C33" s="273"/>
      <c r="D33" s="273"/>
      <c r="E33" s="273"/>
      <c r="F33" s="273"/>
      <c r="G33" s="273"/>
      <c r="H33" s="273"/>
      <c r="I33" s="273"/>
      <c r="J33" s="273"/>
      <c r="K33" s="273"/>
      <c r="L33" s="273"/>
      <c r="M33" s="273"/>
      <c r="N33" s="273"/>
      <c r="O33" s="273"/>
      <c r="P33" s="273"/>
      <c r="Q33" s="7"/>
      <c r="R33" s="45"/>
    </row>
    <row r="34" spans="1:18" s="6" customFormat="1" ht="26.25">
      <c r="A34" s="207" t="s">
        <v>94</v>
      </c>
      <c r="B34" s="208"/>
      <c r="C34" s="208"/>
      <c r="D34" s="208"/>
      <c r="E34" s="208"/>
      <c r="F34" s="208"/>
      <c r="G34" s="208"/>
      <c r="H34" s="208"/>
      <c r="I34" s="208"/>
      <c r="J34" s="208"/>
      <c r="K34" s="208"/>
      <c r="L34" s="208"/>
      <c r="M34" s="208"/>
      <c r="N34" s="208"/>
      <c r="O34" s="208"/>
      <c r="P34" s="208"/>
      <c r="Q34" s="13"/>
      <c r="R34" s="5"/>
    </row>
    <row r="35" spans="1:18" s="6" customFormat="1" ht="52.5">
      <c r="A35" s="258" t="s">
        <v>13</v>
      </c>
      <c r="B35" s="258"/>
      <c r="C35" s="258"/>
      <c r="D35" s="258"/>
      <c r="E35" s="258"/>
      <c r="F35" s="258"/>
      <c r="G35" s="258"/>
      <c r="H35" s="258"/>
      <c r="I35" s="258"/>
      <c r="J35" s="258"/>
      <c r="K35" s="258"/>
      <c r="L35" s="258"/>
      <c r="M35" s="258"/>
      <c r="N35" s="258"/>
      <c r="O35" s="258"/>
      <c r="P35" s="79" t="s">
        <v>50</v>
      </c>
      <c r="Q35" s="13"/>
      <c r="R35" s="5"/>
    </row>
    <row r="36" spans="1:18" s="6" customFormat="1" ht="74.45" customHeight="1">
      <c r="A36" s="265" t="s">
        <v>95</v>
      </c>
      <c r="B36" s="265"/>
      <c r="C36" s="265"/>
      <c r="D36" s="265"/>
      <c r="E36" s="265"/>
      <c r="F36" s="265"/>
      <c r="G36" s="265"/>
      <c r="H36" s="265"/>
      <c r="I36" s="265"/>
      <c r="J36" s="265"/>
      <c r="K36" s="265"/>
      <c r="L36" s="265"/>
      <c r="M36" s="265"/>
      <c r="N36" s="265"/>
      <c r="O36" s="265"/>
      <c r="P36" s="56"/>
      <c r="Q36" s="13"/>
      <c r="R36" s="5"/>
    </row>
    <row r="37" spans="1:18" s="6" customFormat="1" ht="35.450000000000003" customHeight="1">
      <c r="A37" s="261" t="s">
        <v>85</v>
      </c>
      <c r="B37" s="261"/>
      <c r="C37" s="266"/>
      <c r="D37" s="266"/>
      <c r="E37" s="266"/>
      <c r="F37" s="266"/>
      <c r="G37" s="266"/>
      <c r="H37" s="266"/>
      <c r="I37" s="266"/>
      <c r="J37" s="266"/>
      <c r="K37" s="266"/>
      <c r="L37" s="266"/>
      <c r="M37" s="266"/>
      <c r="N37" s="266"/>
      <c r="O37" s="266"/>
      <c r="P37" s="266"/>
      <c r="Q37" s="13"/>
      <c r="R37" s="5"/>
    </row>
    <row r="38" spans="1:18" s="6" customFormat="1" ht="52.5">
      <c r="A38" s="267" t="s">
        <v>14</v>
      </c>
      <c r="B38" s="258"/>
      <c r="C38" s="258"/>
      <c r="D38" s="258"/>
      <c r="E38" s="258"/>
      <c r="F38" s="258"/>
      <c r="G38" s="258"/>
      <c r="H38" s="258"/>
      <c r="I38" s="258"/>
      <c r="J38" s="258"/>
      <c r="K38" s="258"/>
      <c r="L38" s="258"/>
      <c r="M38" s="258"/>
      <c r="N38" s="258"/>
      <c r="O38" s="258"/>
      <c r="P38" s="79" t="s">
        <v>50</v>
      </c>
      <c r="Q38" s="13"/>
      <c r="R38" s="5"/>
    </row>
    <row r="39" spans="1:18" s="6" customFormat="1" ht="222.95" customHeight="1">
      <c r="A39" s="263" t="s">
        <v>96</v>
      </c>
      <c r="B39" s="264"/>
      <c r="C39" s="264"/>
      <c r="D39" s="264"/>
      <c r="E39" s="264"/>
      <c r="F39" s="264"/>
      <c r="G39" s="264"/>
      <c r="H39" s="264"/>
      <c r="I39" s="264"/>
      <c r="J39" s="264"/>
      <c r="K39" s="264"/>
      <c r="L39" s="264"/>
      <c r="M39" s="264"/>
      <c r="N39" s="264"/>
      <c r="O39" s="264"/>
      <c r="P39" s="56"/>
      <c r="Q39" s="13"/>
      <c r="R39" s="5"/>
    </row>
    <row r="40" spans="1:18" s="6" customFormat="1" ht="36.950000000000003" customHeight="1">
      <c r="A40" s="261" t="s">
        <v>85</v>
      </c>
      <c r="B40" s="261"/>
      <c r="C40" s="266"/>
      <c r="D40" s="266"/>
      <c r="E40" s="266"/>
      <c r="F40" s="266"/>
      <c r="G40" s="266"/>
      <c r="H40" s="266"/>
      <c r="I40" s="266"/>
      <c r="J40" s="266"/>
      <c r="K40" s="266"/>
      <c r="L40" s="266"/>
      <c r="M40" s="266"/>
      <c r="N40" s="266"/>
      <c r="O40" s="266"/>
      <c r="P40" s="266"/>
      <c r="Q40" s="13"/>
      <c r="R40" s="5"/>
    </row>
    <row r="41" spans="1:18" s="6" customFormat="1" ht="52.5">
      <c r="A41" s="267" t="s">
        <v>15</v>
      </c>
      <c r="B41" s="258"/>
      <c r="C41" s="258"/>
      <c r="D41" s="258"/>
      <c r="E41" s="258"/>
      <c r="F41" s="258"/>
      <c r="G41" s="258"/>
      <c r="H41" s="258"/>
      <c r="I41" s="258"/>
      <c r="J41" s="258"/>
      <c r="K41" s="258"/>
      <c r="L41" s="258"/>
      <c r="M41" s="258"/>
      <c r="N41" s="258"/>
      <c r="O41" s="258"/>
      <c r="P41" s="79" t="s">
        <v>50</v>
      </c>
      <c r="Q41" s="13"/>
      <c r="R41" s="5"/>
    </row>
    <row r="42" spans="1:18" s="6" customFormat="1" ht="90" customHeight="1">
      <c r="A42" s="263" t="s">
        <v>97</v>
      </c>
      <c r="B42" s="264"/>
      <c r="C42" s="264"/>
      <c r="D42" s="264"/>
      <c r="E42" s="264"/>
      <c r="F42" s="264"/>
      <c r="G42" s="264"/>
      <c r="H42" s="264"/>
      <c r="I42" s="264"/>
      <c r="J42" s="264"/>
      <c r="K42" s="264"/>
      <c r="L42" s="264"/>
      <c r="M42" s="264"/>
      <c r="N42" s="264"/>
      <c r="O42" s="264"/>
      <c r="P42" s="56"/>
      <c r="Q42" s="13"/>
      <c r="R42" s="5"/>
    </row>
    <row r="43" spans="1:18" s="6" customFormat="1" ht="36.950000000000003" customHeight="1">
      <c r="A43" s="261" t="s">
        <v>85</v>
      </c>
      <c r="B43" s="261"/>
      <c r="C43" s="266"/>
      <c r="D43" s="266"/>
      <c r="E43" s="266"/>
      <c r="F43" s="266"/>
      <c r="G43" s="266"/>
      <c r="H43" s="266"/>
      <c r="I43" s="266"/>
      <c r="J43" s="266"/>
      <c r="K43" s="266"/>
      <c r="L43" s="266"/>
      <c r="M43" s="266"/>
      <c r="N43" s="266"/>
      <c r="O43" s="266"/>
      <c r="P43" s="266"/>
      <c r="Q43" s="13"/>
      <c r="R43" s="5"/>
    </row>
    <row r="44" spans="1:18" s="6" customFormat="1" ht="52.5">
      <c r="A44" s="267" t="s">
        <v>16</v>
      </c>
      <c r="B44" s="258"/>
      <c r="C44" s="258"/>
      <c r="D44" s="258"/>
      <c r="E44" s="258"/>
      <c r="F44" s="258"/>
      <c r="G44" s="258"/>
      <c r="H44" s="258"/>
      <c r="I44" s="258"/>
      <c r="J44" s="258"/>
      <c r="K44" s="258"/>
      <c r="L44" s="258"/>
      <c r="M44" s="258"/>
      <c r="N44" s="258"/>
      <c r="O44" s="258"/>
      <c r="P44" s="79" t="s">
        <v>50</v>
      </c>
      <c r="Q44" s="13"/>
      <c r="R44" s="5"/>
    </row>
    <row r="45" spans="1:18" s="6" customFormat="1" ht="64.349999999999994" customHeight="1">
      <c r="A45" s="263" t="s">
        <v>98</v>
      </c>
      <c r="B45" s="264"/>
      <c r="C45" s="264"/>
      <c r="D45" s="264"/>
      <c r="E45" s="264"/>
      <c r="F45" s="264"/>
      <c r="G45" s="264"/>
      <c r="H45" s="264"/>
      <c r="I45" s="264"/>
      <c r="J45" s="264"/>
      <c r="K45" s="264"/>
      <c r="L45" s="264"/>
      <c r="M45" s="264"/>
      <c r="N45" s="264"/>
      <c r="O45" s="264"/>
      <c r="P45" s="56"/>
      <c r="Q45" s="13"/>
      <c r="R45" s="5"/>
    </row>
    <row r="46" spans="1:18" s="6" customFormat="1" ht="36.950000000000003" customHeight="1">
      <c r="A46" s="261" t="s">
        <v>85</v>
      </c>
      <c r="B46" s="261"/>
      <c r="C46" s="266"/>
      <c r="D46" s="266"/>
      <c r="E46" s="266"/>
      <c r="F46" s="266"/>
      <c r="G46" s="266"/>
      <c r="H46" s="266"/>
      <c r="I46" s="266"/>
      <c r="J46" s="266"/>
      <c r="K46" s="266"/>
      <c r="L46" s="266"/>
      <c r="M46" s="266"/>
      <c r="N46" s="266"/>
      <c r="O46" s="266"/>
      <c r="P46" s="266"/>
      <c r="Q46" s="13"/>
      <c r="R46" s="5"/>
    </row>
    <row r="47" spans="1:18" s="6" customFormat="1" ht="52.5">
      <c r="A47" s="267" t="s">
        <v>17</v>
      </c>
      <c r="B47" s="258"/>
      <c r="C47" s="258"/>
      <c r="D47" s="258"/>
      <c r="E47" s="258"/>
      <c r="F47" s="258"/>
      <c r="G47" s="258"/>
      <c r="H47" s="258"/>
      <c r="I47" s="258"/>
      <c r="J47" s="258"/>
      <c r="K47" s="258"/>
      <c r="L47" s="258"/>
      <c r="M47" s="258"/>
      <c r="N47" s="258"/>
      <c r="O47" s="258"/>
      <c r="P47" s="79" t="s">
        <v>50</v>
      </c>
      <c r="Q47" s="13"/>
      <c r="R47" s="5"/>
    </row>
    <row r="48" spans="1:18" s="6" customFormat="1" ht="97.7" customHeight="1">
      <c r="A48" s="263" t="s">
        <v>99</v>
      </c>
      <c r="B48" s="264"/>
      <c r="C48" s="264"/>
      <c r="D48" s="264"/>
      <c r="E48" s="264"/>
      <c r="F48" s="264"/>
      <c r="G48" s="264"/>
      <c r="H48" s="264"/>
      <c r="I48" s="264"/>
      <c r="J48" s="264"/>
      <c r="K48" s="264"/>
      <c r="L48" s="264"/>
      <c r="M48" s="264"/>
      <c r="N48" s="264"/>
      <c r="O48" s="264"/>
      <c r="P48" s="56"/>
      <c r="Q48" s="13"/>
      <c r="R48" s="5"/>
    </row>
    <row r="49" spans="1:18" s="6" customFormat="1" ht="36.950000000000003" customHeight="1">
      <c r="A49" s="261" t="s">
        <v>85</v>
      </c>
      <c r="B49" s="261"/>
      <c r="C49" s="266"/>
      <c r="D49" s="266"/>
      <c r="E49" s="266"/>
      <c r="F49" s="266"/>
      <c r="G49" s="266"/>
      <c r="H49" s="266"/>
      <c r="I49" s="266"/>
      <c r="J49" s="266"/>
      <c r="K49" s="266"/>
      <c r="L49" s="266"/>
      <c r="M49" s="266"/>
      <c r="N49" s="266"/>
      <c r="O49" s="266"/>
      <c r="P49" s="266"/>
      <c r="Q49" s="13"/>
      <c r="R49" s="5"/>
    </row>
    <row r="50" spans="1:18" customFormat="1" ht="206.45" customHeight="1">
      <c r="A50" s="270"/>
      <c r="B50" s="270"/>
      <c r="C50" s="270"/>
      <c r="D50" s="270"/>
      <c r="E50" s="270"/>
      <c r="F50" s="270"/>
      <c r="G50" s="270"/>
      <c r="H50" s="270"/>
      <c r="I50" s="270"/>
      <c r="J50" s="270"/>
      <c r="K50" s="270"/>
      <c r="L50" s="270"/>
      <c r="M50" s="270"/>
      <c r="N50" s="270"/>
      <c r="O50" s="270"/>
      <c r="P50" s="270"/>
    </row>
    <row r="51" spans="1:18" s="6" customFormat="1" ht="26.25">
      <c r="A51" s="258" t="s">
        <v>101</v>
      </c>
      <c r="B51" s="258"/>
      <c r="C51" s="258"/>
      <c r="D51" s="258"/>
      <c r="E51" s="258"/>
      <c r="F51" s="258"/>
      <c r="G51" s="258"/>
      <c r="H51" s="258"/>
      <c r="I51" s="258"/>
      <c r="J51" s="258"/>
      <c r="K51" s="258"/>
      <c r="L51" s="258"/>
      <c r="M51" s="258"/>
      <c r="N51" s="258"/>
      <c r="O51" s="258"/>
      <c r="P51" s="79" t="s">
        <v>102</v>
      </c>
      <c r="Q51" s="13"/>
      <c r="R51" s="5"/>
    </row>
    <row r="52" spans="1:18" s="6" customFormat="1" ht="66" customHeight="1">
      <c r="A52" s="271" t="s">
        <v>103</v>
      </c>
      <c r="B52" s="271"/>
      <c r="C52" s="271"/>
      <c r="D52" s="271"/>
      <c r="E52" s="271"/>
      <c r="F52" s="271"/>
      <c r="G52" s="271"/>
      <c r="H52" s="271"/>
      <c r="I52" s="271"/>
      <c r="J52" s="271"/>
      <c r="K52" s="271"/>
      <c r="L52" s="271"/>
      <c r="M52" s="271"/>
      <c r="N52" s="271"/>
      <c r="O52" s="271"/>
      <c r="P52" s="56"/>
      <c r="Q52" s="13"/>
      <c r="R52" s="5"/>
    </row>
    <row r="53" spans="1:18" s="6" customFormat="1" ht="36.75" customHeight="1">
      <c r="A53" s="271" t="s">
        <v>104</v>
      </c>
      <c r="B53" s="271"/>
      <c r="C53" s="271"/>
      <c r="D53" s="271"/>
      <c r="E53" s="271"/>
      <c r="F53" s="271"/>
      <c r="G53" s="271"/>
      <c r="H53" s="271"/>
      <c r="I53" s="271"/>
      <c r="J53" s="271"/>
      <c r="K53" s="271"/>
      <c r="L53" s="271"/>
      <c r="M53" s="271"/>
      <c r="N53" s="271"/>
      <c r="O53" s="271"/>
      <c r="P53" s="56"/>
      <c r="Q53" s="13"/>
      <c r="R53" s="5"/>
    </row>
    <row r="54" spans="1:18" s="6" customFormat="1" ht="36.75" customHeight="1">
      <c r="A54" s="271" t="s">
        <v>105</v>
      </c>
      <c r="B54" s="271"/>
      <c r="C54" s="271"/>
      <c r="D54" s="271"/>
      <c r="E54" s="271"/>
      <c r="F54" s="271"/>
      <c r="G54" s="271"/>
      <c r="H54" s="271"/>
      <c r="I54" s="271"/>
      <c r="J54" s="271"/>
      <c r="K54" s="271"/>
      <c r="L54" s="271"/>
      <c r="M54" s="271"/>
      <c r="N54" s="271"/>
      <c r="O54" s="271"/>
      <c r="P54" s="56"/>
      <c r="Q54" s="13"/>
      <c r="R54" s="5"/>
    </row>
    <row r="55" spans="1:18" s="6" customFormat="1" ht="26.25">
      <c r="A55" s="269" t="s">
        <v>106</v>
      </c>
      <c r="B55" s="269"/>
      <c r="C55" s="269"/>
      <c r="D55" s="269"/>
      <c r="E55" s="269"/>
      <c r="F55" s="269"/>
      <c r="G55" s="269"/>
      <c r="H55" s="269"/>
      <c r="I55" s="269"/>
      <c r="J55" s="269"/>
      <c r="K55" s="269"/>
      <c r="L55" s="269"/>
      <c r="M55" s="269"/>
      <c r="N55" s="269"/>
      <c r="O55" s="269"/>
      <c r="P55" s="80">
        <f>SUM(P52:P54)</f>
        <v>0</v>
      </c>
      <c r="Q55" s="13"/>
      <c r="R55" s="5"/>
    </row>
    <row r="56" spans="1:18" s="6" customFormat="1" ht="48" customHeight="1">
      <c r="A56" s="261" t="s">
        <v>85</v>
      </c>
      <c r="B56" s="261"/>
      <c r="C56" s="273"/>
      <c r="D56" s="273"/>
      <c r="E56" s="273"/>
      <c r="F56" s="273"/>
      <c r="G56" s="273"/>
      <c r="H56" s="273"/>
      <c r="I56" s="273"/>
      <c r="J56" s="273"/>
      <c r="K56" s="273"/>
      <c r="L56" s="273"/>
      <c r="M56" s="273"/>
      <c r="N56" s="273"/>
      <c r="O56" s="273"/>
      <c r="P56" s="273"/>
      <c r="Q56" s="7"/>
      <c r="R56" s="5"/>
    </row>
    <row r="57" spans="1:18" s="6" customFormat="1" ht="26.25">
      <c r="A57" s="258" t="s">
        <v>19</v>
      </c>
      <c r="B57" s="258"/>
      <c r="C57" s="258"/>
      <c r="D57" s="258"/>
      <c r="E57" s="258"/>
      <c r="F57" s="258"/>
      <c r="G57" s="258"/>
      <c r="H57" s="258"/>
      <c r="I57" s="258"/>
      <c r="J57" s="258"/>
      <c r="K57" s="258"/>
      <c r="L57" s="258"/>
      <c r="M57" s="258"/>
      <c r="N57" s="258"/>
      <c r="O57" s="258"/>
      <c r="P57" s="79" t="s">
        <v>102</v>
      </c>
      <c r="Q57" s="7"/>
      <c r="R57" s="5"/>
    </row>
    <row r="58" spans="1:18" s="6" customFormat="1" ht="223.35" customHeight="1">
      <c r="A58" s="274" t="s">
        <v>107</v>
      </c>
      <c r="B58" s="274"/>
      <c r="C58" s="274"/>
      <c r="D58" s="274"/>
      <c r="E58" s="274"/>
      <c r="F58" s="274"/>
      <c r="G58" s="274"/>
      <c r="H58" s="274"/>
      <c r="I58" s="274"/>
      <c r="J58" s="274"/>
      <c r="K58" s="274"/>
      <c r="L58" s="274"/>
      <c r="M58" s="274"/>
      <c r="N58" s="274"/>
      <c r="O58" s="274"/>
      <c r="P58" s="56"/>
      <c r="Q58" s="7"/>
      <c r="R58" s="5"/>
    </row>
    <row r="59" spans="1:18" s="6" customFormat="1" ht="48" customHeight="1">
      <c r="A59" s="261" t="s">
        <v>85</v>
      </c>
      <c r="B59" s="261"/>
      <c r="C59" s="273"/>
      <c r="D59" s="273"/>
      <c r="E59" s="273"/>
      <c r="F59" s="273"/>
      <c r="G59" s="273"/>
      <c r="H59" s="273"/>
      <c r="I59" s="273"/>
      <c r="J59" s="273"/>
      <c r="K59" s="273"/>
      <c r="L59" s="273"/>
      <c r="M59" s="273"/>
      <c r="N59" s="273"/>
      <c r="O59" s="273"/>
      <c r="P59" s="273"/>
      <c r="Q59" s="7"/>
      <c r="R59" s="5"/>
    </row>
    <row r="60" spans="1:18" s="6" customFormat="1" ht="44.25" customHeight="1">
      <c r="A60" s="275" t="s">
        <v>20</v>
      </c>
      <c r="B60" s="275"/>
      <c r="C60" s="275"/>
      <c r="D60" s="275"/>
      <c r="E60" s="275"/>
      <c r="F60" s="275"/>
      <c r="G60" s="275"/>
      <c r="H60" s="275"/>
      <c r="I60" s="275"/>
      <c r="J60" s="275"/>
      <c r="K60" s="275"/>
      <c r="L60" s="275"/>
      <c r="M60" s="275"/>
      <c r="N60" s="275"/>
      <c r="O60" s="275"/>
      <c r="P60" s="79" t="s">
        <v>102</v>
      </c>
      <c r="Q60" s="14"/>
      <c r="R60" s="5"/>
    </row>
    <row r="61" spans="1:18" s="6" customFormat="1" ht="270" customHeight="1">
      <c r="A61" s="274" t="s">
        <v>108</v>
      </c>
      <c r="B61" s="274"/>
      <c r="C61" s="274"/>
      <c r="D61" s="274"/>
      <c r="E61" s="274"/>
      <c r="F61" s="274"/>
      <c r="G61" s="274"/>
      <c r="H61" s="274"/>
      <c r="I61" s="274"/>
      <c r="J61" s="274"/>
      <c r="K61" s="274"/>
      <c r="L61" s="274"/>
      <c r="M61" s="274"/>
      <c r="N61" s="274"/>
      <c r="O61" s="274"/>
      <c r="P61" s="56"/>
      <c r="Q61" s="15"/>
      <c r="R61" s="5"/>
    </row>
    <row r="62" spans="1:18" s="6" customFormat="1" ht="65.45" customHeight="1">
      <c r="A62" s="261" t="s">
        <v>85</v>
      </c>
      <c r="B62" s="261"/>
      <c r="C62" s="273"/>
      <c r="D62" s="273"/>
      <c r="E62" s="273"/>
      <c r="F62" s="273"/>
      <c r="G62" s="273"/>
      <c r="H62" s="273"/>
      <c r="I62" s="273"/>
      <c r="J62" s="273"/>
      <c r="K62" s="273"/>
      <c r="L62" s="273"/>
      <c r="M62" s="273"/>
      <c r="N62" s="273"/>
      <c r="O62" s="273"/>
      <c r="P62" s="273"/>
      <c r="Q62" s="7"/>
      <c r="R62" s="5"/>
    </row>
    <row r="63" spans="1:18" s="6" customFormat="1" ht="26.25">
      <c r="A63" s="258" t="s">
        <v>21</v>
      </c>
      <c r="B63" s="258"/>
      <c r="C63" s="258"/>
      <c r="D63" s="258"/>
      <c r="E63" s="258"/>
      <c r="F63" s="258"/>
      <c r="G63" s="258"/>
      <c r="H63" s="258"/>
      <c r="I63" s="258"/>
      <c r="J63" s="258"/>
      <c r="K63" s="258"/>
      <c r="L63" s="258"/>
      <c r="M63" s="258"/>
      <c r="N63" s="258"/>
      <c r="O63" s="258"/>
      <c r="P63" s="79" t="s">
        <v>102</v>
      </c>
      <c r="Q63" s="4"/>
      <c r="R63" s="5"/>
    </row>
    <row r="64" spans="1:18" s="6" customFormat="1" ht="166.7" customHeight="1">
      <c r="A64" s="272" t="s">
        <v>109</v>
      </c>
      <c r="B64" s="272"/>
      <c r="C64" s="272"/>
      <c r="D64" s="272"/>
      <c r="E64" s="272"/>
      <c r="F64" s="272"/>
      <c r="G64" s="272"/>
      <c r="H64" s="272"/>
      <c r="I64" s="272"/>
      <c r="J64" s="272"/>
      <c r="K64" s="272"/>
      <c r="L64" s="272"/>
      <c r="M64" s="272"/>
      <c r="N64" s="272"/>
      <c r="O64" s="272"/>
      <c r="P64" s="56"/>
      <c r="Q64" s="14"/>
      <c r="R64" s="5"/>
    </row>
    <row r="65" spans="1:18" s="6" customFormat="1" ht="56.45" customHeight="1">
      <c r="A65" s="261" t="s">
        <v>85</v>
      </c>
      <c r="B65" s="261"/>
      <c r="C65" s="273"/>
      <c r="D65" s="273"/>
      <c r="E65" s="273"/>
      <c r="F65" s="273"/>
      <c r="G65" s="273"/>
      <c r="H65" s="273"/>
      <c r="I65" s="273"/>
      <c r="J65" s="273"/>
      <c r="K65" s="273"/>
      <c r="L65" s="273"/>
      <c r="M65" s="273"/>
      <c r="N65" s="273"/>
      <c r="O65" s="273"/>
      <c r="P65" s="273"/>
      <c r="Q65" s="14"/>
      <c r="R65" s="5"/>
    </row>
    <row r="66" spans="1:18" s="31" customFormat="1" ht="26.25">
      <c r="A66" s="277" t="s">
        <v>22</v>
      </c>
      <c r="B66" s="278"/>
      <c r="C66" s="278"/>
      <c r="D66" s="278"/>
      <c r="E66" s="278"/>
      <c r="F66" s="278"/>
      <c r="G66" s="278"/>
      <c r="H66" s="278"/>
      <c r="I66" s="278"/>
      <c r="J66" s="278"/>
      <c r="K66" s="278"/>
      <c r="L66" s="278"/>
      <c r="M66" s="278"/>
      <c r="N66" s="278"/>
      <c r="O66" s="279"/>
      <c r="P66" s="79" t="s">
        <v>102</v>
      </c>
      <c r="Q66" s="14"/>
      <c r="R66" s="30"/>
    </row>
    <row r="67" spans="1:18" s="31" customFormat="1" ht="149.44999999999999" customHeight="1">
      <c r="A67" s="280" t="s">
        <v>110</v>
      </c>
      <c r="B67" s="280"/>
      <c r="C67" s="280"/>
      <c r="D67" s="280"/>
      <c r="E67" s="280"/>
      <c r="F67" s="280"/>
      <c r="G67" s="280"/>
      <c r="H67" s="280"/>
      <c r="I67" s="280"/>
      <c r="J67" s="280"/>
      <c r="K67" s="280"/>
      <c r="L67" s="280"/>
      <c r="M67" s="280"/>
      <c r="N67" s="280"/>
      <c r="O67" s="280"/>
      <c r="P67" s="56"/>
      <c r="Q67" s="14"/>
      <c r="R67" s="30"/>
    </row>
    <row r="68" spans="1:18" s="6" customFormat="1" ht="64.5" customHeight="1">
      <c r="A68" s="261" t="s">
        <v>85</v>
      </c>
      <c r="B68" s="261"/>
      <c r="C68" s="273"/>
      <c r="D68" s="273"/>
      <c r="E68" s="273"/>
      <c r="F68" s="273"/>
      <c r="G68" s="273"/>
      <c r="H68" s="273"/>
      <c r="I68" s="273"/>
      <c r="J68" s="273"/>
      <c r="K68" s="273"/>
      <c r="L68" s="273"/>
      <c r="M68" s="273"/>
      <c r="N68" s="273"/>
      <c r="O68" s="273"/>
      <c r="P68" s="273"/>
      <c r="Q68" s="14"/>
      <c r="R68" s="5"/>
    </row>
    <row r="69" spans="1:18" s="6" customFormat="1" ht="26.25">
      <c r="A69" s="276" t="s">
        <v>106</v>
      </c>
      <c r="B69" s="276"/>
      <c r="C69" s="276"/>
      <c r="D69" s="276"/>
      <c r="E69" s="276"/>
      <c r="F69" s="276"/>
      <c r="G69" s="276"/>
      <c r="H69" s="276"/>
      <c r="I69" s="276"/>
      <c r="J69" s="276"/>
      <c r="K69" s="276"/>
      <c r="L69" s="276"/>
      <c r="M69" s="276"/>
      <c r="N69" s="276"/>
      <c r="O69" s="276"/>
      <c r="P69" s="55">
        <f>SUM(P55,P58,P61,P64,P67)</f>
        <v>0</v>
      </c>
      <c r="Q69" s="14"/>
      <c r="R69" s="5"/>
    </row>
    <row r="70" spans="1:18" s="6" customFormat="1" ht="14.25" customHeight="1">
      <c r="Q70" s="4"/>
      <c r="R70" s="5"/>
    </row>
    <row r="71" spans="1:18" s="6" customFormat="1" ht="14.25" customHeight="1">
      <c r="Q71" s="4"/>
      <c r="R71" s="5"/>
    </row>
    <row r="72" spans="1:18" s="6" customFormat="1" ht="14.25" customHeight="1">
      <c r="Q72" s="4"/>
      <c r="R72" s="5"/>
    </row>
    <row r="73" spans="1:18" s="6" customFormat="1" ht="14.25" customHeight="1">
      <c r="Q73" s="4"/>
      <c r="R73" s="5"/>
    </row>
    <row r="74" spans="1:18" s="6" customFormat="1" ht="14.25" customHeight="1">
      <c r="C74" s="5"/>
      <c r="Q74" s="4"/>
      <c r="R74" s="5"/>
    </row>
    <row r="75" spans="1:18" s="6" customFormat="1" ht="14.25" customHeight="1">
      <c r="C75" s="5"/>
      <c r="Q75" s="4"/>
      <c r="R75" s="5"/>
    </row>
    <row r="76" spans="1:18" s="6" customFormat="1" ht="14.25" customHeight="1">
      <c r="Q76" s="4"/>
      <c r="R76" s="5"/>
    </row>
    <row r="77" spans="1:18" s="6" customFormat="1" ht="14.25" customHeight="1">
      <c r="C77" s="5"/>
      <c r="Q77" s="4"/>
      <c r="R77" s="5"/>
    </row>
    <row r="78" spans="1:18" s="6" customFormat="1" ht="14.25" customHeight="1">
      <c r="Q78" s="4"/>
      <c r="R78" s="5"/>
    </row>
    <row r="79" spans="1:18" s="6" customFormat="1" ht="14.25" customHeight="1">
      <c r="C79" s="5"/>
      <c r="Q79" s="4"/>
      <c r="R79" s="5"/>
    </row>
    <row r="80" spans="1:18" s="6" customFormat="1" ht="14.25" customHeight="1">
      <c r="Q80" s="4"/>
      <c r="R80" s="5"/>
    </row>
    <row r="81" spans="5:18" s="6" customFormat="1" ht="14.25" customHeight="1">
      <c r="Q81" s="4"/>
      <c r="R81" s="5"/>
    </row>
    <row r="82" spans="5:18" s="6" customFormat="1" ht="14.25" customHeight="1">
      <c r="Q82" s="4"/>
      <c r="R82" s="5"/>
    </row>
    <row r="83" spans="5:18" s="6" customFormat="1" ht="14.25" customHeight="1">
      <c r="Q83" s="4"/>
      <c r="R83" s="5"/>
    </row>
    <row r="84" spans="5:18" s="6" customFormat="1" ht="14.25" customHeight="1">
      <c r="Q84" s="4"/>
      <c r="R84" s="5"/>
    </row>
    <row r="85" spans="5:18" s="6" customFormat="1" ht="14.25" customHeight="1">
      <c r="E85" s="50"/>
      <c r="F85" s="50"/>
      <c r="Q85" s="4"/>
      <c r="R85" s="5"/>
    </row>
    <row r="86" spans="5:18" s="6" customFormat="1" ht="14.25" customHeight="1">
      <c r="E86" s="50"/>
      <c r="F86" s="50"/>
      <c r="Q86" s="4"/>
      <c r="R86" s="5"/>
    </row>
    <row r="87" spans="5:18" ht="14.25" customHeight="1">
      <c r="E87" s="50"/>
      <c r="F87" s="50"/>
    </row>
    <row r="88" spans="5:18" ht="14.25" customHeight="1">
      <c r="E88" s="50"/>
      <c r="F88" s="50"/>
    </row>
    <row r="89" spans="5:18" ht="14.25" customHeight="1"/>
    <row r="90" spans="5:18" ht="14.25" customHeight="1"/>
    <row r="91" spans="5:18" ht="14.25" customHeight="1"/>
    <row r="92" spans="5:18" ht="14.25" customHeight="1"/>
    <row r="93" spans="5:18" ht="14.25" customHeight="1"/>
    <row r="94" spans="5:18" ht="14.25" customHeight="1"/>
    <row r="95" spans="5:18" ht="14.25" customHeight="1"/>
    <row r="96" spans="5:18"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sheetData>
  <mergeCells count="94">
    <mergeCell ref="A11:P11"/>
    <mergeCell ref="A1:P1"/>
    <mergeCell ref="A2:P2"/>
    <mergeCell ref="A3:P3"/>
    <mergeCell ref="A4:A9"/>
    <mergeCell ref="B4:I9"/>
    <mergeCell ref="J4:O4"/>
    <mergeCell ref="J5:O5"/>
    <mergeCell ref="J6:O6"/>
    <mergeCell ref="J7:O7"/>
    <mergeCell ref="J8:O8"/>
    <mergeCell ref="J9:O9"/>
    <mergeCell ref="B10:C10"/>
    <mergeCell ref="D10:I10"/>
    <mergeCell ref="J10:K10"/>
    <mergeCell ref="L10:M10"/>
    <mergeCell ref="O21:P21"/>
    <mergeCell ref="B22:P22"/>
    <mergeCell ref="A12:N12"/>
    <mergeCell ref="O12:P12"/>
    <mergeCell ref="A13:N13"/>
    <mergeCell ref="O13:P13"/>
    <mergeCell ref="E14:F14"/>
    <mergeCell ref="A15:A20"/>
    <mergeCell ref="E15:F15"/>
    <mergeCell ref="E16:F16"/>
    <mergeCell ref="E17:F17"/>
    <mergeCell ref="E18:F18"/>
    <mergeCell ref="E26:F26"/>
    <mergeCell ref="E19:F19"/>
    <mergeCell ref="E20:F20"/>
    <mergeCell ref="A21:J21"/>
    <mergeCell ref="K21:N21"/>
    <mergeCell ref="A23:N23"/>
    <mergeCell ref="O23:P23"/>
    <mergeCell ref="A24:N24"/>
    <mergeCell ref="O24:P24"/>
    <mergeCell ref="E25:F25"/>
    <mergeCell ref="A35:O35"/>
    <mergeCell ref="E27:F27"/>
    <mergeCell ref="E28:F28"/>
    <mergeCell ref="E29:F29"/>
    <mergeCell ref="E30:F30"/>
    <mergeCell ref="E31:F31"/>
    <mergeCell ref="A32:J32"/>
    <mergeCell ref="K32:N32"/>
    <mergeCell ref="O32:P32"/>
    <mergeCell ref="A33:B33"/>
    <mergeCell ref="C33:P33"/>
    <mergeCell ref="A34:P34"/>
    <mergeCell ref="A45:O45"/>
    <mergeCell ref="A36:O36"/>
    <mergeCell ref="A37:B37"/>
    <mergeCell ref="C37:P37"/>
    <mergeCell ref="A38:O38"/>
    <mergeCell ref="A39:O39"/>
    <mergeCell ref="A40:B40"/>
    <mergeCell ref="C40:P40"/>
    <mergeCell ref="A41:O41"/>
    <mergeCell ref="A42:O42"/>
    <mergeCell ref="A43:B43"/>
    <mergeCell ref="C43:P43"/>
    <mergeCell ref="A44:O44"/>
    <mergeCell ref="A55:O55"/>
    <mergeCell ref="A46:B46"/>
    <mergeCell ref="C46:P46"/>
    <mergeCell ref="A47:O47"/>
    <mergeCell ref="A48:O48"/>
    <mergeCell ref="A49:B49"/>
    <mergeCell ref="C49:P49"/>
    <mergeCell ref="A50:P50"/>
    <mergeCell ref="A51:O51"/>
    <mergeCell ref="A52:O52"/>
    <mergeCell ref="A53:O53"/>
    <mergeCell ref="A54:O54"/>
    <mergeCell ref="A64:O64"/>
    <mergeCell ref="A56:B56"/>
    <mergeCell ref="C56:P56"/>
    <mergeCell ref="A57:O57"/>
    <mergeCell ref="A58:O58"/>
    <mergeCell ref="A59:B59"/>
    <mergeCell ref="C59:P59"/>
    <mergeCell ref="A60:O60"/>
    <mergeCell ref="A61:O61"/>
    <mergeCell ref="A62:B62"/>
    <mergeCell ref="C62:P62"/>
    <mergeCell ref="A63:O63"/>
    <mergeCell ref="A69:O69"/>
    <mergeCell ref="A65:B65"/>
    <mergeCell ref="C65:P65"/>
    <mergeCell ref="A66:O66"/>
    <mergeCell ref="A67:O67"/>
    <mergeCell ref="A68:B68"/>
    <mergeCell ref="C68:P68"/>
  </mergeCells>
  <conditionalFormatting sqref="P15:P20">
    <cfRule type="expression" dxfId="10" priority="4">
      <formula>$P15="NO CUMPLE"</formula>
    </cfRule>
  </conditionalFormatting>
  <conditionalFormatting sqref="P26:P31">
    <cfRule type="expression" dxfId="9" priority="5">
      <formula>$P26="NO CUMPLE"</formula>
    </cfRule>
  </conditionalFormatting>
  <conditionalFormatting sqref="P36">
    <cfRule type="expression" dxfId="8" priority="7">
      <formula>$P36="NO CUMPLE"</formula>
    </cfRule>
  </conditionalFormatting>
  <conditionalFormatting sqref="P39">
    <cfRule type="expression" dxfId="7" priority="6">
      <formula>$P39="NO CUMPLE"</formula>
    </cfRule>
  </conditionalFormatting>
  <conditionalFormatting sqref="P42">
    <cfRule type="expression" dxfId="6" priority="3">
      <formula>$P42="NO CUMPLE"</formula>
    </cfRule>
  </conditionalFormatting>
  <conditionalFormatting sqref="P45">
    <cfRule type="expression" dxfId="5" priority="2">
      <formula>$P45="NO CUMPLE"</formula>
    </cfRule>
  </conditionalFormatting>
  <conditionalFormatting sqref="P48">
    <cfRule type="expression" dxfId="4" priority="1">
      <formula>$P48="NO CUMPLE"</formula>
    </cfRule>
  </conditionalFormatting>
  <dataValidations count="2">
    <dataValidation type="list" allowBlank="1" showInputMessage="1" showErrorMessage="1" sqref="P36 P39 P26:P31 P15:P20 P42 P45 P48" xr:uid="{9710F566-03E8-4DBE-AE78-6AD0C056A8FC}">
      <formula1>"CUMPLE,NO CUMPLE"</formula1>
    </dataValidation>
    <dataValidation type="list" allowBlank="1" showInputMessage="1" showErrorMessage="1" sqref="I18:I20 G18:G20 G15:I17 G26:I26 I27:I31 G27:G31" xr:uid="{B5867D06-C33F-490B-B97A-4600F245D387}">
      <formula1>"SI,NO"</formula1>
    </dataValidation>
  </dataValidations>
  <pageMargins left="0.11811023622047245" right="0.11811023622047245" top="0.27559055118110237" bottom="0.23622047244094491" header="0" footer="0"/>
  <pageSetup paperSize="9" scale="4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5F98D-4377-4B23-A41C-FA0579F821A2}">
  <dimension ref="A1:R40"/>
  <sheetViews>
    <sheetView topLeftCell="A5" zoomScale="90" zoomScaleNormal="90" workbookViewId="0">
      <selection activeCell="C10" sqref="C10"/>
    </sheetView>
  </sheetViews>
  <sheetFormatPr baseColWidth="10" defaultColWidth="11.42578125" defaultRowHeight="15"/>
  <cols>
    <col min="1" max="1" width="12.5703125" bestFit="1" customWidth="1"/>
    <col min="2" max="2" width="64.7109375" customWidth="1"/>
    <col min="3" max="3" width="21.5703125" customWidth="1"/>
    <col min="4" max="5" width="27.85546875" customWidth="1"/>
    <col min="6" max="6" width="18" customWidth="1"/>
    <col min="7" max="7" width="88" customWidth="1"/>
    <col min="8" max="8" width="24.140625" customWidth="1"/>
    <col min="9" max="9" width="11.42578125" hidden="1" customWidth="1"/>
    <col min="10" max="10" width="18.85546875" customWidth="1"/>
    <col min="11" max="11" width="16.140625" bestFit="1" customWidth="1"/>
    <col min="12" max="12" width="16.7109375" bestFit="1" customWidth="1"/>
    <col min="13" max="16" width="17" bestFit="1" customWidth="1"/>
    <col min="17" max="17" width="20.85546875" bestFit="1" customWidth="1"/>
  </cols>
  <sheetData>
    <row r="1" spans="1:18">
      <c r="D1" s="107" t="s">
        <v>186</v>
      </c>
      <c r="E1" s="107" t="s">
        <v>187</v>
      </c>
    </row>
    <row r="2" spans="1:18">
      <c r="B2" s="77"/>
      <c r="C2" s="78"/>
      <c r="D2" s="110">
        <f>+C40</f>
        <v>1569129410.9969049</v>
      </c>
      <c r="E2" s="110">
        <f>+PPTOOFICIAL</f>
        <v>1927454798</v>
      </c>
      <c r="F2" s="94"/>
    </row>
    <row r="3" spans="1:18" ht="45">
      <c r="A3" s="107" t="s">
        <v>189</v>
      </c>
      <c r="B3" s="107" t="s">
        <v>190</v>
      </c>
      <c r="C3" s="108" t="s">
        <v>191</v>
      </c>
      <c r="D3" s="108" t="s">
        <v>192</v>
      </c>
      <c r="E3" s="109" t="s">
        <v>25</v>
      </c>
      <c r="F3" s="108" t="s">
        <v>26</v>
      </c>
      <c r="G3" s="108" t="s">
        <v>193</v>
      </c>
      <c r="H3" s="96"/>
    </row>
    <row r="4" spans="1:18">
      <c r="A4" s="73">
        <v>1</v>
      </c>
      <c r="B4" s="73" t="str">
        <f ca="1">IF(VLOOKUP(A4,RESUMEN!$B$8:$W$15,16,0)="NO CUMPLE","-",IFERROR(IF(VLOOKUP(A4,RESUMEN!$B$8:$E$15,2,0)=0,"",VLOOKUP(A4,RESUMEN!$B$8:$E$15,2,0)),""))</f>
        <v>UT COMWSDT UPS</v>
      </c>
      <c r="C4" s="72">
        <v>1872060398</v>
      </c>
      <c r="D4" s="98" t="str">
        <f>+IF(C4&gt;$D$2,"CUMPLE","NO CUMPLE")</f>
        <v>CUMPLE</v>
      </c>
      <c r="E4" s="98" t="str">
        <f t="shared" ref="E4" si="0">IF(C4&gt;$E$2,"RECHAZADO","CUMPLE")</f>
        <v>CUMPLE</v>
      </c>
      <c r="F4" s="98" t="str">
        <f>IF(C4&gt;$E$2,"RECHAZADO","CUMPLE")</f>
        <v>CUMPLE</v>
      </c>
      <c r="G4" s="117"/>
      <c r="J4" s="316" t="s">
        <v>240</v>
      </c>
      <c r="K4" s="316"/>
      <c r="L4" s="316"/>
      <c r="M4" s="316"/>
      <c r="N4" s="316"/>
      <c r="O4" s="316"/>
      <c r="P4" s="316"/>
      <c r="Q4" s="316"/>
    </row>
    <row r="5" spans="1:18" s="100" customFormat="1" ht="133.5" customHeight="1">
      <c r="A5" s="73">
        <v>2</v>
      </c>
      <c r="B5" s="73" t="str">
        <f ca="1">IF(VLOOKUP(A5,RESUMEN!$B$8:$W$15,16,0)="NO CUMPLE","-",IFERROR(IF(VLOOKUP(A5,RESUMEN!$B$8:$E$15,2,0)=0,"",VLOOKUP(A5,RESUMEN!$B$8:$E$15,2,0)),""))</f>
        <v>GOURIYU SAS</v>
      </c>
      <c r="C5" s="97">
        <v>1888303154.0000002</v>
      </c>
      <c r="D5" s="98" t="str">
        <f>+IF(C5&gt;$D$2,"CUMPLE","NO CUMPLE")</f>
        <v>CUMPLE</v>
      </c>
      <c r="E5" s="98" t="str">
        <f t="shared" ref="E5:E9" si="1">IF(C5&gt;$E$2,"RECHAZADO","CUMPLE")</f>
        <v>CUMPLE</v>
      </c>
      <c r="F5" s="98" t="s">
        <v>69</v>
      </c>
      <c r="G5" s="99" t="s">
        <v>243</v>
      </c>
      <c r="I5"/>
      <c r="J5" s="316"/>
      <c r="K5" s="316"/>
      <c r="L5" s="316"/>
      <c r="M5" s="316"/>
      <c r="N5" s="316"/>
      <c r="O5" s="316"/>
      <c r="P5" s="316"/>
      <c r="Q5" s="316"/>
      <c r="R5"/>
    </row>
    <row r="6" spans="1:18" s="100" customFormat="1" ht="119.25" customHeight="1">
      <c r="A6" s="73">
        <v>3</v>
      </c>
      <c r="B6" s="73" t="str">
        <f ca="1">IF(VLOOKUP(A6,RESUMEN!$B$8:$W$15,16,0)="NO CUMPLE","-",IFERROR(IF(VLOOKUP(A6,RESUMEN!$B$8:$E$15,2,0)=0,"",VLOOKUP(A6,RESUMEN!$B$8:$E$15,2,0)),""))</f>
        <v>CONSORCIO E TX 2024</v>
      </c>
      <c r="C6" s="101">
        <v>1590557918</v>
      </c>
      <c r="D6" s="98" t="str">
        <f t="shared" ref="D6:D9" si="2">+IF(C6&gt;$D$2,"CUMPLE","RECHAZADO")</f>
        <v>CUMPLE</v>
      </c>
      <c r="E6" s="98" t="str">
        <f t="shared" si="1"/>
        <v>CUMPLE</v>
      </c>
      <c r="F6" s="98" t="s">
        <v>69</v>
      </c>
      <c r="G6" s="164" t="s">
        <v>240</v>
      </c>
      <c r="I6"/>
      <c r="J6" s="26" t="s">
        <v>241</v>
      </c>
      <c r="K6" s="102" t="s">
        <v>29</v>
      </c>
      <c r="L6" s="104" t="s">
        <v>31</v>
      </c>
      <c r="M6" s="102" t="s">
        <v>32</v>
      </c>
      <c r="N6" s="104" t="s">
        <v>33</v>
      </c>
      <c r="O6" s="102" t="s">
        <v>34</v>
      </c>
      <c r="P6" s="104" t="s">
        <v>35</v>
      </c>
      <c r="Q6" s="102" t="s">
        <v>36</v>
      </c>
      <c r="R6"/>
    </row>
    <row r="7" spans="1:18" s="100" customFormat="1" ht="19.5" customHeight="1">
      <c r="A7" s="73">
        <v>4</v>
      </c>
      <c r="B7" s="73" t="str">
        <f ca="1">IF(VLOOKUP(A7,RESUMEN!$B$8:$W$15,16,0)="NO CUMPLE","-",IFERROR(IF(VLOOKUP(A7,RESUMEN!$B$8:$E$15,2,0)=0,"",VLOOKUP(A7,RESUMEN!$B$8:$E$15,2,0)),""))</f>
        <v>ASAC SAS</v>
      </c>
      <c r="C7" s="97">
        <v>1887085118.0000002</v>
      </c>
      <c r="D7" s="98" t="str">
        <f t="shared" si="2"/>
        <v>CUMPLE</v>
      </c>
      <c r="E7" s="98" t="str">
        <f>IF(C7&gt;$E$2,"RECHAZADO","CUMPLE")</f>
        <v>CUMPLE</v>
      </c>
      <c r="F7" s="98" t="s">
        <v>69</v>
      </c>
      <c r="G7" s="99"/>
      <c r="I7"/>
      <c r="J7" s="26">
        <v>1</v>
      </c>
      <c r="K7" s="163">
        <v>431485118</v>
      </c>
      <c r="L7" s="163">
        <v>431485118</v>
      </c>
      <c r="M7" s="163">
        <v>431485118</v>
      </c>
      <c r="N7" s="163">
        <v>431485118</v>
      </c>
      <c r="O7" s="163">
        <v>431485118</v>
      </c>
      <c r="P7" s="163">
        <v>431485118</v>
      </c>
      <c r="Q7" s="163">
        <v>431485118</v>
      </c>
      <c r="R7"/>
    </row>
    <row r="8" spans="1:18" s="119" customFormat="1" ht="119.25" customHeight="1">
      <c r="A8" s="73">
        <v>5</v>
      </c>
      <c r="B8" s="73" t="str">
        <f ca="1">IF(VLOOKUP(A8,RESUMEN!$B$8:$W$15,16,0)="NO CUMPLE","-",IFERROR(IF(VLOOKUP(A8,RESUMEN!$B$8:$E$15,2,0)=0,"",VLOOKUP(A8,RESUMEN!$B$8:$E$15,2,0)),""))</f>
        <v>COTEL SAS</v>
      </c>
      <c r="C8" s="101">
        <v>1687028675</v>
      </c>
      <c r="D8" s="98" t="str">
        <f t="shared" si="2"/>
        <v>CUMPLE</v>
      </c>
      <c r="E8" s="98" t="str">
        <f>IF(C8&gt;$E$2,"RECHAZADO","CUMPLE")</f>
        <v>CUMPLE</v>
      </c>
      <c r="F8" s="98" t="s">
        <v>69</v>
      </c>
      <c r="G8" s="164" t="s">
        <v>240</v>
      </c>
      <c r="I8"/>
      <c r="J8" s="26">
        <v>2</v>
      </c>
      <c r="K8" s="163">
        <v>16000000</v>
      </c>
      <c r="L8" s="163">
        <v>55040000</v>
      </c>
      <c r="M8" s="163">
        <v>49074339</v>
      </c>
      <c r="N8" s="163">
        <v>56000000</v>
      </c>
      <c r="O8" s="163">
        <v>58000000</v>
      </c>
      <c r="P8" s="163">
        <v>55603006</v>
      </c>
      <c r="Q8" s="163">
        <v>56363880</v>
      </c>
      <c r="R8"/>
    </row>
    <row r="9" spans="1:18" ht="19.5" customHeight="1">
      <c r="A9" s="73">
        <v>6</v>
      </c>
      <c r="B9" s="73" t="str">
        <f ca="1">IF(VLOOKUP(A9,RESUMEN!$B$8:$W$15,16,0)="NO CUMPLE","-",IFERROR(IF(VLOOKUP(A9,RESUMEN!$B$8:$E$15,2,0)=0,"",VLOOKUP(A9,RESUMEN!$B$8:$E$15,2,0)),""))</f>
        <v>UT INVER TES AEROCIVIL MATTOS</v>
      </c>
      <c r="C9" s="72">
        <v>1854217118.0000002</v>
      </c>
      <c r="D9" s="85" t="str">
        <f t="shared" si="2"/>
        <v>CUMPLE</v>
      </c>
      <c r="E9" s="85" t="str">
        <f t="shared" si="1"/>
        <v>CUMPLE</v>
      </c>
      <c r="F9" s="85" t="s">
        <v>69</v>
      </c>
      <c r="G9" s="118"/>
      <c r="J9" s="26">
        <v>3</v>
      </c>
      <c r="K9" s="163">
        <v>16000000</v>
      </c>
      <c r="L9" s="163">
        <v>55040000</v>
      </c>
      <c r="M9" s="163">
        <v>49074339</v>
      </c>
      <c r="N9" s="163">
        <v>56000000</v>
      </c>
      <c r="O9" s="163">
        <v>58000000</v>
      </c>
      <c r="P9" s="163">
        <v>55603006</v>
      </c>
      <c r="Q9" s="163">
        <v>56363880</v>
      </c>
    </row>
    <row r="10" spans="1:18" s="119" customFormat="1" ht="73.5" customHeight="1">
      <c r="A10" s="73">
        <v>7</v>
      </c>
      <c r="B10" s="73" t="str">
        <f ca="1">IF(VLOOKUP(A10,RESUMEN!$B$8:$W$15,16,0)="NO CUMPLE","-",IFERROR(IF(VLOOKUP(A10,RESUMEN!$B$8:$E$15,2,0)=0,"",VLOOKUP(A10,RESUMEN!$B$8:$E$15,2,0)),""))</f>
        <v>SUCOMPUTO SAS</v>
      </c>
      <c r="C10" s="97">
        <v>1106969918</v>
      </c>
      <c r="D10" s="98" t="s">
        <v>69</v>
      </c>
      <c r="E10" s="98" t="str">
        <f>IF(C10&gt;$E$2,"RECHAZADO","CUMPLE")</f>
        <v>CUMPLE</v>
      </c>
      <c r="F10" s="98" t="s">
        <v>111</v>
      </c>
      <c r="G10" s="120" t="s">
        <v>244</v>
      </c>
      <c r="I10"/>
      <c r="J10" s="26">
        <v>4</v>
      </c>
      <c r="K10" s="163">
        <v>16000000</v>
      </c>
      <c r="L10" s="163">
        <v>55040000</v>
      </c>
      <c r="M10" s="163">
        <v>49074339</v>
      </c>
      <c r="N10" s="163">
        <v>56000000</v>
      </c>
      <c r="O10" s="163">
        <v>58000000</v>
      </c>
      <c r="P10" s="163">
        <v>55603006</v>
      </c>
      <c r="Q10" s="163">
        <v>56363880</v>
      </c>
      <c r="R10"/>
    </row>
    <row r="11" spans="1:18">
      <c r="A11" s="73">
        <v>8</v>
      </c>
      <c r="B11" s="73" t="str">
        <f>IF(VLOOKUP(A11,RESUMEN!$B$8:$W$15,16,0)="NO CUMPLE","-",IFERROR(IF(VLOOKUP(A11,RESUMEN!$B$8:$E$15,2,0)=0,"",VLOOKUP(A11,RESUMEN!$B$8:$E$15,2,0)),""))</f>
        <v>SISELCOM SAS</v>
      </c>
      <c r="C11" s="72"/>
      <c r="D11" s="85"/>
      <c r="E11" s="85"/>
      <c r="F11" s="85"/>
      <c r="G11" s="95"/>
      <c r="J11" s="26">
        <v>5</v>
      </c>
      <c r="K11" s="163">
        <v>16000000</v>
      </c>
      <c r="L11" s="163">
        <v>55040000</v>
      </c>
      <c r="M11" s="163">
        <v>49074339</v>
      </c>
      <c r="N11" s="163">
        <v>56000000</v>
      </c>
      <c r="O11" s="163">
        <v>58000000</v>
      </c>
      <c r="P11" s="163">
        <v>55603006</v>
      </c>
      <c r="Q11" s="163">
        <v>56363880</v>
      </c>
    </row>
    <row r="12" spans="1:18">
      <c r="B12" s="21"/>
      <c r="C12" s="22"/>
      <c r="J12" s="26">
        <v>6</v>
      </c>
      <c r="K12" s="163">
        <v>16000000</v>
      </c>
      <c r="L12" s="163">
        <v>55040000</v>
      </c>
      <c r="M12" s="163">
        <v>49074339</v>
      </c>
      <c r="N12" s="163">
        <v>56000000</v>
      </c>
      <c r="O12" s="163">
        <v>58000000</v>
      </c>
      <c r="P12" s="163">
        <v>55603006</v>
      </c>
      <c r="Q12" s="163">
        <v>56363880</v>
      </c>
    </row>
    <row r="13" spans="1:18">
      <c r="B13" s="23"/>
      <c r="C13" s="24"/>
      <c r="J13" s="26">
        <v>7</v>
      </c>
      <c r="K13" s="163">
        <v>16000000</v>
      </c>
      <c r="L13" s="163">
        <v>55040000</v>
      </c>
      <c r="M13" s="163">
        <v>49074339</v>
      </c>
      <c r="N13" s="163">
        <v>56000000</v>
      </c>
      <c r="O13" s="163">
        <v>58000000</v>
      </c>
      <c r="P13" s="163">
        <v>55603006</v>
      </c>
      <c r="Q13" s="163">
        <v>56363880</v>
      </c>
    </row>
    <row r="14" spans="1:18" ht="15" customHeight="1">
      <c r="A14" s="305" t="s">
        <v>194</v>
      </c>
      <c r="B14" s="305"/>
      <c r="C14" s="305"/>
      <c r="D14" s="307" t="s">
        <v>195</v>
      </c>
      <c r="E14" s="308"/>
      <c r="F14" s="308"/>
      <c r="G14" s="309"/>
      <c r="J14" s="26">
        <v>8</v>
      </c>
      <c r="K14" s="163">
        <v>507484800</v>
      </c>
      <c r="L14" s="163">
        <v>1015200000</v>
      </c>
      <c r="M14" s="163">
        <v>888297396</v>
      </c>
      <c r="N14" s="163">
        <v>1033200000</v>
      </c>
      <c r="O14" s="163">
        <v>724111200</v>
      </c>
      <c r="P14" s="163">
        <v>1044000000</v>
      </c>
      <c r="Q14" s="163">
        <v>1018656000</v>
      </c>
    </row>
    <row r="15" spans="1:18" ht="15" customHeight="1">
      <c r="A15" s="85" t="s">
        <v>196</v>
      </c>
      <c r="B15" s="85" t="s">
        <v>197</v>
      </c>
      <c r="C15" s="85" t="s">
        <v>198</v>
      </c>
      <c r="D15" s="310"/>
      <c r="E15" s="311"/>
      <c r="F15" s="311"/>
      <c r="G15" s="312"/>
      <c r="J15" s="26">
        <v>9</v>
      </c>
      <c r="K15" s="163">
        <v>72000000</v>
      </c>
      <c r="L15" s="163">
        <v>77292000</v>
      </c>
      <c r="M15" s="163">
        <v>72800127</v>
      </c>
      <c r="N15" s="163">
        <v>86400000</v>
      </c>
      <c r="O15" s="163">
        <v>86961600</v>
      </c>
      <c r="P15" s="163">
        <v>79200000</v>
      </c>
      <c r="Q15" s="163">
        <v>83736000</v>
      </c>
    </row>
    <row r="16" spans="1:18" ht="15" customHeight="1">
      <c r="A16" s="85">
        <v>8</v>
      </c>
      <c r="B16" s="104" t="s">
        <v>27</v>
      </c>
      <c r="C16" s="103" t="s">
        <v>199</v>
      </c>
      <c r="D16" s="310"/>
      <c r="E16" s="311"/>
      <c r="F16" s="311"/>
      <c r="G16" s="312"/>
      <c r="J16" s="26"/>
      <c r="K16" s="163">
        <f t="shared" ref="K16:Q16" si="3">+SUM(K7:K15)/1.19</f>
        <v>930226821.8487395</v>
      </c>
      <c r="L16" s="163">
        <f t="shared" si="3"/>
        <v>1558165645.3781514</v>
      </c>
      <c r="M16" s="163">
        <f t="shared" si="3"/>
        <v>1417671155.4621849</v>
      </c>
      <c r="N16" s="163">
        <f t="shared" si="3"/>
        <v>1585785813.4453783</v>
      </c>
      <c r="O16" s="163">
        <f t="shared" si="3"/>
        <v>1336603292.4369748</v>
      </c>
      <c r="P16" s="163">
        <f t="shared" si="3"/>
        <v>1586809373.1092439</v>
      </c>
      <c r="Q16" s="163">
        <f t="shared" si="3"/>
        <v>1573159998.3193278</v>
      </c>
    </row>
    <row r="17" spans="1:17" ht="15" customHeight="1">
      <c r="A17" s="85">
        <v>2</v>
      </c>
      <c r="B17" s="104" t="s">
        <v>35</v>
      </c>
      <c r="C17" s="103">
        <v>1888303154.0000002</v>
      </c>
      <c r="D17" s="310"/>
      <c r="E17" s="311"/>
      <c r="F17" s="311"/>
      <c r="G17" s="312"/>
      <c r="J17" s="26"/>
      <c r="K17" s="163">
        <f t="shared" ref="K17:Q17" si="4">+K16*19%</f>
        <v>176743096.1512605</v>
      </c>
      <c r="L17" s="163">
        <f t="shared" si="4"/>
        <v>296051472.62184876</v>
      </c>
      <c r="M17" s="163">
        <f t="shared" si="4"/>
        <v>269357519.53781515</v>
      </c>
      <c r="N17" s="163">
        <f t="shared" si="4"/>
        <v>301299304.55462188</v>
      </c>
      <c r="O17" s="163">
        <f t="shared" si="4"/>
        <v>253954625.56302521</v>
      </c>
      <c r="P17" s="163">
        <f t="shared" si="4"/>
        <v>301493780.89075631</v>
      </c>
      <c r="Q17" s="163">
        <f t="shared" si="4"/>
        <v>298900399.68067229</v>
      </c>
    </row>
    <row r="18" spans="1:17" ht="51.75" customHeight="1">
      <c r="A18" s="85">
        <v>4</v>
      </c>
      <c r="B18" s="104" t="s">
        <v>33</v>
      </c>
      <c r="C18" s="103">
        <v>1887085118</v>
      </c>
      <c r="D18" s="310"/>
      <c r="E18" s="311"/>
      <c r="F18" s="311"/>
      <c r="G18" s="312"/>
      <c r="J18" s="165" t="s">
        <v>242</v>
      </c>
      <c r="K18" s="166">
        <f t="shared" ref="K18:Q18" si="5">+K16+K17</f>
        <v>1106969918</v>
      </c>
      <c r="L18" s="166">
        <f t="shared" si="5"/>
        <v>1854217118.0000002</v>
      </c>
      <c r="M18" s="167">
        <f t="shared" si="5"/>
        <v>1687028675</v>
      </c>
      <c r="N18" s="166">
        <f t="shared" si="5"/>
        <v>1887085118.0000002</v>
      </c>
      <c r="O18" s="167">
        <f t="shared" si="5"/>
        <v>1590557918</v>
      </c>
      <c r="P18" s="166">
        <f t="shared" si="5"/>
        <v>1888303154.0000002</v>
      </c>
      <c r="Q18" s="166">
        <f t="shared" si="5"/>
        <v>1872060398</v>
      </c>
    </row>
    <row r="19" spans="1:17">
      <c r="A19" s="85">
        <v>1</v>
      </c>
      <c r="B19" s="102" t="s">
        <v>36</v>
      </c>
      <c r="C19" s="103">
        <v>1872060398</v>
      </c>
      <c r="D19" s="310"/>
      <c r="E19" s="311"/>
      <c r="F19" s="311"/>
      <c r="G19" s="312"/>
      <c r="J19" s="168"/>
      <c r="K19" s="169"/>
      <c r="L19" s="169"/>
      <c r="M19" s="169"/>
      <c r="N19" s="169"/>
      <c r="O19" s="169"/>
      <c r="P19" s="169"/>
      <c r="Q19" s="169"/>
    </row>
    <row r="20" spans="1:17" ht="15" customHeight="1">
      <c r="A20" s="85">
        <v>6</v>
      </c>
      <c r="B20" s="104" t="s">
        <v>31</v>
      </c>
      <c r="C20" s="103">
        <v>1854217118</v>
      </c>
      <c r="D20" s="310"/>
      <c r="E20" s="311"/>
      <c r="F20" s="311"/>
      <c r="G20" s="312"/>
    </row>
    <row r="21" spans="1:17" ht="15" customHeight="1">
      <c r="A21" s="85">
        <v>5</v>
      </c>
      <c r="B21" s="102" t="s">
        <v>32</v>
      </c>
      <c r="C21" s="103">
        <v>1687028675</v>
      </c>
      <c r="D21" s="310"/>
      <c r="E21" s="311"/>
      <c r="F21" s="311"/>
      <c r="G21" s="312"/>
    </row>
    <row r="22" spans="1:17" ht="15" customHeight="1">
      <c r="A22" s="85">
        <v>3</v>
      </c>
      <c r="B22" s="102" t="s">
        <v>34</v>
      </c>
      <c r="C22" s="103">
        <v>1590557918</v>
      </c>
      <c r="D22" s="310"/>
      <c r="E22" s="311"/>
      <c r="F22" s="311"/>
      <c r="G22" s="312"/>
    </row>
    <row r="23" spans="1:17" ht="15" customHeight="1">
      <c r="A23" s="85">
        <v>7</v>
      </c>
      <c r="B23" s="102" t="s">
        <v>29</v>
      </c>
      <c r="C23" s="103">
        <v>1106969918</v>
      </c>
      <c r="D23" s="310"/>
      <c r="E23" s="311"/>
      <c r="F23" s="311"/>
      <c r="G23" s="312"/>
    </row>
    <row r="24" spans="1:17" ht="15" customHeight="1">
      <c r="C24" s="103">
        <v>1854217118</v>
      </c>
      <c r="D24" s="310"/>
      <c r="E24" s="311"/>
      <c r="F24" s="311"/>
      <c r="G24" s="312"/>
    </row>
    <row r="25" spans="1:17" ht="15" customHeight="1">
      <c r="D25" s="310"/>
      <c r="E25" s="311"/>
      <c r="F25" s="311"/>
      <c r="G25" s="312"/>
    </row>
    <row r="26" spans="1:17" ht="15" customHeight="1">
      <c r="D26" s="310"/>
      <c r="E26" s="311"/>
      <c r="F26" s="311"/>
      <c r="G26" s="312"/>
    </row>
    <row r="27" spans="1:17" ht="15" customHeight="1">
      <c r="A27" s="305" t="s">
        <v>200</v>
      </c>
      <c r="B27" s="305"/>
      <c r="C27" s="305"/>
      <c r="D27" s="310"/>
      <c r="E27" s="311"/>
      <c r="F27" s="311"/>
      <c r="G27" s="312"/>
    </row>
    <row r="28" spans="1:17" ht="15" customHeight="1">
      <c r="A28" s="85" t="s">
        <v>196</v>
      </c>
      <c r="B28" s="85" t="s">
        <v>197</v>
      </c>
      <c r="C28" s="85" t="s">
        <v>198</v>
      </c>
      <c r="D28" s="310"/>
      <c r="E28" s="311"/>
      <c r="F28" s="311"/>
      <c r="G28" s="312"/>
    </row>
    <row r="29" spans="1:17" ht="15" customHeight="1">
      <c r="A29" s="85">
        <v>8</v>
      </c>
      <c r="B29" s="104" t="s">
        <v>27</v>
      </c>
      <c r="C29" s="103" t="s">
        <v>199</v>
      </c>
      <c r="D29" s="310"/>
      <c r="E29" s="311"/>
      <c r="F29" s="311"/>
      <c r="G29" s="312"/>
    </row>
    <row r="30" spans="1:17" ht="15" customHeight="1">
      <c r="A30" s="85">
        <v>2</v>
      </c>
      <c r="B30" s="104" t="s">
        <v>35</v>
      </c>
      <c r="C30" s="103">
        <v>1888303154.0000002</v>
      </c>
      <c r="D30" s="310"/>
      <c r="E30" s="311"/>
      <c r="F30" s="311"/>
      <c r="G30" s="312"/>
    </row>
    <row r="31" spans="1:17" ht="15" customHeight="1">
      <c r="A31" s="85">
        <v>4</v>
      </c>
      <c r="B31" s="104" t="s">
        <v>33</v>
      </c>
      <c r="C31" s="103">
        <v>1887085118</v>
      </c>
      <c r="D31" s="310"/>
      <c r="E31" s="311"/>
      <c r="F31" s="311"/>
      <c r="G31" s="312"/>
    </row>
    <row r="32" spans="1:17" ht="15" customHeight="1">
      <c r="A32" s="85">
        <v>1</v>
      </c>
      <c r="B32" s="102" t="s">
        <v>36</v>
      </c>
      <c r="C32" s="103">
        <v>1872060398</v>
      </c>
      <c r="D32" s="310"/>
      <c r="E32" s="311"/>
      <c r="F32" s="311"/>
      <c r="G32" s="312"/>
    </row>
    <row r="33" spans="1:7" ht="15" customHeight="1">
      <c r="A33" s="85">
        <v>6</v>
      </c>
      <c r="B33" s="104" t="s">
        <v>31</v>
      </c>
      <c r="C33" s="103">
        <v>1854217118</v>
      </c>
      <c r="D33" s="310"/>
      <c r="E33" s="311"/>
      <c r="F33" s="311"/>
      <c r="G33" s="312"/>
    </row>
    <row r="34" spans="1:7" ht="15" customHeight="1">
      <c r="A34" s="85">
        <v>5</v>
      </c>
      <c r="B34" s="102" t="s">
        <v>32</v>
      </c>
      <c r="C34" s="103">
        <v>1687028675</v>
      </c>
      <c r="D34" s="310"/>
      <c r="E34" s="311"/>
      <c r="F34" s="311"/>
      <c r="G34" s="312"/>
    </row>
    <row r="35" spans="1:7" ht="15" customHeight="1">
      <c r="A35" s="85">
        <v>3</v>
      </c>
      <c r="B35" s="102" t="s">
        <v>34</v>
      </c>
      <c r="C35" s="103">
        <v>1590557918</v>
      </c>
      <c r="D35" s="310"/>
      <c r="E35" s="311"/>
      <c r="F35" s="311"/>
      <c r="G35" s="312"/>
    </row>
    <row r="36" spans="1:7" ht="15" customHeight="1">
      <c r="A36" s="85">
        <v>7</v>
      </c>
      <c r="B36" s="102" t="s">
        <v>29</v>
      </c>
      <c r="C36" s="103">
        <v>1106969918</v>
      </c>
      <c r="D36" s="310"/>
      <c r="E36" s="311"/>
      <c r="F36" s="311"/>
      <c r="G36" s="312"/>
    </row>
    <row r="37" spans="1:7" ht="15" customHeight="1">
      <c r="C37" s="105">
        <f>STDEV(C30:C36)</f>
        <v>285087707.00309503</v>
      </c>
      <c r="D37" s="310"/>
      <c r="E37" s="311"/>
      <c r="F37" s="311"/>
      <c r="G37" s="312"/>
    </row>
    <row r="38" spans="1:7" ht="15" customHeight="1">
      <c r="D38" s="310"/>
      <c r="E38" s="311"/>
      <c r="F38" s="311"/>
      <c r="G38" s="312"/>
    </row>
    <row r="39" spans="1:7" ht="15" customHeight="1">
      <c r="D39" s="310"/>
      <c r="E39" s="311"/>
      <c r="F39" s="311"/>
      <c r="G39" s="312"/>
    </row>
    <row r="40" spans="1:7" ht="21">
      <c r="A40" s="306" t="s">
        <v>201</v>
      </c>
      <c r="B40" s="306"/>
      <c r="C40" s="106">
        <f>+C24-C37</f>
        <v>1569129410.9969049</v>
      </c>
      <c r="D40" s="313"/>
      <c r="E40" s="314"/>
      <c r="F40" s="314"/>
      <c r="G40" s="315"/>
    </row>
  </sheetData>
  <sortState xmlns:xlrd2="http://schemas.microsoft.com/office/spreadsheetml/2017/richdata2" ref="A16:D23">
    <sortCondition descending="1" ref="C16:C23"/>
  </sortState>
  <mergeCells count="5">
    <mergeCell ref="A14:C14"/>
    <mergeCell ref="A27:C27"/>
    <mergeCell ref="A40:B40"/>
    <mergeCell ref="D14:G40"/>
    <mergeCell ref="J4:Q5"/>
  </mergeCells>
  <conditionalFormatting sqref="D4:D5">
    <cfRule type="cellIs" dxfId="3" priority="4" operator="equal">
      <formula>"NO CUMPLE"</formula>
    </cfRule>
  </conditionalFormatting>
  <conditionalFormatting sqref="D4:F11">
    <cfRule type="cellIs" dxfId="2" priority="3" operator="equal">
      <formula>"RECHAZADO"</formula>
    </cfRule>
  </conditionalFormatting>
  <conditionalFormatting sqref="G6">
    <cfRule type="cellIs" dxfId="1" priority="1" operator="equal">
      <formula>"RECHAZADO"</formula>
    </cfRule>
  </conditionalFormatting>
  <conditionalFormatting sqref="G8">
    <cfRule type="cellIs" dxfId="0" priority="2" operator="equal">
      <formula>"RECHAZADO"</formula>
    </cfRule>
  </conditionalFormatting>
  <dataValidations count="1">
    <dataValidation type="list" allowBlank="1" showInputMessage="1" showErrorMessage="1" sqref="C2" xr:uid="{18A88B64-3873-4010-B7B9-D0DA3B9C544B}">
      <formula1>METODOS</formula1>
    </dataValidation>
  </dataValidation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7394F-2741-6A42-8E56-219184B95024}">
  <dimension ref="A1:U33"/>
  <sheetViews>
    <sheetView topLeftCell="B1" workbookViewId="0">
      <selection activeCell="C4" sqref="C4"/>
    </sheetView>
  </sheetViews>
  <sheetFormatPr baseColWidth="10" defaultColWidth="10.7109375" defaultRowHeight="15"/>
  <cols>
    <col min="1" max="1" width="12.5703125" bestFit="1" customWidth="1"/>
    <col min="2" max="2" width="64.7109375" customWidth="1"/>
    <col min="3" max="4" width="21.5703125" customWidth="1"/>
    <col min="5" max="5" width="18.85546875" customWidth="1"/>
    <col min="6" max="6" width="15.42578125" customWidth="1"/>
    <col min="7" max="7" width="10.42578125" customWidth="1"/>
    <col min="8" max="8" width="19.140625" customWidth="1"/>
    <col min="9" max="11" width="10.42578125" customWidth="1"/>
    <col min="12" max="12" width="9.5703125" customWidth="1"/>
    <col min="21" max="21" width="20.85546875" bestFit="1" customWidth="1"/>
  </cols>
  <sheetData>
    <row r="1" spans="1:21">
      <c r="T1">
        <v>1</v>
      </c>
      <c r="U1" t="s">
        <v>188</v>
      </c>
    </row>
    <row r="2" spans="1:21">
      <c r="A2" s="127" t="s">
        <v>217</v>
      </c>
      <c r="B2" s="128" t="s">
        <v>218</v>
      </c>
      <c r="T2">
        <v>2</v>
      </c>
      <c r="U2" t="s">
        <v>219</v>
      </c>
    </row>
    <row r="3" spans="1:21">
      <c r="B3" s="77" t="s">
        <v>220</v>
      </c>
      <c r="C3" s="129">
        <v>4424.5600000000004</v>
      </c>
      <c r="I3" s="130"/>
      <c r="T3">
        <v>3</v>
      </c>
      <c r="U3" t="s">
        <v>221</v>
      </c>
    </row>
    <row r="4" spans="1:21">
      <c r="B4" s="77" t="s">
        <v>222</v>
      </c>
      <c r="C4" s="131">
        <v>0.56000000000000005</v>
      </c>
      <c r="I4" s="130"/>
      <c r="T4">
        <v>4</v>
      </c>
      <c r="U4" t="s">
        <v>223</v>
      </c>
    </row>
    <row r="5" spans="1:21">
      <c r="B5" s="77" t="s">
        <v>224</v>
      </c>
      <c r="C5" s="132" cm="1">
        <f t="array" ref="C5">_xlfn.IFS(C4&lt;0.25,1,C4&lt;0.5,2,C4&lt;0.75,3,C4&lt;1,4)</f>
        <v>3</v>
      </c>
      <c r="I5" s="130"/>
    </row>
    <row r="6" spans="1:21">
      <c r="B6" s="77" t="s">
        <v>225</v>
      </c>
      <c r="C6" s="78" t="str">
        <f>VLOOKUP(C5,$T$1:$U$4,2,0)</f>
        <v>Media Aritmética Baja</v>
      </c>
      <c r="I6" s="130"/>
    </row>
    <row r="7" spans="1:21" ht="45">
      <c r="A7" s="133" t="s">
        <v>189</v>
      </c>
      <c r="B7" s="133" t="s">
        <v>190</v>
      </c>
      <c r="C7" s="74" t="s">
        <v>191</v>
      </c>
      <c r="D7" s="74" t="str">
        <f>"Método de Ponderación final: "&amp;C6</f>
        <v>Método de Ponderación final: Media Aritmética Baja</v>
      </c>
      <c r="E7" s="96"/>
      <c r="F7" s="74" t="s">
        <v>226</v>
      </c>
      <c r="G7" s="74" t="s">
        <v>188</v>
      </c>
      <c r="H7" s="74" t="s">
        <v>227</v>
      </c>
      <c r="I7" s="74" t="s">
        <v>219</v>
      </c>
      <c r="J7" s="74" t="s">
        <v>221</v>
      </c>
      <c r="K7" s="74" t="s">
        <v>223</v>
      </c>
      <c r="L7" s="74" t="s">
        <v>228</v>
      </c>
    </row>
    <row r="8" spans="1:21">
      <c r="A8" s="134">
        <v>8</v>
      </c>
      <c r="B8" s="133"/>
      <c r="C8" s="170"/>
      <c r="D8" s="170"/>
      <c r="F8" s="136" t="str">
        <f>IF(C8&lt;&gt;"",IF($C$17-C8&lt;0,ABS($C$17-C8)+0.00000000001,ABS($C$17-C8)),"")</f>
        <v/>
      </c>
      <c r="G8" s="135">
        <f>IFERROR($C$26*(1-ABS(($C$18-C8)/$C$18)),0)</f>
        <v>0</v>
      </c>
      <c r="H8" s="136" t="str">
        <f>IF(C8&lt;&gt;"",ABS($C$20-C8),"")</f>
        <v/>
      </c>
      <c r="I8" s="135">
        <f>IFERROR(IF(H8=MIN($H$8:$H$12),$C$26,$C$26*(1-ABS($C$20-C8)/$C$20)),0)</f>
        <v>0</v>
      </c>
      <c r="J8" s="135">
        <f>IFERROR($C$26*IF(C8&lt;=$C$22,(1-($C$22-C8)/$C$22),(1-ABS($C$22-C8)/$C$22)),0)</f>
        <v>0</v>
      </c>
      <c r="K8" s="135">
        <f>IFERROR($C$26*$C$24/C8,0)</f>
        <v>0</v>
      </c>
      <c r="L8" s="137">
        <f>A8</f>
        <v>8</v>
      </c>
    </row>
    <row r="9" spans="1:21">
      <c r="A9" s="134">
        <v>7</v>
      </c>
      <c r="B9" s="133"/>
      <c r="C9" s="97"/>
      <c r="D9" s="171"/>
      <c r="F9" s="136"/>
      <c r="G9" s="135"/>
      <c r="H9" s="136"/>
      <c r="I9" s="135"/>
      <c r="J9" s="135"/>
      <c r="K9" s="135"/>
      <c r="L9" s="137"/>
    </row>
    <row r="10" spans="1:21">
      <c r="A10" s="134">
        <v>6</v>
      </c>
      <c r="B10" s="133"/>
      <c r="C10" s="72"/>
      <c r="D10" s="171"/>
      <c r="F10" s="136"/>
      <c r="G10" s="135"/>
      <c r="H10" s="136"/>
      <c r="I10" s="135"/>
      <c r="J10" s="135"/>
      <c r="K10" s="135"/>
      <c r="L10" s="137"/>
    </row>
    <row r="11" spans="1:21">
      <c r="A11" s="134">
        <v>5</v>
      </c>
      <c r="B11" s="133"/>
      <c r="C11" s="101"/>
      <c r="D11" s="171"/>
      <c r="F11" s="136"/>
      <c r="G11" s="135"/>
      <c r="H11" s="136"/>
      <c r="I11" s="135"/>
      <c r="J11" s="135"/>
      <c r="K11" s="135"/>
      <c r="L11" s="137"/>
    </row>
    <row r="12" spans="1:21">
      <c r="A12" s="138">
        <v>4</v>
      </c>
      <c r="B12" s="133"/>
      <c r="C12" s="97"/>
      <c r="D12" s="171"/>
      <c r="F12" s="139" t="str">
        <f>IF(C12&lt;&gt;"",IF($C$17-C12&lt;0,ABS($C$17-C12)+0.00000000001,ABS($C$17-C12)),"")</f>
        <v/>
      </c>
      <c r="G12" s="139">
        <f>IFERROR($C$26*(1-ABS(($C$18-C12)/$C$18)),0)</f>
        <v>0</v>
      </c>
      <c r="H12" s="139" t="str">
        <f>IF(C12&lt;&gt;"",ABS($C$20-C12),"")</f>
        <v/>
      </c>
      <c r="I12" s="139">
        <f>IFERROR(IF(H12=MIN($H$8:$H$12),$C$26,$C$26*(1-ABS($C$20-C12)/$C$20)),0)</f>
        <v>0</v>
      </c>
      <c r="J12" s="139">
        <f>IFERROR($C$26*IF(C12&lt;=$C$22,(1-($C$22-C12)/$C$22),(1-ABS($C$22-C12)/$C$22)),0)</f>
        <v>0</v>
      </c>
      <c r="K12" s="139">
        <f>IFERROR($C$26*$C$24/C12,0)</f>
        <v>0</v>
      </c>
      <c r="L12" s="140">
        <f>A12</f>
        <v>4</v>
      </c>
    </row>
    <row r="13" spans="1:21">
      <c r="A13" s="138">
        <v>3</v>
      </c>
      <c r="B13" s="133"/>
      <c r="C13" s="101"/>
      <c r="D13" s="171"/>
      <c r="F13" s="139"/>
      <c r="G13" s="139"/>
      <c r="H13" s="139"/>
      <c r="I13" s="139"/>
      <c r="J13" s="139"/>
      <c r="K13" s="139"/>
      <c r="L13" s="140"/>
    </row>
    <row r="14" spans="1:21">
      <c r="A14" s="138">
        <v>2</v>
      </c>
      <c r="B14" s="133"/>
      <c r="C14" s="97"/>
      <c r="D14" s="171"/>
      <c r="F14" s="139"/>
      <c r="G14" s="139"/>
      <c r="H14" s="139"/>
      <c r="I14" s="139"/>
      <c r="J14" s="139"/>
      <c r="K14" s="139"/>
      <c r="L14" s="140"/>
    </row>
    <row r="15" spans="1:21">
      <c r="A15" s="73">
        <v>1</v>
      </c>
      <c r="B15" s="133" t="s">
        <v>36</v>
      </c>
      <c r="C15" s="72">
        <v>1872060398</v>
      </c>
      <c r="D15" s="171">
        <f t="shared" ref="D15" si="0">C$26*(1-((ABS(C$22-C15))/C$22))</f>
        <v>69.75</v>
      </c>
      <c r="F15" s="139">
        <f>IF(C15&lt;&gt;"",IF($C$17-C15&lt;0,ABS($C$17-C15)+0.00000000001,ABS($C$17-C15)),"")</f>
        <v>1872060398</v>
      </c>
      <c r="G15" s="139">
        <f>IFERROR($C$26*(1-ABS(($C$18-C15)/$C$18)),0)</f>
        <v>0</v>
      </c>
      <c r="H15" s="139" t="e">
        <f>IF(C15&lt;&gt;"",ABS($C$20-C15),"")</f>
        <v>#NUM!</v>
      </c>
      <c r="I15" s="139">
        <f>IFERROR(IF(H15=MIN($H$8:$H$12),$C$26,$C$26*(1-ABS($C$20-C15)/$C$20)),0)</f>
        <v>0</v>
      </c>
      <c r="J15" s="139">
        <f>IFERROR($C$26*IF(C15&lt;=$C$22,(1-($C$22-C15)/$C$22),(1-ABS($C$22-C15)/$C$22)),0)</f>
        <v>69.75</v>
      </c>
      <c r="K15" s="139">
        <f>IFERROR($C$26*$C$24/C15,0)</f>
        <v>0</v>
      </c>
      <c r="L15" s="140">
        <f>A15</f>
        <v>1</v>
      </c>
    </row>
    <row r="16" spans="1:21">
      <c r="A16" s="159"/>
      <c r="B16" s="159"/>
      <c r="C16" s="160"/>
      <c r="D16" s="161"/>
      <c r="F16" s="161"/>
      <c r="G16" s="161"/>
      <c r="H16" s="161"/>
      <c r="I16" s="161"/>
      <c r="J16" s="161"/>
      <c r="K16" s="161"/>
      <c r="L16" s="162"/>
    </row>
    <row r="17" spans="2:7">
      <c r="B17" s="142" t="s">
        <v>229</v>
      </c>
      <c r="C17" s="24">
        <f>IFERROR(MEDIAN(C8:C12),0)</f>
        <v>0</v>
      </c>
      <c r="D17" s="143"/>
      <c r="G17" s="143"/>
    </row>
    <row r="18" spans="2:7">
      <c r="B18" s="142" t="s">
        <v>230</v>
      </c>
      <c r="C18" s="24">
        <f>IFERROR(VLOOKUP(VLOOKUP(MIN($F$8:$F$12),$F$8:$L$12,6,0),$A$8:$C$12,3,0),0)</f>
        <v>0</v>
      </c>
    </row>
    <row r="19" spans="2:7">
      <c r="B19" s="141"/>
    </row>
    <row r="20" spans="2:7">
      <c r="B20" s="144" t="s">
        <v>231</v>
      </c>
      <c r="C20" s="24" t="e">
        <f>GEOMEAN(C8:C12)</f>
        <v>#NUM!</v>
      </c>
      <c r="D20" s="24"/>
      <c r="G20" s="24"/>
    </row>
    <row r="22" spans="2:7">
      <c r="B22" s="142" t="s">
        <v>232</v>
      </c>
      <c r="C22" s="24">
        <f>+((MIN(C9:C15)+AVERAGE(C9:C15))/2)</f>
        <v>1872060398</v>
      </c>
    </row>
    <row r="24" spans="2:7">
      <c r="B24" s="144" t="s">
        <v>233</v>
      </c>
      <c r="C24" s="145">
        <f>MIN(C8:C12)</f>
        <v>0</v>
      </c>
    </row>
    <row r="25" spans="2:7">
      <c r="E25" s="146"/>
      <c r="F25" s="146"/>
      <c r="G25" s="146"/>
    </row>
    <row r="26" spans="2:7">
      <c r="B26" s="144" t="s">
        <v>234</v>
      </c>
      <c r="C26" s="144">
        <v>69.75</v>
      </c>
      <c r="E26" s="146"/>
      <c r="F26" s="146"/>
      <c r="G26" s="146"/>
    </row>
    <row r="27" spans="2:7">
      <c r="E27" s="146"/>
      <c r="F27" s="146"/>
      <c r="G27" s="146"/>
    </row>
    <row r="28" spans="2:7">
      <c r="E28" s="146"/>
      <c r="F28" s="146"/>
      <c r="G28" s="146"/>
    </row>
    <row r="29" spans="2:7">
      <c r="E29" s="146"/>
      <c r="F29" s="146"/>
      <c r="G29" s="146"/>
    </row>
    <row r="30" spans="2:7">
      <c r="E30" s="146"/>
      <c r="F30" s="146"/>
      <c r="G30" s="146"/>
    </row>
    <row r="31" spans="2:7">
      <c r="E31" s="146"/>
      <c r="F31" s="146"/>
      <c r="G31" s="146"/>
    </row>
    <row r="32" spans="2:7">
      <c r="E32" s="146"/>
      <c r="F32" s="146"/>
      <c r="G32" s="146"/>
    </row>
    <row r="33" spans="5:7">
      <c r="E33" s="146"/>
      <c r="F33" s="146"/>
      <c r="G33" s="146"/>
    </row>
  </sheetData>
  <dataValidations count="1">
    <dataValidation type="list" allowBlank="1" showInputMessage="1" showErrorMessage="1" sqref="C6" xr:uid="{37503FCB-BB4B-C542-BF8D-E9E2DEF1D5C0}">
      <formula1>METODOS</formula1>
    </dataValidation>
  </dataValidations>
  <hyperlinks>
    <hyperlink ref="B2" r:id="rId1" display="https://www.superfinanciera.gov.co/inicio/informes-y-cifras/cifras/establecimientos-de-credito/informacion-periodica/diaria/tasa-de-cambio-representativa-del-mercado-trm-60819" xr:uid="{76EA82FD-2564-BF4A-A311-A66B92D40D26}"/>
  </hyperlinks>
  <pageMargins left="0.7" right="0.7" top="0.75" bottom="0.75" header="0.3" footer="0.3"/>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A9D50-0298-4C1B-9B3F-4F96DA68E89F}">
  <sheetPr>
    <tabColor theme="0"/>
  </sheetPr>
  <dimension ref="A1:F59"/>
  <sheetViews>
    <sheetView topLeftCell="A4" workbookViewId="0">
      <selection activeCell="U10" sqref="T10:U18"/>
    </sheetView>
  </sheetViews>
  <sheetFormatPr baseColWidth="10" defaultColWidth="11.42578125" defaultRowHeight="15"/>
  <cols>
    <col min="2" max="2" width="16.28515625" customWidth="1"/>
    <col min="3" max="3" width="20.28515625" customWidth="1"/>
  </cols>
  <sheetData>
    <row r="1" spans="1:6" ht="15.75">
      <c r="A1" s="320" t="s">
        <v>202</v>
      </c>
      <c r="B1" s="320"/>
      <c r="C1" s="320"/>
      <c r="D1" s="320"/>
      <c r="E1" s="320"/>
      <c r="F1" s="320"/>
    </row>
    <row r="2" spans="1:6" ht="15.75" thickBot="1">
      <c r="A2" s="321" t="s">
        <v>203</v>
      </c>
      <c r="B2" s="321"/>
      <c r="C2" s="321"/>
      <c r="D2" s="321"/>
      <c r="E2" s="321"/>
      <c r="F2" s="321"/>
    </row>
    <row r="3" spans="1:6" ht="15.75" thickTop="1">
      <c r="A3" s="33" t="s">
        <v>204</v>
      </c>
      <c r="B3" s="32"/>
      <c r="C3" s="32"/>
      <c r="D3" s="32"/>
      <c r="E3" s="32"/>
      <c r="F3" s="32"/>
    </row>
    <row r="4" spans="1:6" ht="60.75">
      <c r="A4" s="34" t="s">
        <v>205</v>
      </c>
      <c r="B4" s="32"/>
      <c r="C4" s="32"/>
      <c r="D4" s="32"/>
      <c r="E4" s="32"/>
      <c r="F4" s="32"/>
    </row>
    <row r="6" spans="1:6" ht="30">
      <c r="A6" s="111" t="s">
        <v>206</v>
      </c>
      <c r="B6" s="112" t="s">
        <v>207</v>
      </c>
      <c r="C6" s="112" t="s">
        <v>208</v>
      </c>
      <c r="D6" s="32"/>
      <c r="E6" s="32"/>
      <c r="F6" s="32"/>
    </row>
    <row r="7" spans="1:6">
      <c r="A7" s="113">
        <v>1984</v>
      </c>
      <c r="B7" s="114">
        <v>376.6</v>
      </c>
      <c r="C7" s="114">
        <v>11298</v>
      </c>
      <c r="D7" s="32"/>
      <c r="E7" s="32"/>
      <c r="F7" s="32"/>
    </row>
    <row r="8" spans="1:6">
      <c r="A8" s="115">
        <v>1985</v>
      </c>
      <c r="B8" s="116">
        <v>451.92</v>
      </c>
      <c r="C8" s="116">
        <v>13558</v>
      </c>
      <c r="D8" s="32"/>
      <c r="E8" s="32"/>
      <c r="F8" s="32"/>
    </row>
    <row r="9" spans="1:6">
      <c r="A9" s="113">
        <v>1986</v>
      </c>
      <c r="B9" s="114">
        <v>560.38</v>
      </c>
      <c r="C9" s="114">
        <v>16811</v>
      </c>
      <c r="D9" s="32"/>
      <c r="E9" s="32"/>
      <c r="F9" s="32"/>
    </row>
    <row r="10" spans="1:6">
      <c r="A10" s="115">
        <v>1987</v>
      </c>
      <c r="B10" s="116">
        <v>683.66</v>
      </c>
      <c r="C10" s="116">
        <v>20510</v>
      </c>
      <c r="D10" s="32"/>
      <c r="E10" s="32"/>
      <c r="F10" s="32"/>
    </row>
    <row r="11" spans="1:6">
      <c r="A11" s="113">
        <v>1988</v>
      </c>
      <c r="B11" s="114">
        <v>854.58</v>
      </c>
      <c r="C11" s="114">
        <v>25637</v>
      </c>
      <c r="D11" s="32"/>
      <c r="E11" s="32"/>
      <c r="F11" s="32"/>
    </row>
    <row r="12" spans="1:6">
      <c r="A12" s="115">
        <v>1989</v>
      </c>
      <c r="B12" s="116">
        <v>1085.32</v>
      </c>
      <c r="C12" s="116">
        <v>32560</v>
      </c>
      <c r="D12" s="32"/>
      <c r="E12" s="32"/>
      <c r="F12" s="32"/>
    </row>
    <row r="13" spans="1:6">
      <c r="A13" s="113">
        <v>1990</v>
      </c>
      <c r="B13" s="114">
        <v>1367.5</v>
      </c>
      <c r="C13" s="114">
        <v>41025</v>
      </c>
      <c r="D13" s="32"/>
      <c r="E13" s="32"/>
      <c r="F13" s="32"/>
    </row>
    <row r="14" spans="1:6">
      <c r="A14" s="115">
        <v>1991</v>
      </c>
      <c r="B14" s="116">
        <v>1724</v>
      </c>
      <c r="C14" s="116">
        <v>51720</v>
      </c>
      <c r="D14" s="32"/>
      <c r="E14" s="32"/>
      <c r="F14" s="32"/>
    </row>
    <row r="15" spans="1:6">
      <c r="A15" s="113">
        <v>1992</v>
      </c>
      <c r="B15" s="114">
        <v>2173</v>
      </c>
      <c r="C15" s="114">
        <v>65190</v>
      </c>
      <c r="D15" s="32"/>
      <c r="E15" s="32"/>
      <c r="F15" s="32"/>
    </row>
    <row r="16" spans="1:6">
      <c r="A16" s="115">
        <v>1993</v>
      </c>
      <c r="B16" s="116">
        <v>2717</v>
      </c>
      <c r="C16" s="116">
        <v>81510</v>
      </c>
      <c r="D16" s="32"/>
      <c r="E16" s="32"/>
      <c r="F16" s="32"/>
    </row>
    <row r="17" spans="1:3">
      <c r="A17" s="113">
        <v>1994</v>
      </c>
      <c r="B17" s="114">
        <v>3290</v>
      </c>
      <c r="C17" s="114">
        <v>98700</v>
      </c>
    </row>
    <row r="18" spans="1:3">
      <c r="A18" s="115">
        <v>1995</v>
      </c>
      <c r="B18" s="116">
        <v>3964.45</v>
      </c>
      <c r="C18" s="116">
        <v>118934</v>
      </c>
    </row>
    <row r="19" spans="1:3">
      <c r="A19" s="113">
        <v>1996</v>
      </c>
      <c r="B19" s="114">
        <v>4737.5</v>
      </c>
      <c r="C19" s="114">
        <v>142125</v>
      </c>
    </row>
    <row r="20" spans="1:3">
      <c r="A20" s="115">
        <v>1997</v>
      </c>
      <c r="B20" s="116">
        <v>5733.5</v>
      </c>
      <c r="C20" s="116">
        <v>172005</v>
      </c>
    </row>
    <row r="21" spans="1:3">
      <c r="A21" s="113">
        <v>1998</v>
      </c>
      <c r="B21" s="114">
        <v>6794.2</v>
      </c>
      <c r="C21" s="114">
        <v>203826</v>
      </c>
    </row>
    <row r="22" spans="1:3">
      <c r="A22" s="115">
        <v>1999</v>
      </c>
      <c r="B22" s="116">
        <v>7882</v>
      </c>
      <c r="C22" s="116">
        <v>236460</v>
      </c>
    </row>
    <row r="23" spans="1:3">
      <c r="A23" s="113">
        <v>2000</v>
      </c>
      <c r="B23" s="114">
        <v>8670</v>
      </c>
      <c r="C23" s="114">
        <v>260100</v>
      </c>
    </row>
    <row r="24" spans="1:3">
      <c r="A24" s="115">
        <v>2001</v>
      </c>
      <c r="B24" s="116">
        <v>9533.33</v>
      </c>
      <c r="C24" s="116">
        <v>286000</v>
      </c>
    </row>
    <row r="25" spans="1:3">
      <c r="A25" s="113">
        <v>2002</v>
      </c>
      <c r="B25" s="114">
        <v>10300</v>
      </c>
      <c r="C25" s="114">
        <v>309000</v>
      </c>
    </row>
    <row r="26" spans="1:3">
      <c r="A26" s="115">
        <v>2003</v>
      </c>
      <c r="B26" s="116">
        <v>11066.67</v>
      </c>
      <c r="C26" s="116">
        <v>332000</v>
      </c>
    </row>
    <row r="27" spans="1:3">
      <c r="A27" s="113">
        <v>2004</v>
      </c>
      <c r="B27" s="114">
        <v>11933.33</v>
      </c>
      <c r="C27" s="114">
        <v>358000</v>
      </c>
    </row>
    <row r="28" spans="1:3">
      <c r="A28" s="115">
        <v>2005</v>
      </c>
      <c r="B28" s="116">
        <v>12716.67</v>
      </c>
      <c r="C28" s="116">
        <v>381500</v>
      </c>
    </row>
    <row r="29" spans="1:3">
      <c r="A29" s="113">
        <v>2006</v>
      </c>
      <c r="B29" s="114">
        <v>13600</v>
      </c>
      <c r="C29" s="114">
        <v>408000</v>
      </c>
    </row>
    <row r="30" spans="1:3">
      <c r="A30" s="115">
        <v>2007</v>
      </c>
      <c r="B30" s="116">
        <v>14456.67</v>
      </c>
      <c r="C30" s="116">
        <v>433700</v>
      </c>
    </row>
    <row r="31" spans="1:3">
      <c r="A31" s="113">
        <v>2008</v>
      </c>
      <c r="B31" s="114">
        <v>15383.33</v>
      </c>
      <c r="C31" s="114">
        <v>461500</v>
      </c>
    </row>
    <row r="32" spans="1:3">
      <c r="A32" s="115">
        <v>2009</v>
      </c>
      <c r="B32" s="116">
        <v>16563.330000000002</v>
      </c>
      <c r="C32" s="116">
        <v>496900</v>
      </c>
    </row>
    <row r="33" spans="1:5">
      <c r="A33" s="113">
        <v>2010</v>
      </c>
      <c r="B33" s="114">
        <v>17166.669999999998</v>
      </c>
      <c r="C33" s="114">
        <v>515000</v>
      </c>
    </row>
    <row r="34" spans="1:5">
      <c r="A34" s="115">
        <v>2011</v>
      </c>
      <c r="B34" s="116">
        <v>17853.330000000002</v>
      </c>
      <c r="C34" s="116">
        <v>535600</v>
      </c>
    </row>
    <row r="35" spans="1:5">
      <c r="A35" s="113">
        <v>2012</v>
      </c>
      <c r="B35" s="114">
        <v>18890</v>
      </c>
      <c r="C35" s="114">
        <v>566700</v>
      </c>
    </row>
    <row r="36" spans="1:5">
      <c r="A36" s="115">
        <v>2013</v>
      </c>
      <c r="B36" s="116">
        <v>19650</v>
      </c>
      <c r="C36" s="116">
        <v>589500</v>
      </c>
    </row>
    <row r="37" spans="1:5">
      <c r="A37" s="113">
        <v>2014</v>
      </c>
      <c r="B37" s="114">
        <v>20533.330000000002</v>
      </c>
      <c r="C37" s="114">
        <v>616000</v>
      </c>
    </row>
    <row r="38" spans="1:5">
      <c r="A38" s="115">
        <v>2015</v>
      </c>
      <c r="B38" s="116">
        <v>21478.33</v>
      </c>
      <c r="C38" s="116">
        <v>644350</v>
      </c>
    </row>
    <row r="39" spans="1:5">
      <c r="A39" s="113">
        <v>2016</v>
      </c>
      <c r="B39" s="114">
        <v>22981.83</v>
      </c>
      <c r="C39" s="114">
        <v>689455</v>
      </c>
    </row>
    <row r="40" spans="1:5">
      <c r="A40" s="115">
        <v>2017</v>
      </c>
      <c r="B40" s="116">
        <v>24590.57</v>
      </c>
      <c r="C40" s="116">
        <v>737717</v>
      </c>
    </row>
    <row r="41" spans="1:5">
      <c r="A41" s="113">
        <v>2018</v>
      </c>
      <c r="B41" s="114">
        <v>26041.4</v>
      </c>
      <c r="C41" s="114">
        <v>781242</v>
      </c>
    </row>
    <row r="42" spans="1:5">
      <c r="A42" s="115">
        <v>2019</v>
      </c>
      <c r="B42" s="116">
        <v>27603.87</v>
      </c>
      <c r="C42" s="116">
        <v>828116</v>
      </c>
    </row>
    <row r="43" spans="1:5">
      <c r="A43" s="113">
        <v>2020</v>
      </c>
      <c r="B43" s="114">
        <v>29260.1</v>
      </c>
      <c r="C43" s="114">
        <v>877803</v>
      </c>
    </row>
    <row r="44" spans="1:5">
      <c r="A44" s="115">
        <v>2021</v>
      </c>
      <c r="B44" s="116">
        <v>30284.2</v>
      </c>
      <c r="C44" s="116">
        <v>908526</v>
      </c>
    </row>
    <row r="45" spans="1:5">
      <c r="A45" s="113">
        <v>2022</v>
      </c>
      <c r="B45" s="114">
        <v>33333.33</v>
      </c>
      <c r="C45" s="114">
        <v>1000000</v>
      </c>
    </row>
    <row r="46" spans="1:5">
      <c r="A46" s="115">
        <v>2023</v>
      </c>
      <c r="B46" s="116">
        <v>38666.67</v>
      </c>
      <c r="C46" s="116">
        <v>1160000</v>
      </c>
    </row>
    <row r="47" spans="1:5">
      <c r="A47" s="113">
        <v>2022</v>
      </c>
      <c r="B47" s="114">
        <f>C47/30</f>
        <v>43333.333333333336</v>
      </c>
      <c r="C47" s="114">
        <v>1300000</v>
      </c>
    </row>
    <row r="48" spans="1:5">
      <c r="A48" s="318" t="s">
        <v>204</v>
      </c>
      <c r="B48" s="318"/>
      <c r="C48" s="318"/>
      <c r="D48" s="318"/>
      <c r="E48" s="318"/>
    </row>
    <row r="49" spans="1:5">
      <c r="A49" s="318" t="s">
        <v>209</v>
      </c>
      <c r="B49" s="318"/>
      <c r="C49" s="318"/>
      <c r="D49" s="318"/>
      <c r="E49" s="318"/>
    </row>
    <row r="50" spans="1:5">
      <c r="A50" s="318" t="s">
        <v>204</v>
      </c>
      <c r="B50" s="318"/>
      <c r="C50" s="318"/>
      <c r="D50" s="318"/>
      <c r="E50" s="318"/>
    </row>
    <row r="51" spans="1:5">
      <c r="A51" s="318" t="s">
        <v>210</v>
      </c>
      <c r="B51" s="318"/>
      <c r="C51" s="318"/>
      <c r="D51" s="318"/>
      <c r="E51" s="318"/>
    </row>
    <row r="52" spans="1:5">
      <c r="A52" s="317" t="s">
        <v>211</v>
      </c>
      <c r="B52" s="317"/>
      <c r="C52" s="317"/>
      <c r="D52" s="317"/>
      <c r="E52" s="317"/>
    </row>
    <row r="53" spans="1:5">
      <c r="A53" s="319" t="s">
        <v>212</v>
      </c>
      <c r="B53" s="319"/>
      <c r="C53" s="319"/>
      <c r="D53" s="319"/>
      <c r="E53" s="319"/>
    </row>
    <row r="54" spans="1:5">
      <c r="A54" s="319" t="s">
        <v>211</v>
      </c>
      <c r="B54" s="319"/>
      <c r="C54" s="319"/>
      <c r="D54" s="319"/>
      <c r="E54" s="319"/>
    </row>
    <row r="55" spans="1:5">
      <c r="A55" s="319" t="s">
        <v>213</v>
      </c>
      <c r="B55" s="319"/>
      <c r="C55" s="319"/>
      <c r="D55" s="319"/>
      <c r="E55" s="319"/>
    </row>
    <row r="56" spans="1:5">
      <c r="A56" s="317" t="s">
        <v>214</v>
      </c>
      <c r="B56" s="317"/>
      <c r="C56" s="317"/>
      <c r="D56" s="317"/>
      <c r="E56" s="317"/>
    </row>
    <row r="57" spans="1:5">
      <c r="A57" s="317" t="s">
        <v>204</v>
      </c>
      <c r="B57" s="317"/>
      <c r="C57" s="317"/>
      <c r="D57" s="317"/>
      <c r="E57" s="317"/>
    </row>
    <row r="58" spans="1:5">
      <c r="A58" s="317" t="s">
        <v>215</v>
      </c>
      <c r="B58" s="317"/>
      <c r="C58" s="317"/>
      <c r="D58" s="317"/>
      <c r="E58" s="317"/>
    </row>
    <row r="59" spans="1:5">
      <c r="A59" s="35" t="s">
        <v>204</v>
      </c>
      <c r="B59" s="32"/>
      <c r="C59" s="32"/>
      <c r="D59" s="32"/>
      <c r="E59" s="32"/>
    </row>
  </sheetData>
  <mergeCells count="13">
    <mergeCell ref="A1:F1"/>
    <mergeCell ref="A2:F2"/>
    <mergeCell ref="A48:E48"/>
    <mergeCell ref="A49:E49"/>
    <mergeCell ref="A50:E50"/>
    <mergeCell ref="A56:E56"/>
    <mergeCell ref="A57:E57"/>
    <mergeCell ref="A58:E58"/>
    <mergeCell ref="A51:E51"/>
    <mergeCell ref="A52:E52"/>
    <mergeCell ref="A53:E53"/>
    <mergeCell ref="A54:E54"/>
    <mergeCell ref="A55:E55"/>
  </mergeCells>
  <hyperlinks>
    <hyperlink ref="A49"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131</vt:i4>
      </vt:variant>
    </vt:vector>
  </HeadingPairs>
  <TitlesOfParts>
    <vt:vector size="143" baseType="lpstr">
      <vt:lpstr>RESUMEN</vt:lpstr>
      <vt:lpstr>1</vt:lpstr>
      <vt:lpstr>2</vt:lpstr>
      <vt:lpstr>3</vt:lpstr>
      <vt:lpstr>4</vt:lpstr>
      <vt:lpstr>5</vt:lpstr>
      <vt:lpstr>6</vt:lpstr>
      <vt:lpstr>7</vt:lpstr>
      <vt:lpstr>8</vt:lpstr>
      <vt:lpstr>F7 PROPUESTA ECONOMICA</vt:lpstr>
      <vt:lpstr>F7 PUNTAJE</vt:lpstr>
      <vt:lpstr>Serie Historica SMMLV</vt:lpstr>
      <vt:lpstr>'1'!Área_de_impresión</vt:lpstr>
      <vt:lpstr>'2'!Área_de_impresión</vt:lpstr>
      <vt:lpstr>'3'!Área_de_impresión</vt:lpstr>
      <vt:lpstr>'4'!Área_de_impresión</vt:lpstr>
      <vt:lpstr>'5'!Área_de_impresión</vt:lpstr>
      <vt:lpstr>'6'!Área_de_impresión</vt:lpstr>
      <vt:lpstr>'7'!Área_de_impresión</vt:lpstr>
      <vt:lpstr>'8'!Área_de_impresión</vt:lpstr>
      <vt:lpstr>'1'!CARTA</vt:lpstr>
      <vt:lpstr>'2'!CARTA</vt:lpstr>
      <vt:lpstr>'3'!CARTA</vt:lpstr>
      <vt:lpstr>'4'!CARTA</vt:lpstr>
      <vt:lpstr>'5'!CARTA</vt:lpstr>
      <vt:lpstr>'6'!CARTA</vt:lpstr>
      <vt:lpstr>'7'!CARTA</vt:lpstr>
      <vt:lpstr>'8'!CARTA</vt:lpstr>
      <vt:lpstr>'1'!DISCAP</vt:lpstr>
      <vt:lpstr>'2'!DISCAP</vt:lpstr>
      <vt:lpstr>'3'!DISCAP</vt:lpstr>
      <vt:lpstr>'4'!DISCAP</vt:lpstr>
      <vt:lpstr>'5'!DISCAP</vt:lpstr>
      <vt:lpstr>'6'!DISCAP</vt:lpstr>
      <vt:lpstr>'7'!DISCAP</vt:lpstr>
      <vt:lpstr>'8'!DISCAP</vt:lpstr>
      <vt:lpstr>'1'!EXPESP</vt:lpstr>
      <vt:lpstr>'2'!EXPESP</vt:lpstr>
      <vt:lpstr>'3'!EXPESP</vt:lpstr>
      <vt:lpstr>'4'!EXPESP</vt:lpstr>
      <vt:lpstr>'5'!EXPESP</vt:lpstr>
      <vt:lpstr>'6'!EXPESP</vt:lpstr>
      <vt:lpstr>'7'!EXPESP</vt:lpstr>
      <vt:lpstr>'8'!EXPESP</vt:lpstr>
      <vt:lpstr>'1'!EXPGRAL</vt:lpstr>
      <vt:lpstr>'2'!EXPGRAL</vt:lpstr>
      <vt:lpstr>'3'!EXPGRAL</vt:lpstr>
      <vt:lpstr>'4'!EXPGRAL</vt:lpstr>
      <vt:lpstr>'5'!EXPGRAL</vt:lpstr>
      <vt:lpstr>'6'!EXPGRAL</vt:lpstr>
      <vt:lpstr>'7'!EXPGRAL</vt:lpstr>
      <vt:lpstr>'8'!EXPGRAL</vt:lpstr>
      <vt:lpstr>'1'!FCALIDAD</vt:lpstr>
      <vt:lpstr>'2'!FCALIDAD</vt:lpstr>
      <vt:lpstr>'3'!FCALIDAD</vt:lpstr>
      <vt:lpstr>'4'!FCALIDAD</vt:lpstr>
      <vt:lpstr>'5'!FCALIDAD</vt:lpstr>
      <vt:lpstr>'6'!FCALIDAD</vt:lpstr>
      <vt:lpstr>'7'!FCALIDAD</vt:lpstr>
      <vt:lpstr>'8'!FCALIDAD</vt:lpstr>
      <vt:lpstr>'1'!FORMATO8</vt:lpstr>
      <vt:lpstr>'2'!FORMATO8</vt:lpstr>
      <vt:lpstr>'3'!FORMATO8</vt:lpstr>
      <vt:lpstr>'4'!FORMATO8</vt:lpstr>
      <vt:lpstr>'5'!FORMATO8</vt:lpstr>
      <vt:lpstr>'6'!FORMATO8</vt:lpstr>
      <vt:lpstr>'7'!FORMATO8</vt:lpstr>
      <vt:lpstr>'8'!FORMATO8</vt:lpstr>
      <vt:lpstr>'1'!FTECNICAS</vt:lpstr>
      <vt:lpstr>'2'!FTECNICAS</vt:lpstr>
      <vt:lpstr>'3'!FTECNICAS</vt:lpstr>
      <vt:lpstr>'4'!FTECNICAS</vt:lpstr>
      <vt:lpstr>'5'!FTECNICAS</vt:lpstr>
      <vt:lpstr>'6'!FTECNICAS</vt:lpstr>
      <vt:lpstr>'7'!FTECNICAS</vt:lpstr>
      <vt:lpstr>'8'!FTECNICAS</vt:lpstr>
      <vt:lpstr>'1'!GARANTIA</vt:lpstr>
      <vt:lpstr>'2'!GARANTIA</vt:lpstr>
      <vt:lpstr>'3'!GARANTIA</vt:lpstr>
      <vt:lpstr>'4'!GARANTIA</vt:lpstr>
      <vt:lpstr>'5'!GARANTIA</vt:lpstr>
      <vt:lpstr>'6'!GARANTIA</vt:lpstr>
      <vt:lpstr>'7'!GARANTIA</vt:lpstr>
      <vt:lpstr>'8'!GARANTIA</vt:lpstr>
      <vt:lpstr>'1'!INDNAL</vt:lpstr>
      <vt:lpstr>'2'!INDNAL</vt:lpstr>
      <vt:lpstr>'3'!INDNAL</vt:lpstr>
      <vt:lpstr>'4'!INDNAL</vt:lpstr>
      <vt:lpstr>'5'!INDNAL</vt:lpstr>
      <vt:lpstr>'6'!INDNAL</vt:lpstr>
      <vt:lpstr>'7'!INDNAL</vt:lpstr>
      <vt:lpstr>'8'!INDNAL</vt:lpstr>
      <vt:lpstr>'F7 PUNTAJE'!METODOS</vt:lpstr>
      <vt:lpstr>METODOS</vt:lpstr>
      <vt:lpstr>'1'!MIPYME</vt:lpstr>
      <vt:lpstr>'2'!MIPYME</vt:lpstr>
      <vt:lpstr>'3'!MIPYME</vt:lpstr>
      <vt:lpstr>'4'!MIPYME</vt:lpstr>
      <vt:lpstr>'5'!MIPYME</vt:lpstr>
      <vt:lpstr>'6'!MIPYME</vt:lpstr>
      <vt:lpstr>'7'!MIPYME</vt:lpstr>
      <vt:lpstr>'8'!MIPYME</vt:lpstr>
      <vt:lpstr>'1'!MUJERES</vt:lpstr>
      <vt:lpstr>'2'!MUJERES</vt:lpstr>
      <vt:lpstr>'3'!MUJERES</vt:lpstr>
      <vt:lpstr>'4'!MUJERES</vt:lpstr>
      <vt:lpstr>'5'!MUJERES</vt:lpstr>
      <vt:lpstr>'6'!MUJERES</vt:lpstr>
      <vt:lpstr>'7'!MUJERES</vt:lpstr>
      <vt:lpstr>'8'!MUJERES</vt:lpstr>
      <vt:lpstr>PPTOOFICIAL</vt:lpstr>
      <vt:lpstr>'1'!PTOTAL</vt:lpstr>
      <vt:lpstr>'2'!PTOTAL</vt:lpstr>
      <vt:lpstr>'3'!PTOTAL</vt:lpstr>
      <vt:lpstr>'4'!PTOTAL</vt:lpstr>
      <vt:lpstr>'5'!PTOTAL</vt:lpstr>
      <vt:lpstr>'6'!PTOTAL</vt:lpstr>
      <vt:lpstr>'7'!PTOTAL</vt:lpstr>
      <vt:lpstr>'8'!PTOTAL</vt:lpstr>
      <vt:lpstr>'1'!REPBIENES</vt:lpstr>
      <vt:lpstr>'2'!REPBIENES</vt:lpstr>
      <vt:lpstr>'3'!REPBIENES</vt:lpstr>
      <vt:lpstr>'4'!REPBIENES</vt:lpstr>
      <vt:lpstr>'5'!REPBIENES</vt:lpstr>
      <vt:lpstr>'6'!REPBIENES</vt:lpstr>
      <vt:lpstr>'7'!REPBIENES</vt:lpstr>
      <vt:lpstr>'8'!REPBIENES</vt:lpstr>
      <vt:lpstr>'1'!SUMEXPESP</vt:lpstr>
      <vt:lpstr>'2'!SUMEXPESP</vt:lpstr>
      <vt:lpstr>'3'!SUMEXPESP</vt:lpstr>
      <vt:lpstr>'4'!SUMEXPESP</vt:lpstr>
      <vt:lpstr>'5'!SUMEXPESP</vt:lpstr>
      <vt:lpstr>'6'!SUMEXPESP</vt:lpstr>
      <vt:lpstr>'7'!SUMEXPESP</vt:lpstr>
      <vt:lpstr>'8'!SUMEXPESP</vt:lpstr>
      <vt:lpstr>'1'!SUMEXPGRAL</vt:lpstr>
      <vt:lpstr>'2'!SUMEXPGRAL</vt:lpstr>
      <vt:lpstr>'3'!SUMEXPGRAL</vt:lpstr>
      <vt:lpstr>'4'!SUMEXPGRAL</vt:lpstr>
      <vt:lpstr>'5'!SUMEXPGRAL</vt:lpstr>
      <vt:lpstr>'6'!SUMEXPGRAL</vt:lpstr>
      <vt:lpstr>'7'!SUMEXPGRAL</vt:lpstr>
      <vt:lpstr>'8'!SUMEXPGRAL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DTANA</dc:creator>
  <cp:keywords/>
  <dc:description/>
  <cp:lastModifiedBy>Erika Andrea Leguizamo Monsalve</cp:lastModifiedBy>
  <cp:revision/>
  <dcterms:created xsi:type="dcterms:W3CDTF">2023-10-27T23:00:45Z</dcterms:created>
  <dcterms:modified xsi:type="dcterms:W3CDTF">2024-12-17T17:17:04Z</dcterms:modified>
  <cp:category/>
  <cp:contentStatus/>
</cp:coreProperties>
</file>