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autoCompressPictures="0"/>
  <mc:AlternateContent xmlns:mc="http://schemas.openxmlformats.org/markup-compatibility/2006">
    <mc:Choice Requires="x15">
      <x15ac:absPath xmlns:x15ac="http://schemas.microsoft.com/office/spreadsheetml/2010/11/ac" url="https://d.docs.live.net/73df31eefb87caeb/8. FONTIBON/Inter Malla vial/Informe de evaluacion preliminar/"/>
    </mc:Choice>
  </mc:AlternateContent>
  <xr:revisionPtr revIDLastSave="97" documentId="8_{3CC599C6-8D3F-48C4-AF19-F2FF3C4B35D9}" xr6:coauthVersionLast="47" xr6:coauthVersionMax="47" xr10:uidLastSave="{242F0071-A5E0-4EC8-BA95-9A6E05C84629}"/>
  <bookViews>
    <workbookView xWindow="-120" yWindow="-120" windowWidth="29040" windowHeight="15720" tabRatio="746" firstSheet="2" activeTab="4" xr2:uid="{00000000-000D-0000-FFFF-FFFF00000000}"/>
  </bookViews>
  <sheets>
    <sheet name="LISTA DE OFERENTES" sheetId="63" r:id="rId1"/>
    <sheet name="EXPERIENCIA DEL PROPONENTE" sheetId="58" r:id="rId2"/>
    <sheet name="REQUISITOS HAB. TECNICOS" sheetId="60" r:id="rId3"/>
    <sheet name="CONDICIONES GENERALES" sheetId="61" r:id="rId4"/>
    <sheet name="RESUMEN EVALUACIÓN" sheetId="53" r:id="rId5"/>
    <sheet name="MEDIA GEOMETRICA" sheetId="66" r:id="rId6"/>
    <sheet name="OBRAS INCONCLUSAS" sheetId="67" r:id="rId7"/>
    <sheet name="F. PONDERABLES" sheetId="64" r:id="rId8"/>
  </sheets>
  <externalReferences>
    <externalReference r:id="rId9"/>
    <externalReference r:id="rId10"/>
  </externalReferences>
  <definedNames>
    <definedName name="_Fill" localSheetId="1" hidden="1">#REF!</definedName>
    <definedName name="_Fill" localSheetId="7" hidden="1">#REF!</definedName>
    <definedName name="_Fill" localSheetId="5" hidden="1">#REF!</definedName>
    <definedName name="_Fill" hidden="1">#REF!</definedName>
    <definedName name="_xlnm._FilterDatabase" localSheetId="7" hidden="1">'F. PONDERABLES'!$A$7:$M$16</definedName>
    <definedName name="_xlnm._FilterDatabase" localSheetId="0" hidden="1">'LISTA DE OFERENTES'!$A$3:$J$65</definedName>
    <definedName name="_xlnm._FilterDatabase" localSheetId="5" hidden="1">'MEDIA GEOMETRICA'!$A$10:$H$10</definedName>
    <definedName name="_xlnm._FilterDatabase" localSheetId="6" hidden="1">'OBRAS INCONCLUSAS'!$A$5:$H$67</definedName>
    <definedName name="_xlnm._FilterDatabase" localSheetId="2" hidden="1">'REQUISITOS HAB. TECNICOS'!$A$4:$G$4</definedName>
    <definedName name="_xlnm._FilterDatabase" localSheetId="4" hidden="1">'RESUMEN EVALUACIÓN'!$A$5:$M$67</definedName>
    <definedName name="_xlnm.Print_Area" localSheetId="7">'F. PONDERABLES'!$A$1:$M$16</definedName>
    <definedName name="_xlnm.Print_Area">#REF!</definedName>
    <definedName name="PRINT_AREA">#N/A</definedName>
    <definedName name="PRINT_AREA_MI" localSheetId="5">#N/A</definedName>
    <definedName name="PRINT_AREA_MI">#N/A</definedName>
    <definedName name="PRINT_TITLES">#N/A</definedName>
    <definedName name="PRINT_TITLES_MI" localSheetId="5">#N/A</definedName>
    <definedName name="PRINT_TITLES_MI">#N/A</definedName>
    <definedName name="_xlnm.Print_Titl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 i="53" l="1"/>
  <c r="C9" i="64"/>
  <c r="C10" i="64"/>
  <c r="C11" i="64"/>
  <c r="C12" i="64"/>
  <c r="C13" i="64"/>
  <c r="C14" i="64"/>
  <c r="C15" i="64"/>
  <c r="C16" i="64"/>
  <c r="C17" i="64"/>
  <c r="C18" i="64"/>
  <c r="C19" i="64"/>
  <c r="C20" i="64"/>
  <c r="C21" i="64"/>
  <c r="C22" i="64"/>
  <c r="C23" i="64"/>
  <c r="C24" i="64"/>
  <c r="C25" i="64"/>
  <c r="C26" i="64"/>
  <c r="C27" i="64"/>
  <c r="C28" i="64"/>
  <c r="C29" i="64"/>
  <c r="C30" i="64"/>
  <c r="C31" i="64"/>
  <c r="C32" i="64"/>
  <c r="C33" i="64"/>
  <c r="C34" i="64"/>
  <c r="C35" i="64"/>
  <c r="C36" i="64"/>
  <c r="C37" i="64"/>
  <c r="C38" i="64"/>
  <c r="C39" i="64"/>
  <c r="C40" i="64"/>
  <c r="C41" i="64"/>
  <c r="C42" i="64"/>
  <c r="C43" i="64"/>
  <c r="C44" i="64"/>
  <c r="C45" i="64"/>
  <c r="C46" i="64"/>
  <c r="C47" i="64"/>
  <c r="C48" i="64"/>
  <c r="C49" i="64"/>
  <c r="C50" i="64"/>
  <c r="C51" i="64"/>
  <c r="C52" i="64"/>
  <c r="C53" i="64"/>
  <c r="C54" i="64"/>
  <c r="C55" i="64"/>
  <c r="C56" i="64"/>
  <c r="C57" i="64"/>
  <c r="C58" i="64"/>
  <c r="C59" i="64"/>
  <c r="C60" i="64"/>
  <c r="C61" i="64"/>
  <c r="C62" i="64"/>
  <c r="C63" i="64"/>
  <c r="C64" i="64"/>
  <c r="C65" i="64"/>
  <c r="C66" i="64"/>
  <c r="C67" i="64"/>
  <c r="C68" i="64"/>
  <c r="C69" i="64"/>
  <c r="C8" i="64"/>
  <c r="E31" i="66"/>
  <c r="E32" i="66"/>
  <c r="E33" i="66"/>
  <c r="E34" i="66"/>
  <c r="E35" i="66"/>
  <c r="E36" i="66"/>
  <c r="E37" i="66"/>
  <c r="E38" i="66"/>
  <c r="E39" i="66"/>
  <c r="E40" i="66"/>
  <c r="E41" i="66"/>
  <c r="E42" i="66"/>
  <c r="E43" i="66"/>
  <c r="E44" i="66"/>
  <c r="E45" i="66"/>
  <c r="E46" i="66"/>
  <c r="E47" i="66"/>
  <c r="E48" i="66"/>
  <c r="E49" i="66"/>
  <c r="E50" i="66"/>
  <c r="E51" i="66"/>
  <c r="E52" i="66"/>
  <c r="E53" i="66"/>
  <c r="E54" i="66"/>
  <c r="E55" i="66"/>
  <c r="E56" i="66"/>
  <c r="E57" i="66"/>
  <c r="E58" i="66"/>
  <c r="E59" i="66"/>
  <c r="E60" i="66"/>
  <c r="E61" i="66"/>
  <c r="E62" i="66"/>
  <c r="E63" i="66"/>
  <c r="E64" i="66"/>
  <c r="E65" i="66"/>
  <c r="E66" i="66"/>
  <c r="E67" i="66"/>
  <c r="E68" i="66"/>
  <c r="E69" i="66"/>
  <c r="E70" i="66"/>
  <c r="E71" i="66"/>
  <c r="E72" i="66"/>
  <c r="E30" i="66"/>
  <c r="E12" i="66"/>
  <c r="E13" i="66"/>
  <c r="E14" i="66"/>
  <c r="E15" i="66"/>
  <c r="E16" i="66"/>
  <c r="E17" i="66"/>
  <c r="E18" i="66"/>
  <c r="E19" i="66"/>
  <c r="E20" i="66"/>
  <c r="E21" i="66"/>
  <c r="E22" i="66"/>
  <c r="E23" i="66"/>
  <c r="E24" i="66"/>
  <c r="E25" i="66"/>
  <c r="E26" i="66"/>
  <c r="E27" i="66"/>
  <c r="E28" i="66"/>
  <c r="E11" i="66"/>
  <c r="D11" i="66"/>
  <c r="C64" i="66" l="1"/>
  <c r="H877" i="58"/>
  <c r="C41" i="66"/>
  <c r="C40" i="66"/>
  <c r="C34" i="66"/>
  <c r="C33" i="66"/>
  <c r="C29" i="66"/>
  <c r="C25" i="66"/>
  <c r="C24" i="66"/>
  <c r="C23" i="66"/>
  <c r="C22" i="66"/>
  <c r="C19" i="66"/>
  <c r="C17" i="66"/>
  <c r="D35" i="60"/>
  <c r="D34" i="60"/>
  <c r="D33" i="60"/>
  <c r="D32" i="60"/>
  <c r="D31" i="60"/>
  <c r="D30" i="60"/>
  <c r="D29" i="60"/>
  <c r="D28" i="60"/>
  <c r="D27" i="60"/>
  <c r="D26" i="60"/>
  <c r="D25" i="60"/>
  <c r="D24" i="60"/>
  <c r="D23" i="60"/>
  <c r="D22" i="60"/>
  <c r="D21" i="60"/>
  <c r="D20" i="60"/>
  <c r="D19" i="60"/>
  <c r="D18" i="60"/>
  <c r="D17" i="60"/>
  <c r="D16" i="60"/>
  <c r="D15" i="60"/>
  <c r="D14" i="60"/>
  <c r="D13" i="60"/>
  <c r="D12" i="60"/>
  <c r="D11" i="60"/>
  <c r="A424" i="58"/>
  <c r="A413" i="58"/>
  <c r="A407" i="58"/>
  <c r="A392" i="58"/>
  <c r="A381" i="58"/>
  <c r="A378" i="58"/>
  <c r="A366" i="58"/>
  <c r="A355" i="58"/>
  <c r="A351" i="58"/>
  <c r="A336" i="58"/>
  <c r="A325" i="58"/>
  <c r="A322" i="58"/>
  <c r="A310" i="58"/>
  <c r="A306" i="58"/>
  <c r="A292" i="58"/>
  <c r="A277" i="58"/>
  <c r="A266" i="58"/>
  <c r="A262" i="58"/>
  <c r="C43" i="66"/>
  <c r="C44" i="66"/>
  <c r="C46" i="66"/>
  <c r="A249" i="58"/>
  <c r="A237" i="58"/>
  <c r="C50" i="66"/>
  <c r="A225" i="58"/>
  <c r="C53" i="66"/>
  <c r="C54" i="66"/>
  <c r="C55" i="66"/>
  <c r="A210" i="58"/>
  <c r="A198" i="58"/>
  <c r="H189" i="58"/>
  <c r="H186" i="58"/>
  <c r="C62" i="66"/>
  <c r="C63" i="66"/>
  <c r="A183" i="58"/>
  <c r="A170" i="58"/>
  <c r="C66" i="66"/>
  <c r="C67" i="66"/>
  <c r="C68" i="66"/>
  <c r="C69" i="66"/>
  <c r="C70" i="66"/>
  <c r="L159" i="58"/>
  <c r="H158" i="58"/>
  <c r="A157" i="58"/>
  <c r="A145" i="58"/>
  <c r="A133" i="58"/>
  <c r="A119" i="58"/>
  <c r="D10" i="60"/>
  <c r="A439" i="58"/>
  <c r="A436" i="58"/>
  <c r="A480" i="58"/>
  <c r="A484" i="58"/>
  <c r="E10" i="53"/>
  <c r="A495" i="58"/>
  <c r="A508" i="58"/>
  <c r="D9" i="60"/>
  <c r="E9" i="53"/>
  <c r="D8" i="60"/>
  <c r="A524" i="58"/>
  <c r="A538" i="58"/>
  <c r="A553" i="58"/>
  <c r="A564" i="58"/>
  <c r="A608" i="58"/>
  <c r="C42" i="58"/>
  <c r="A603" i="58"/>
  <c r="E8" i="53"/>
  <c r="A619" i="58"/>
  <c r="A709" i="58"/>
  <c r="A714" i="58"/>
  <c r="D7" i="60"/>
  <c r="D5" i="60"/>
  <c r="E7" i="53"/>
  <c r="D6" i="60"/>
  <c r="E6" i="53"/>
  <c r="F23" i="58"/>
  <c r="H23" i="58" s="1"/>
  <c r="L23" i="58" s="1"/>
  <c r="A22" i="58"/>
  <c r="F21" i="58"/>
  <c r="H21" i="58" s="1"/>
  <c r="L21" i="58" s="1"/>
  <c r="F18" i="58"/>
  <c r="H18" i="58" s="1"/>
  <c r="L18" i="58" s="1"/>
  <c r="A17" i="58"/>
  <c r="A13" i="58"/>
  <c r="F877" i="58"/>
  <c r="C232" i="58"/>
  <c r="C140" i="58"/>
  <c r="L49" i="58"/>
  <c r="L48" i="58"/>
  <c r="D899" i="58" l="1"/>
  <c r="D884" i="58" l="1"/>
  <c r="D870" i="58"/>
  <c r="D857" i="58"/>
  <c r="D841" i="58"/>
  <c r="D827" i="58"/>
  <c r="D812" i="58"/>
  <c r="D798" i="58"/>
  <c r="D782" i="58"/>
  <c r="D764" i="58"/>
  <c r="D749" i="58"/>
  <c r="D734" i="58"/>
  <c r="D720" i="58"/>
  <c r="D703" i="58"/>
  <c r="D688" i="58"/>
  <c r="D671" i="58"/>
  <c r="D656" i="58"/>
  <c r="D643" i="58"/>
  <c r="D629" i="58"/>
  <c r="D613" i="58"/>
  <c r="D597" i="58"/>
  <c r="D430" i="58"/>
  <c r="C433" i="58" s="1"/>
  <c r="D204" i="58"/>
  <c r="D125" i="58"/>
  <c r="D192" i="58"/>
  <c r="D41" i="58"/>
  <c r="D489" i="58"/>
  <c r="D330" i="58"/>
  <c r="D256" i="58"/>
  <c r="D97" i="58"/>
  <c r="D558" i="58"/>
  <c r="D401" i="58"/>
  <c r="D585" i="58"/>
  <c r="D502" i="58"/>
  <c r="D345" i="58"/>
  <c r="D418" i="58"/>
  <c r="D110" i="58"/>
  <c r="D572" i="58"/>
  <c r="D177" i="58"/>
  <c r="D27" i="58"/>
  <c r="D474" i="58"/>
  <c r="D316" i="58"/>
  <c r="D243" i="58"/>
  <c r="D164" i="58"/>
  <c r="D84" i="58"/>
  <c r="D547" i="58"/>
  <c r="D457" i="58"/>
  <c r="D386" i="58"/>
  <c r="D300" i="58"/>
  <c r="D231" i="58"/>
  <c r="D151" i="58"/>
  <c r="D68" i="58"/>
  <c r="D532" i="58"/>
  <c r="D372" i="58"/>
  <c r="D286" i="58"/>
  <c r="D445" i="58"/>
  <c r="D219" i="58"/>
  <c r="D139" i="58"/>
  <c r="D53" i="58"/>
  <c r="D518" i="58"/>
  <c r="D360" i="58"/>
  <c r="D271" i="58"/>
  <c r="F468" i="58"/>
  <c r="H468" i="58" s="1"/>
  <c r="F469" i="58"/>
  <c r="H469" i="58" s="1"/>
  <c r="F470" i="58"/>
  <c r="F465" i="58"/>
  <c r="H465" i="58" s="1"/>
  <c r="F466" i="58"/>
  <c r="H466" i="58" s="1"/>
  <c r="F464" i="58"/>
  <c r="H464" i="58" s="1"/>
  <c r="C458" i="58" s="1"/>
  <c r="H471" i="58" l="1"/>
  <c r="F471" i="58"/>
  <c r="F438" i="58" l="1"/>
  <c r="H438" i="58" s="1"/>
  <c r="F440" i="58"/>
  <c r="H440" i="58" s="1"/>
  <c r="F441" i="58"/>
  <c r="F437" i="58"/>
  <c r="F711" i="58"/>
  <c r="F712" i="58"/>
  <c r="F713" i="58"/>
  <c r="F715" i="58"/>
  <c r="F716" i="58"/>
  <c r="H716" i="58" s="1"/>
  <c r="F710" i="58"/>
  <c r="L716" i="58"/>
  <c r="F621" i="58"/>
  <c r="H621" i="58" s="1"/>
  <c r="F622" i="58"/>
  <c r="H622" i="58" s="1"/>
  <c r="F623" i="58"/>
  <c r="H623" i="58" s="1"/>
  <c r="F624" i="58"/>
  <c r="H624" i="58" s="1"/>
  <c r="F625" i="58"/>
  <c r="H625" i="58" s="1"/>
  <c r="F620" i="58"/>
  <c r="F605" i="58"/>
  <c r="F606" i="58"/>
  <c r="H606" i="58" s="1"/>
  <c r="F607" i="58"/>
  <c r="F609" i="58"/>
  <c r="H609" i="58" s="1"/>
  <c r="F604" i="58"/>
  <c r="H604" i="58" s="1"/>
  <c r="C598" i="58" s="1"/>
  <c r="L623" i="58"/>
  <c r="F626" i="58" l="1"/>
  <c r="F717" i="58"/>
  <c r="H715" i="58"/>
  <c r="H610" i="58"/>
  <c r="H620" i="58"/>
  <c r="F610" i="58"/>
  <c r="H626" i="58" l="1"/>
  <c r="C614" i="58"/>
  <c r="H717" i="58"/>
  <c r="C704" i="58"/>
  <c r="F696" i="58"/>
  <c r="H696" i="58" s="1"/>
  <c r="F698" i="58"/>
  <c r="F699" i="58"/>
  <c r="H699" i="58" s="1"/>
  <c r="F695" i="58"/>
  <c r="F679" i="58"/>
  <c r="F680" i="58"/>
  <c r="F681" i="58"/>
  <c r="H681" i="58" s="1"/>
  <c r="L681" i="58" s="1"/>
  <c r="F683" i="58"/>
  <c r="H683" i="58" s="1"/>
  <c r="F684" i="58"/>
  <c r="H684" i="58" s="1"/>
  <c r="L684" i="58" s="1"/>
  <c r="F678" i="58"/>
  <c r="F667" i="58"/>
  <c r="H667" i="58" s="1"/>
  <c r="F664" i="58"/>
  <c r="H664" i="58" s="1"/>
  <c r="F665" i="58"/>
  <c r="H665" i="58" s="1"/>
  <c r="F663" i="58"/>
  <c r="F651" i="58"/>
  <c r="H651" i="58" s="1"/>
  <c r="F652" i="58"/>
  <c r="F650" i="58"/>
  <c r="H650" i="58" s="1"/>
  <c r="C644" i="58" s="1"/>
  <c r="F637" i="58"/>
  <c r="H637" i="58" s="1"/>
  <c r="F638" i="58"/>
  <c r="H638" i="58" s="1"/>
  <c r="F639" i="58"/>
  <c r="H639" i="58" s="1"/>
  <c r="L639" i="58" s="1"/>
  <c r="F636" i="58"/>
  <c r="L698" i="58"/>
  <c r="H700" i="58" l="1"/>
  <c r="C689" i="58"/>
  <c r="F685" i="58"/>
  <c r="F668" i="58"/>
  <c r="H653" i="58"/>
  <c r="F640" i="58"/>
  <c r="F700" i="58"/>
  <c r="H678" i="58"/>
  <c r="H685" i="58" s="1"/>
  <c r="H663" i="58"/>
  <c r="F653" i="58"/>
  <c r="H636" i="58"/>
  <c r="H640" i="58" l="1"/>
  <c r="C630" i="58"/>
  <c r="H668" i="58"/>
  <c r="C657" i="58"/>
  <c r="C672" i="58"/>
  <c r="L10" i="64"/>
  <c r="L11" i="64"/>
  <c r="L12" i="64"/>
  <c r="L13" i="64"/>
  <c r="L14" i="64"/>
  <c r="L15" i="64"/>
  <c r="L16" i="64"/>
  <c r="L17" i="64"/>
  <c r="L18" i="64"/>
  <c r="L19" i="64"/>
  <c r="L20" i="64"/>
  <c r="L21" i="64"/>
  <c r="L22" i="64"/>
  <c r="L23" i="64"/>
  <c r="L24" i="64"/>
  <c r="L25" i="64"/>
  <c r="L26" i="64"/>
  <c r="L27" i="64"/>
  <c r="L28" i="64"/>
  <c r="L29" i="64"/>
  <c r="L30" i="64"/>
  <c r="L31" i="64"/>
  <c r="L32" i="64"/>
  <c r="L33" i="64"/>
  <c r="L34" i="64"/>
  <c r="L35" i="64"/>
  <c r="L36" i="64"/>
  <c r="L37" i="64"/>
  <c r="L38" i="64"/>
  <c r="L39" i="64"/>
  <c r="L40" i="64"/>
  <c r="L41" i="64"/>
  <c r="L42" i="64"/>
  <c r="L43" i="64"/>
  <c r="L44" i="64"/>
  <c r="L45" i="64"/>
  <c r="L46" i="64"/>
  <c r="L47" i="64"/>
  <c r="L48" i="64"/>
  <c r="L49" i="64"/>
  <c r="L50" i="64"/>
  <c r="L51" i="64"/>
  <c r="L52" i="64"/>
  <c r="L53" i="64"/>
  <c r="L54" i="64"/>
  <c r="L55" i="64"/>
  <c r="L56" i="64"/>
  <c r="L57" i="64"/>
  <c r="L9" i="64"/>
  <c r="L8" i="64"/>
  <c r="L239" i="58" l="1"/>
  <c r="L265" i="58"/>
  <c r="L281" i="58"/>
  <c r="L282" i="58"/>
  <c r="L294" i="58"/>
  <c r="L409" i="58"/>
  <c r="L410" i="58"/>
  <c r="L411" i="58"/>
  <c r="L412" i="58"/>
  <c r="L438" i="58"/>
  <c r="L440" i="58"/>
  <c r="L441" i="58"/>
  <c r="L452" i="58"/>
  <c r="L451" i="58"/>
  <c r="L465" i="58"/>
  <c r="L466" i="58"/>
  <c r="L468" i="58"/>
  <c r="L469" i="58"/>
  <c r="L470" i="58"/>
  <c r="L497" i="58"/>
  <c r="L512" i="58"/>
  <c r="L581" i="58"/>
  <c r="L593" i="58"/>
  <c r="L605" i="58"/>
  <c r="L606" i="58"/>
  <c r="L607" i="58"/>
  <c r="L609" i="58"/>
  <c r="L621" i="58"/>
  <c r="L622" i="58"/>
  <c r="L624" i="58"/>
  <c r="L625" i="58"/>
  <c r="L637" i="58"/>
  <c r="L638" i="58"/>
  <c r="L651" i="58"/>
  <c r="L652" i="58"/>
  <c r="L664" i="58"/>
  <c r="L665" i="58"/>
  <c r="L667" i="58"/>
  <c r="L679" i="58"/>
  <c r="L680" i="58"/>
  <c r="L683" i="58"/>
  <c r="L696" i="58"/>
  <c r="L699" i="58"/>
  <c r="L711" i="58"/>
  <c r="L712" i="58"/>
  <c r="L713" i="58"/>
  <c r="L715" i="58"/>
  <c r="L777" i="58"/>
  <c r="L778" i="58"/>
  <c r="L821" i="58"/>
  <c r="L849" i="58"/>
  <c r="L879" i="58"/>
  <c r="L880" i="58"/>
  <c r="L877" i="58"/>
  <c r="L848" i="58"/>
  <c r="L789" i="58"/>
  <c r="L710" i="58"/>
  <c r="L695" i="58"/>
  <c r="L678" i="58"/>
  <c r="L663" i="58"/>
  <c r="L650" i="58"/>
  <c r="L636" i="58"/>
  <c r="L620" i="58"/>
  <c r="L604" i="58"/>
  <c r="L496" i="58"/>
  <c r="L464" i="58"/>
  <c r="L238" i="58"/>
  <c r="L186" i="58"/>
  <c r="L147" i="58"/>
  <c r="L146" i="58"/>
  <c r="L158" i="58"/>
  <c r="L78" i="58"/>
  <c r="L79" i="58"/>
  <c r="L80" i="58"/>
  <c r="F580" i="58"/>
  <c r="F581" i="58"/>
  <c r="F579" i="58"/>
  <c r="F566" i="58"/>
  <c r="F567" i="58"/>
  <c r="F568" i="58"/>
  <c r="F565" i="58"/>
  <c r="F554" i="58"/>
  <c r="F540" i="58"/>
  <c r="F541" i="58"/>
  <c r="F542" i="58"/>
  <c r="F543" i="58"/>
  <c r="F539" i="58"/>
  <c r="F526" i="58"/>
  <c r="F527" i="58"/>
  <c r="F528" i="58"/>
  <c r="F525" i="58"/>
  <c r="F510" i="58"/>
  <c r="F511" i="58"/>
  <c r="F512" i="58"/>
  <c r="F513" i="58"/>
  <c r="F509" i="58"/>
  <c r="F497" i="58"/>
  <c r="F498" i="58"/>
  <c r="F496" i="58"/>
  <c r="F482" i="58"/>
  <c r="F483" i="58"/>
  <c r="F485" i="58"/>
  <c r="F481" i="58"/>
  <c r="F452" i="58"/>
  <c r="F453" i="58"/>
  <c r="F451" i="58"/>
  <c r="F368" i="58"/>
  <c r="F353" i="58"/>
  <c r="F354" i="58"/>
  <c r="F356" i="58"/>
  <c r="F352" i="58"/>
  <c r="F341" i="58"/>
  <c r="F279" i="58"/>
  <c r="F280" i="58"/>
  <c r="F281" i="58"/>
  <c r="F282" i="58"/>
  <c r="F278" i="58"/>
  <c r="F267" i="58"/>
  <c r="H267" i="58" s="1"/>
  <c r="L267" i="58" s="1"/>
  <c r="F264" i="58"/>
  <c r="H264" i="58" s="1"/>
  <c r="L264" i="58" s="1"/>
  <c r="F265" i="58"/>
  <c r="F263" i="58"/>
  <c r="H263" i="58" s="1"/>
  <c r="L263" i="58" s="1"/>
  <c r="F251" i="58"/>
  <c r="F252" i="58"/>
  <c r="F250" i="58"/>
  <c r="F239" i="58"/>
  <c r="F238" i="58"/>
  <c r="F227" i="58"/>
  <c r="F226" i="58"/>
  <c r="F215" i="58"/>
  <c r="F212" i="58"/>
  <c r="F213" i="58"/>
  <c r="F211" i="58"/>
  <c r="F200" i="58"/>
  <c r="F199" i="58"/>
  <c r="F185" i="58"/>
  <c r="F186" i="58"/>
  <c r="F188" i="58"/>
  <c r="F184" i="58"/>
  <c r="F173" i="58"/>
  <c r="F172" i="58"/>
  <c r="F171" i="58"/>
  <c r="F160" i="58"/>
  <c r="F159" i="58"/>
  <c r="F158" i="58"/>
  <c r="F147" i="58"/>
  <c r="F146" i="58"/>
  <c r="F134" i="58"/>
  <c r="F135" i="58"/>
  <c r="F132" i="58"/>
  <c r="F118" i="58"/>
  <c r="F120" i="58"/>
  <c r="F121" i="58"/>
  <c r="F117" i="58"/>
  <c r="F105" i="58"/>
  <c r="F106" i="58"/>
  <c r="F104" i="58"/>
  <c r="F92" i="58"/>
  <c r="F93" i="58"/>
  <c r="F91" i="58"/>
  <c r="F76" i="58"/>
  <c r="F78" i="58"/>
  <c r="F79" i="58"/>
  <c r="F80" i="58"/>
  <c r="F75" i="58"/>
  <c r="C257" i="58" l="1"/>
  <c r="L685" i="58"/>
  <c r="K685" i="58" s="1"/>
  <c r="F61" i="58"/>
  <c r="H61" i="58" s="1"/>
  <c r="F62" i="58"/>
  <c r="F63" i="58"/>
  <c r="F64" i="58"/>
  <c r="F60" i="58"/>
  <c r="F49" i="58"/>
  <c r="F48" i="58"/>
  <c r="F35" i="58"/>
  <c r="F37" i="58"/>
  <c r="F34" i="58"/>
  <c r="F16" i="58"/>
  <c r="F19" i="58"/>
  <c r="F20" i="58"/>
  <c r="F15" i="58"/>
  <c r="F14" i="58"/>
  <c r="F24" i="58" s="1"/>
  <c r="F148" i="58" l="1"/>
  <c r="H135" i="58"/>
  <c r="L135" i="58" s="1"/>
  <c r="H134" i="58"/>
  <c r="L134" i="58" s="1"/>
  <c r="F136" i="58"/>
  <c r="H121" i="58"/>
  <c r="L121" i="58" s="1"/>
  <c r="H120" i="58"/>
  <c r="L120" i="58" s="1"/>
  <c r="H118" i="58"/>
  <c r="L118" i="58" s="1"/>
  <c r="F122" i="58"/>
  <c r="H106" i="58"/>
  <c r="L106" i="58" s="1"/>
  <c r="H105" i="58"/>
  <c r="L105" i="58" s="1"/>
  <c r="F107" i="58"/>
  <c r="H93" i="58"/>
  <c r="L93" i="58" s="1"/>
  <c r="H92" i="58"/>
  <c r="L92" i="58" s="1"/>
  <c r="H91" i="58"/>
  <c r="H76" i="58"/>
  <c r="L76" i="58" s="1"/>
  <c r="H75" i="58"/>
  <c r="H81" i="58" s="1"/>
  <c r="H64" i="58"/>
  <c r="L64" i="58" s="1"/>
  <c r="H63" i="58"/>
  <c r="L63" i="58" s="1"/>
  <c r="H62" i="58"/>
  <c r="L62" i="58" s="1"/>
  <c r="L61" i="58"/>
  <c r="F65" i="58"/>
  <c r="F50" i="58"/>
  <c r="H37" i="58"/>
  <c r="L37" i="58" s="1"/>
  <c r="H35" i="58"/>
  <c r="L35" i="58" s="1"/>
  <c r="F38" i="58"/>
  <c r="H20" i="58"/>
  <c r="L20" i="58" s="1"/>
  <c r="H19" i="58"/>
  <c r="L19" i="58" s="1"/>
  <c r="H16" i="58"/>
  <c r="L16" i="58" s="1"/>
  <c r="H15" i="58"/>
  <c r="L15" i="58" s="1"/>
  <c r="H14" i="58"/>
  <c r="H24" i="58" s="1"/>
  <c r="C8" i="58" s="1"/>
  <c r="C11" i="66" s="1"/>
  <c r="L14" i="58" l="1"/>
  <c r="L75" i="58"/>
  <c r="C69" i="58"/>
  <c r="L91" i="58"/>
  <c r="C85" i="58"/>
  <c r="H132" i="58"/>
  <c r="H117" i="58"/>
  <c r="H122" i="58" s="1"/>
  <c r="C113" i="58" s="1"/>
  <c r="H104" i="58"/>
  <c r="F81" i="58"/>
  <c r="H60" i="58"/>
  <c r="C54" i="58" s="1"/>
  <c r="C14" i="66" s="1"/>
  <c r="H34" i="58"/>
  <c r="L104" i="58" l="1"/>
  <c r="C98" i="58"/>
  <c r="L117" i="58"/>
  <c r="C111" i="58"/>
  <c r="L132" i="58"/>
  <c r="L34" i="58"/>
  <c r="C28" i="58"/>
  <c r="C12" i="66" s="1"/>
  <c r="H38" i="58"/>
  <c r="H65" i="58"/>
  <c r="L60" i="58"/>
  <c r="H148" i="58"/>
  <c r="H136" i="58"/>
  <c r="C126" i="58" s="1"/>
  <c r="H107" i="58"/>
  <c r="H50" i="58"/>
  <c r="H568" i="58" l="1"/>
  <c r="L568" i="58" s="1"/>
  <c r="H567" i="58"/>
  <c r="L567" i="58" s="1"/>
  <c r="H566" i="58"/>
  <c r="L566" i="58" s="1"/>
  <c r="F569" i="58"/>
  <c r="H554" i="58"/>
  <c r="H543" i="58"/>
  <c r="L543" i="58" s="1"/>
  <c r="H542" i="58"/>
  <c r="L542" i="58" s="1"/>
  <c r="H541" i="58"/>
  <c r="L541" i="58" s="1"/>
  <c r="H540" i="58"/>
  <c r="L540" i="58" s="1"/>
  <c r="F544" i="58"/>
  <c r="H528" i="58"/>
  <c r="L528" i="58" s="1"/>
  <c r="H527" i="58"/>
  <c r="L527" i="58" s="1"/>
  <c r="H526" i="58"/>
  <c r="L526" i="58" s="1"/>
  <c r="F529" i="58"/>
  <c r="D514" i="58"/>
  <c r="H513" i="58"/>
  <c r="L513" i="58" s="1"/>
  <c r="H512" i="58"/>
  <c r="H511" i="58"/>
  <c r="L511" i="58" s="1"/>
  <c r="H510" i="58"/>
  <c r="L510" i="58" s="1"/>
  <c r="H509" i="58"/>
  <c r="H498" i="58"/>
  <c r="F499" i="58"/>
  <c r="L485" i="58"/>
  <c r="H483" i="58"/>
  <c r="L483" i="58" s="1"/>
  <c r="H482" i="58"/>
  <c r="L482" i="58" s="1"/>
  <c r="H481" i="58"/>
  <c r="H453" i="58"/>
  <c r="F454" i="58"/>
  <c r="F442" i="58"/>
  <c r="H437" i="58"/>
  <c r="L498" i="58" l="1"/>
  <c r="C490" i="58"/>
  <c r="L554" i="58"/>
  <c r="C548" i="58"/>
  <c r="L453" i="58"/>
  <c r="H454" i="58"/>
  <c r="C446" i="58"/>
  <c r="L481" i="58"/>
  <c r="C475" i="58"/>
  <c r="L509" i="58"/>
  <c r="L437" i="58"/>
  <c r="C431" i="58"/>
  <c r="F514" i="58"/>
  <c r="H514" i="58" s="1"/>
  <c r="C503" i="58" s="1"/>
  <c r="H565" i="58"/>
  <c r="H539" i="58"/>
  <c r="C533" i="58" s="1"/>
  <c r="H525" i="58"/>
  <c r="H486" i="58"/>
  <c r="F486" i="58"/>
  <c r="H442" i="58"/>
  <c r="L525" i="58" l="1"/>
  <c r="C519" i="58"/>
  <c r="L565" i="58"/>
  <c r="C559" i="58"/>
  <c r="H544" i="58"/>
  <c r="L539" i="58"/>
  <c r="H515" i="58"/>
  <c r="L514" i="58"/>
  <c r="F515" i="58"/>
  <c r="H569" i="58"/>
  <c r="H529" i="58"/>
  <c r="H499" i="58"/>
  <c r="F394" i="58" l="1"/>
  <c r="H394" i="58" s="1"/>
  <c r="L394" i="58" s="1"/>
  <c r="F395" i="58"/>
  <c r="H395" i="58" s="1"/>
  <c r="L395" i="58" s="1"/>
  <c r="F396" i="58"/>
  <c r="H396" i="58" s="1"/>
  <c r="L396" i="58" s="1"/>
  <c r="F397" i="58"/>
  <c r="H397" i="58" s="1"/>
  <c r="L397" i="58" s="1"/>
  <c r="F409" i="58"/>
  <c r="F410" i="58"/>
  <c r="F411" i="58"/>
  <c r="F412" i="58"/>
  <c r="F414" i="58"/>
  <c r="H414" i="58" s="1"/>
  <c r="F408" i="58"/>
  <c r="L408" i="58" s="1"/>
  <c r="F426" i="58"/>
  <c r="H426" i="58" s="1"/>
  <c r="L426" i="58" s="1"/>
  <c r="F425" i="58"/>
  <c r="F367" i="58"/>
  <c r="F380" i="58"/>
  <c r="H380" i="58" s="1"/>
  <c r="L380" i="58" s="1"/>
  <c r="F382" i="58"/>
  <c r="H382" i="58" s="1"/>
  <c r="L382" i="58" s="1"/>
  <c r="F379" i="58"/>
  <c r="F393" i="58"/>
  <c r="H393" i="58" s="1"/>
  <c r="H368" i="58"/>
  <c r="L368" i="58" s="1"/>
  <c r="H353" i="58"/>
  <c r="L353" i="58" s="1"/>
  <c r="L354" i="58"/>
  <c r="H356" i="58"/>
  <c r="L356" i="58" s="1"/>
  <c r="F338" i="58"/>
  <c r="H338" i="58" s="1"/>
  <c r="L338" i="58" s="1"/>
  <c r="F339" i="58"/>
  <c r="H339" i="58" s="1"/>
  <c r="L339" i="58" s="1"/>
  <c r="F340" i="58"/>
  <c r="H340" i="58" s="1"/>
  <c r="L340" i="58" s="1"/>
  <c r="H341" i="58"/>
  <c r="L341" i="58" s="1"/>
  <c r="F337" i="58"/>
  <c r="F324" i="58"/>
  <c r="H324" i="58" s="1"/>
  <c r="L324" i="58" s="1"/>
  <c r="F326" i="58"/>
  <c r="H326" i="58" s="1"/>
  <c r="L326" i="58" s="1"/>
  <c r="F323" i="58"/>
  <c r="F308" i="58"/>
  <c r="L308" i="58" s="1"/>
  <c r="F309" i="58"/>
  <c r="L309" i="58" s="1"/>
  <c r="F311" i="58"/>
  <c r="L311" i="58" s="1"/>
  <c r="F312" i="58"/>
  <c r="F307" i="58"/>
  <c r="F293" i="58"/>
  <c r="F294" i="58"/>
  <c r="F295" i="58"/>
  <c r="H295" i="58" s="1"/>
  <c r="L295" i="58" s="1"/>
  <c r="F296" i="58"/>
  <c r="H296" i="58" s="1"/>
  <c r="L296" i="58" s="1"/>
  <c r="L307" i="58" l="1"/>
  <c r="L414" i="58"/>
  <c r="C402" i="58"/>
  <c r="H415" i="58"/>
  <c r="L393" i="58"/>
  <c r="C387" i="58"/>
  <c r="F369" i="58"/>
  <c r="F427" i="58"/>
  <c r="H425" i="58"/>
  <c r="F415" i="58"/>
  <c r="H398" i="58"/>
  <c r="F398" i="58"/>
  <c r="F383" i="58"/>
  <c r="H379" i="58"/>
  <c r="H367" i="58"/>
  <c r="F357" i="58"/>
  <c r="H352" i="58"/>
  <c r="F342" i="58"/>
  <c r="H337" i="58"/>
  <c r="C331" i="58" s="1"/>
  <c r="F327" i="58"/>
  <c r="L312" i="58"/>
  <c r="F297" i="58"/>
  <c r="H323" i="58"/>
  <c r="F313" i="58"/>
  <c r="H293" i="58"/>
  <c r="L323" i="58" l="1"/>
  <c r="C317" i="58"/>
  <c r="L425" i="58"/>
  <c r="C419" i="58"/>
  <c r="L352" i="58"/>
  <c r="C346" i="58"/>
  <c r="L367" i="58"/>
  <c r="C361" i="58"/>
  <c r="L379" i="58"/>
  <c r="C373" i="58"/>
  <c r="L293" i="58"/>
  <c r="C287" i="58"/>
  <c r="C301" i="58"/>
  <c r="H342" i="58"/>
  <c r="L337" i="58"/>
  <c r="H427" i="58"/>
  <c r="H383" i="58"/>
  <c r="H313" i="58"/>
  <c r="H369" i="58"/>
  <c r="H357" i="58"/>
  <c r="H327" i="58"/>
  <c r="H297" i="58"/>
  <c r="A890" i="58" l="1"/>
  <c r="A852" i="58" l="1"/>
  <c r="A850" i="58"/>
  <c r="A818" i="58"/>
  <c r="A807" i="58" l="1"/>
  <c r="F777" i="58" l="1"/>
  <c r="F778" i="58" l="1"/>
  <c r="F774" i="58"/>
  <c r="H774" i="58" s="1"/>
  <c r="L774" i="58" s="1"/>
  <c r="F772" i="58"/>
  <c r="H772" i="58" s="1"/>
  <c r="L772" i="58" s="1"/>
  <c r="F773" i="58"/>
  <c r="H773" i="58" s="1"/>
  <c r="L773" i="58" s="1"/>
  <c r="D758" i="58" l="1"/>
  <c r="A759" i="58"/>
  <c r="F745" i="58"/>
  <c r="H745" i="58" s="1"/>
  <c r="L745" i="58" s="1"/>
  <c r="F743" i="58"/>
  <c r="H743" i="58" s="1"/>
  <c r="L743" i="58" s="1"/>
  <c r="F730" i="58"/>
  <c r="H730" i="58" s="1"/>
  <c r="L730" i="58" s="1"/>
  <c r="F727" i="58"/>
  <c r="H727" i="58" s="1"/>
  <c r="F729" i="58"/>
  <c r="H729" i="58" s="1"/>
  <c r="L729" i="58" s="1"/>
  <c r="L59" i="64"/>
  <c r="L60" i="64"/>
  <c r="L61" i="64"/>
  <c r="L62" i="64"/>
  <c r="L63" i="64"/>
  <c r="L64" i="64"/>
  <c r="L65" i="64"/>
  <c r="L66" i="64"/>
  <c r="L67" i="64"/>
  <c r="L68" i="64"/>
  <c r="L69" i="64"/>
  <c r="L58" i="64"/>
  <c r="L727" i="58" l="1"/>
  <c r="C721" i="58"/>
  <c r="F893" i="58"/>
  <c r="F892" i="58"/>
  <c r="H892" i="58" s="1"/>
  <c r="L892" i="58" s="1"/>
  <c r="F891" i="58"/>
  <c r="F880" i="58"/>
  <c r="H880" i="58" s="1"/>
  <c r="F879" i="58"/>
  <c r="H879" i="58" s="1"/>
  <c r="F866" i="58"/>
  <c r="H866" i="58" s="1"/>
  <c r="L866" i="58" s="1"/>
  <c r="F865" i="58"/>
  <c r="H865" i="58" s="1"/>
  <c r="L865" i="58" s="1"/>
  <c r="F864" i="58"/>
  <c r="F853" i="58"/>
  <c r="H853" i="58" s="1"/>
  <c r="L853" i="58" s="1"/>
  <c r="F851" i="58"/>
  <c r="H851" i="58" s="1"/>
  <c r="F849" i="58"/>
  <c r="F848" i="58"/>
  <c r="H848" i="58" s="1"/>
  <c r="C842" i="58" s="1"/>
  <c r="F837" i="58"/>
  <c r="H837" i="58" s="1"/>
  <c r="L837" i="58" s="1"/>
  <c r="F835" i="58"/>
  <c r="H835" i="58" s="1"/>
  <c r="L835" i="58" s="1"/>
  <c r="F834" i="58"/>
  <c r="F823" i="58"/>
  <c r="H823" i="58" s="1"/>
  <c r="L823" i="58" s="1"/>
  <c r="F822" i="58"/>
  <c r="H822" i="58" s="1"/>
  <c r="L822" i="58" s="1"/>
  <c r="F821" i="58"/>
  <c r="F820" i="58"/>
  <c r="H820" i="58" s="1"/>
  <c r="L820" i="58" s="1"/>
  <c r="F819" i="58"/>
  <c r="F808" i="58"/>
  <c r="H808" i="58" s="1"/>
  <c r="L808" i="58" s="1"/>
  <c r="F806" i="58"/>
  <c r="H806" i="58" s="1"/>
  <c r="L806" i="58" s="1"/>
  <c r="F805" i="58"/>
  <c r="F794" i="58"/>
  <c r="H794" i="58" s="1"/>
  <c r="L794" i="58" s="1"/>
  <c r="F793" i="58"/>
  <c r="H793" i="58" s="1"/>
  <c r="L793" i="58" s="1"/>
  <c r="F792" i="58"/>
  <c r="H792" i="58" s="1"/>
  <c r="L792" i="58" s="1"/>
  <c r="F790" i="58"/>
  <c r="H790" i="58" s="1"/>
  <c r="F789" i="58"/>
  <c r="F775" i="58"/>
  <c r="H775" i="58" s="1"/>
  <c r="L775" i="58" s="1"/>
  <c r="F771" i="58"/>
  <c r="F760" i="58"/>
  <c r="H760" i="58" s="1"/>
  <c r="L760" i="58" s="1"/>
  <c r="F758" i="58"/>
  <c r="H758" i="58" s="1"/>
  <c r="L758" i="58" s="1"/>
  <c r="F757" i="58"/>
  <c r="H757" i="58" s="1"/>
  <c r="L757" i="58" s="1"/>
  <c r="F756" i="58"/>
  <c r="F742" i="58"/>
  <c r="H742" i="58" s="1"/>
  <c r="L742" i="58" s="1"/>
  <c r="F741" i="58"/>
  <c r="F731" i="58"/>
  <c r="F593" i="58"/>
  <c r="F592" i="58"/>
  <c r="F594" i="58" s="1"/>
  <c r="H580" i="58"/>
  <c r="L580" i="58" s="1"/>
  <c r="H579" i="58"/>
  <c r="A26" i="58"/>
  <c r="A33" i="58" l="1"/>
  <c r="A36" i="58"/>
  <c r="L790" i="58"/>
  <c r="C783" i="58"/>
  <c r="L851" i="58"/>
  <c r="H893" i="58"/>
  <c r="L893" i="58" s="1"/>
  <c r="L579" i="58"/>
  <c r="C573" i="58"/>
  <c r="H582" i="58"/>
  <c r="C575" i="58" s="1"/>
  <c r="F894" i="58"/>
  <c r="F881" i="58"/>
  <c r="F867" i="58"/>
  <c r="F854" i="58"/>
  <c r="F838" i="58"/>
  <c r="F824" i="58"/>
  <c r="F809" i="58"/>
  <c r="F795" i="58"/>
  <c r="F779" i="58"/>
  <c r="F761" i="58"/>
  <c r="F746" i="58"/>
  <c r="H756" i="58"/>
  <c r="C750" i="58" s="1"/>
  <c r="H771" i="58"/>
  <c r="C765" i="58" s="1"/>
  <c r="H795" i="58"/>
  <c r="H805" i="58"/>
  <c r="C799" i="58" s="1"/>
  <c r="H891" i="58"/>
  <c r="C885" i="58" s="1"/>
  <c r="H819" i="58"/>
  <c r="H834" i="58"/>
  <c r="C828" i="58" s="1"/>
  <c r="H731" i="58"/>
  <c r="H741" i="58"/>
  <c r="C735" i="58" s="1"/>
  <c r="H854" i="58"/>
  <c r="H864" i="58"/>
  <c r="C858" i="58" s="1"/>
  <c r="H592" i="58"/>
  <c r="C586" i="58" s="1"/>
  <c r="F555" i="58"/>
  <c r="F582" i="58"/>
  <c r="H555" i="58"/>
  <c r="C477" i="58"/>
  <c r="C535" i="58"/>
  <c r="C363" i="58"/>
  <c r="F94" i="58"/>
  <c r="C289" i="58"/>
  <c r="C56" i="58"/>
  <c r="H94" i="58"/>
  <c r="A40" i="58"/>
  <c r="C813" i="58" l="1"/>
  <c r="H824" i="58"/>
  <c r="H881" i="58"/>
  <c r="C871" i="58"/>
  <c r="C71" i="66" s="1"/>
  <c r="H894" i="58"/>
  <c r="C887" i="58" s="1"/>
  <c r="L891" i="58"/>
  <c r="H779" i="58"/>
  <c r="L771" i="58"/>
  <c r="H867" i="58"/>
  <c r="L864" i="58"/>
  <c r="H761" i="58"/>
  <c r="L756" i="58"/>
  <c r="H746" i="58"/>
  <c r="L741" i="58"/>
  <c r="L819" i="58"/>
  <c r="H809" i="58"/>
  <c r="L805" i="58"/>
  <c r="H838" i="58"/>
  <c r="L834" i="58"/>
  <c r="H594" i="58"/>
  <c r="L592" i="58"/>
  <c r="H279" i="58"/>
  <c r="L279" i="58" s="1"/>
  <c r="H280" i="58"/>
  <c r="L280" i="58" s="1"/>
  <c r="H252" i="58"/>
  <c r="L252" i="58" s="1"/>
  <c r="H251" i="58"/>
  <c r="L251" i="58" s="1"/>
  <c r="H227" i="58"/>
  <c r="L227" i="58" s="1"/>
  <c r="H215" i="58"/>
  <c r="L215" i="58" s="1"/>
  <c r="H213" i="58"/>
  <c r="L213" i="58" s="1"/>
  <c r="H212" i="58"/>
  <c r="L212" i="58" s="1"/>
  <c r="H200" i="58"/>
  <c r="L200" i="58" s="1"/>
  <c r="C333" i="58"/>
  <c r="H188" i="58"/>
  <c r="L188" i="58" s="1"/>
  <c r="H185" i="58"/>
  <c r="L185" i="58" s="1"/>
  <c r="H173" i="58"/>
  <c r="L173" i="58" s="1"/>
  <c r="H172" i="58"/>
  <c r="L172" i="58" s="1"/>
  <c r="H160" i="58"/>
  <c r="A52" i="58"/>
  <c r="A59" i="58" s="1"/>
  <c r="A47" i="58"/>
  <c r="C844" i="58"/>
  <c r="C505" i="58"/>
  <c r="C723" i="58"/>
  <c r="C830" i="58"/>
  <c r="C706" i="58"/>
  <c r="C142" i="58"/>
  <c r="C785" i="58"/>
  <c r="C801" i="58"/>
  <c r="C421" i="58"/>
  <c r="C303" i="58"/>
  <c r="C873" i="58"/>
  <c r="C674" i="58"/>
  <c r="C448" i="58"/>
  <c r="C561" i="58"/>
  <c r="C646" i="58"/>
  <c r="C616" i="58"/>
  <c r="C389" i="58"/>
  <c r="C659" i="58"/>
  <c r="C550" i="58"/>
  <c r="C492" i="58"/>
  <c r="C691" i="58"/>
  <c r="C521" i="58"/>
  <c r="C600" i="58"/>
  <c r="C632" i="58"/>
  <c r="C87" i="58"/>
  <c r="B67" i="67"/>
  <c r="B66" i="67"/>
  <c r="B65" i="67"/>
  <c r="B64" i="67"/>
  <c r="B63" i="67"/>
  <c r="B62" i="67"/>
  <c r="B61" i="67"/>
  <c r="B60" i="67"/>
  <c r="B59" i="67"/>
  <c r="B58" i="67"/>
  <c r="B57" i="67"/>
  <c r="B56" i="67"/>
  <c r="B55" i="67"/>
  <c r="B54" i="67"/>
  <c r="B53" i="67"/>
  <c r="B52" i="67"/>
  <c r="B51" i="67"/>
  <c r="B50" i="67"/>
  <c r="B49" i="67"/>
  <c r="B48" i="67"/>
  <c r="B47" i="67"/>
  <c r="B46" i="67"/>
  <c r="B45" i="67"/>
  <c r="B44" i="67"/>
  <c r="B43" i="67"/>
  <c r="B42" i="67"/>
  <c r="B41" i="67"/>
  <c r="B40" i="67"/>
  <c r="B39" i="67"/>
  <c r="B38" i="67"/>
  <c r="B37" i="67"/>
  <c r="B36" i="67"/>
  <c r="B35" i="67"/>
  <c r="B34" i="67"/>
  <c r="B33" i="67"/>
  <c r="B32" i="67"/>
  <c r="B31" i="67"/>
  <c r="B30" i="67"/>
  <c r="B29" i="67"/>
  <c r="B28" i="67"/>
  <c r="B27" i="67"/>
  <c r="B26" i="67"/>
  <c r="B25" i="67"/>
  <c r="B24" i="67"/>
  <c r="B23" i="67"/>
  <c r="B22" i="67"/>
  <c r="B21" i="67"/>
  <c r="B20" i="67"/>
  <c r="B19" i="67"/>
  <c r="B18" i="67"/>
  <c r="B17" i="67"/>
  <c r="B16" i="67"/>
  <c r="B15" i="67"/>
  <c r="B14" i="67"/>
  <c r="B13" i="67"/>
  <c r="B12" i="67"/>
  <c r="B11" i="67"/>
  <c r="B10" i="67"/>
  <c r="B9" i="67"/>
  <c r="B8" i="67"/>
  <c r="B7" i="67"/>
  <c r="B6" i="67"/>
  <c r="C752" i="58" l="1"/>
  <c r="L160" i="58"/>
  <c r="C152" i="58"/>
  <c r="C860" i="58"/>
  <c r="C815" i="58"/>
  <c r="C737" i="58"/>
  <c r="C767" i="58"/>
  <c r="C588" i="58"/>
  <c r="F283" i="58"/>
  <c r="H278" i="58"/>
  <c r="F268" i="58"/>
  <c r="F253" i="58"/>
  <c r="H250" i="58"/>
  <c r="A67" i="58"/>
  <c r="A83" i="58" s="1"/>
  <c r="A90" i="58" s="1"/>
  <c r="F240" i="58"/>
  <c r="H226" i="58"/>
  <c r="F228" i="58"/>
  <c r="F216" i="58"/>
  <c r="H211" i="58"/>
  <c r="F201" i="58"/>
  <c r="H199" i="58"/>
  <c r="F189" i="58"/>
  <c r="H184" i="58"/>
  <c r="F174" i="58"/>
  <c r="H171" i="58"/>
  <c r="F161" i="58"/>
  <c r="C375" i="58"/>
  <c r="C319" i="58"/>
  <c r="C460" i="58"/>
  <c r="C404" i="58"/>
  <c r="C348" i="58"/>
  <c r="C100" i="58"/>
  <c r="C128" i="58"/>
  <c r="C71" i="58"/>
  <c r="C44" i="58"/>
  <c r="C30" i="58"/>
  <c r="B11" i="66"/>
  <c r="L211" i="58" l="1"/>
  <c r="L216" i="58" s="1"/>
  <c r="K216" i="58" s="1"/>
  <c r="C205" i="58"/>
  <c r="L184" i="58"/>
  <c r="C178" i="58"/>
  <c r="L278" i="58"/>
  <c r="C272" i="58"/>
  <c r="L199" i="58"/>
  <c r="C193" i="58"/>
  <c r="L226" i="58"/>
  <c r="C220" i="58"/>
  <c r="L171" i="58"/>
  <c r="C165" i="58"/>
  <c r="L250" i="58"/>
  <c r="L253" i="58" s="1"/>
  <c r="K253" i="58" s="1"/>
  <c r="C244" i="58"/>
  <c r="H283" i="58"/>
  <c r="A77" i="58"/>
  <c r="H268" i="58"/>
  <c r="A74" i="58"/>
  <c r="A96" i="58"/>
  <c r="A103" i="58" s="1"/>
  <c r="H253" i="58"/>
  <c r="H240" i="58"/>
  <c r="H228" i="58"/>
  <c r="H216" i="58"/>
  <c r="H201" i="58"/>
  <c r="H174" i="58"/>
  <c r="H161" i="58"/>
  <c r="B9" i="64"/>
  <c r="B10" i="64"/>
  <c r="B11" i="64"/>
  <c r="B12" i="64"/>
  <c r="B13" i="64"/>
  <c r="B14" i="64"/>
  <c r="B15" i="64"/>
  <c r="B16" i="64"/>
  <c r="B17" i="64"/>
  <c r="B18" i="64"/>
  <c r="B19" i="64"/>
  <c r="B20" i="64"/>
  <c r="B21" i="64"/>
  <c r="B22" i="64"/>
  <c r="B23" i="64"/>
  <c r="B24" i="64"/>
  <c r="B25" i="64"/>
  <c r="B26" i="64"/>
  <c r="B27" i="64"/>
  <c r="B28" i="64"/>
  <c r="B29" i="64"/>
  <c r="B30" i="64"/>
  <c r="B31" i="64"/>
  <c r="B32" i="64"/>
  <c r="B33" i="64"/>
  <c r="B34" i="64"/>
  <c r="B35" i="64"/>
  <c r="B36" i="64"/>
  <c r="B37" i="64"/>
  <c r="B38" i="64"/>
  <c r="B39" i="64"/>
  <c r="B40" i="64"/>
  <c r="B41" i="64"/>
  <c r="B42" i="64"/>
  <c r="B43" i="64"/>
  <c r="B44" i="64"/>
  <c r="B45" i="64"/>
  <c r="B46" i="64"/>
  <c r="B47" i="64"/>
  <c r="B48" i="64"/>
  <c r="B49" i="64"/>
  <c r="B50" i="64"/>
  <c r="B51" i="64"/>
  <c r="B52" i="64"/>
  <c r="B53" i="64"/>
  <c r="B54" i="64"/>
  <c r="B55" i="64"/>
  <c r="B56" i="64"/>
  <c r="B57" i="64"/>
  <c r="B58" i="64"/>
  <c r="B59" i="64"/>
  <c r="B60" i="64"/>
  <c r="B61" i="64"/>
  <c r="B62" i="64"/>
  <c r="B63" i="64"/>
  <c r="B64" i="64"/>
  <c r="B65" i="64"/>
  <c r="B66" i="64"/>
  <c r="B67" i="64"/>
  <c r="B68" i="64"/>
  <c r="B69" i="64"/>
  <c r="B7" i="53"/>
  <c r="B8" i="53"/>
  <c r="B9" i="53"/>
  <c r="B10" i="53"/>
  <c r="B11" i="53"/>
  <c r="B12" i="53"/>
  <c r="B13" i="53"/>
  <c r="B14" i="53"/>
  <c r="B15" i="53"/>
  <c r="B16" i="53"/>
  <c r="B17" i="53"/>
  <c r="B18" i="53"/>
  <c r="B19" i="53"/>
  <c r="B20" i="53"/>
  <c r="B21" i="53"/>
  <c r="B22" i="53"/>
  <c r="B23" i="53"/>
  <c r="B24" i="53"/>
  <c r="B25" i="53"/>
  <c r="B26" i="53"/>
  <c r="B27" i="53"/>
  <c r="B28" i="53"/>
  <c r="B29" i="53"/>
  <c r="B30" i="53"/>
  <c r="B31" i="53"/>
  <c r="B32" i="53"/>
  <c r="B33" i="53"/>
  <c r="B34" i="53"/>
  <c r="B35" i="53"/>
  <c r="B36" i="53"/>
  <c r="B37" i="53"/>
  <c r="B38" i="53"/>
  <c r="B39" i="53"/>
  <c r="B40" i="53"/>
  <c r="B41" i="53"/>
  <c r="B42" i="53"/>
  <c r="B43" i="53"/>
  <c r="B44" i="53"/>
  <c r="B45" i="53"/>
  <c r="B46" i="53"/>
  <c r="B47" i="53"/>
  <c r="B48" i="53"/>
  <c r="B49" i="53"/>
  <c r="B50" i="53"/>
  <c r="B51" i="53"/>
  <c r="B52" i="53"/>
  <c r="B53" i="53"/>
  <c r="B54" i="53"/>
  <c r="B55" i="53"/>
  <c r="B56" i="53"/>
  <c r="B57" i="53"/>
  <c r="B58" i="53"/>
  <c r="B59" i="53"/>
  <c r="B60" i="53"/>
  <c r="B61" i="53"/>
  <c r="B62" i="53"/>
  <c r="B63" i="53"/>
  <c r="B64" i="53"/>
  <c r="B65" i="53"/>
  <c r="B66" i="53"/>
  <c r="B67" i="53"/>
  <c r="B6" i="60"/>
  <c r="B7" i="60"/>
  <c r="B8" i="60"/>
  <c r="B9" i="60"/>
  <c r="B10" i="60"/>
  <c r="B11" i="60"/>
  <c r="B12" i="60"/>
  <c r="B13" i="60"/>
  <c r="B14" i="60"/>
  <c r="B15" i="60"/>
  <c r="B16" i="60"/>
  <c r="B17" i="60"/>
  <c r="B18" i="60"/>
  <c r="B19" i="60"/>
  <c r="B20" i="60"/>
  <c r="B21" i="60"/>
  <c r="B22" i="60"/>
  <c r="B23" i="60"/>
  <c r="B24" i="60"/>
  <c r="B25" i="60"/>
  <c r="B26" i="60"/>
  <c r="B27" i="60"/>
  <c r="B28" i="60"/>
  <c r="B29" i="60"/>
  <c r="B30" i="60"/>
  <c r="B31" i="60"/>
  <c r="B32" i="60"/>
  <c r="B33" i="60"/>
  <c r="B34" i="60"/>
  <c r="B35" i="60"/>
  <c r="B36" i="60"/>
  <c r="B37" i="60"/>
  <c r="B38" i="60"/>
  <c r="B39" i="60"/>
  <c r="B40" i="60"/>
  <c r="B41" i="60"/>
  <c r="B42" i="60"/>
  <c r="B43" i="60"/>
  <c r="B44" i="60"/>
  <c r="B45" i="60"/>
  <c r="B46" i="60"/>
  <c r="B47" i="60"/>
  <c r="B48" i="60"/>
  <c r="B49" i="60"/>
  <c r="B50" i="60"/>
  <c r="B51" i="60"/>
  <c r="B52" i="60"/>
  <c r="B53" i="60"/>
  <c r="B54" i="60"/>
  <c r="B55" i="60"/>
  <c r="B56" i="60"/>
  <c r="B57" i="60"/>
  <c r="B58" i="60"/>
  <c r="B59" i="60"/>
  <c r="B60" i="60"/>
  <c r="B61" i="60"/>
  <c r="B62" i="60"/>
  <c r="B63" i="60"/>
  <c r="B64" i="60"/>
  <c r="B65" i="60"/>
  <c r="B66" i="60"/>
  <c r="A6" i="60"/>
  <c r="A109" i="58" l="1"/>
  <c r="A116" i="58" s="1"/>
  <c r="C274" i="58"/>
  <c r="C259" i="58"/>
  <c r="C246" i="58"/>
  <c r="C234" i="58"/>
  <c r="C222" i="58"/>
  <c r="C207" i="58"/>
  <c r="C195" i="58"/>
  <c r="C180" i="58"/>
  <c r="C167" i="58"/>
  <c r="C154" i="58"/>
  <c r="E26" i="58"/>
  <c r="A124" i="58"/>
  <c r="A7" i="60"/>
  <c r="A8" i="60" s="1"/>
  <c r="A9" i="60" s="1"/>
  <c r="A10" i="60" s="1"/>
  <c r="A11" i="60" s="1"/>
  <c r="A12" i="60" s="1"/>
  <c r="A13" i="60" s="1"/>
  <c r="A14" i="60" s="1"/>
  <c r="A15" i="60" s="1"/>
  <c r="A16" i="60" s="1"/>
  <c r="A17" i="60" s="1"/>
  <c r="A18" i="60" s="1"/>
  <c r="A19" i="60" s="1"/>
  <c r="A20" i="60" s="1"/>
  <c r="A21" i="60" s="1"/>
  <c r="A22" i="60" s="1"/>
  <c r="A23" i="60" s="1"/>
  <c r="A24" i="60" s="1"/>
  <c r="A25" i="60" s="1"/>
  <c r="A26" i="60" s="1"/>
  <c r="A27" i="60" s="1"/>
  <c r="A28" i="60" s="1"/>
  <c r="A29" i="60" s="1"/>
  <c r="A30" i="60" s="1"/>
  <c r="A31" i="60" s="1"/>
  <c r="A32" i="60" s="1"/>
  <c r="A33" i="60" s="1"/>
  <c r="A34" i="60" s="1"/>
  <c r="A35" i="60" s="1"/>
  <c r="A36" i="60" s="1"/>
  <c r="A37" i="60" s="1"/>
  <c r="A38" i="60" s="1"/>
  <c r="A39" i="60" s="1"/>
  <c r="A40" i="60" s="1"/>
  <c r="A41" i="60" s="1"/>
  <c r="A42" i="60" s="1"/>
  <c r="A43" i="60" s="1"/>
  <c r="A44" i="60" s="1"/>
  <c r="A45" i="60" s="1"/>
  <c r="A46" i="60" s="1"/>
  <c r="A47" i="60" s="1"/>
  <c r="A48" i="60" s="1"/>
  <c r="A49" i="60" s="1"/>
  <c r="A50" i="60" s="1"/>
  <c r="A51" i="60" s="1"/>
  <c r="A52" i="60" s="1"/>
  <c r="A53" i="60" s="1"/>
  <c r="A54" i="60" s="1"/>
  <c r="A55" i="60" s="1"/>
  <c r="A56" i="60" s="1"/>
  <c r="A57" i="60" s="1"/>
  <c r="A58" i="60" s="1"/>
  <c r="A59" i="60" s="1"/>
  <c r="A60" i="60" s="1"/>
  <c r="A61" i="60" s="1"/>
  <c r="A62" i="60" s="1"/>
  <c r="A63" i="60" s="1"/>
  <c r="A64" i="60" s="1"/>
  <c r="A65" i="60" s="1"/>
  <c r="A66" i="60" s="1"/>
  <c r="B12" i="66"/>
  <c r="A138" i="58" l="1"/>
  <c r="A131" i="58"/>
  <c r="E52" i="58"/>
  <c r="E109" i="58"/>
  <c r="E96" i="58"/>
  <c r="E67" i="58"/>
  <c r="E83" i="58"/>
  <c r="E40" i="58"/>
  <c r="E124" i="58"/>
  <c r="B13" i="66"/>
  <c r="A150" i="58" l="1"/>
  <c r="E138" i="58"/>
  <c r="B14" i="66"/>
  <c r="B15" i="66"/>
  <c r="E150" i="58" l="1"/>
  <c r="A163" i="58"/>
  <c r="A176" i="58"/>
  <c r="A187" i="58" s="1"/>
  <c r="E163" i="58"/>
  <c r="E176" i="58" l="1"/>
  <c r="A191" i="58"/>
  <c r="B16" i="66"/>
  <c r="B17" i="66"/>
  <c r="A203" i="58" l="1"/>
  <c r="E191" i="58"/>
  <c r="D7" i="58"/>
  <c r="C10" i="58" s="1"/>
  <c r="B6" i="53"/>
  <c r="B8" i="64"/>
  <c r="E203" i="58" l="1"/>
  <c r="A218" i="58"/>
  <c r="B19" i="66"/>
  <c r="B18" i="66"/>
  <c r="B5" i="60"/>
  <c r="E6" i="58" s="1"/>
  <c r="A230" i="58" l="1"/>
  <c r="E218" i="58"/>
  <c r="A242" i="58" l="1"/>
  <c r="E230" i="58"/>
  <c r="B20" i="66"/>
  <c r="E242" i="58" l="1"/>
  <c r="A255" i="58"/>
  <c r="E255" i="58" l="1"/>
  <c r="A270" i="58"/>
  <c r="A285" i="58"/>
  <c r="E270" i="58"/>
  <c r="B22" i="66"/>
  <c r="E285" i="58" l="1"/>
  <c r="A299" i="58"/>
  <c r="B23" i="66"/>
  <c r="A315" i="58" l="1"/>
  <c r="A329" i="58" s="1"/>
  <c r="E299" i="58"/>
  <c r="E329" i="58" l="1"/>
  <c r="E315" i="58"/>
  <c r="A344" i="58" l="1"/>
  <c r="E344" i="58" l="1"/>
  <c r="A359" i="58"/>
  <c r="A371" i="58" l="1"/>
  <c r="E359" i="58"/>
  <c r="B21" i="66"/>
  <c r="B24" i="66"/>
  <c r="B28" i="66"/>
  <c r="B29" i="66"/>
  <c r="B25" i="66"/>
  <c r="B27" i="66"/>
  <c r="B26" i="66"/>
  <c r="E371" i="58" l="1"/>
  <c r="A385" i="58"/>
  <c r="A400" i="58" l="1"/>
  <c r="E385" i="58"/>
  <c r="B31" i="66"/>
  <c r="B30" i="66"/>
  <c r="E400" i="58" l="1"/>
  <c r="A417" i="58"/>
  <c r="A429" i="58" l="1"/>
  <c r="E417" i="58"/>
  <c r="B32" i="66"/>
  <c r="E429" i="58" l="1"/>
  <c r="A444" i="58"/>
  <c r="B33" i="66"/>
  <c r="A456" i="58" l="1"/>
  <c r="A473" i="58" s="1"/>
  <c r="E444" i="58"/>
  <c r="B34" i="66"/>
  <c r="B35" i="66"/>
  <c r="A488" i="58" l="1"/>
  <c r="E473" i="58"/>
  <c r="E456" i="58"/>
  <c r="A467" i="58"/>
  <c r="A463" i="58"/>
  <c r="E488" i="58" l="1"/>
  <c r="A501" i="58"/>
  <c r="B37" i="66"/>
  <c r="B36" i="66"/>
  <c r="A517" i="58" l="1"/>
  <c r="E501" i="58"/>
  <c r="E517" i="58" l="1"/>
  <c r="A531" i="58"/>
  <c r="B42" i="66"/>
  <c r="B38" i="66"/>
  <c r="B39" i="66"/>
  <c r="A546" i="58" l="1"/>
  <c r="E531" i="58"/>
  <c r="B44" i="66"/>
  <c r="B59" i="66"/>
  <c r="B46" i="66"/>
  <c r="B45" i="66"/>
  <c r="B48" i="66"/>
  <c r="B55" i="66"/>
  <c r="B72" i="66"/>
  <c r="B47" i="66"/>
  <c r="B66" i="66"/>
  <c r="B43" i="66"/>
  <c r="B65" i="66"/>
  <c r="B69" i="66"/>
  <c r="B70" i="66"/>
  <c r="B67" i="66"/>
  <c r="B40" i="66"/>
  <c r="B58" i="66"/>
  <c r="B61" i="66"/>
  <c r="B49" i="66"/>
  <c r="B52" i="66"/>
  <c r="B68" i="66"/>
  <c r="B57" i="66"/>
  <c r="B53" i="66"/>
  <c r="B41" i="66"/>
  <c r="B56" i="66"/>
  <c r="B71" i="66"/>
  <c r="B64" i="66"/>
  <c r="B50" i="66"/>
  <c r="B60" i="66"/>
  <c r="B63" i="66"/>
  <c r="B54" i="66"/>
  <c r="B62" i="66"/>
  <c r="B51" i="66"/>
  <c r="E546" i="58" l="1"/>
  <c r="A557" i="58"/>
  <c r="A571" i="58" l="1"/>
  <c r="E557" i="58"/>
  <c r="E571" i="58" l="1"/>
  <c r="A578" i="58"/>
  <c r="A584" i="58"/>
  <c r="A591" i="58" l="1"/>
  <c r="A596" i="58"/>
  <c r="E584" i="58"/>
  <c r="E596" i="58" l="1"/>
  <c r="A612" i="58"/>
  <c r="A628" i="58" l="1"/>
  <c r="A635" i="58" s="1"/>
  <c r="E612" i="58"/>
  <c r="E628" i="58" l="1"/>
  <c r="A642" i="58"/>
  <c r="A649" i="58" s="1"/>
  <c r="A655" i="58" l="1"/>
  <c r="E642" i="58"/>
  <c r="A662" i="58" l="1"/>
  <c r="A666" i="58"/>
  <c r="E655" i="58"/>
  <c r="A670" i="58"/>
  <c r="A677" i="58" l="1"/>
  <c r="A682" i="58"/>
  <c r="A687" i="58"/>
  <c r="E670" i="58"/>
  <c r="A702" i="58" l="1"/>
  <c r="A694" i="58"/>
  <c r="A697" i="58"/>
  <c r="E687" i="58"/>
  <c r="E702" i="58" l="1"/>
  <c r="A719" i="58"/>
  <c r="A728" i="58" s="1"/>
  <c r="A726" i="58" l="1"/>
  <c r="A733" i="58"/>
  <c r="A748" i="58" s="1"/>
  <c r="E719" i="58"/>
  <c r="A740" i="58" l="1"/>
  <c r="A744" i="58"/>
  <c r="E733" i="58"/>
  <c r="E748" i="58"/>
  <c r="A763" i="58"/>
  <c r="A755" i="58"/>
  <c r="A776" i="58" l="1"/>
  <c r="A770" i="58"/>
  <c r="A781" i="58"/>
  <c r="E763" i="58"/>
  <c r="A797" i="58" l="1"/>
  <c r="E781" i="58"/>
  <c r="A791" i="58"/>
  <c r="A788" i="58"/>
  <c r="A804" i="58" l="1"/>
  <c r="A811" i="58"/>
  <c r="E797" i="58"/>
  <c r="E811" i="58" l="1"/>
  <c r="A826" i="58"/>
  <c r="A836" i="58" l="1"/>
  <c r="A833" i="58"/>
  <c r="A840" i="58"/>
  <c r="E826" i="58"/>
  <c r="A856" i="58" l="1"/>
  <c r="E840" i="58"/>
  <c r="A847" i="58"/>
  <c r="A863" i="58" l="1"/>
  <c r="A869" i="58"/>
  <c r="E856" i="58"/>
  <c r="A883" i="58" l="1"/>
  <c r="E869" i="58"/>
  <c r="A878" i="58"/>
  <c r="A876" i="58"/>
  <c r="E883" i="58" l="1"/>
</calcChain>
</file>

<file path=xl/sharedStrings.xml><?xml version="1.0" encoding="utf-8"?>
<sst xmlns="http://schemas.openxmlformats.org/spreadsheetml/2006/main" count="5108" uniqueCount="808">
  <si>
    <t>FONDO DE DESARROLLO LOCAL DE FONTIBÓN</t>
  </si>
  <si>
    <t>FDLF-CMA-001-2024</t>
  </si>
  <si>
    <t xml:space="preserve">No. </t>
  </si>
  <si>
    <t>NOMBRE</t>
  </si>
  <si>
    <t>REPRESENTANTE LEGAL</t>
  </si>
  <si>
    <t>TIPO DE OFERENTE</t>
  </si>
  <si>
    <t>CONSORCIADO 1</t>
  </si>
  <si>
    <t>CONSORCIADO 2</t>
  </si>
  <si>
    <t>CONSORCIADO 3</t>
  </si>
  <si>
    <t>CONSORCIADO 4</t>
  </si>
  <si>
    <t>OBSERVACIONES</t>
  </si>
  <si>
    <t>CONSORCIO INTERVIALES PCI-PC</t>
  </si>
  <si>
    <t>PEDRO JOSÉ CORREDOR BECERRA</t>
  </si>
  <si>
    <t>CONSORCIO</t>
  </si>
  <si>
    <t>PC PROYECCION E INGENIERIA SAS 50%</t>
  </si>
  <si>
    <t>JORGE WILLAN CORZO GARCIA 10%</t>
  </si>
  <si>
    <t>GERMAN ALONSO PUENTES GORDO 30%</t>
  </si>
  <si>
    <t>INCORDIS SAS 10%</t>
  </si>
  <si>
    <t>CONSORCIO VÍAS FONTIBÓN 2025</t>
  </si>
  <si>
    <t>SANTIAGO CARRILLO VARGAS</t>
  </si>
  <si>
    <t>SANDRA MONICA CARDOZO 50%</t>
  </si>
  <si>
    <t>SAVIMAC SAS 50%</t>
  </si>
  <si>
    <t>MORALBA SANCHEZ ORDOÑEZ</t>
  </si>
  <si>
    <t>PERSONA NATURAL</t>
  </si>
  <si>
    <t>MORALBA SANCHEZ ORDOÑEZ (100%)</t>
  </si>
  <si>
    <t>GRUPO METRO COLOMBIA SAS</t>
  </si>
  <si>
    <t>OSCAR ALFREDO MONTOYA CASTRO</t>
  </si>
  <si>
    <t>PERSONA JURIDICA NACIONAL</t>
  </si>
  <si>
    <t>GRUPO METRO COLOMBIA SAS (100%)</t>
  </si>
  <si>
    <t>CONSORCIO INTER CGS F1</t>
  </si>
  <si>
    <t>RICAUTE ALVAREZ PARRADO</t>
  </si>
  <si>
    <t>CONSULTORIA VIAL S.A.S 50%</t>
  </si>
  <si>
    <t>GRUPO INFRAESTRUCTURA COLOMBIA SAS 40%</t>
  </si>
  <si>
    <t>SL SENDAS INGENIERIA SAS 10%</t>
  </si>
  <si>
    <t>INGENIEROS CONSTRUCTORES Y ASESORES SAS</t>
  </si>
  <si>
    <t>ESTHER PAULINA MARTINEZ MENDOZA</t>
  </si>
  <si>
    <t>INGENIEROS CONSTRUCTORES Y ASESORES SAS (100%)</t>
  </si>
  <si>
    <t>GPM PROYECTOS DE INGENIERIA SAS</t>
  </si>
  <si>
    <t>GONZALO EDUARDO PAZ MATALLANA</t>
  </si>
  <si>
    <t>GPM PROYECTOS DE INGENIERIA SAS (100%)</t>
  </si>
  <si>
    <t>CONSORCIO MODELIA 24</t>
  </si>
  <si>
    <t>CARLOS MARIO ROLÓN AMAYA</t>
  </si>
  <si>
    <t>INGECO INGENIERIA DE CONSTRUCCIONES S.A.S 50%</t>
  </si>
  <si>
    <t>INGENIERIA DE PROYECTOS S.A.S. 50%</t>
  </si>
  <si>
    <t>UNIÓN TEMPORAL ROADS 402</t>
  </si>
  <si>
    <t>ANTONIO JOSE PEDRAZA JIMENEZ</t>
  </si>
  <si>
    <t>UNION TEMPORAL</t>
  </si>
  <si>
    <t>ANTONIO JOSE PEDRAZA JIMENEZ 50%</t>
  </si>
  <si>
    <t>CONTRERAS CORTES SERVICIOS DE INGENIERIA SAS 40%</t>
  </si>
  <si>
    <t>TERRA NOVO CONSTRUCCIONES SAS 10%</t>
  </si>
  <si>
    <t>CONSORCIO MALLA VIAL 206</t>
  </si>
  <si>
    <t>PAOLA DEL PILAR LÓPEZ ROJAS</t>
  </si>
  <si>
    <t>LUPSA INGENIERIA Y CONSTRUCCIONES S.A.S. 70%</t>
  </si>
  <si>
    <t>SUCA CONSTRUCCIONES S.A.S. 30%</t>
  </si>
  <si>
    <t>INTERVENTORIA Y CONSTRUCIVILES SAS</t>
  </si>
  <si>
    <t>CARLOS ALBERTO ARAMBULA CURREA</t>
  </si>
  <si>
    <t>INTERVENTORIA Y CONSTRUCIVILES SAS (100%)</t>
  </si>
  <si>
    <t>EMPROCIV SAS</t>
  </si>
  <si>
    <t>NESTOR ANIBAL ESPINOSA NIÑO</t>
  </si>
  <si>
    <t>EMPROCIV SAS (100%)</t>
  </si>
  <si>
    <t>CONSORCIO NOGAALL-LITORAL</t>
  </si>
  <si>
    <t>JORGE HERNANDO BELTRÁN CATUMBA</t>
  </si>
  <si>
    <t>NOGALL SAS (60%)</t>
  </si>
  <si>
    <t>LITORAL CONSULTING SAS (40%)</t>
  </si>
  <si>
    <t>GRUCOING SAS</t>
  </si>
  <si>
    <t>LUZ ANGELA JARAMILLO DIAZ</t>
  </si>
  <si>
    <t>GRUCOING SAS (100%)</t>
  </si>
  <si>
    <t>CONSORCIO ESPACIOS TVH</t>
  </si>
  <si>
    <t>FABIAN ANDRES VALLEJO PACHÓN</t>
  </si>
  <si>
    <t>COMPAÑÍA CONSULTORA COLOMBIANA TRIPLE C S.A.S BIC (50%)</t>
  </si>
  <si>
    <t>VALLEJO H INGENIEROS CONSULTORES CONSTRUCTORES S.A.S (50%)</t>
  </si>
  <si>
    <t>CONSORCIO VIAS Y ESP</t>
  </si>
  <si>
    <t>FABIO MERCK RAMIREZ POVEDA</t>
  </si>
  <si>
    <t>MIRS LATINOAMERICA S.A.S. (90%)</t>
  </si>
  <si>
    <t>ACM ESTUDIOS SOCIO AMBIENTALES S.A.S (10%)</t>
  </si>
  <si>
    <t>CONSORCIO FONTIBON GM</t>
  </si>
  <si>
    <t>DANIEL ERNESTO RUIZ PARRA</t>
  </si>
  <si>
    <t>MSING SAS (90%)</t>
  </si>
  <si>
    <t>GRMM S.A.S. (10%)</t>
  </si>
  <si>
    <t>CONSORCIO I.D. FONTIBÓN</t>
  </si>
  <si>
    <t>JULIAN DARIO OCHOA NIÑO</t>
  </si>
  <si>
    <t>DISEÑOS INTERVENTORIAS Y SERVICIOS S.A.S. (90%)</t>
  </si>
  <si>
    <t>INGENIERIA DESARROLLO Y CONSULTORIA INDESCO S.A.S. BIC (10%)</t>
  </si>
  <si>
    <t>CONSORCIO LG FONTIBÓN</t>
  </si>
  <si>
    <t>BLANCA LILLYAM TABARES MESA</t>
  </si>
  <si>
    <t>LÍNEA GLOBAL INGENIERÍA S. A. S. (50%)</t>
  </si>
  <si>
    <t>GERARDO DÍAZ MANJARRÉS (50%)</t>
  </si>
  <si>
    <t>INTERSA S.A</t>
  </si>
  <si>
    <t>ISABEL VICTORIA LEON REYES</t>
  </si>
  <si>
    <t>INTERSA S.A (100%)</t>
  </si>
  <si>
    <t>CODIPRO INGENIERIA Y ARQUITECTURA LTDA. CONSTRUCCIONES, DISEÑOS Y PROYECTOS</t>
  </si>
  <si>
    <t>JESUS MARIA BERDUGO LEAL</t>
  </si>
  <si>
    <t>CODIPRO INGENIERIA Y ARQUITECTURA LTDA. CONSTRUCCIONES, DISEÑOS Y PROYECTOS (100%)</t>
  </si>
  <si>
    <t>CONSORCIO INGESCOR R 2024</t>
  </si>
  <si>
    <t>AURA ELENA LÓPEZ MENDOZA</t>
  </si>
  <si>
    <t xml:space="preserve">no presento documento consorcial </t>
  </si>
  <si>
    <t>CONSORCIO INTERVIAL URBANO</t>
  </si>
  <si>
    <t>RAFAEL VILLAR OSPINA</t>
  </si>
  <si>
    <t>IAR PROYECTOS SAS (50%)</t>
  </si>
  <si>
    <t>BATEMAN INGENIERIA SAS (50%)</t>
  </si>
  <si>
    <t>VELNEC SA</t>
  </si>
  <si>
    <t>PAULA ANDREA MARTINEZ MORA</t>
  </si>
  <si>
    <t>VELNEC SA (100%)</t>
  </si>
  <si>
    <t>CONSORCIO INTERFONTIBON 2024</t>
  </si>
  <si>
    <t>LADY MERCEDES AGUIRRE ORTIZ</t>
  </si>
  <si>
    <t>AESA PROYECTOS SAS (50%)</t>
  </si>
  <si>
    <t>BALER INGENIERIA SAS BIC (50%)</t>
  </si>
  <si>
    <t>ING INGENIERIA S.A.S</t>
  </si>
  <si>
    <t>CARLOS ALBERTO BELLO AVENA</t>
  </si>
  <si>
    <t>ING INGENIERIA S.A.S (100%)</t>
  </si>
  <si>
    <t>CONSORCIO FATIMA</t>
  </si>
  <si>
    <t>ERLY GIOVANNA CUÉLLAR OBREGÓN</t>
  </si>
  <si>
    <t>ARA INGENIERIA SAS (90%)</t>
  </si>
  <si>
    <t>JOSE ALBERTO ROJAS PRIETO (10%)</t>
  </si>
  <si>
    <t>GEOTECNIA Y CIMIENTOS INGEOCIM S.A.S.</t>
  </si>
  <si>
    <t>ALEXANDRA LILIANA RINCON ROSAS</t>
  </si>
  <si>
    <t>GEOTECNIA Y CIMIENTOS INGEOCIM S.A.S.(100%)</t>
  </si>
  <si>
    <t>CONSORCIO FONTIBON JINT 001</t>
  </si>
  <si>
    <t>CESAR AUGUSTO PALACIOS WILCHES</t>
  </si>
  <si>
    <t>JPS INGENIERIA S.A.S.(90%)</t>
  </si>
  <si>
    <t>INTING S.A.S. (10%)</t>
  </si>
  <si>
    <t>CONSORCIO ALIANZA BOGOTA</t>
  </si>
  <si>
    <t>DIEGO ALEJANDRO LEIVA ORTIZ</t>
  </si>
  <si>
    <t>MSC INGENIERIA SAS (90%)</t>
  </si>
  <si>
    <t>CORTES LEIVA ASOCIADOS SAS (10%)</t>
  </si>
  <si>
    <t>CONSORCIO FEM – 34</t>
  </si>
  <si>
    <t>CAMILO ALBERTO HERRERA BERNAL,</t>
  </si>
  <si>
    <t xml:space="preserve"> MONTENEGRO Y COMPAÑIA S.A.S. 60%</t>
  </si>
  <si>
    <t>FLAVIO RICARDO JIMÉNEZ MEJÍA 30%</t>
  </si>
  <si>
    <t>EJECUCIÓN Y GERENCIA DE PROYECTOS S.A.S. 10%</t>
  </si>
  <si>
    <t>CONSORCIO INTER FONTIBON</t>
  </si>
  <si>
    <t>ANGELA MARIA DAVILA MORALES</t>
  </si>
  <si>
    <t>INGENIERIA Y CONSULTORIA INGECON S.A.S.(50%)</t>
  </si>
  <si>
    <t>ECG INGENIERIA S.A.S (50%)</t>
  </si>
  <si>
    <t>CONSORCIO ID FONTIBON 001</t>
  </si>
  <si>
    <t>LUZ MARINA ORTEGA OCHOA</t>
  </si>
  <si>
    <t>NTERVENTORIAS Y DISEÑOS S.A- INTERDISEÑOS 20%</t>
  </si>
  <si>
    <t>INTERDISEÑOS ASOCIADOS S.A.S 80%</t>
  </si>
  <si>
    <t>CTV FONTIBON</t>
  </si>
  <si>
    <t>RAFAEL PAOLA PASSO DE LA HOZ</t>
  </si>
  <si>
    <t>INGENIERIA MASTER 50%</t>
  </si>
  <si>
    <t>JET INGENIERIA 50%</t>
  </si>
  <si>
    <t>ESTUDIOS TÉCNICOS Y CONSTRUCCIONES SAS</t>
  </si>
  <si>
    <t>MANUEL LEOPOLDO GONGORA SIERRA</t>
  </si>
  <si>
    <t>ESTUDIOS TÉCNICOS Y CONSTRUCCIONES SAS 100%</t>
  </si>
  <si>
    <t>ALIANZA INTEGRAL DE PROYECTOS SAS BIC</t>
  </si>
  <si>
    <t>YURI VIVIANA ARCILA RODRIGUEZ</t>
  </si>
  <si>
    <t>ALIANZA INTEGRAL DE PROYECTOS SAS BIC 100%</t>
  </si>
  <si>
    <t>CONSORCIO EPSILON FONTIBON</t>
  </si>
  <si>
    <t>WILSON GIOVANNI URREA URREA</t>
  </si>
  <si>
    <t>PROYECTOS E INTERVENTORÍAS S.A.S – PI S.A.S. 70%</t>
  </si>
  <si>
    <t>INGENIERÍA DE ESTUDIOS Y ASESORIAS S.A.S. INESAS S.A.S 30%</t>
  </si>
  <si>
    <t>PAULO EMILIO BRAVO CONSULTORES SAS</t>
  </si>
  <si>
    <t>MANUEL JOSÉ BRAVO FERNÁNDEZ</t>
  </si>
  <si>
    <t>PAULO EMILIO BRAVO CONSULTORES SAS 100%</t>
  </si>
  <si>
    <t>ALMA Interventoría &amp; Consultoría S.A.S</t>
  </si>
  <si>
    <t>Álvaro Hernando Vera Ayala</t>
  </si>
  <si>
    <t>ALMA Interventoría &amp; Consultoría S.A.S 100%</t>
  </si>
  <si>
    <t>CONSORCIO COING F001</t>
  </si>
  <si>
    <t>ANDREA DEL PILAR PEÑA SANCHEZ</t>
  </si>
  <si>
    <t>ICING S.A.S 90%</t>
  </si>
  <si>
    <t>COPEBA S.A.S. 10%</t>
  </si>
  <si>
    <t>CONSORCIO FONTIBÓN KM 2024</t>
  </si>
  <si>
    <t>CESAR AUGUSTO CAMARGO CAMARGO</t>
  </si>
  <si>
    <t>KALPA INGENIERIA SAS
SOCIEDAD DE BENEFICIO E
INTERES COLECTIVO - BIC (99%)</t>
  </si>
  <si>
    <t>MEDINA &amp; RIVERA INGENIEROS
ASOCIADOS SAS (1%)</t>
  </si>
  <si>
    <t>CONSORCIO INTER FONTIBON JG</t>
  </si>
  <si>
    <t>MARIA ISABEL LORA MUÑOZ</t>
  </si>
  <si>
    <t>GAVINCO INGENIEROS CONSULTORES SAS (90%)</t>
  </si>
  <si>
    <t>JGF INGENIERIA S.A.S (10%)</t>
  </si>
  <si>
    <t>CONSORCIO INTER VÍAL G&amp;L</t>
  </si>
  <si>
    <t>ANTONIO RAFAEL GONZALEZ FANDIÑO</t>
  </si>
  <si>
    <t>LUIS GUILLERMO NARVAEZ RICARDO (50%)</t>
  </si>
  <si>
    <t>GNG SERVICIOS DE INGENIERÍA S.A.S. (50%)</t>
  </si>
  <si>
    <t>ECOVIAS SAS</t>
  </si>
  <si>
    <t>LUIGGI PUGLIESE MERCADO</t>
  </si>
  <si>
    <t>ECOVIAS SAS 100%</t>
  </si>
  <si>
    <t>PROJEKTA LTDA INGENIEROS CONSULTORES</t>
  </si>
  <si>
    <t>SERGIO RAFAEL PABÓN LOZANO</t>
  </si>
  <si>
    <t>PROJEKTA LTDA INGENIEROS CONSULTORES (100%)</t>
  </si>
  <si>
    <t>SOLUCIONES PARA LA INGENIERÍA S.A.S.</t>
  </si>
  <si>
    <t>Iván Augusto Barreto Esquivel</t>
  </si>
  <si>
    <t>SOLUCIONES PARA LA INGENIERÍA S.A.S.(100%)</t>
  </si>
  <si>
    <t>CONSORCIO INTERVIAL PH</t>
  </si>
  <si>
    <t>LUIS HUMBERTO JAUREGUI ESPINEL</t>
  </si>
  <si>
    <t>HUMBERTO JAUREGUI &amp; CIAS SAS (50%)</t>
  </si>
  <si>
    <t>PROYECTOS VIALES SAS (50%)</t>
  </si>
  <si>
    <t>CONSORCIO SETEC VIAL FONTIBON</t>
  </si>
  <si>
    <t>ANDRÉS EDUARDO RINCÓN PÉREZ</t>
  </si>
  <si>
    <t>GOMEZ CAJIAO Y ASOCIADOS S.A.S (50%)</t>
  </si>
  <si>
    <t>SETEC ANDINA S.A.S.(50%)</t>
  </si>
  <si>
    <t>CONSORCIO CCP</t>
  </si>
  <si>
    <t>EDWIN JAVIER LINARES GARCIA</t>
  </si>
  <si>
    <t>PROCIVING SAS (45%)</t>
  </si>
  <si>
    <t>CIAF LTDA INGENIERIA (45%)</t>
  </si>
  <si>
    <t>CONSULTORIA Y OBRAS CIVILES DE COLOMBIA SAS (10%)</t>
  </si>
  <si>
    <t>CONSORCIO FONTIBON</t>
  </si>
  <si>
    <t>EDGAR EDUARDO LARA GUZMAN</t>
  </si>
  <si>
    <t>INFRALAR SAS</t>
  </si>
  <si>
    <t>OBRAS Y PROYECTOS RP S.A.S</t>
  </si>
  <si>
    <t>INGTECNOVA S.A.S. BIC</t>
  </si>
  <si>
    <t>CONSORCIO TECNOLOGICO</t>
  </si>
  <si>
    <t>RAFAEL JAVIER GUISA RUEDA</t>
  </si>
  <si>
    <t>NTERVENTORIA Y CONSTRUCCIONES S.A.S</t>
  </si>
  <si>
    <t xml:space="preserve">HUMBERTO JAUREGUI &amp; 
CIAS SAS </t>
  </si>
  <si>
    <t xml:space="preserve">PROYECTOS VIALES SAS </t>
  </si>
  <si>
    <t xml:space="preserve"> CONSORCIO VIAS FONTIBON PC</t>
  </si>
  <si>
    <t>VIVIAN PAOLA CAMPO VILLOTA</t>
  </si>
  <si>
    <t>PROYECTOS TECNICOS DE 
COLOMBIA S.A.S</t>
  </si>
  <si>
    <t xml:space="preserve">COMPAÑÍA TECNICA DE 
INGENIERIA S.A.S </t>
  </si>
  <si>
    <t>CONSORCIO  MALLA VIAL FDLF</t>
  </si>
  <si>
    <t>MAURICIO FERNANDO PRIETO SANCHEZ</t>
  </si>
  <si>
    <t>INPROTEKTO LIMITADA N (90%)</t>
  </si>
  <si>
    <t>BRAIN INGENIERÍA VIAL S.A.S. (10%)</t>
  </si>
  <si>
    <t>LUIS MIGUEL PERDOMO VELASCO</t>
  </si>
  <si>
    <t xml:space="preserve">INGE PR SAS </t>
  </si>
  <si>
    <t xml:space="preserve">INTERVENTORIA Y 
GESTION INTERGES SAS </t>
  </si>
  <si>
    <t>CONSORCIO VIAS IC 2024</t>
  </si>
  <si>
    <t>ASTRID LILIANA MARIN LOPEZ</t>
  </si>
  <si>
    <t xml:space="preserve">CAYCO S.A.S </t>
  </si>
  <si>
    <t>INGEORBE SAS BIC</t>
  </si>
  <si>
    <t>ORBITA DESARROLLO S.A.S. BIC</t>
  </si>
  <si>
    <t>SARAH DEL MAR SANSON TORRES</t>
  </si>
  <si>
    <t xml:space="preserve">PEERSONA JURIDICA </t>
  </si>
  <si>
    <t>ORBITA DESARROLLO S.A.S. BIC (100%)</t>
  </si>
  <si>
    <t>CONSORCIO CONSTRUCCIÓN Y DESARROLLO FONTIBÓN</t>
  </si>
  <si>
    <t>CESAR EDUARDO GOMEZ GOMEZ</t>
  </si>
  <si>
    <t xml:space="preserve">R&amp;M CONSTRUCCIONES E INTERVENTORIAS SAS </t>
  </si>
  <si>
    <t xml:space="preserve">MAIRA ALEJANDRA PICON GARCIA </t>
  </si>
  <si>
    <t>CONSORCIO ESPACIO PÚBLICO INT 2024</t>
  </si>
  <si>
    <t>DONALDO ELÍAS CASTILLA RODRÍGUEZ,</t>
  </si>
  <si>
    <t>INGENIERÍA Y GESTIÓN VIAL SAS 50%</t>
  </si>
  <si>
    <t>GEOINTERVENTORIAS SAS - GEOINTER SAS 25%</t>
  </si>
  <si>
    <t>DISEÑOS VÍAS Y PAVIMENTOS SAS 25%</t>
  </si>
  <si>
    <t>CONSORCIO VÍAS PROTEV</t>
  </si>
  <si>
    <t>OSCAR ANDRES PLAZAS ROLDAN</t>
  </si>
  <si>
    <t>PROYECTISTAS ASOCIADOS SAS 91%</t>
  </si>
  <si>
    <t>ONSTRUCTORA TEATINO VARGAS – CONSTRUTEV SAS 9%</t>
  </si>
  <si>
    <t>CONSORCIO INTERVENTORES FONTIBON</t>
  </si>
  <si>
    <t>ANA ISABEL HENDE CARREÑO</t>
  </si>
  <si>
    <t xml:space="preserve">CAP QUALITY PROJECT S.A.S </t>
  </si>
  <si>
    <t xml:space="preserve">OPH INGENIEROS ASOCIADOS SAS </t>
  </si>
  <si>
    <t>CONCIC SAS</t>
  </si>
  <si>
    <t>JORGE  RICHAR RODRIGUEZ</t>
  </si>
  <si>
    <t>CONCIC SAS (100%)</t>
  </si>
  <si>
    <t>FDLF-CMA-001-2023</t>
  </si>
  <si>
    <t>REQUISITOS PONDERABLE FACTOR No. 1</t>
  </si>
  <si>
    <t>NÚMERO DE CONTRATOS PRESENTADOS</t>
  </si>
  <si>
    <t>PRESUPUESTO OFICIAL EN SMMLV</t>
  </si>
  <si>
    <t>PROMEDIO DE SMMLV</t>
  </si>
  <si>
    <t>TERMINO DE EJECUCION EXIGIDO</t>
  </si>
  <si>
    <t>TOTAL SALARIOS MINIMOS ACREDITADOS</t>
  </si>
  <si>
    <t>CONDICIONES DE EXPERIENCIA</t>
  </si>
  <si>
    <t>CONDICION N°. 1 (VER TABLA AL FINAL DE LA HOJA)</t>
  </si>
  <si>
    <t>CONDICION N°. 2 (VER TABLA AL FINAL DE LA HOJA)</t>
  </si>
  <si>
    <t>CONDICION N°. 4 (VER TABLA AL FINAL DE LA HOJA)</t>
  </si>
  <si>
    <t>CONCLUSIÓN
EXPERIENCIA GENERAL</t>
  </si>
  <si>
    <t>CONCLUSIÓN 
EXPERIENCIA ESPECIFICA
1
intervención de la estructura de pavimento (asfáltico o hidráulico).</t>
  </si>
  <si>
    <t>CONCLUSIÓN 
EXPERIENCIA ESPECIFIC 
2
intervención de redes de servicios públicos.</t>
  </si>
  <si>
    <t>CONCLUSIÓN 
EXPERIENCIA ESPECIFICA
3
CONSTRUCCIÓN O RECONSTRUCCIÓN O REHABILITACIÓN O MEJORAMIENTO O REPAVIMENTACIÓN O PAVIMENTACIÓN en pavimento
hidráulico o concreto hidráulico para tráfico vehicular.</t>
  </si>
  <si>
    <t>CONCLUSIÓN 
EXPERIENCIA ESPECIFIC 
4
CONSTRUCCIÓN O RECONSTRUCCIÓN REHABILITACIÓN O
MEJORAMIENTO O REPAVIMENTACIÓN O PAVIMENTACIÓN en pavimento
articulado o adoquinado.</t>
  </si>
  <si>
    <t>OBSERVACIÓN Y RESPUESTA OBSERVACIONES</t>
  </si>
  <si>
    <t>Objeto del Contrato</t>
  </si>
  <si>
    <t>Entidad Contratante</t>
  </si>
  <si>
    <t>Valor Contrato</t>
  </si>
  <si>
    <t>Año de ejecución aportado</t>
  </si>
  <si>
    <t>Valor del Contrato en SMMLV</t>
  </si>
  <si>
    <t>Participación UT/CONSORCIO</t>
  </si>
  <si>
    <t>Participación en SMMLV</t>
  </si>
  <si>
    <t>Término de ejecución aportado</t>
  </si>
  <si>
    <t>CODIGO UNSPSC
 SEGMENTOS 80 Y 81</t>
  </si>
  <si>
    <t xml:space="preserve">validez del contrato </t>
  </si>
  <si>
    <t>Valor exigido
100%SMMLV (618,90)</t>
  </si>
  <si>
    <t>“INTERVENTORIA PARA EL MEJORAMIENTO, MANTENIMIENTO Y REHABILITACION DE LA CARRETERA SOGAMOSO-EL CRUCERO- AGUAZUL, RUTA 6211 Y 62BY05 DEL PR13+0000- PR14+1300, EN LOS DEPARTAMENTOS DE BOYACÁ Y CASANARE A CARGO INVIAS.</t>
  </si>
  <si>
    <t>INVIAS</t>
  </si>
  <si>
    <t>CUMPLE</t>
  </si>
  <si>
    <t>NO CUMPLE</t>
  </si>
  <si>
    <t>INTERVENTORÍA TÉCNICA, ADMINISTRATIVA, FINANCIERA, LEGAL Y AMBIENTAL AL CONTRATO DE OBRA CUYO OBJETO ES CONSTRUCCIÓN DE PAVIMENTO RÍGIDO DE LAS VÍAS ALTERNAS DEL MUNICIPIO DE PISBA DEPARTAMENTO DE BOYACÁ</t>
  </si>
  <si>
    <t>MUNICIPIO DE PISBA</t>
  </si>
  <si>
    <t>INTERVENTORIA PARA EL MEJORAMIENTO Y MANTENIMIENTO DE LA CARRETERA BUCARAMANGA - SAN ALBERTO, RUTA 45A, TRAMO 08, SECTOR RIONEGRO- SAN ALBERTOPR 18+000 - PR93+694, EN EL DEPARTAMENTO DE SANTANDER</t>
  </si>
  <si>
    <t>2&amp;/06/2019</t>
  </si>
  <si>
    <t>INTERVENTORIA PARA LA REHABILITACIÓN, MEJORAMIENTO Y PAVIMENTACIÓN DE LA VÍA ZANJÓN - PUEBLO BELLO INCLUYE AMPLIACIÓN, ESTRIBOS Y PLACA DE 2 PUENTES DE LUCES DE 21 Y 22 METROS, UN TABLERO DE 9 METROS, EN EL DEPARTAMENTO DEL CESAR: MODULO 1</t>
  </si>
  <si>
    <t>INTERVENTORIA DE LAS OBRAS ENCAMINADAS AL MEJORAMIENTO DE LA CARRETERA YOPAL - TILO - ALGARROBO- OROCUE SECTOR YOPAL TILODRIAN (PAVIMENTACIÓN DEL K21+650 AL K37+650 L = 16 KM.</t>
  </si>
  <si>
    <t>Organización de Estados
Iberoamericana</t>
  </si>
  <si>
    <t>TOTALES</t>
  </si>
  <si>
    <t>Interventoría técnica, Administariva, Legal, Financiera, social, ambiental y siso, a los dos contratos de obra pública derivados dela licitación pública Nº FDLUSA-LP-007-2014, convocada por} la alcaldía Local-FDLU</t>
  </si>
  <si>
    <t>FONDO DE DESARROLLO LOCAL DE USAQUÉN</t>
  </si>
  <si>
    <t>Contratar la interventoría técnica, administrativa, financiera, legal, ambiental y social a la ejecución del contrato de obra pública que suscriba el fondo de desarrollo local de los mártires como resultado de la adjudicación de la licitación pública no. fdlm-lp-004-2014.</t>
  </si>
  <si>
    <t>FONDO DE DESARROLLO LOCAL DE LOS MARTIRES</t>
  </si>
  <si>
    <t>REALIZAR LA INTERVENTORÍA TÉCNICA, ADMINISTRATIVA, FINANCIERA, JURÍDICA, SOCIAL, AMBIENTAL Y SISO AL CONTRATO DE OBRA PUBLICA No. COP-171-2016, QUE TIENE POR OBJETO REALIZAR BAJO LA MODALIDAD DE PRECIOS UNITARIOS, SIN FÓRMULA DE REAJUSTE, LA CONSTRUCCIÓN DE LA MALLA VIAL RURAL Y LA REHABILITACIÓN DE LA MALLA VIAL URBANA DE LA LOCALIDAD DE CIUDAD BOLÍVAR D.C</t>
  </si>
  <si>
    <t>FONDO DE DESARROLLO LOCAL DE CIUDAD BOLIVAR</t>
  </si>
  <si>
    <t>InterventoríaalosProyectosdeInfraestructuraSocialyMejoramientodecondicionesdehabitabilidadderivadosdelosconveniossuscritosentreProsperidadSocial-FIPylasEntidadesTerritorialesuotrosoperadores,conelpropósitodeaportaralainclusiónsocioeconómica,lageneracióndeingresos,lasuperacióndelapobrezaylaconsolidacióndeterritoriosdelazona2.PorserproyectosdelcontratoydeexperienciaespecíficasecertificanlosPI3,18,19,20,22,23,24,32,33,34,35,36,37,39,40,43,45,46,49,50,51,58seguncuadroresumen anexo y con sus respectivas certificaciones.</t>
  </si>
  <si>
    <t>DPS - Departamento Administrativo de Prosperidad Social</t>
  </si>
  <si>
    <t>NO SE ACEPTA CERTIFICACIÓN APORTADA, DADO QUE LA EXPERIENCIA GENERAL PARA UN PROYECTO DE INTERVENTORIA DE  CONSTRUCCIÓN DE MALLA VIAL ES INTERVENTORÍA A PROYECTOS DE: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ACORDE A LA MATRIZ DE EXPERIENCIA DE PLIEGOS TIPO DE COLOMBIA COMPRA EFICIENTE, ADICIONAL A ELLO NO CUMPLE CON LA EXPERIENCIA ESPECIFICA 3 Y 4</t>
  </si>
  <si>
    <t>InterventoríaaObrasyDiseñosTécnicosrequeridosporFonadeeneldesarrollodesusprogramaseninfraestructuradeedificaciones,Infraestructuravial,InfraestructuraSaneamientoBásicoyAguaPotableyProyectosEspeciales,RegiónCaribe.Porserproyectosdelcontratoydeexperienciaespecíficasecertificanlosidentificadosconloscódigos1322,1353,1363,1364,1366,1424y1599.seguncuadroresumenanexoyconsus respectivas certificaciones</t>
  </si>
  <si>
    <t>FONADE</t>
  </si>
  <si>
    <t>NO SE ACEPTA CERTIFICACIÓN APORTADA, DADO QUE LA EXPERIENCIA GENERAL PARA UN PROYECTO DE INTERVENTORIA DE  CONSTRUCCIÓN DE MALLA VIAL ES INTERVENTORÍA A PROYECTOS DE: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ACORDE A LA MATRIZ DE EXPERIENCIA DE PLIEGOS TIPO DE COLOMBIA COMPRA EFICIENTE  ADICIONAL A ELLO NO CUMPLE CON LA EXPERIENCIA ESPECIFICA 3 Y 4</t>
  </si>
  <si>
    <t>INTERVENTORIA TECNICA, ADMINISTRATIVA, FINANCIERA Y AMBIENTAL PARA LA CONSTRUCCION DE LAS OBRAS FALTANTES DE LA AVENIDA JOSE CELESTINO MUTIS, SECTOR AV. BOYACA - AVENIDA CIUDAD DE CALI (PREDIOS FALTANTES) EN BOGOTA D.C.</t>
  </si>
  <si>
    <t>INSTITUTO DE DESARROLLO URBANO</t>
  </si>
  <si>
    <t>INTERVENTORIA TECNICA, ADMINISTRATIVA, FINANCIERA Y AMBIENTAL PARA LA CONSTRUCCIÓN DE LA AVENIDA CIUDAD DE CALI EN EL TRAMO COMPRENDIDO ENTRE LA CALLE 57 B SUR Y LA AVENIDA BOSA EN BOGOTA D.C.</t>
  </si>
  <si>
    <t>INTERVENTORIA TECNICA, ADMINISTRATIVA, FINANCIERA Y AMBIENTAL PARA LA CONSTRUCCION Y REHABILITACION DE RUTAS ALIMENTADORAS DEL SISTEMA TRANSMILENIO, ZONA 7, GRUPO 3 EN BOGOTA D.C., CON FINANCIACION DEL BANCO MUNDIAL EN BOGOTÁ D.C.</t>
  </si>
  <si>
    <t>INTERVENTORÍATÉCNICA,ADMINISTRATIVA,FINANCIERA,SOCIALYAMBIENTALPARALAADECUACIÓNDELACONDICIÓNFUNCIONALVIALDELOSCORREDORESPRETRONCALESYALIMENTADORESDELSISTEMAINTEGRADODETRANSPORTEMASIVOSITM–MIO”GRUPOS1,2Y3SANTIAGODECALIESPECIFICAMENTEEN LA ETAPA DE CONSTRUCCION Y PRECONSTRUCCION</t>
  </si>
  <si>
    <t>METRO CALI S.A</t>
  </si>
  <si>
    <t>REALIZARLAINTERVENTORÍATÉCNICA,ADMINISTRATIVA,FINANCIERA,JURIDICA,SOCIAL,AMBIENTALYSSTALCONTRATODEOBRAPUBLICAQUETENDRÁPOROBJETO:CONTRATARAPRECIOSFIJOSYAMONTOAGOTABLELACOMPLEMENTACIÓNY/OACTUALIZACIÓNY/OAJUSTESDEDISEÑOSYCONSTRUCCIÓNORECONSTRUCCIÓNDELAMALLAVIAL,DELALOCALIDADDECIUDADBOLÍVAR,ENBOGOTÁ D.C.</t>
  </si>
  <si>
    <t>ALCALDIA LOCAL DE CIUDAD BOLIVAR</t>
  </si>
  <si>
    <t>INTERVENTORÍA TÉCNICA, ADMINISTRATIVA Y FINANCIERA PROYECTO: "CONSTRUCCIÓN DE PAVIMENTO RÍGIDO Y MEJORAMIENTO EN PLACA HUELLA EN DIFERENTES MUNICIPIOS DEL DEPARTAMENTO DE CÓRDOBA"</t>
  </si>
  <si>
    <t>GOBERNACION DE CORDOBA</t>
  </si>
  <si>
    <t>INTERVENTORÍA TÉCNICA, ADMINISTRATIVA, FINANCIERA CONSTRUCCIÓN DE LA INTERSECCIÓN DE LA CARRERA SEGUNDA CON AVENIDA CIRCUNVALAR EN EL MUNICIPIO DE MONTERÍA,
CÓRDOBA</t>
  </si>
  <si>
    <t>INTERVENTORIA PARA LA REHABILITACION Y MEJORAMIENTO DE LA VIA PUENTE CAMACHO - GARAGOA - LAS JUNTAS PR00 + 000 AL PR75 - 000,
CON UNA LONGITUD DE 62,7 KM, DEPARTAMENTO DE BOYACA.</t>
  </si>
  <si>
    <t>NO SE ACEPTA CERTIFICACIÓN APORTADA, DADO QUE LA EXPERIENCIA GENERAL PARA UN PROYECTO DE INTERVENTORIA DE  CONSTRUCCIÓN DE MALLA VIAL ES INTERVENTORÍA A PROYECTOS DE: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ACORDE A LA MATRIZ DE EXPERIENCIA DE PLIEGOS TIPO DE COLOMBIA COMPRA EFICIENTE NOTA 1 Nota 1: No se aceptará experiencia en contratos cuyo objeto o alcance sea exclusivamente en cualquiera de las siguientes actividades de interventoría de obra: componentes de seguridad vial o semaforización o puentes.</t>
  </si>
  <si>
    <t>INTERVENTORIA PARA EL MEJORAMIENTO, GESTION PREDIAL Y AMBIENTAL DEL PROYECTO TRONCAL CENTRAL DEL NORTE PARA EL PROGRAMA "VIAS
PARA LA EQUIDAD" MODULO 3</t>
  </si>
  <si>
    <t xml:space="preserve">NO CUMPLE </t>
  </si>
  <si>
    <t>NO SE ACEPTA CERTIFICACIÓN APORTADA, DADO QUE LA EXPERIENCIA GENERAL PARA UN PROYECTO DE INTERVENTORIA DE  CONSTRUCCIÓN DE MALLA VIAL ES INTERVENTORÍA A PROYECTOS DE: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ACORDE A LA MATRIZ DE EXPERIENCIA DE PLIEGOS TIPO DE COLOMBIA COMPRA EFICIENTE</t>
  </si>
  <si>
    <t>INTERVENTORÍA PARA EL MEJORAMIENTO, GESTION PREDIAL, SOCIAL Y AMBIENTAL DEL PROYECTO TRANSVERSAL DE BOYACA TRAMOS OTANCHE CHIQUINQUIRA, RUTA 6007 Y CRUCW RUTA 45(DOS Y MEDIO) OTANCHE (RUTA 6006) EN EL DEPARTAMENTO DE BOYACA PARA EL PROGRAMA "VIAS PARA LA EQUIDAD” MODULO 3</t>
  </si>
  <si>
    <t>Valores en SMMLV no coinciden en la tabla Exp, y revisados los RUP no se envidencia dicha información</t>
  </si>
  <si>
    <t xml:space="preserve">
EXPERIENCIA GENERAL</t>
  </si>
  <si>
    <t>INTERVENTORIA TECNICA, ADMINISTRATIVA, FIANCIERA Y JURIDICA
PARA LOS TRABAJOS DE MANTENIMIENTO CON ACCIONES PUNTUALES DE BACHEO Y REHABILITACION EN LA MALLA VIAL URBANA DE CUCUTA</t>
  </si>
  <si>
    <t>ALCALDIA MUNICIPAL DE
SAN JOSE DE CUCUTA</t>
  </si>
  <si>
    <t>LAS CERTIFICACIONES APORTADAS NO CUMPLEN CON LA EXPERIENCIA ESPECIFICA 4 CONSTRUCCIÓN O RECONSTRUCCIÓN REHABILITACIÓN O MEJORAMIENTO O REPAVIMENTACIÓN O PAVIMENTACIÓN EN PAVIMENTO ARTICULADO O ADOQUINADO</t>
  </si>
  <si>
    <t>CONTINUACION DE LA INTERVENTORIA TECNICA, ADMINISTRATIVA, FINANCIERA, SOCIAL, AMBIENTAL Y SISTEMA DE SEGURIDAD Y SALUD EN EL TRABAJO-SGSST DEL CONTRATO DE OBRA 101 DE 2018 QUE TIENE POR OBJETO “REALIZAR A PRECIO GLOBAL FIJO LA ACTUALIZACIÓN, AJUSTES Y/O COMPLEMENTACIÓN DE LOS ESTUDIOS Y DISEÑOS Y A MONTO
AGOTABLE LA CONSTRUCCIÓN DEL TRAMO FALTANTE DEL PROYECTO RAPS NIEVES UBICADO EN LA CARRERA 4 ENTRE CALLES 13 Y 10 EN LA LOCALIDAD DE CANDELARIA EN BOGOTA D.C.</t>
  </si>
  <si>
    <t>FONDO DE DESARROLLO
LOCAL DE LA CANDELARIA</t>
  </si>
  <si>
    <t>INTERVENTORÍA TECNICA, ADMINISTRATIVA, FINANCIERA, AMBIENTAL,
LEGAL, AL MEJORAMIENTO DE LA VIA JAPON – FRAILES EN EL MUNICIPIO DE DOSQUEBRADAS, DEPARTAMENTO DE RISARALDA</t>
  </si>
  <si>
    <t>DEPARTAMENTO
DE RISARALDA</t>
  </si>
  <si>
    <t>INTERVENTORÍA TÉCNICA, ADMINISTRATIVA Y FINANCIERA PARA LA CONSTRUCCIÓN DE OBRAS DE INFRAESTRUCTURA VIAL Y DE SERVICIOS PÚBLICOS, TRANSITO, LA GESTIÓN SOCIAL Y AMBIENTAL PARA LA OBRA IDENTIFICADA ASÍ: MG-03 AMPLIACIÓN DE LA VÍA A PANCE HASTA LA VORAGINE INCLUYE CICLO RUTA, QUE FORMA PARTE DEL PLAN DE LAS MEGAOBRAS APROBADAS MEDIANTE EL ACUERDO 0241 DE 2008</t>
  </si>
  <si>
    <t>MUNICIPIO DE SANTIAGO DE CALI - SECRETARIA DE INFRAESTRUCTURA Y VALORIZACION</t>
  </si>
  <si>
    <t>INTERVENTORÍA INTEGRAL AL CONTRATO DE OBRA CONSTRUCCIÓN DE OBRAS DE INFRAESTRUCTURA VIAL, Y SUS OBRAS COMPLEMENTARIAS, NECESARIAS PARA EL DESARROLLO DEL PROYECTO URBANÍSTICO DEL BARRIO SAN PASCUAL, COMUNA 3 EN SANTIAGO DE CALI</t>
  </si>
  <si>
    <t>MUNICIPIO DE SANTIAGO DE CALI - SECRETARIA DE INFRAESTRUCTURA</t>
  </si>
  <si>
    <t>INTERVENTORÍA TÉCNICA, ADMINISTRATIVA Y FINANCIERA PARA LA CONSTRUCCIÓN DE OBRAS DE INFRAESTRUCTURA VIAL Y DE SERVICIOS PÚBLICOS, TRANSITO, LA GESTIÓN SOCIAL Y AMBIENTAL PARA LA CONSTRUCCION DE LAS SIGUIENTES OBRAS IDENTIFICADAS ASÍ: MG-06-02 CARRERA 1D ENTRE 73A Y 84, MG-07-02 CARRERA 29 ENTRE 34A Y DIAG 30 Y MG-07-03: CARRERA 28D ENTRE CALLES 44 Y 54, QUE FORMA PARTE DEL PLAN DE LAS MEGAOBRAS APROBADAS MEDIANTE EL ACUERDO 0241 DE 2008</t>
  </si>
  <si>
    <t>REALIZAR LA INTERVENTORIA TECNICA, ADMINISTRATIVA, FINANCIERA, SOCIAL Y AMBIENTAL DEL CONTRATO OBRA PUBLICA No. 034-2014, PRODUCTO DE LA LICITACIÓN PÚBLICA No. FDLB-LCP-036-2014, QUE ADELANTO EL FONDO DE DESARROLLO LOCAL DE BOSA, SUSCRITO CON LA FIRMA CONSULTORIA Y CONSTRUCCIÓN LTDA CON&amp;CON LTDA Y CUYO
OBJETO ES: REALIZAR POR EL SISTEMA DE PRECIOS UNITARIOS FIJOS SIN FORMULA DE AJUSTE, INTERVENCIONES INTEGRALES DE LA MALLA VIAL LOCAL E INTERMEDIA CON EL EMPLEO DE BASES ESTABILIZADAS CON ADITIVOS QUIMICOS, MEDIANTE EL DIAGNÓSTICO, MANTENIMIENTO Y REHABILITACIÓN DE LAS VÍAS CONSTRUIDAS EN CARPETAS FLEXIBLES, RÍGIDAS O ARTICULADAS, INTERVENCIONES PUNTUALES Y PARA LA
CONSTRUCCIÓN DE VÍAS LOCALES A PARTIR DE DISEÑOS SUMINISTRADOS POR LA ENTIDAD (GRUPO 2 DE LA LICITACIÓN)</t>
  </si>
  <si>
    <t>FONDO DE
DESARROLLO
LOCAL DE BOSA</t>
  </si>
  <si>
    <t>LAS CERTIFICACIONES APORTADAS NO CUMPLEN CON LA EXPERIENCIA ESPECIFICA 4 CONSTRUCCIÓN O RECONSTRUCCIÓN REHABILITACIÓN O MEJORAMIENTO O REPAVIMENTACIÓN O PAVIMENTACIÓN en pavimentoarticulado o adoquinado</t>
  </si>
  <si>
    <t>REALIZAR LA INTERVENTORÍA TÉCNICA, ADMINISTRATIVA, FINANCIERA, SOCIAL, JURIDICA, AMBIENTAL Y SSTMA PARA LAS OBRAS DE INTERVENCION FISICA A ESCALA BARRIAL CONSISTENTES EN LA CONSTRUCCIÓN DE LOS TRAMOS VIALES (CÓDIGOS DE IDENTIFICACIÓN VIAL – CIV), UBICADOS EN LA CIUDAD DE BOGOTÁ D.C., DE CONFORMIDAD CON LOS PLIEGOS DE CONDICIONES, ANEXO TÉCNICO Y DEMÁS DOCUMENTOS DEL PROCESO</t>
  </si>
  <si>
    <t>CAJA DE
VIVIENDA
POPULAR</t>
  </si>
  <si>
    <t>INTERVENTORÍA TÉCNICA, ADMINISTRATIVA, FINANCIERA, SOCIAL Y AMBIENTAL PARA LA CONSTRUCCIÓN DE LOS CARRILES MIXTOS Y EL ESPACIO PÚBLICO DEL CORREDOR TRONCAL DE LA CALLE 5/CARRERA 100 ENTRE CARRERA 56 Y CALLE 20, Y OBRAS COMPLEMENTARIAS DEL SISTEMA INTEGRADO DE TRANSPORTE MASIVO DE PASAJEROS DE SANTIAGO DE CALI.</t>
  </si>
  <si>
    <t>INTERVENTORÍA TÉCNICA, ADMINISTRATIVA, FINANCIERA Y AMBIENTAL PARA LA CONSTRUCCIÓN DE ACCESOS A BARRIOS Y PAVIMENTOS LOCALES VÍAS GRUPO 2 EN BOGOTÁ D.C</t>
  </si>
  <si>
    <t>IDU</t>
  </si>
  <si>
    <t xml:space="preserve">INTERVENTORÍA PARA LAS OBRAS DE CONSTRUCCIÓN Y/O MEJORAMIENTO Y/O REHABILITACIÓN Y/O MANTENIMIENTO DE LOS CORREDORES VIALES INCLUIDOS EN EL PROGRAMA DE OBRA PUBLICA "CONCLUIR Y CONCLUIR PARA LA REACTIVACIÓN DE LAS REGIONES", LOCALIZADOSEN LOS DEPARTAMENTOS DE ANTIOQUIA, CHOCO Y RISARALDA REGIÓN PACIFICO
</t>
  </si>
  <si>
    <t>INTERVENTORIA TECNICA, AMBIENTAL, ADMINISTRATIVA, FINANCIERA, CONTABLE, Y JURIDICA PARA EL MEJORAMIENTO DE LA VIAS URBANAS DEL MUNICIPIO DE TÁMARA DEPARTAMENTO DE CASANARE</t>
  </si>
  <si>
    <t>ALCALDIA DE TÁMARA</t>
  </si>
  <si>
    <t>INTERVENTORÍA TÉCNICA, ADMINISTRATIVA, JURIDICA, SOCIAL Y AMBIENTAL PARA LA CONSTRUCCIÓN, REHABILITACIÓN DE LAS VÍAS Y OBRAS DE URBANISMO EN DIFERENTES SECTORES DEL MUNICIPIO DE SOACHA CUNDINAMARCA A TRAVES DEL SISTEMA DE PRECIOS UNITARIOS FIJOS, SIN FORMULA DE AJUSTE Y A MONTO AGOTABLE DERIVADO DEL CONTRATO INTERADMINISTRATIVO 3443-2021</t>
  </si>
  <si>
    <t>ALCALDIA MUNICIPAL DE SOACHA</t>
  </si>
  <si>
    <t>INTERVENTORIA PARA EL SEGUIMIENTO ADMINISTRATIVO, TENICO, FINANCIERO, CONTABLE Y JURIDICO DE LA RECUPERACION DE LA MALLA VIAL URBANA DEL MUNICIPIO, DE SOGAMOSO 2018, PARA TENER MEJORES VIAS Y MEJOR CALIDAD DE VIDA</t>
  </si>
  <si>
    <t>MUNICIPIO DE SOGAMOSO</t>
  </si>
  <si>
    <t>INTERVENTORIA TECNICA, AMBIENTAL, AMBIENTAL, ADMINISTRATIVA, FINANCIERA, CONTABLE Y JURIDICA AL MEJORAMIENTO DE LA VIA A NIVEL DE PAVIMENTO FLEXIBLE DE LA CALLE 30 ENTRE CARRERA 33 Y VIA MATEPANTANO MUNICIPIO DE YOPAL, DEPARTAMENTO DE CASANARE</t>
  </si>
  <si>
    <t>GOBERNACION DE
CASANARE</t>
  </si>
  <si>
    <t>El contrato que contiene el valor de la interventoria no coinciden con los valores en SMMLV diligenciados en formato, no coincide con lo reportado en el rup</t>
  </si>
  <si>
    <t>REALIZAR LA INTERVENTORÍA TÉCNICA, ADMINISTRATIVA, LEGAL AMBIENTAL Y SOCIAL A LA EJECUCIÓN DEL CONTRATO DE OBRA PÚBLICA QUE SUSCRIBA EL FONDO DE DESARROLLO LOCAL DE LOS MÁRTIRES COMO RESULTADO DE LA ADJUDICACIÓN DE LA LICITACIÓN PÚBLICA N°FDL-LP-004-2014, DE CONFORMIDAD CON LAS ACTIVIDADES, CONDICIONES, ESPECIFICACIONES TÉCNICAS Y LAS OBLIGACIONES ESTABLECIDAS EN LOS ESTUDIOS PREVIOS, EN EL PLIEGO DE CONDICIONES DEFINITIVO Y A LA PROPUESTA PRESENTADA</t>
  </si>
  <si>
    <t>ALCALDIA LOCAL DE LOS MARTIRES</t>
  </si>
  <si>
    <t>CUMPE</t>
  </si>
  <si>
    <t>NO CUMPLE CON LA EXPERIENCIA ESPECIFICA 3 CONSTRUCCIÓN O RECONSTRUCCIÓN REHABILITACIÓN O MEJORAMIENTO O REPAVIMENTACIÓN O PAVIMENTACIÓN EN PAVIMENTO HIDRÁULICO</t>
  </si>
  <si>
    <t xml:space="preserve">REALIZAR LA INTERVENTORÍA TÉCNICA, ADMINISTRATIVA, FINANCIERA, AMBIENTAL, SOCIAL, SISO Y JURÍDICA AL CONTRATO QUE RESULTE DEL PROCESO LICITATORIO FDLS-LP-012-2018 (COP-150-2018), CUYO OBJETO ES CONTRATAR LAS OBRAS PARA LA CONSERVACIÓN DE LA MALLA VIAL LOCAL DE SUMAPAZ, POR EL SISTEMA DE PRECIOS UNITARIOS FIJOS, SIN FORMULA DE REAJUSTE Y A MONTO AGOTABLE” </t>
  </si>
  <si>
    <t>FONDO DE DESARROLLO RURAL DE SUMAPAZ</t>
  </si>
  <si>
    <t xml:space="preserve">NO SE ACEPTA CERTIFICACIÓN APORTADA, DADO QUE LA EXPERIENCIA GENERAL PARA UN PROYECTO DE CONSTRUCCIÓN DE MALLA VIAL ES INTERVENTORÍA A PROYECTOS DE: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ACORDE A LA MATRIZ DE EXPERIENCIA DE PLIEGOS TIPO DE COLOMBIA COMPRA EFICIENTE  </t>
  </si>
  <si>
    <t>REALIZAR LA INTERVENTORIA TECNICA ADMINISTRATIVA FINANCIER, JURIDICA, SOCIAL AMBIENTAL Y DE SEGURIDAD Y SALUD EN EL TRABAJO PARA LOS CONTRATOS DE OBRA RESULTANTES DE LA LICITACION PUBLICA FDLK-LP-2-2018- GRUPOS 1 Y 2</t>
  </si>
  <si>
    <t>FONDO DE DESARROLLO LOCAL DE KENNEDY</t>
  </si>
  <si>
    <t>NO CUMPLE CON LA EXPERIENCIA ESPECIFICA 4 CONSTRUCCIÓN O RECONSTRUCCIÓN REHABILITACIÓN O MEJORAMIENTO O REPAVIMENTACIÓN O PAVIMENTACIÓN EN PAVIMENTO ARTICULADO O ADOQUINADO</t>
  </si>
  <si>
    <t>INTERVENTORÍATÉCNICA,ADMINISTRATIVA,SOCIALYAMBIENTALPARALACONSTRUCCIÓNDELOSTRAMOSI,II,III,IV,VYVIDELASOBRASDECARGASURBANASDELCENTROCOMERCIALTITÁNPLAZA, EN LA CIUDAD DE BOGOTÁ .D.C.</t>
  </si>
  <si>
    <t>OSPINAS SA</t>
  </si>
  <si>
    <t>INTERVENTORÍATÉCNICA,ADMINISTRATIVA,FINANCIERA,LEGALYAMBIENTALPARALACONSTRUCCIONDELAPAVIMENTACIONDEVIASURBANASDELACOMUNAIVCIUDADCAMPINA,BARRIOS SAN JORGE 2 Y LUIS A. LÓPEZ DEL MUNICIPIO DE YOPAL.</t>
  </si>
  <si>
    <t>GOBERNACION CASANARE</t>
  </si>
  <si>
    <t>INTERVENTORIAINTEGRALALACONSTRUCCIONDELATRONCALORIENTALYDEMASOBRASCOMPLEMENTARIASDELSISTEMAINTEGRADODETRANSPORTEMASIVODEPASAJEROSDESANTIAGODECALI,GRUPO2:CORREDORVIALDELACALLE36-CALLE25(AUTOPISTASIMONBOLIVAR),ENTRELACARRERA29(TERMINALINTERMEDIACALIPSO-JULIORINCON)Y LA CARRERA 61 (TERMINAL INTERMEDIA SIMON BOLIVAR), TRAMO 2.</t>
  </si>
  <si>
    <t>METROCALI SA</t>
  </si>
  <si>
    <t xml:space="preserve">CUMPLE
</t>
  </si>
  <si>
    <t>INTERVENTORÍATÉCNICA,ADMINISTRATIVA,LEGALYFINANCIERAPARALACONSTRUCCIÓN,REHABILITACIÓNCONMEZCLAASFÁLTICAYCONSTRUCCIÓNDEOBRASDEURBANISMODELAMALLAVIALDELMUNICIPIODEBELLO,CORRESPONDIENTESALASLICITACIONESPÚBLICAS Nº 11 Y Nº 13 DE 2012, VIGENCIAS FUTURAS.</t>
  </si>
  <si>
    <t>MUNICIPIO DE BELLO</t>
  </si>
  <si>
    <t>INTERVENTORÍATÉCNICA,ADMINISTRATIVAYFINANCIERAPARALACONSTRUCCIÓNDEOBRASDEREMODELACIÓNURBANÍSTICADEVÍAS,CONSTRUCCIÓN ALAMEDA Y DISEÑOS INTERCAMBIO VIAL SOLLA.</t>
  </si>
  <si>
    <t>INTERVENTORÍATÉCNICA,ADMINISTRATIVA,FINANCIERA,LEGALYAMBIENTALPARAELSEGUIMIENTOYCONTROLENLAREHABILITACIÓNYMANTENIMIENTODELAMALLAVIAL,CASCOURBANOPRINCIPALYVEREDASALEDAÑASDEL MUNICIPIO DE COTA CUNDINAMARCA</t>
  </si>
  <si>
    <t>ALCALDIA DE COTA</t>
  </si>
  <si>
    <t>INTERVENTORIATECNICA,FINANCIERA,JURIDICA,AMBIENTALYADMINISTRATIVAALCONTRATODENOMINADO"PAVIMENTACIONYCAMBIODEALCANTARILLADOVIAURBANACARRERA14ENTRE7Y9MUNICIPIO DE EL CERRITO VALLEINTERVENTORIATECNICA,FINANCIERA,JURIDICA,AMBIENTALYADMINISTRATIVAALCONTRATODENOMINADO"PAVIMENTACIONYCAMBIODEALCANTARILLADOVIAURBANACARRERA14ENTRE7Y9MUNICIPIO DE EL CERRITO VALLE</t>
  </si>
  <si>
    <t>MUNICIPIO EL CERRITO</t>
  </si>
  <si>
    <t>INTERVENTORIATECNICA,ADMINISTRATIVA,FINANCIERALEGAL,YAMBIENTALPARALACONSTRUCCIONDELPARQUEINTERCAMBIADORVIALAVENIDAQUEBREDASECACONCARRERA15YOBRASCOMPLEMENTARIASENELMUNICIPIODEBUCARAMANGA</t>
  </si>
  <si>
    <t>ALCALDIA DE BUCARAMANGA</t>
  </si>
  <si>
    <t>INTERVENTORÍAADMINISTRATIVA,TÉCNICA,FINANCIERAYAMBIENTALDELACONSTRUCCIÓNDEPAVIMENTOYOBRASCOMPLEMENTARIASDELASVÍASAREALIZARPORAUTOPAVIMENTACIÓNENLASCOMUNAS DE BARRANCABERMEJA</t>
  </si>
  <si>
    <t>MUNICIPIO DE BARRANCABERMEJA</t>
  </si>
  <si>
    <t>INTERVENTORÍA PARA LA CONSTRUCCIÓN DE PAVIMENTO EN
ADOQUÍN, OBRAS DE URBANISMO Y DOTACIÓN URBANA PARA LAS
VÍAS DE LA RUTA DEL NAZARENO EN EL CORREGIMIENTO DE
VALENCIA MUNICIPIO DE VALLEDUPAR</t>
  </si>
  <si>
    <t>Departamento del Cesar</t>
  </si>
  <si>
    <t>LNTERVENTORÍA TÉCNICA, ADMINISTRATIVA, LEGAL, FINANCIERA SOCIAL, AMBIENTAL Y SISO PARA LA CONSTRUCCIÓN Y/O REHABILITACIÓN DE ACCESOS A BARRIOS Y PAVIMENTOS LOCALES GRUPO 3, LOCALIDADES DE ENGATIVÁ, KENNEDY Y CIUDAD BOLÍVAR EN BOGOTÁ D.C.</t>
  </si>
  <si>
    <t>Instituto de Desarrollo Urbano - IDU</t>
  </si>
  <si>
    <t>INTERVENTORÍA TÉCNICA, ADMINISTRATIVA, FINANCIERA, LEGAL Y AMBIENTAL PARA LA CONSTRUCCIÓN DE OBRAS DE URBANISMO, REPAVIMENTACIÓN DE LA VÍA, REPOSICIÓN DE REDES DE SERVICIOS PÚBLICOS, OBRAS DE PAISAJISMO Y OBRAS COMPLEMENTARIAS PARA LA VÍA CALLE 2 SUR ENTRE LA AUTOPISTA SUR Y LA CARRERA 52, UBICADO EN LA CIUDAD DE MEDELLÍN.</t>
  </si>
  <si>
    <t>Empresa de Desarrollo Urbano - EDU</t>
  </si>
  <si>
    <t>VALLEJO H INGENIEROS CONSULTORES CONSTRUCTORES S.A.S</t>
  </si>
  <si>
    <t xml:space="preserve">INTERVENTORÍA PARA LA PRECONSTRUCCIÓN Y CONSTRUCCION DEL MEJORAMIENTO EN LA LOMA LOS MANGOS (CL 20A SUR) ENTRE CR 27 Y CR 20 Y OBRAS COMPLEMENTARIAS </t>
  </si>
  <si>
    <t>Municipio de Medellín - Secretaría de suministros y servicios</t>
  </si>
  <si>
    <t>EXPERIENCIA DEL PROPONENTE</t>
  </si>
  <si>
    <t>REALIZAR LA INTERVENTORÍA TÉCNICA, ADMINISTRATIVA, LEGAL, FINANCIERA, SOCIAL, AMBIENTAL Y DE SEGURIDAD Y SALUD EN EL TRABAJO AL CONTRATO CUYO OBJETO ES: CONTRATAR BAJO LA MODALIDAD DE PRECIOS UNITARIOS FIJOS, Y A MONTO AGOTABLE, LAS OBRAS Y ACTIVIDADES PARA LA CONSERVACIÓN DE LA MALLA VIAL DE LA LOCALIDAD DE ENGATIVÁ Y SU ESPACIO PÚBLICO ASOCIADO</t>
  </si>
  <si>
    <t>ALCALDIA LOCAL DE ENGATIVA</t>
  </si>
  <si>
    <t>EN LA CERTIFICACION APORTADA NO SE EVIDENCIA LA EXPERIENCIA ESPECIFICA 4 CONSTRUCCIÓN O RECONSTRUCCIÓN REHABILITACIÓN O MEJORAMIENTO O REPAVIMENTACIÓN O PAVIMENTACIÓN en pavimento articulado o adoquinado.</t>
  </si>
  <si>
    <t>INTERVENTORÍA TÉCNICA, ADMINISTRATIVA, LEGAL, FINANCIERA, SOCIAL, AMBIENTAL Y SISTEMA DE SEGURIDAD Y SALUD EN EL TRABAJO - SG-SST, DEL CONTRATO DE OBRA QUE SE DERIVE DE LA LICITACIÓN PUBLICA FDLE-LP-362-2019, LA CUAL TIENE POR OBJETO “CONTRATAR POR PRECIOS UNITARIOS Y A MONTO AGOTABLE, LA CONSTRUCCIÓN DE LA INFRAESTRUCTURA VIAL URBANA DE LA LOCALIDAD DE ENGATIVA, INCLUYE COMPLEMENTACIÓN Y/O AJUSTE DE LOS DISEÑOS, EN BOGOTA D.C</t>
  </si>
  <si>
    <t>INTERVENTORÍA DURANTE LA RENOVACIÓN DE REDES LOCALES DE ACUEDUCTO DE LOS BARRIOS: CENTENARIO, SANTIAGO PEREZ, ESTACION CENTRAL Y RESTREPO OCCIDENTAL DE LA ZONA 3 DE LA EAB-ESP</t>
  </si>
  <si>
    <t>EAAB</t>
  </si>
  <si>
    <t xml:space="preserve">‘EJECUTAR FÁBRICAS No.5 DE INTERVENTORÍA DE OBRA Y  DISEÑOS Y ESTUDIOS TECNICOS, REQUERIDOS POR FONADE, EN EL DESARROLLO DE SUS PROYECTOS  DE INFRAESTRUCTURA” </t>
  </si>
  <si>
    <t>INTERVENTORÍA TÉCNICA, ADMINISTRATIVA, FINANCIERA Y SOCIO AMBIENTAL PARA LA CONSTRUCCIÓN Y/O REHABILITACIÓN DE VÍAS EN VARIAS LOCALIDADES DE SANT FÉ, USME, MARTIRES Y RAFAEL URIBE URIBE, EN BOGOTÁ D.C.</t>
  </si>
  <si>
    <t>IDU - INSTITUTO DE DESARROLLO URBANO</t>
  </si>
  <si>
    <t>LAS CERTIFICACIONES APORTADAS NO CUMPLEN CON LA EXPERIENCIA ESPECIFICA 4 CONSTRUCCIÓN O RECONSTRUCCIÓN REHABILITACIÓN O MEJORAMIENTO REPAVIMENTACIÓN O PAVIMENTACIÓN en pavimentoarticulado o adoquinado</t>
  </si>
  <si>
    <t xml:space="preserve">
INTERVENTORÍA DE LA CONSTRUCCIÓN DE LAS OBRAS DE URBANISMO SECUNDARIO DE LA CUARTA ETAPA DE LA CIUDADELA EL PORVENIR DE LAS AMÉRICAS, UBICADA EN LA LOCALIDAD DE BOSA</t>
  </si>
  <si>
    <t>METROVIVIENDA</t>
  </si>
  <si>
    <t>INTERVENTORÍA TÉCNICA, ADMINISTRATIVA, FINANCIERA Y AMBIENTAL DE LA CONSTRUCCIÓN INTERCAMBIO VIAL ESTACIÓN MADERA.</t>
  </si>
  <si>
    <t xml:space="preserve">CUMPLE </t>
  </si>
  <si>
    <t>AJUSTES DE ESTUDIOS Y DISEÑOS DE LA PRETRONCAL ENVIGADO E INTERVENTORÍA DE LA CONSTRUCCIÓN DEL CORREDOR PARCIAL DE
ENVIGADO, TRAMO DE LA CARRERA 43A (AV. EL POBLADO) ENTRE CALLES 39 SUR Y 50 SUR, LONGITUD 1.8 KM, PARA EL SISTEMA METROPLÚS DEL VALLE DE ABURRÁ.</t>
  </si>
  <si>
    <t>Metroplús S. A.</t>
  </si>
  <si>
    <t>INTERVENTORÍA TÉCNICA, ADMINISTRATIVA, AMBIENTAL Y FINANCIERA PARA LA CONSTRUCCIÓN DE LA PROLONGACIÓN DE LA CARRERA 43 ENTRE MIRAMAR Y LA CIRCUNVALAR, Y AMPLIACIÓN Y MODERNIZACIÓN DEL ALUMBRADO PÚBLICO, EN EL DISTRITO DE BARRANQUILLA.</t>
  </si>
  <si>
    <t>Alcaldía de Barranquilla - Agencia Distrital de Infraestructura -ADI</t>
  </si>
  <si>
    <t>INTERVENTORÍA TÉCNICA, ADMINISTRATIVA, AMBIENTAL Y FINANCIERA PARA LA IMPLEMENTACIÓN DE ESTRATEGIAS PARA LA REDUCCIÓN Y CONTROL DEL CAUDAL DE ESCORRENTÍA SUPERFICIAL DEL ARROYO DE LA CALLE 76 ENTRE CARRERAS 44 Y 54, Y DE LA CALLE 75 ENTRE CARRERAS 44</t>
  </si>
  <si>
    <t>Alcaldía de Barranquilla - Agencia Distrital de Infraestructura</t>
  </si>
  <si>
    <t>INTERVENTORIA AL MANTENIMIENTO Y MEJORAMIENTO DE VIAS EN CONCRETO, ADOQUINES Y ESPACIO PÚBLICO EN DIFERENTES SITIOS DE LA CIUDAD.</t>
  </si>
  <si>
    <t>Municipio de Medellín</t>
  </si>
  <si>
    <t>INTERVENTORIA PARA EL MEJORAMIENTO Y PAVIMENTACION DEL SECTOR EL EMPATE- SAN JOSE, DE LA CARRETERA EL EMPATE-SAN JOSE-
HIGUERONES (7,36 KM)</t>
  </si>
  <si>
    <t>NVIAS</t>
  </si>
  <si>
    <t>EN LAS CERTIFICACIONES VALIDADAS, NO APORTA EXPERIENCIA ESPECIFICA
3 CONSTRUCCIÓN O RECONSTRUCCIÓN O REHABILITACIÓN O MEJORAMIENTO O REPAVIMENTACIÓN O PAVIMENTACIÓN en pavimento
hidráulico o concreto hidráulico para tráfico vehicular.</t>
  </si>
  <si>
    <t>INTERVENTORIA AL MEJORAMIENTO VIAL DE LA INTERSECCION DE LA CALLE 20 SUR CON LA TRANSVERSAL INFERIOR Y OBRAS COMPLEMENTARIAS</t>
  </si>
  <si>
    <t>ALCALDIA DE MEDELLIN</t>
  </si>
  <si>
    <t>INTERVENTORIA DE LAS OBRAS DE MEJORAMIENTO Y PAVIMENTACION DE LA CARRETERA VARIANTE DE IPIALES, RUTA 25NRC.</t>
  </si>
  <si>
    <t>EL OFERENTE PRESENTA EN EL FORMATO 3 DE EXPERIENCIA, UN CONTRATO QUE NO CORRESPONDE AL SOPORTE  NI RUP REGISTRADO EN EL FORMATO</t>
  </si>
  <si>
    <t>INTERVENTORIA A LAS OBRAS DE MANTENIMIENTO Y MEJORAMIENTO DE VIAS EN CONCRETO, ADOQUINES Y ESPACIO PUBLICO DE LA CIUDAD</t>
  </si>
  <si>
    <t xml:space="preserve">EN EL FORMATO DE EXPERIENCIA 3, CITA QUE ESTA EXPERIENCIA ES CON LA ALCALDIA DE MEDELLIN, SIN EMBAGO EL SOPORTE ES DE LA LOCALIDAD DE FONTIBON, EL CONTRATO NO COINCIDE CON LA BUSQUEDA DEL RUP </t>
  </si>
  <si>
    <t>INTERVENTORIA TECNICA, LEGAL, FINANCIERA, ADMINISTRAVIA, AMBIENTAL, PREDIAL Y SOCIAL DEL PROYECTO ESTUDIOS Y DISEÑOS, GESTION PREDIAL SOCIAL Y AMBIENTAL Y MEJORAMIENTO DEL PROYECTO TRONCAL CENTRAL DEL NORTE</t>
  </si>
  <si>
    <t>INSTITUTO NACIONAL DE VIAS - INVIAS</t>
  </si>
  <si>
    <t>LAS CERTIFICACIONES APORTADAS NO CUMPLEN CON LA EXPERIENCIA ESPECIFICA 4 CONSTRUCCIÓN O RECONSTRUCCIÓN REHABILITACIÓN O MEJORAMIENTO O REPAVIMENTACIÓN O PAVIMENTACIÓN en pavimentoarticulado o adoquinado.</t>
  </si>
  <si>
    <t>INTERVENTORIA TECNICA, ADMINISTRATIVA Y FINANCIERA DE LAS OBRAS DE LA RENOVACION VIAL, ACCESIBILIDAD Y
MEJORAMIENTO DE LA MOVILIDAD DEL CENTRO DE LA CIUDAD, ENFATIZANDO EN EL CAMBIO DE ALGUNAS VIAS, EL REEMPLAZO DE REDES DE ACUEDUCTO, ALCANTARILLADO, ENERGIA Y TELEFONIA Y LA IMPLEMENTACION DE MOBILIARIO URBANO DEL MUNICIPIO DE CHIQUINQUIRA.</t>
  </si>
  <si>
    <t>ALCALDIA MUNICICPAL DE CHIQUINQUIRA</t>
  </si>
  <si>
    <t>EL OBJETO DEL CONTRATO NO CUMPLE CON LA EXPERIENCIA GENERAL INTERVENTORÍA A PROYECTOS DE: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Y LAS CERTIFICACIONES APORTADAS NO CUMPLEN CON LA EXPERIENCIA ESPECIFICA 4 CONSTRUCCIÓN O RECONSTRUCCIÓN REHABILITACIÓN O MEJORAMIENTO O REPAVIMENTACIÓN O PAVIMENTACIÓN en pavimento articulado o adoquinado.</t>
  </si>
  <si>
    <t>INTERVENTORIA TECNICA, ADMINISTRATIVA, FINANCIERA, LEGAL, SOCIAL Y AMBIENTAL PARA LA CONSERVACION DE LA INFRAESTRUCTURA DEL SISTEMA INTEGRADO DE TRANSPORTE PÚBLICO: TRONCALES DEL SISTEMA TRANSMILENIO Y RUTAS AUXILIARES, ALIMENTADORAS, COMPLEMENTARIAS Y ESPECIALES: GRUPO 1: TRONCAL AUTOPISTA NORTE, COMPRENDIDAENTRE LOS HEROES Y LA CALLE 183 Y RUTAS AUXILIARES, ALIMENTADORAS, COMPLEMENTARIAS Y ESPECIALES LOCALIDAD DE
USAQUEN Y CHAPINERO</t>
  </si>
  <si>
    <t>INSTITUTO DE DESARROLLO URBANO IDU</t>
  </si>
  <si>
    <t>INTERVENTORIA TECNICA, ADMINISTRATIVA, FINANCIERA Y AMBIENTAL PARA EL MEJORAMIENTO DE VÍA SECUNDARIA HERRERA - EL DIAMANTE EN EL MUNICIPIO DE RIOBLANCO DEPARTAMENTO DEL TOLIMA</t>
  </si>
  <si>
    <t>CONTRATAR LA INTERVENTORÍA TÉCNICA, ADMINISTRATIVA, FINANCIERA Y AMBIENTAL AL CONTRATO DE OBRA CUYO OBJETO ES: MEJORAMIENTO
DE LA SEGUNDA ETAPA DE LA VÍA IBAGUÉ - ROVIRA EN EL DEPARTAMENTO DEL TOLIMA</t>
  </si>
  <si>
    <t>GOBERNACION DEL TOLIMA</t>
  </si>
  <si>
    <t>EN LOS DOCUMENTOS PRESENTADOS, EL PROPONENTE NO INCLUYE EL FORMATO 2 -  CONFORMACIÓN DE PROPONENTE PLURAL  Y LAS CERTIFICACIONES APORTADAS NO CUMPLEN CON LA EXPERIENCIA ESPECIFICA 4 CONSTRUCCIÓN O RECONSTRUCCIÓN REHABILITACIÓN O MEJORAMIENTO O REPAVIMENTACIÓN O PAVIMENTACIÓN en pavimentoarticulado o adoquinado.</t>
  </si>
  <si>
    <t>INTERVENTORÍA PARA LA PAVIMENTACIÓN EN CONCRETO
HIDRÁULICO DE LOS PROYECTOS RELACIONADOS A
CONTINUACIÓN: 1 – INTERVENTORÍA PARA LA
PAVIMENTACIÓN EN CONCRETO HIDRÁULICO DE LA
CARRERA 15 ENTRE CALLE 38 Y CALLE 40, EN EL BARRIO
LA FLORESTA DE LA CIUDAD DE MONTERÍA, DEPARTAMENTO DE CÓRDOBA. 2 – INTERVENTORÍA PARA LA PAVIMENTACIÓN EN CONCRETO HIDRÁULICO DE LA CARRERA 15 A ENTRE CALLE 38 Y CALLE 40, EN EL BARRIO LA FLORESTA DE LA CIUDAD DE MONTERÍA, DEPARTAMENTO DE CÓRDOBA. 3 – INTERVENTORÍA PARA LA PAVIMENTACIÓN EN CONCRETO HIDRÁULICO DE LA CARRERA 15 B ENTRE CALLE 38 Y CALLE 40, EN EL BARRIO LA FLORESTA DE LA CIUDAD DE MONTERÍA, DEPARTAMENTO DE CÓRDOBA. 4 – INTERVENTORÍA PARA LA PAVIMENTACIÓN EN CONCRETO HIDRÁULICO DE LA CARRERA 15 C ENTRE CALLE 38 Y CALLE 40, EN EL BARRIO LA FLORESTA DE LA CIUDAD DE MONTERÍA, DEPARTAMENTO DE CÓRDOBA. 5– INTERVENTORÍA PARA LA PAVIMENTACIÓN EN CONCRETO HIDRÁULICO DE LA CARRERA 15 D ENTRE CALLE 38 Y CALLE 40, EN EL BARRIO LA FLORESTA DE LA CIUDAD DE MONTERÍA, DEPARTAMENTO DE CÓRDOBA. 6 – INTERVENTORÍA PARA LA PAVIMENTACIÓN EN CONCRETO HIDRÁULICO DE
LA CALLE 38 A Y CALLE 83 B ENTRE CARRERAS 16 Y CARRERA 16B, EN EL BARRIO LA FLORESTA DE LA CIUDAD DE MONTERÍA, DEPARTAMENTO DE CÓRDOBA. 7 – INTERVENTORÍA PARA LA PAVIMENTACIÓN EN CONCRETO
HIDRÁULICO DE LA CALLE 38 ENTRE CARRERAS 16 C Y CARRERA 18, EN EL BARRIO LA FLORESTA DE LA CIUDAD DE MONTERÍA, DEPARTAMENTO DE CÓRDOBA. 8 - INTERVENTORÍA PARA LA PAVIMENTACIÓN EN CONCRETO
HIDRÁULICO DE LA CALLE 38 ENTRE CARRERAS 18 C Y CALLE 39, EN EL BARRIO SAN JOSÉ DE LA CIUDAD DE MONTERÍA, DEPARTAMENTO DE CÓRDOBA. 9- INTERVENTORÍA PARA LA PAVIMENTACIÓN EN CONCRETO
HIDRÁULICO DE LA CALLE 39 ENTRE CARRERAS 16 C Y</t>
  </si>
  <si>
    <t>INTERVENTORÍA TÉCNICA, ADMINISTRATIVA, FINANCIERA,
CONTABLE, AMBIENTAL Y DE CALIDAD AL CONTRATO DE
OBRA No. P.V 06-2017, “INTERVENTORÍA TÉCNICA,
ADMINISTRATIVA, FINANCIERA, CONTABLE, AMBIENTAL Y
DE CALIDAD A LA CONSTRUCCIÓN Y REHABILITACIÓN DE
VÍAS SECUNDARIAS MUNICIPIOS MARQUETALIA,
PALESTINA, PENSILVANIA, RISARALDA, SAN JOSÉ Y
VICTORIA EN EL DEPARTAMENTO DE CALDAS” – LOS
TRAMOS TRES PUERTAS – SANTAGUEDA Y CHINCHINA
CURAZAO.</t>
  </si>
  <si>
    <t>INFICALDAS</t>
  </si>
  <si>
    <t>CONTRATAR LA INTERVENTORÍA TÉCNICA,
ADMINISTRATIVA, FINANCIERA Y AMBIENTAL AL
CONTRATO DE OBRA CUYO OBJETO ES: MEJORAMIENTO
DE LA SEGUNDA ETAPA DE LA VÍA IBAGUÉ - ROVIRA EN EL
DEPARTAMENTO DEL TOLIMA</t>
  </si>
  <si>
    <t>INTERVENTORIA TECNICA, ADMINISTRATIVA,
FINANCIERA Y AMBIENTAL A LA EJECUCIÓN DEL
MEJORAMIENTO INTEGRAL DE LA MALLA VIAL
INTERMEDIA Y LOCAL DE LA LOCALIDAD DE SUBA, EN LA CIUDAD DE BOGOTÁ D.C.</t>
  </si>
  <si>
    <t>ALCALDIA LOCAL DE SUBA</t>
  </si>
  <si>
    <t>INTERVENTORÍA TÉCNICA, ADMINISTRATIVA, FINANCIERA,
AMBIENTAL, LEGAL Y SOCIAL A LAS ACTIVIDADES DE
MANTENIMIENTO, REHABILITACIÓN, RECONSTRUCCIÓN Y
ACCIONES DE MOVILIDAD DE LA MALLA VIAL Y ESPACIO PÚBLICO DE LA LOCALIDAD DE SUBA</t>
  </si>
  <si>
    <t>INTERVENTORIA TECNICA, ADMINISTRATIVA Y
FINANCIERA A PRECIO GLOBAL FIJO DE LA
CONSTRUCCION DE LA AVENIDA BOYACA
ENTRE CALLE 138 Y LA AVENIDA SAN JOSE</t>
  </si>
  <si>
    <t>INTERVENTORÍA TÉCNICA, ADMINISTRATIVA, FINANCIERA, SOCIAL Y AMBIENTAL PARA LA CONSTRUCCIÓN, REHABILITACIÓN Y CONSERVACIÓN DE VÍAS PARA RUTAS ALIMENTADORAS DEL SISTEMA TRANSMILENIO ZONA 4, GRUPO 2 EN BOGOTÁ, D.C.</t>
  </si>
  <si>
    <t>INSTITUTO DE DESARROLLO URBANO
IDU</t>
  </si>
  <si>
    <t>INTERVENTORÍA TÉCNICA, ADMINISTRATIVA, FINANCIERA Y AMBIENTAL PARA LAS OBRAS DE MEJORAMIENTO, REHABILITACIÓN Y RECUPERACIÓN DE LA VÍA QUE DEL MUNICIPIO DE ATACO CONDUCE AL MUNICIPIO DE PLANADAS EN EL SECTOR EL K13+000 AL K13+800, EN EL SUR DEL DEPARTAMENTO DEL TOLIMA.</t>
  </si>
  <si>
    <t>FONDO DE PROGRAMAS ESPECIALES PARA LA PAZ</t>
  </si>
  <si>
    <t xml:space="preserve">INTERVENTORIA TECNICA,ADMINISTRATIVA,A PRECIO GLOBAL FIJO AL CONTRATO PARA DISEÑO Y CONSTRUCCION DE PAVIMENTOS LOCALES EN LA LOCALIDAD DE SUBA SECTOR RINCON SUBA </t>
  </si>
  <si>
    <t>INTERVENTORÍA TÉCNICA, ADMINISTRATIVA, FINANCIERA Y AMBIENTAL PARA LAS OBRAS DE MEJORAMIENTO, REHABILITACIÓN Y RECUPERACIÓN DE LA VÍA QUE DEL MUNICIPIO DE CHAPARRAL CONDUCE AL MUNICIPIO DE RIO BLANCO, EN EL SUR DEL DEPARTAMENTO DEL TOLIMA.</t>
  </si>
  <si>
    <t>INTERVENTORÍA TÉCNICA, ADMINISTRATIVA. FINANCIERA Y AMBIENTAL RESPECTOA LOS AJUSTES A LOS DISEÑOS Y CONSTRUCCIÓN DE LAS OBRAS DEL SECTOR PUENTE CAÑO FISTO, ENTRE LOS PUNTOS DE REFERENCIA K57+783 AL K57+850 DE LA VÍA QUE DEL MUNICIPIO DE ATACO CONDUCE AL MUNICIPIO DE PLANADAS EN EL SUR DEL DEPARTAMENTO DE TOLIMA.</t>
  </si>
  <si>
    <t>INTERVENTORÍA PARA EL MANTENIMIENTO Y REHABILITACIÓN EN LAS CARRETERAS HATILLO (HOYORICO)-LOS LLANOS TARAZA-CAUCASIA, RUTA25,TRAMO 2510 SECTOR HOYORICO (PR 52+474) -LOSLLANOS,TRAMO 2511SECTOR LOS LLANOS-YARUMAL (PR25+0050) Y VALDIVIA-TARAZA Y TRAMO 2512 TARAZA-CAUCASIA. EN EL DEPARTAMENTO DE ANTIOQUIA. MODULO3.</t>
  </si>
  <si>
    <t>INSTITUTO NACIONAL DE VIAS 
INVIAS</t>
  </si>
  <si>
    <t xml:space="preserve">INTERVENTORÍA TÉCNICA, ADMINISTRATIVA, FINANCIERA Y AMBIENTAL PARA LAS INTERVENCIONES INTEGRALES A LA MALLA VIAL LOCAL DEL GRUPO VIAL FASE III, GRUPO 2 (LOCALIDADES DE TUNJUELITO, Y CIUDAD BOLÍVAR), CON RECURSOS COFINANCIADOS ENTRE EL IDU Y LOS FONDOS DE DESARROLLO LOCAL EN LA CIUDAD DE BOGOTÁ D.C </t>
  </si>
  <si>
    <t>INTERVENTORÍA PARA EL MEJORAMIENTO, GESTION SOCIAL, PREDIAL Y AMBIENTAL DE LA CARRETERA K15-TIERRA ALTA-SAN PEDRO DE URABA EN DESARROLLO DEL PROGRAMA "VIAS PARA LA EQUIDAD" MODULO 2</t>
  </si>
  <si>
    <t>EN LOS DOCUMENTOS APORTADOS POR EL PROPONENTE PARA CERTIFICAR ESTA EXPERIENCIA NO SE ENCUENTRAN LAS ACTIVIDADES EJECUTADAS. ACORDE AL PLIEGO TIPO NUMRAL 10.1.4 LAS CERTIFICACIONES APORTADAS NO CUMPLEN CON LA EXPERIENCIA ESPECIFICA 4 CONSTRUCCIÓN O RECONSTRUCCIÓN REHABILITACIÓN O MEJORAMIENTO O REPAVIMENTACIÓN O PAVIMENTACIÓN en pavimentoarticulado o adoquinado.</t>
  </si>
  <si>
    <t>INTERVENTORIA TECNICA, ADMINISTRATIVA Y FINANCIERA DE LAS OBRAS CONTRATADAS EN EJECUCION DE LOS CONVENIOS No 230-2015, No 290-2015, No 320-2015, SUSCRITA ENTRE EL MUNICIPIO DE NIMAIMA Y EL ICCU, Y EL CONVENIO No 043-2015, SUCRITO ENTRE EL MUNICIPIO DE NIMAIMA Y LA SECRETARIA DE TRANSPORTE Y MOVILIDAD DE CUNDINAMARCA</t>
  </si>
  <si>
    <t>MUNICIPIO DE NINAIMA</t>
  </si>
  <si>
    <t>EN LOS DOCUMENTOS APORTADOS POR EL PROPONENTE PARA CERTIFICAR ESTA EXPERIENCIA NO ES CLARO SI EL PAVIMENTO DE ADOQUIN EN CONCRETO ES DE USO PEATONAL O VEHICULAR, POR ESTA RAZÓN NO CUMPLE CON LA EXPERIENCIA ESPECIFICA 4 CONSTRUCCIÓN O RECONSTRUCCIÓN REHABILITACIÓN O MEJORAMIENTO O REPAVIMENTACIÓN O PAVIMENTACIÓN en pavimentoarticulado o adoquinado.</t>
  </si>
  <si>
    <t>INTERVENTORÍA TÉCNICA, ADMINISTRATIVA, FINANCIERA Y SOCIO AMBIENTAL PARA LA CONSTRUCCIÓN DE ACCESOS A BARRIOS Y PAVIMENTOS LOCALES, PROGRAMA DE PAVIMENTOS LOCALES GRUPO II: FONTIBON, SUBA Y USAQUEN. EN BOGOTÁ D.C.</t>
  </si>
  <si>
    <t>INSTITUTO DE DESARROLLO URBANO - IDU</t>
  </si>
  <si>
    <t>ASESORÍA E INTERVENTORIA, ADMINISTRATIVA, LEGAL , FINANCIERA Y AMBIENTAL AL CONTRATO DE CONSTRUCCIÓN PLAN DE OBRAS 2013- 2015. GRUPO 1: -INTERSECCIÓN UTP-CANAAN. - INTEGRACIÓN PEATONAL CENTRO TRADICIONAL COMUNA ORIENTE Y GENERACION DE ESPACIO PUBLICO. - CALLE 8 NORTE-CALLE 8 SUR. - CALLE 9 NORTE. - SEGUNDO CARRIL MIXTO AVENIDA 30 DE AGOSTO. - CONEXIÓN DORADO-POBLADO. - INTERSECCIÓN BAVARIA</t>
  </si>
  <si>
    <t>ALCALDIA MUNICIPIO DE PEREIRA</t>
  </si>
  <si>
    <t>INTEVENTORIA TECNICA, ADMINISTRATIVA, FINANCIERA Y AMBIENTAL PARA EL MEJORAMIENTO, MANTENIMIENTO Y
CONSERVACION DE VIAS PARA CONECTIVIDAD REGIONAL FINANCIADOS CON RECURSOS DE LA ENAGENACION DE ISAGEN, MUNICIPIO DE SANTO DOMINGO EN EL DEPARTAMENTO DE ANTIOQUIA.</t>
  </si>
  <si>
    <t>INSTITUTO NACIONAL DE VIAS
INVIAS</t>
  </si>
  <si>
    <t>INTERVENTORIA AL CONTRATO DE OBJETO INTEGRAL DE DISEÑO, RECONSTRUCCION, PAVIMENTACION Y/O REPAVIMENTACION DE LA VIA INIRIDA - CAÑO VITINA EN EL DEPARTAMENTO DEL GUAINIA. GRUPO 50.</t>
  </si>
  <si>
    <t>INTERVENTORIA PARA EL MEJORAMIENTO Y MANTENIMIENTO INTEGRAL DE LA RUTA IBAGUE - MARIQUITA y MANIZALES - FRESNO - HONDA. RUTA 43 TRAMO 4305 y RUTA 50 TRAMOS 5005, 5006 y 5007</t>
  </si>
  <si>
    <t>Interventoría técnica, administrativa y financiera a precio global fijo del estudio, diseño y construcción de pavimentos locales y accesos a barrios en la localidad de Kennedy, en Bogotá D.C.</t>
  </si>
  <si>
    <t>la certificación indica adoquin en arcilla sin embargo, no es claro si es PAVIMENTACIÓN en pavimento articulado o adoquinado o espacio público</t>
  </si>
  <si>
    <t>Interventoría de las obras de mejoramiento del sector PR63+0300 - PR61+0300 de la carretera Cebadal - Consaca - Sandona -Pasto, ruta 2501B</t>
  </si>
  <si>
    <t>Interventoría para el mantenimiento y rehabilitación de las carreteras: Pereira - Manizales, sector Chinchiná - Estación Uribe, Ruta 29 Tramo 2902; Tres Puertas - Puente Libertad, Sector Tres Puertas - La Manuela Ruta 50 Tramo 5005; Tres Puertas - La Estrella, Ruta 50 CL02; Quiebra de Vélez - Irra - La Felisa, sector La Estrella - La Felisa Ruta 29 Tramo 2903; Cauya - La Pintada, sector La Felisa - La Pintada, Ruta 25 Tramo 2508. Departamento de Caldas, Módulo 1.</t>
  </si>
  <si>
    <t>Interventoría Técnica, Administrativa, Ambiental y Financiera para la Construcción del Malecón, Corredor Verde y Avenida del Río en la Ribera del Río Magdalena desde Siape hasta la Isla de La Loma en el Distrito de Barranquilla – Unidad Funcional I</t>
  </si>
  <si>
    <t>EDUBAR S.A.</t>
  </si>
  <si>
    <t>Interventoría para el mantenimiento y rehabilitación de la Vía Circunvalar de la Isla de Providencia, para el programa “Vías para la Equidad”. Módulo 1</t>
  </si>
  <si>
    <t>INTERVENTORIA TECNICA, ADMINISTRATIVA PARA LA EVALUACION Y REHABILITACION DE VIAS EN LAS LOCALIDADES DE BARRIOS UNIDOS, CANDELARIA, MARTIRES, TEUSAQUILLO EN BOGOTA,</t>
  </si>
  <si>
    <t>20-11-200</t>
  </si>
  <si>
    <t>INTERVENTORIA TECNICA Y ADMINISTRATIVA DE LA CONSTRUCCION DE LA INTERSECCION DIAGONAL SANTANDER-CANAL BOGOTA, MEGAPROYECTO DE INTERES PUBLICO EN EL MUNICIPIO DE SAN JOSE DE CUCUTA</t>
  </si>
  <si>
    <t>ALCALDIA SAN JOSE DE CUCUTA</t>
  </si>
  <si>
    <t>EN EL PLIEGO DE CONDICIONES, NUMERAL 10.1.1  "CARACTERISTICAS DE LOS CONTRATOS PRESENTADOS PARA ACREDITAR LA EXPERIENCIA DEL PROPONENTE" SE ESPECIFICA EN UNA DE SUS NOTAS QUE LOS CONTRATOS CUYO OBJETO O ALCANCE SEA EXCLUSIVAMENTE EN COMPONENTES DE SEGURIDAD VIAL O SEMAFORIZACION O PUENTES POR TAL MOTIVO ESTE CONTRATO ES RECHAZADO</t>
  </si>
  <si>
    <t xml:space="preserve">INTERVENTORÍA TÉCNICA, ADMINISTRATIVA, CONTABLE Y AMBIENTAL DE LA CONSTRUCCIÓN DE PASOS PEATONALES A DESNIVEL, OBRAS PARA ESTABILIZACIÓN DE TALUDES, OBRAS PARA LA ADECUACIÓN DE DEPÓSITOS, CANALES, OBRAS DE DRENAJE Y OBRAS PARA ADECUACIÓN DE ACCESOS VIALES EN LA CONEXIÓN VIAL GUILLERMO GAVIRIA CORREA. </t>
  </si>
  <si>
    <t>DEPARTAMENTO DE ANTIOQUIA</t>
  </si>
  <si>
    <t>EN LOS DOCUMENTOS APORTADOS POR EL PROPONENTE PARA CERTIFICAR LA EXPERIENCIA DEL CONTRATO EN MENCIÓN NO SE EVIDENCIA QUE TIPO DE VIA ES (PRIMARIA, SECUNDARIA O URBANA)</t>
  </si>
  <si>
    <t>INTERVENTORÍA TÉCNICA, ADMINISTRATIVA, FINANCIERA Y AMBIENTAL PARA DIAGNÓSTICO, MANTENIMIENTO RUTINARIO Y PERIÓDICO DE LA MALLA VIAL ARTERIAL PRINCIPAL Y MALLA VIAL COMPLEMENTARIA, CONFORMADA POR DISTRITOS DE MANTENIMIENTO 9 Y 10, DE LA FASE 3, CORREDORES VIALES SEGMENTADOS EN BOGOTÁ GRUPO 1</t>
  </si>
  <si>
    <t>EN EL PLIEGO DE CONDICIONES, NUMERAL 10.1.1  "CARACTERISTICAS DE LOS CONTRATOS PRESENTADOS PARA ACREDITAR LA EXPERIENCIA DEL PROPONENTE" SE ESPECIFICA EN LA EXPERIENCIA GENERAL QUE EL OBJETO DEBE SER CONSTRUCCIÓN O RECONSTRUCCIÓN O PAVIMENTACIÓN.." EL CONTRATO APORTADO CONTIENE ACTIVIDADES DE MANTENIMIENTO POR LO CUAL ES RECHAZADO</t>
  </si>
  <si>
    <t>INTERVENTORÍA TÉCNICA, JURÍDICA, FINANCIERA Y AMBIENTAL AL CONTRATO DE. OBRA PARA LA CONSTRUCCIÓN DE LA SOLUCIÓN VIAL QUEBRADA LA VÍBORA - MOLIVENTO FASE 1, DENTRO DEL PLAN DE MOVILIDAD Y CONECTIVIDAD DE DOSQUEBRADAS DE CONFORMIDAD CON EL ACUERDO 035 DE 2016 Y EL PLAN DE DESARROLLO DE DOSQUEBRADAS, COMPROMISO DE TODOS.</t>
  </si>
  <si>
    <t>IDM</t>
  </si>
  <si>
    <t>INTERVENTORIA DE LOS ESTUDIOS Y DISEÑOS, PAVIMENTACION Y/O REPAVIMENTACION DE LAS VIAS INCLUIDAS DENTRO DEL PROGRAMA DE PAVIMENTACIÓN DE INFRAESTRUCTURA VIAL DE INTEGRACION Y DESARROLLO GRUPO 05 VÍA ACCESO A MARINILLA AVDA 28 CON UNA LONGITUD DE 2.40 KILOMETROS; VÍA LA CEJA - ABEJORRAL CON UNA LONGITUD DE 20.00 KILOMETROS EN EL DEPARTAMENTO DE ANTIOQUIA</t>
  </si>
  <si>
    <t>INTERVENTORIA TECNICA ADMINISTRATIVA FINANCIERA
SOCIAL Y AMBIENTLA PARA LA CONSTRUCCION
REHABILITACION Y CONSERVACION PARA VIAS DE RUTAS
ALIMENTADORAS DEL SISTEMA TRANSMILENIO ZONA 1 GRUPO
1 EN BOGOTA D.C.</t>
  </si>
  <si>
    <t>EL INTERVENTOR SE COMPROMETE PARA CON EL IDU,A LA REALIZACIÓN DE LA INTERVENTORÍA TÉCNICA, ADMINISTRATIVA, FINANCIERA, LEGAL, SOCIAL Y AMBIENTAL PARA LA CONSTRUCCIÓN Y/O REHABILITACIÓN DE VÍAS EN VARIAS LOCALIDADES DE BOGOTÁ D.C. GRUPO 2 LOCALIDADES DE USME, SANTAFÉ Y SAN CRISTÓBAL DE ACUERDO CON LA DESCRIPCIÓN, ESPECIFICACIONES Y DEMÁS CONDICIONES ESTABLECIDAS EN EL PLIEGO DE CONDICIONES, EN ESPECIAL LO DISPUESTO EN EL CAPÍTULO CUARTO (4) ANEXO TÉCNICO , LA PROPUESTA PRESENTADA EL 10 DE DICIEMBRE DE 2008 Y LOS APÉNDICES, LOS CUALES HACEN PARTE INTEGRAL DE
ESTE CONTRATO.</t>
  </si>
  <si>
    <t xml:space="preserve">INTERVENTORIA DE LAS OBRAS DE MEJORAMIENTO Y PAVIMENTACIONDE LA CARRETERA SANTA ANA-MOCOA SECTOR PUERTO CAICEDO-VILLA GARZON RUTA 45 </t>
  </si>
  <si>
    <t>INSTITUTO NACIONAL DE VIAS</t>
  </si>
  <si>
    <t>30/04072011</t>
  </si>
  <si>
    <t xml:space="preserve">INTERVENTORIA TECNICA, ADMINISTRATIVA, FINANCIERA Y AMBIENTAL PARA EL MEJORAMIENTO Y CONSERVACION DE VIAS PARA CONECTIVIDAD REGIONAL FIANCIADOS CON RECURSOS DE ENAJENACION DE ISAGEN, MUNICIPIOS CONCEPCION </t>
  </si>
  <si>
    <t>INTERVENTORIA TÉCNICA, ADMINISTRATIVA Y FINANCIERA DE LOS CONTRATOS 1) ESTUDIOS, DISEÑOS Y CONSTRUCCIÓN DE LA CALLE 13 ENTRE CARRERAS 6 Y 9; Y ESTUDIOS, DISEÑOS Y CONSTRUCCIÓN DE LA CARRERA 13 ENTRE LAS CALLES 7 Y 10 Y DE LA CALLE 7 ENTRE CARRERAS 13 Y 14 EN 80 METROS 2) ESTUDIOS DISEÑOS Y CONSTRUCCIÓN DE LA CALLE 20 ENTRE CARRERAS 2B Y 2D Y ESTUDIOS DISEÑOS Y CONSTRUCCIÓN DE LA CALLE 19A ENTRE LAS CRAS 5 Y 5B Y DE LA CARRERA 22A ENTRE CALLES 9A Y 11, DEL MUNICIPIO DE FUNZA, CUNDINAMARCA</t>
  </si>
  <si>
    <t>ALCALDIA DE FUNZA  (SECRETARIA DE OBRAS PUBLICAS)</t>
  </si>
  <si>
    <t>INTERVENTORIA TECNICA, ADMONISTRATIVA Y FINANCIERA DEL CONTRATO DE OBRA N° 299 DE 2018 CUYO OBJETO ES "CONSTRUCCION, MEJORAMIENTO Y MANTENIMIENTO DE LA CALLE REAL DEL MUNICIPIO DE PAMPLONA.</t>
  </si>
  <si>
    <t>Alcaldia de Pamplon</t>
  </si>
  <si>
    <t xml:space="preserve">DICHA EXPERIENCIA SE ASOCIA EN EL FORMATO 3 DE EXPERIENCIA, SIN EMBARGO NO SE EVIDENCIA LA CERTIFICACION LOS SOPORTES CARGADOS.EN EL PLIEGO DE CONDICIONES, NUMERAL 10.1.1  "CARACTERISTICAS DE LOS CONTRATOS PRESENTADOS PARA ACREDITAR LA EXPERIENCIA DEL PROPONENTE" </t>
  </si>
  <si>
    <t>ASISTENCIA TÉCNICA PARA EL CONTROL Y VIGILANCIA DE LAS OBRA "MEJORA DE LA MOVILIDAD URBANA EN EL ENTORNO DEL ALCANCE DE LA AUTOPISTA R-3 CON LA M-40: CONEXIÓN AVENIDA DE DAROCA CON O´DONNELL"</t>
  </si>
  <si>
    <t>DIRECCION DE CARRETERAS DEL ESTADO DE MADRID</t>
  </si>
  <si>
    <t>“INTERVENTORIA TECNICA, ADMINISTRATIVA, AMBIENTAL, FINANCIERA Y LEGAL PARA EL MEJORAMIENTO DE LAS VIAS SECUNDARIAS SOBRE EL CORREDOR VIAL SAN FERMIN (RUTA 25) – BRICEÑO (25AN13) Y EL CORREDOR VIAL LA ESE – ANGOSTURA – LA YE – (PARTIDAS A ANGOSTURA) (25AN09-1), DEL DEPARTAMENTO DE ANTIOQUIA</t>
  </si>
  <si>
    <t>GOBERNACION DE ANTIOQUIA, SECRETARIA DE INFRAESTRUCTURA FISICA</t>
  </si>
  <si>
    <t>"INTERVENTORIA, FINANCIERA, ADMINISTRATIVA, TECNICA, AMBIENTAL, SOCIAL Y SISO DEL CONTRATO DE OBRA QUE RESULTE DEL PROECSO LICITATORIO NO. FDLP-LP-018-2015 EL QUE HAGA SUS VECES QUE TIENE POR OBJETO "LA REALIZACIÓN POR EL SISTEMA DE PRECIOS UNITARIOS FIJOS SIN FORMULA DE AJUSTE, LAS OBRAS Y ACTIVIDADES PARA, CONSTRUCCIÓN, REHABILITACIÓN Y LA CONSERVACIÓN, DE LA MALLA VIAL EN LA LOCALIDAD DE FONTIBÓN, DE ACUERDO CON LAS DESCRIPCIONES Y ESPECIFICACIONES TÉCNICAS REQUERIDAS"</t>
  </si>
  <si>
    <t>ALCALDIA LOCAL DE FONTIBON</t>
  </si>
  <si>
    <t>INTERVENTORÍADELCONTRATODEFRESADO,REPAVIMENTACIÓNYOBRASCOMPLEMENTARIAS EN DIFERENTES VÍAS DEL MUNICIPIO DE MEDELLÍN</t>
  </si>
  <si>
    <t>S.O.P ALCALDIA DE MEDELLIN</t>
  </si>
  <si>
    <t>LAS CERTIFICACIONES APORTADAS NO CUMPLEN CON LA EXPERIENCIA ESPECIFICA  2, 3, y 4</t>
  </si>
  <si>
    <t>INTERVENTORÍADELASOBRASDECONSTRUCCIÓNDELAVARIANTECHIQUINQUIRÁ,SECTOR K0+000 A K2+200.</t>
  </si>
  <si>
    <t>INTERVENTORÍADELMEJORAMIENTOYMANTENIMIENTODELSECTORLASINDIAS-ELTARRA, DE LA CARRETERA CÚCUTA - SARDINATA - OCAÑA - AGUACLARA.</t>
  </si>
  <si>
    <t>INTERVENTORÍATÉCNICA,ADMINISTRATIVA,FINANCIERA,LEGAL,SOCIALYAMBIENTALPARALAAMPLIACIÓNYREHABILITACIÓNDELAAUTOPISTAALLLANO,ENTREELCAIYOMASAYELINICIODELACONCESIÓNBOGOTÁ-VILLAVICENCIOENELTRAMOCOMPRENDIDO ENTRE EL KM. 1 + 575 A KM 5 + 324 EN BOGOTÁ</t>
  </si>
  <si>
    <t>INTERVENTORÍA TÉCNICA, ADMINISTRATIVA, FINANCIERA, LEGAL, SOCIA L Y AMBIENTAL PARA EJECUTAR A PRECIOS UNITARIOS LAS OBRAS Y ACTIVIDADES PARA LA INTERVENCIÓN DE LA CALLE 164 ENTRE CARRERA 20 Y CARRERA 21 ,Y DE LA CARRERA 21 ENTRE CALLE 163 Y CALLE 164 ,EN ATENCIÓN DE FALLOS PROFERIDOS EN ACCIONES POPULARES, EN BOGOTÁ D.C.</t>
  </si>
  <si>
    <t>INTERVENTORÍATÉCNICA,ADMINISTRATIVA,APRECIOGLOBALFIJO,PARALOSESTUDIOS,DISEÑOSYCONSTRUCCIÓNDELPROGRAMADEDESMARGINALIZACIÓNENLA LOCALIDAD DE USAQUÉN, SEGUNDA ETAPA CORTO PLAZO.</t>
  </si>
  <si>
    <t xml:space="preserve">LA CERTIFICACIÓN PRESENTADA POR EL OFERENTE NO CUMPLE ACORDE AL NUMERAL 10,1,4 DEL PLIEGO DE CONDICIONES </t>
  </si>
  <si>
    <t>INTERVENTORÍA TÉCNICA, ADMINISTRATIVA Y FINANCIERA A LA CONSTRUCCIÓN EN PAVIMENTO FLEXIBLE DEL EJE VIAL MONTES DE MARÍA QUE COMUNICA EL MUNICIPIO DE MORROA CON EL MUNICIPIO DE COLOSÓ DEL K0+000 HASTA EL K221 +387 EN EL DEPARTAMENTO DE SUCRE (PRIMERA ETAPA)</t>
  </si>
  <si>
    <t xml:space="preserve">Alcaldia Municipal, Municipio de Sucre </t>
  </si>
  <si>
    <t>INTERVENTORÍA PARA LA CONSTRUCCIÓN EN PAVIMENTO RÍGIDO DE LA CALLE DE LA BOTIJUELA, TRANSVERSAL 23A Y CALLE 23 ENTRE LA CEIBA Y BOTIJUELA SANTA ROSA - BOLIVAR</t>
  </si>
  <si>
    <t xml:space="preserve">Alcaldia municipal  Departamento de Bolivar </t>
  </si>
  <si>
    <t>INTERVENTORÍA TÉCNICA, ADMINISTRATIVA, FINANCIERA, JURÍDICA Y AMBIENTAL A LA RECONSTRUCCIÓN DEL PAVIMENTO RÍGIDO, ANDENES Y ESPACIO PÚBLICO DE LA AVENIDA CIRCUNVALAR ENTRE LA CARRERA 5 Y CARRERA 14 DE LA CIUDAD DE MONTERÍA, CEPARTAMENTO DE CÓRDOBA</t>
  </si>
  <si>
    <t>Alcaldia de Monteria, secretaria de de infraestructura del municipio de monteria</t>
  </si>
  <si>
    <t>INTERVENTORÍA TECNICA, FINANCIERA, ADMINISTRATIVA Y DE CONTROL PRESUPUESTAL A PROYECTOS DE INFRAESTRUCTURA Y HABITAT EN EL TERRITORIO NACIONAL IPS-004-2016 - GRUPO 1</t>
  </si>
  <si>
    <t>Fondo de desarrollo de proyectos de cundinamarca  FONDECUN</t>
  </si>
  <si>
    <t>EL OBJETO DEL CONTRATO ADJUNTADO NO CUMPLE CON LA EXPERIENCIA EXPECIFICA SOLICITADA, POR TAK MOTIVO NO SE EVALUARA LA EXPERIENCIA ESPECIFICA DE DICHO CONTRATO</t>
  </si>
  <si>
    <t>INTERVENTORIA PARA PICCE JUAN AMARILLO EN EL AREA DE COBERTURA DE LA ZONA 2 (ACCION POPULAR/SENTENCIA RIO BOGOTA 479-01-2014)</t>
  </si>
  <si>
    <t>ACUEDUCTO DE BOGOTA</t>
  </si>
  <si>
    <t>NTERVENTORÍA TÉCNICO, ECONÓMICO, ADMINISTRATIVO, FINANCIERO, AMBIENTAL Y LEGAL, DURANTE EL AJUSTE DE DISEÑO Y CONSTRUCCIÓN DE LOS COLECTORES BUENAVISTA TRAMOS II, III, IV, Y V, EN EL ÁREA DE COBERTURA DE LA ZONA 1 DE LA EAB-ESP</t>
  </si>
  <si>
    <t>REALIZAR INTERVENTORÍA TÉCNICA, FINANCIERA, ADMINISTRATIVA, LEGAL Y AMBIENTAL DE LA CONSTRUCCIÓN DE LA VÍA LOCALIZADA ENTRE LA TRONCAL LA ROMELIA - BELMONTE BARRIO GILBERTO PELÁEZ; BARRIO LA LIBERTAD Y AEROPUERTO INTERNACIONAL MATECAÑA</t>
  </si>
  <si>
    <t>SECRETARIA GENERAL DEL AEROPUERTO INTERNACIONA MATECAÑA DE PEREIRA</t>
  </si>
  <si>
    <t>LAS CERTIFICACIONES APORTADAS NO CUMPLEN CON LA EXPERIENCIA ESPECIFICA 4 CONSTRUCCIÓN O RECONSTRUCCIÓN REHABILITACIÓN O MEJORAMIENTO REPAVIMENTACIÓN O PAVIMENTACIÓN en pavimentoarticulado o adoquinado Y EXPERIENCIA ESPECIFICA
3 CONSTRUCCIÓN O RECONSTRUCCIÓN O REHABILITACIÓN O MEJORAMIENTO O REPAVIMENTACIÓN O PAVIMENTACIÓN en pavimento hidráulico o concreto hidráulico para tráfico vehicular.</t>
  </si>
  <si>
    <t>DESARROLLAR LA INTERVENTORÍA TÉCNICA, ADMINISTRATIVA, AMBIENTAL, SOCIAL, JURÍDICA Y FINANCIERA A CONTRATOS DE OBRA PÚBLICA RESULTADO DE LAS LICITACIONES FDLK-LP-05-2011 Y FDLK-LP-07-2011</t>
  </si>
  <si>
    <t>ALCALDIA LOCAL DE KENNEDY</t>
  </si>
  <si>
    <t>LAS CERTIFICACIONES APORTADAS NO CUMPLEN CON LA EXPERIENCIA ESPECIFICA 2 y 4</t>
  </si>
  <si>
    <t>CONTRATAR LA INTERVENTORÍA TÉCNICA, ADMINISTRATIVA, FINANCIERA Y LEGAL PARA: “MEJORAMIENTO Y PAVIMENTACIÓN DE LA VÍA NOCAIMA - VERGARA DEL (K2+550 AL K2+950) CON K0+00 EN EL MUNICIPIO DE NOCAIMA DEPARTAMENTO DE CUNDINAMARCA y  CONTRATAR LA INTERVENTORÍA TÉCNICA, ADMINISTRATIVA, FINANCIERA Y LEGAL PARA: “MEJORAMIENTO Y PAVIMENTACIÓN DE LA VÍA SÁNAME - PUENTE QUETAME DESDE EL K0+000 AL K1+500 (K0+000 LOCALIZADO EN PUENTE QUEMADO) MUNICIPIO DE FOSCA, DEPARTAMENTO DE CUNDINAMARCA”.</t>
  </si>
  <si>
    <t>ICCU INSTITUTO DE INFRAESTRUCTURA Y CONCESIONES DE CUNDINAMARCA</t>
  </si>
  <si>
    <t xml:space="preserve">LAS CERTIFICACIONES APORTADAS NO CUMPLEN CON LA EXPERIENCIA ESPECIFICA 2   </t>
  </si>
  <si>
    <t>REALIZAR LA INTERVENTORIA TECNICA, ADMINISTRATIVA, FINANCIERA, SOCIAL Y SISOMA AL CONTRATO QUE RESULTE DEL PROCESO CUYO OBJETO ES LA CONSTRUCCION DE LA MALLA VIAL LOCAL Y ESPACIO PUBLICO: GRUPO 1: UPZ´S 66, 68, 69 Y ZONA RURAL LOCALIDAD 19, - REALIZAR LA INTERVENTORIA TECNICA, ADMINISTRATIVA, FINANCIERA, SOCIAL Y SISOMA AL CONTRATO QUE RESULTE DEL PROCESO CUYO OBJETO ES LA CONSTRUCCION DE LA MALLA VIAL LOCAL Y ESPACIO PUBLICO: GRUPO 2: UPZ´S 65, 67 Y 70  LOCALIDAD 19.</t>
  </si>
  <si>
    <t xml:space="preserve">FONDO DE DESARROLLO LOCAL DE CIUDAD BOLIVAR </t>
  </si>
  <si>
    <t>LAS CERTIFICACIONES APORTADAS NO CUMPLEN CON LA EXPERIENCIA ESPECIFICA2</t>
  </si>
  <si>
    <t>INTERVENTORÍA TÉCNICA, ADMINISTRATIVA, FINANCIERA Y PRESUPUESTAL AL SEGUNDO SEGMENTO DE OBRAS CONTRATADAS Y POR CONTRATAR POR PARTE DEL INSTITUTO DE DESARROLLO DEL META</t>
  </si>
  <si>
    <t>AGENCIA PARA LA INFRAESTRUCTURA DEL META</t>
  </si>
  <si>
    <t>03/15/2012</t>
  </si>
  <si>
    <t>CONTROL MEDIANTE INTERVENTORÍA TÉCNICA, LEGAL, ADMINISTRATIVA, FINANCIERA, CONTABLE Y AMBIENTAL AL MEJORAMIENTO DE LA CARRERA 41 ENTRE LA VÍA NACIONAL A GRANADA Y LA TRANSVERSAL 15 EN EL MUNICIPIO DE ACACIAS; Y MEJORAMIENTO DE VÍAS DE ACCESO AL HOSPITAL DE GRANADA, EN EL MUNICIPIO DE GRANADA, DEPARTAMENTO DEL META</t>
  </si>
  <si>
    <t>LAS CERTIFICACIONES APORTADAS NO CUMPLEN CON LA EXPERIENCIA ESPECIFICA 3 y 4</t>
  </si>
  <si>
    <t>REALIZAR LA INTERVENTORÍA TÉCNICA, ADMINISTRATIVA, FINANCIERA Y CONTABLE A LOS CONTRATOS DE OBRA QUE TENDRÁN POR OBJETO: "REALIZAR A MONTO AGOTABLE Y SIN FÓRMULA DE REAJUSTE TRABAJOS DE TERMINACIÓN DE RECONSTRUCCIÓN DE ESPACIO PÚBLICO (ANDENES) DEL BARRIO EGIPTO ALTO Y DE DIAGNÓSTICO, MANTENIMIENTO Y/O, ADECUACIÓN Y DE LOS ESPACIOS PÚBLICOS (ANDENES) DE LOCALIDAD DE LA CANDELARIA, DE ACUERDO CON LA DESCRIPCIÓN, ESPECIFICACIONES Y DEMÁS CONDICIONES ESTABLECIDAS EN LOS ESTUDIOS PREVIOS Y PLIEGOS DE CONDICIONES¿ Y REALIZAR A MONTO AGOTABLE Y SIN FORMULA DE REAJUSTE TRABAJOS DE DIAGNOSTICO, MANTENIMIENTO Y/O, REHABILITACIÓN Y/O RECONSTRUCCIÓN Y/O ADECUACIÓN DE LA MALLA VIAL LOCAL, DE ACUERDO CON LA DESCRIPCIÓN, ESPECIFICACIONES Y DEMÁS CONDICIONES ESTABLECIDAS EN LOS ESTUDIOS PREVIOS Y PLIEGOS DE CONDICIONES" DERIVADOS DE LOS PROCESOS DE SELECCIÓN EN CURSO O POR ABRIR EN LA PRESENTE VIGENCIA</t>
  </si>
  <si>
    <t>ALCALDIA LOCAL DE CANDELARIA</t>
  </si>
  <si>
    <t xml:space="preserve">LAS CERTIFICACIONES APORTADAS NO CUMPLEN CON LA EXPERIENCIA ESPECIFICA 3  </t>
  </si>
  <si>
    <t>NTERVENTORIA TECNICA, ADMINISTRATIVA, FINANCIERA, SOCIAL Y AMBIENTAL PARA LA CONSTRUCCION Y REHABILITACION DE RUTAS ALIMENTADORAS DEL SISTEMA TRASMILENIO, ZONA 2, GRUPO 2, EN BOGOTA DC, CON FINANCIACIÓN DEL BANCO MUNDIAL.</t>
  </si>
  <si>
    <t>EJERCER LA INTERVENTORIA TECNICA, ADMINISTRATIVA, FINANCIERA Y AMBIENTAL A PRECIO GLOBAL FIJO, PARA LA CONSTRUCCION DE VIAS RUTAS ALIMENTADORAS BARRIOS LISBOA Y SANTA CECILIA - OBRA TRANSMILENIO (VIA GAVILANES) EN LA LOCALIDAD DE SUBA, EN BOGOTA</t>
  </si>
  <si>
    <t>NTERVENTORÍA A OBRAS DE APOYO PARA EL MEJORAMIENTO DE LA TRANSITABILIDAD DE LA MALLA VIAL, ETAPA 2 - GRUPO 1: SUBREGIÓN NORDESTE Y MAGDALENA MEDIO. FRENTE 1: MARSELLA - VIRGINIAS - CARACOLI . FRENTE 2: PUERTO TRIUNFO - SAN MIGUEL. FRENTE 3: LA YÉ - YONDÓ. FRENTE 4: PUERTO BERRÍO (LAS FLORES) - CRUCES (PUERTO NARE). FRENTE 5: CARACOLÍ - SAN JOSÉ DEL NUS, DEL DEPARTAMENTO DE ANTIOQUIA.</t>
  </si>
  <si>
    <t>GOBERNACION DE ANTIOQUIA</t>
  </si>
  <si>
    <t>INTERVENTORIA TECNICA, ADMINISTRATIVA, FINANCIERA Y AMBIENTAL PARA REALIZAR EL SEGUIMIENTO A LOS CONTRATOS DE OBRA CUYO OBJETO ES MEJORAMIENTO, REHABILITACION DE LAS VIAS SECUNDARIAS DE RIOBLANCO - EL LIMON - CHAPARRAL, CHICORAL - SAN FRANCISCO - CASABLANCA, SANTA ISABEL - JUNIN - LA SIERRITA, GUAMO - RINCO SANTO - LA CHAMBA</t>
  </si>
  <si>
    <t>GOBERNACION DE TOLIMA</t>
  </si>
  <si>
    <t>INTERVENTORÍA, TÉCNICA, ADMINISTRATIVA, FINANCIERA, SOCIAL Y AMBIENTAL DE LA CONSTRUCCIÓN DEL CORREDOR DE LA TRONCAL SUR Y OBRAS COMPLEMENTARIAS DEL SISTEMA INTEGRADO DE TRANSPORTE MASIVO DE PASAJEROS DE SANTIAGO DE CALI DE ACUERDO A LOS SIGUIENTES FRENTES: FRENTE NO. 1,: CALLE 5 ENTRE CARRERAS 52 Y CARRERA 82 Y FRENTE NO. 2: CALLE 5 / CARRERA 100 ENTRE CARRERA 82 Y ESTACIÓN TERMINAL SUR.</t>
  </si>
  <si>
    <t>METROCALI</t>
  </si>
  <si>
    <t>INTERVENTORÍA EXTERNA INTEGRAL DE LOS CONTRATOS DE OBRA PÚBLICA PARA LA REHABILITACIÓN VIAL Y CONSTRUCCIÓN DEL ESPACIO PÚBLICO PARA LOS TRAMOS 3 Y 3B DEL SETP - POPAYÁN</t>
  </si>
  <si>
    <t>ALCALDIA DE POPAYAN</t>
  </si>
  <si>
    <t>INTERVENTORÍA PARA EL MEJORAMIENTO Y PAVIMENTACIÓN DE LA CARRETERA CÚCUTA - PAMPLONA - MÁLAGA RUTA 55 TRAMO 5505, SECTOR PR71+ 680 AL PR14+000</t>
  </si>
  <si>
    <t xml:space="preserve">ISTITUTO NACIONAL DE VIAS </t>
  </si>
  <si>
    <t>INTERVENTORÍA TÉCNICA, LEGAL, FINANCIERA, ADMINISTRATIVA, AMBIENTAL, PREDIAL Y SOCIAL DEL PROYECTO "ESTUDIOS Y DISEÑOS, GESTIÓN SOCIAL, PREDIAL, AMBIENTAL Y CONSTRUCCIÓN DEL PROYECTO "HONDA - MANIZALES"</t>
  </si>
  <si>
    <t>INTERVENTORIA DE LAS OBRAS DE PAVIMENTACIÓN DE LA CARRETERA CEBADAL - CONSACÁ - SANDONÁ - PASTO</t>
  </si>
  <si>
    <t>RED NACIONAL DE CARRETERAS DEL INSTITUTO NACIONAL DE VIAS</t>
  </si>
  <si>
    <t>INTERVENTORÍA INTEGRAL PARA LA CONSTRUCCION DE LA MALLA VIAL LOCAL E INTERMEDIA Y SU ESPACIO PUBLICO ASOCIADO EN LA LOCALIDAD DE SUBA EN LA CIUDAD DE BOGOTA D.C.</t>
  </si>
  <si>
    <t>SECRETARIA DE GOBIERNO ALCALDIA LOCAL DE SUBA</t>
  </si>
  <si>
    <t>LAS CERTIFICACIONES APORTADAS NO CUMPLEN CON EXPERIENCIA ESPECIFICA
3 CONSTRUCCIÓN O RECONSTRUCCIÓN O REHABILITACIÓN O MEJORAMIENTO O REPAVIMENTACIÓN O PAVIMENTACIÓN en pavimento hidráulico o concreto hidráulico para tráfico vehicular.</t>
  </si>
  <si>
    <t>CONTRATAR A PRECIO GLOBAL FIJO LA INTERVENTORÍA PARA EL ESTUDIO, DISEÑO Y COSNTRUCCIÓN DE VÍAS EN LA LOCALIDAD DE RAFAEL URIBE URIBE, EN BOGOTÁ D.C.</t>
  </si>
  <si>
    <t>ALCALDIA MAYOR DE BOGOTA</t>
  </si>
  <si>
    <t>LAS CERTIFICACIONES APORTADAS NO CUMPLEN CON LA EXPERIENCIA ESPECIFICA 3</t>
  </si>
  <si>
    <t>EJECUTAR LA INTERVENTORIA, TÉCNICA, ADMINISTRATIVA, FINANCIERA Y LEGAL, PARA EL MEJORAMIENTO DE LA TRONCAL DE RIONEGRO (SECTOR ZIPAQUIRA - PACHO - LA PALMA), CON K0+000 UBICADO EN LA PALMA, DEPARTAMENTO DE CUNDINAMARCA.</t>
  </si>
  <si>
    <t>ICCU INSTITUTO DE INFRAESTRUCTURA Y CONSECIONES DE CUNDIMARCA</t>
  </si>
  <si>
    <t>LAS CERTIFICACIONES APORTADAS NO CUMPLEN CON LA EXPERIENCIA ESPECIFICA 2, 3 y 4</t>
  </si>
  <si>
    <t>INTERVENTORIA TÉCNICA, ADMINISTRATIVA, FINANCIERA Y AMBIENTAL A LA REHABILITACIÓN DE LA VÍA DEPARTAMENTAL TUNJA – SORACA – SIACHOQUE – TOCA – CHIVATA EN EL DEPARTAMENTO DE BOYACÁ UBICADAS EN EL PR0+000 AL PR41+000.</t>
  </si>
  <si>
    <t>GOBERNACION DE BOYACA</t>
  </si>
  <si>
    <t>REALIZAR LA INTERVENTORÍA TÉCNICA, ADMINISTRATIVA, JURÍDICA, SOCIAL, AMBIENTAL Y SSTMA AL CONTRATO DE OBRA CUYO OBJETO ES “REALIZAR LAS OBRAS DE INTERVENCIÓN FÍSICA A ESCALA BARRIAL CONSISTENTES EN LA CONSTRUCCIÓN DE LOS TRAMOS VIALES PRIORIZADOS POR LA CAJA DE VIVIENDA POPULAR Y LA SECRETARÍA DISTRITAL DEL HÁBITAT EN EL TERRITORIO ALTO FUCHA DE LA LOCALIDAD DE SAN CRISTÓBAL DE CONFORMIDAD CON EL CONCEPTO Y DIAGNÓSTICO TÉCNICO EMITIDO EN EL CONTRATO DE CONSULTORÍA SDHT 511 DE 2016, EN EL MARCO DEL CONVENIO INTERADMINISTRATIVO 613 DE 2020.</t>
  </si>
  <si>
    <t>CONCLUSIÓN 
EXPERIENCIA ESPECIFICA
4
CONSTRUCCIÓN O RECONSTRUCCIÓN REHABILITACIÓN O
MEJORAMIENTO O REPAVIMENTACIÓN O PAVIMENTACIÓN en pavimento
articulado o adoquinado.</t>
  </si>
  <si>
    <t>INTERVENTORIA ADMINISTRATIVA, TECNCIA, FINANCIERA, CONTABLE JURIDICA Y AMBIENTAL AL MEJORAMIENTO DE REDES EXISTENTES, PAVIMENTACION Y OBRAS COMPLEMENTARIAS DE VIAS URBANAS UBICADAS EN LA CALLE 11 ENTRE CARRERA 18 Y 32 Y CALLE 12 ENTRE CARRERAS 30 Y 35 DEL MUNCIIPIO DE ACACIAS, DEPARTAMENTO DEL META.</t>
  </si>
  <si>
    <t>ALCALDIA
MUNICIPAL DE
ACACIAS</t>
  </si>
  <si>
    <t>NO SE EVIDENCIA  EXPERIENCIA ESPECIFICA  4 CONSTRUCCIÓN O RECONSTRUCCIÓN REHABILITACIÓN O MEJORAMIENTO O REPAVIMENTACIÓN O PAVIMENTACIÓN en pavimento
articulado o adoquinado.</t>
  </si>
  <si>
    <t>INTERVENTORIA TECNICA, ADMINISTRATIVA, AMBIENTAL, FINANCIERA Y LEGAL PARA EL MEJORAMIENTO DE LAS VIAS SECUNDARIAS SOBRE EL CORREDOR VIAL LA USA - (RIO CAUCA) - CAICEDO ( 25BAN 06), EL CORREDOR VIAL CAICEDO URRAO (25BAN06-1) Y EL CORREDOR VIAL LIBORINA - SABANALARGA ( 62AN14-2), DEL DEPARTAMENTO DE ANTIOQUIA.</t>
  </si>
  <si>
    <t>GOBERNACION DE
ANTIOQUIA</t>
  </si>
  <si>
    <t>INTERVENTORÍA TÉCNICA, JURÍDICA, FINANCIERA Y DE CONTROL PRESUPUESTAL A PROYECTOS DE INFRAESTRUCTURA Y HABITAT EN EL TERRITORIO NACIONAL DEPARTAMENTO DE CORDOBA, SUCRE, BOLIVAR Y MAGDALENA</t>
  </si>
  <si>
    <t>FONDO DE
DESARROLLO DE
PROYECTOS DE
CUNDINAMARCA
FONDECUN</t>
  </si>
  <si>
    <t>REALIZAR LA INTERVENTORIA TECNICA, ADMINISTRATIVA,
LEGAL, CONTABLE, FINANCIERA, SOCIAL, AMBIENTAL Y DE
SEGURIDAD Y SALUD EN EL TRABAJO, AL CONTRATO DE OBRA
PÚBLICA PRODUCTO DE LA LICITACION PUBLICA FDLB-LP-009-
2016, CONTRATAR, POR EL SISTEMA DE PRECIOS UNITARIOS
FIJOS SIN FORMULA DE REAJUSTE, Y A MONTO AGOTABLE LAS
INTERVENCIONES INTEGRALES DE MANTENIMIENTO Y/O
REHABILITACIÓN DE LA MALLA VIAL INTERMEDIA Y LOCAL DE
LA LOCALIDAD DE BOSA</t>
  </si>
  <si>
    <t>ALCALDIA
LOCAL DE
BOSA</t>
  </si>
  <si>
    <t>EN LA CERTIFICACIÓN APORTADA, SE EVIDENCIA ITEM DE  ADOQUIN TR. PESADO, SIN EMBARGO AL REALIZAR REVISIÓN DE CANTIDADES Y VALOR TOTAL, PARA EL FDLF, NO CUMPLE CON LA EXPERIENCIA CONSTRUCCIÓN O RECONSTRUCCIÓN REHABILITACIÓN O
MEJORAMIENTO O REPAVIMENTACIÓN O PAVIMENTACIÓN en pavimento
articulado o adoquinado.</t>
  </si>
  <si>
    <t>INTERVENTORIA TECNICA, FINANCIERA, ADMINISTRATIVA Y DE
CONTROL PRESUPUESTAL A PROYECTOS DE
INFRAESTRUCTURA Y HABITAT EN EL TERRITORIO NACIONAL</t>
  </si>
  <si>
    <t>FONDECUN</t>
  </si>
  <si>
    <t>INTERVENTORIA TECNICA, ADMINISTRATIVA, FINANCIERA Y
SOCIOAMBIENTAL PARA LA CONSTRUCCIÓN Y/O REHABILITACION DE
VIAS EN VARIAS LOCALIDADES DE BOGOTÁ D.D. GRUPO 4: LOCALIDAD DE
BOSA</t>
  </si>
  <si>
    <t>INTERVENTORIA TECNICO-ADMINISTRATIVA DE LA CONSTRUCCION EN
PAVIMENTO FLEXIBLE DE LA MALLA VIAL DEL SUR OCCIDENTE DE
BARRANQUILLA, I ETAPA, SECTORES COMPRENDIDOS EN EL CONTRATO
NO. OPD-01-94</t>
  </si>
  <si>
    <t>DISTRITO DE BARRANQUILLA</t>
  </si>
  <si>
    <t>INTERVENTORÍA TECNICA, ADMINISTRATIVA Y FINANCIERA PARA "LA
AMPLIACIÓN, CONSTRUCCIÓN Y PAVIMENTACIÓN DEL ANILLO VIAL
VERGANZO ETAPA 1 EN EL MUNICIPIO DE TOCANCIPA.</t>
  </si>
  <si>
    <t>ALCALDIA MUNICIPAL DE
TOCANCIPA</t>
  </si>
  <si>
    <t>GERENCIA E INTERVENTORIA DEL PROYECTO DE RENOVACION URBANA DEL DISTRITO CENTRAL DE BARRANQUILLA. CONTRATO ADICIONAL NO. 1 AL CONTRATO DE GERENCIA E INTERVENTORIA DEL PROYECTO DE RENOVACION URBANA DEL DISTRITO CENTRAL DE BARRANQUILLA, PARA REALIZAR LA INTERVENTORIA DE LAS OBRAS REALIZADAS CON LA RECONSTRUCCION Y AMPLIACION DE LA CALLE 30 ENTRE 38 Y 41B SEGUNDA ETAPA. CONTRATO ADICIONAL NO. 2 AL CONTRATO DE GERENCIA E INTERVENTORIA DEL PROYECTO DE RENOVACION URBANA DEL DISTRITO CENTRAL DE BARRANQUILLA, PARA REALIZAR LA INTERVENTORIA DE LAS VIAS DE ACCESO A LA TERMINAL DE BUSES
INTERMUNICIPALES. CONTRATO ADICIONAL NO. 3 AL CONTRATO DE GERENCIA E INTERVENTORIA DEL PROYECTO DE RENOVACION URBANA DEL DISTRITO CENTRAL DE BARRANQUILLA, PARA REALIZAR LA INTERVENTORIA DE LA AMPLIACION Y RECONSTRUCCION DE LA CALLE 30 ENTRE 38 Y 41B.</t>
  </si>
  <si>
    <t>LA CERTIFICACIÓN PRESENTADA POR EL OFERENTE NO CUMPLE ACORDE AL NUMERAL 10,1,4 DEL PLIEGO DE CONDICIONES. LAS CERTIFICACIONES APORTADAS NO CUMPLEN CON LA EXPERIENCIA ESPECIFICA 4 CONSTRUCCIÓN O RECONSTRUCCIÓN REHABILITACIÓN O MEJORAMIENTO REPAVIMENTACIÓN O PAVIMENTACIÓN en pavimentoarticulado o adoquinado</t>
  </si>
  <si>
    <t>INTERVENTORÍA TÉCNICA, ADMINISTRATIVA, AMBIENTAL, FINANCIERA Y
LEGAL PARA EL MEJORAMIENTO DE LA VÍA LA USA (RIO CAUCA) –
CAICEDO (25AN-06), EN LA SUBREGIÓN OCCIDENTE DEL DEPARTAMENTO
DE ANTIOQUIA</t>
  </si>
  <si>
    <t xml:space="preserve">
DEPARTAMENTO DE ANTIOQUIA</t>
  </si>
  <si>
    <t>INTERVENTORÍA PARA EL ESTUDIO, DISEÑO, CONSTRUCCIÓN Y/O REHABILITACIÓN DE VÍAS EN LA LOCALIDAD DE RAFAEL URIBE URIBE EN BOGOTÁ D.C.</t>
  </si>
  <si>
    <t>INSTITUTO DE
DESARROLLO
URBANO - IDU</t>
  </si>
  <si>
    <t>INTERVENTORIA TECNICA, ADMINISTRATIVA Y FINANACIERA PARA LA CONSTRUCCION DE LA AVENIDA BOYACA, DE LA CALLE 138 A LA CALLE 170 EN SANTAFE DE BOGOTÁ,D.C.</t>
  </si>
  <si>
    <t>REALIZAR LA INTERVENTORÍA TÉCNICA, ADMINISTRATIVA, FINANCIERA DEL PROYECTO CUYO OBJETO ES MEJORAMIENTO, REHABILITACIÓN Y CONSTRUCCIÓN DE VÍAS URBANAS EN CONCRETO RÍGIDO EN LA ZONA URBANA DEL MUNICIPIO DE MALAMBO, DEPARTAMENTO DEL ATLÁNTICO</t>
  </si>
  <si>
    <t>MUNICIPIO DE
MALAMBO</t>
  </si>
  <si>
    <t>INTERVENTORÍA TÉCNICA, ADMINISTRATIVA, FINANCIERA Y AMBIENTAL PARA EL MEJORAMIENTO DE LA VÍA CANDELARIA-CARRETERA ORIENTAL EN EL
DEPARTAMENTO DEL ATLÁNTICO</t>
  </si>
  <si>
    <t>GOBERNACIÓN DEL ATLANTICO</t>
  </si>
  <si>
    <t>LAS CERTIFICACIONES APORTADAS NO CUMPLEN CON LA EXPERIENCIA ESPECIFICA 2,3 y 4</t>
  </si>
  <si>
    <t>INTERVENTORÍA TÉCNICA, ADMINISTRATIVA Y FINANCIERA AL CONTRATO DE MEJORAMIENTO DE LA INTERCONEXIÓN VIAL REGIONAL, SEGUNDA CALZADA AVENIDA CIRCUNVALAR DE BARRANQUILLA, ATLÁNTICO, PARA LA CONSTRUCCIÓN DE 2.5 KM DEDOBLE CALZADA SECTOR CRA 38 CON AVENIDA CIRCUNVALAR CONSTRUCCIÓN DETRES PUENTES VEHICULARES DENTRO DEL SISTEMA DE INTERCONCONEXIÓN VIAL SEGUNDA CALZADA, AVENIDA CIRCUNVALAR DE BARRANQUILLA</t>
  </si>
  <si>
    <t>ÁREA
METROPOLITANA
DE BARRANQUILLA</t>
  </si>
  <si>
    <t>INTERVENTORÍA PARA LOS TRABAJOS DE LA CONSTRUCCIÓN DE LA SEGUNDA
CALZADA DE LA CIRCUNVALAR, SECTOR CALLE 45-CALLE 51B</t>
  </si>
  <si>
    <t>INTERVENTORIA DE LAS OBRAS PARA LA CONSTRUCCIÓN DE LA VARIANTE SAN FRANCISCO – MOCOA, INCLUYE FRENTE DE SAN FRANCISCO Y EL SECTOR K0+000 AL K0+670 DEL FRENTE DE MOCOA, Y MANTENIMIENTO DE LA CARRETERA SAN FRANCISCO - EL PEPINO, DE LA TRANSVERSAL TUMACO MOCOA, DEPARTAMENTO DE PUTUMAYO.</t>
  </si>
  <si>
    <t>INSTITUTO NACIONAL DE VÍAS - INVIAS</t>
  </si>
  <si>
    <t>INTERVENTORIA PARA EL MEJORAMIENTO, GESTIÓN SOCIAL, PREDIAL Y AMBIENTAL DE LA VÍA SAN JOSÉ DEL GUAVIARE – PUENTE NOWEN PARA EL PROGRAMA “VÍAS PARA LA EQUIDAD”. MÓDULO 3.</t>
  </si>
  <si>
    <t>INTERVENTORÍA PARA LA CONSTRUCCIÓN DE OBRAS DE SEGURIDAD VIAL MEDIANTE EL DISEÑO Y CONSTRUCCIÓN DE DOS (2) INTERSECCIONES A NIVEL EN LA VARIANTE QUIMBAYA DE LA CARRETERA ARMENIA - ALCALÁ (2901 B).</t>
  </si>
  <si>
    <t>INSTITUTO  NACIONAL DE VIAS - INVIAS</t>
  </si>
  <si>
    <t>INTERVENTORÍA TÉCNICA, ADMINISTRATIVA, FINANCIERA Y AMBIENTAL PARA LA CONSTRUCCIÓN DE ACCESOS A BARRIOS Y PAVIMENTOS LOCALES, PROGRAMA DE GESTIÓN COMPARTIDA, BARRIO JERUSALÉN EN LA LOCALIDAD DE CIUDAD BOLÍVAR FASE 2, EN LA CIUDAD DE BOGOTÁ D.C.</t>
  </si>
  <si>
    <t>INTERVENTORÍA TÉCNICA, ADMINISTRATIVA, FINANCIERA Y AMBIENTAL PARA (i) RECONSTRUCCIÓN INFRAESTRUCTURA VIAL Y CONSTRUCCIÓN RED ALCANTARILLADO PLUVIAL, CALLE 14 ENTRE CARRERA 5a Y VIA PIEDEMONTE INTERSECCIÓN UBAMUX, Y CONSTRUCCIÓN INFRAESTRUCTURA VIAL CALLE 16 ENTRE CARRERAS 2ª Y Sª, (ii)
CONSTRUCCIÓN INFRAESTRUCTURA VIAL CALLE 7a. A ENTRE CARRERAS 2a. Y 2B (PROYECTADA), REPARCHEO INTEGRAL VÍAS URBANAS, (iii) CONSTRUCCIÓN DE LA INFRAESTRUCTURA VIAL SECTOR EL RESBALÓN - K0+206, VEREDA PARCELAS, MUNICIPIO DE COTA (CUNDINAMARCA) - CONVENIO No. 335 GOBERNACIÓN DE CUNDINAMARCA, MUNICIPIO DE COTA CUNDINAMARCA</t>
  </si>
  <si>
    <t>“REALIZAR LA INTERVENTORÍA TÉCNICA, ADMINISTRATIVA, LEGAL, FINANCIERA, SOCIAL, AMBIENTAL Y DE SEGURIDAD Y SALUD EN EL TRABAJO (SST), DEL CONTRATO DE OBRA PÚBLICA QUE TIENE POR OBJETO: “CONTRATAR LAS OBRAS Y ACTIVIDADES PARA LA
CONSERVACION DE LA MALLA VIAL Y ESPACIO PUBLICO DE LA LOCALIDAD DE RAFAEL URIBE URIBE A PRECIOS UNITARIOS FIJOS Y MONTO AGOTABLE” DERIVADO DEL PROCESO DE LA LICITACION PUBLICA No. FDLRUU-LP-196-2018</t>
  </si>
  <si>
    <t>FONDO DE DESARROLLO LOCAL DE RAFAEL URIBE URIBE</t>
  </si>
  <si>
    <t>INTERVENTORÍA A LA EJECUCIÓN DE LAS ACTIVIDADES Y OBRAS REQUERIDAS PARA LA CONSERVACIÓN DE LA MALLA VIAL ARTERIAL NO TRONCAL, EN LA CIUDAD DE BOGOTÁ, D.C. – GRUPO 4”.”.</t>
  </si>
  <si>
    <t>INSTITUTO DE DESARROLLO URBANO
- IDU</t>
  </si>
  <si>
    <t>LA CERTIFICACIÓN QUE PRESENTA EL PROPONENTE NO CUMPLE LO SOLICITADO EN EL NUMERAL 10.1.4 DEL PLIEGO DE CONDICIONES.LAS CERTIFICACIONES APORTADAS NO CUMPLEN CON LA EXPERIENCIA ESPECIFICA 4 CONSTRUCCIÓN O RECONSTRUCCIÓN REHABILITACIÓN O MEJORAMIENTO O REPAVIMENTACIÓN O PAVIMENTACIÓN en pavimentoarticulado o adoquinado.</t>
  </si>
  <si>
    <t>EJERCER LA INTERVENTORIA TECNICA  ADMINISTRATIVA Y FINANCIERA, A PRECIO GLOBAL FIJO PARA LAS OBRAS DE REHABILITACION DE LA AVENIDA LA MORISCA ENTRE LA
AVENIDA CIUDAD DE CALI Y LA AVENIDA LONGITUDINAL DE OCCIDENTE EN LA LOCALIDAD DE ENGATIVA</t>
  </si>
  <si>
    <t>LAS CERTIFICACIONES APORTADAS NO CUMPLEN CON LA EXPERIENCIA ESPECIFICA 4 CONSTRUCCIÓN O RECONSTRUCCIÓN REHABILITACIÓN O MEJORAMIENTO REPAVIMENTACIÓN O PAVIMENTACIÓN en pavimentoarticulado o adoquinado. Y EXPERIENCIA ESPECIFICA 3 CONSTRUCCIÓN O RECONSTRUCCIÓN O REHABILITACIÓN O MEJORAMIENTO O REPAVIMENTACIÓN O PAVIMENTACIÓN en pavimento hidráulico o concreto hidráulico para tráfico vehicular.</t>
  </si>
  <si>
    <t>INTERVENTORIA TECNICA, ADMINISTRATIVA Y FINANCIERA, A PRECIO GLOBAL FIJO PARA LAEVALUACION Y REHABILITACION DE VIAS DEL GRUPO N.9 (LOCALIDADES DE ENGATIVA, BARIOS UNIDOS, ANTONIO NARIÑO Y CANDELARIA) EN SANTAFE DE BOGOTA DC</t>
  </si>
  <si>
    <t>LA INTERVENTORIA TECNICA Y ADMINISTRATIVA, FINANCIERA Y AMBEINTAL AL CONTRATO CUYO OBJETO FUE LA PAVIMENTACION, RECONSTRUCCION Y/O REPAVIMENTACION DE 17,3 KM EN EL TRAMO VIAS LAS MARGARITAS - EL CRUCERO - ASI - INCLUIDO EN EL
PROGRAMA DE PAVIMENTACION DE LA GOBERNACION DE CALDAS</t>
  </si>
  <si>
    <t>INTERVENTORIA PARA EL MEJORAMIENTO Y REHABILITACION GESTION PREDIAL, SOCIAL Y AMBIENTAL DE LA VIA GUATICA - PUENTE UMBRIA EN EL DEPARTAMENTO DE RISARALDA PARA EL PROGRAMA "VIAS PARA LA EQUIDAD", MODULO 2.</t>
  </si>
  <si>
    <t>INTERVENTORÍA TÉCNICA ADMINISTRATIVA PARA LA CONSTRUCCIÓN DEL SECTOR ORRAPIHUASI - JUNTAS - EL VERGEL</t>
  </si>
  <si>
    <t>EXPERIENCIA ESPECIFICA 3 CONSTRUCCIÓN O RECONSTRUCCIÓN O REHABILITACIÓN O MEJORAMIENTO O REPAVIMENTACIÓN O PAVIMENTACIÓN en pavimento hidráulico o concreto hidráulico para tráfico vehicular.</t>
  </si>
  <si>
    <t>REALIZAR LA INTERVENTORIA DEL CONTRATO DE OBRA FISICA D.A.V.M. 002 DE 19997</t>
  </si>
  <si>
    <t>Departamento Administrativo de Valorizacion Municipal - IBAGUE</t>
  </si>
  <si>
    <t xml:space="preserve">NO SE ACEPTA CERTIFICACIÓN APORTADA, DADO QUE LA EXPERIENCIA GENERAL PARA UN PROYECTO DE CONSTRUCCIÓN DE MALLA VIAL ES INTERVENTORÍA A PROYECTOS DE: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ACORDE A LA MATRIZ DE EXPERIENCIA DE PLIEGOS TIPO DE COLOMBIA COMPRA EFICIENTE </t>
  </si>
  <si>
    <t>REALIZAR LA INTERVENTORIA TECNICA Y ADMINISTRATIVA PARA LAS OBRAS EN VIAS DEL PLAN DE EMERGENCIA VIAL, EN EL CONTRATO DE OBRA PUBLICA ADJUDICADO POR EL FOSOP A LA FIRMA INGES LTDA, CUYO OBJETO ES LA RECUPERACION Y MANTENIMIENTO DE AVNDA. BOYACA CALZADA OCCIDENTAL LENTA DE CALLE 65 A CALLE 39 (ENTRADA TERMINAL).</t>
  </si>
  <si>
    <t>FOSOP</t>
  </si>
  <si>
    <t>LA CERTIFICACIÓN QUE PRESENTA EL PROPONENTE NO CUMPLE LO SOLICITADO EN EL NUMERAL 10.1.4 DEL PLIEGO DE CONDICIONES. EXPERIENCIA ESPECIFICA 3 CONSTRUCCIÓN O RECONSTRUCCIÓN O REHABILITACIÓN O MEJORAMIENTO O REPAVIMENTACIÓN O PAVIMENTACIÓN en pavimento hidrá</t>
  </si>
  <si>
    <t xml:space="preserve">EJECUTAR LA INTERVENTORÍA TÉCNICA, ADMISTRATIVA Y FINANCIERA, PARA LA EVALUACIÓN Y REHABILITACIÓN DE VÍAS EN LA LOCALIDAD DE PUENTE ARANDA EN SANTAFÉ DE BOGOTÁ CON LAS ESPECIFICACIONES INDICADAS EN LOS TÉRMINOS DE REFERENCIA Y BAJO LAS CONDICIONES ESTIPULADAS EN EL CONTRATO </t>
  </si>
  <si>
    <t>INTERVENTORÍA PARA EL MEJORAMIENTO Y PAVIMENTACIÓN DE LA CARRETERA PAMPLONA - CUESTABOBA, RUTA 66 - TRAMO 6603</t>
  </si>
  <si>
    <t>EJERCER LA INTERVENTORÍA TÉCNICA Y ADMINISTRATIVA, A PRECIO GLOBAL FIJO, AL CONTRATO DE CONSTRUCCIÓN DE LA INTERSECCIÓN AVENIDA JORGE GAITÁN CORTÉS CON LA AVENIDA GENERAL SANTANDER Y CONEXIÓN CON LA AVENIDA ONTARIO EN BOGOTÁ D.C</t>
  </si>
  <si>
    <t>INTERVENTORÍA PARA LA RENOVACIÓN DE LAS REDES LOCALES DE ACUEDUCTO, ALCANTARILLADO SANITARIO Y PLUVIAL, PARA EL BARRIO EL PINAR Y SECTORES AFERENTES DE LA LOCALIDAD DE SAN CRISTÓBAL ZONA 4 DEL ACUEDUCTO DE BOGOTÁ</t>
  </si>
  <si>
    <t>EMPRESA DE ACUEDUCTO Y ALCANTARILLADO DE BOGOTA - ESP</t>
  </si>
  <si>
    <t>NO SE ACEPTA CERTIFICACIÓN APORTADA, DADO QUE LA EXPERIENCIA GENERAL PARA UN PROYECTO DE INTERVENTORIA DE  CONSTRUCCIÓN DE MALLA VIAL ES INTERVENTORÍA A PROYECTOS DE: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ACORDE A LA MATRIZ DE EXPERIENCIA DE PLIEGOS TIPO DE COLOMBIA COMPRA EFICIENTE, NO APORTA EXPERIENCIA ESPECIFICA 2 Y 4</t>
  </si>
  <si>
    <t>INTERVENTORÍA TÉCNICA, ADMINISTRATIVA, FINANCIERA, AMBIENTAL Y LEGAL AL "MEJORAMIENTO Y REHABILITACIÓN DE LA VÍA QUE COMUNICA EL MUNICIPIO DE ZIPAQUIRÁ CON LA INSPECCIÓN DE BRICEÑO (MUNICIPIO DE SOPÓ), DEPARTAMENTO DE CUNDINAMARCA EN EL MARCO DEL PLAN 500”</t>
  </si>
  <si>
    <t>ICCU</t>
  </si>
  <si>
    <t>NO APORTA EXPERIENCIA ESPECIFICA 2 Y 4</t>
  </si>
  <si>
    <t>INTERVENTORÍA PARA LA PAVIMENTACIÓ Y/O REPAVIMENTACIÓN DE TRAMOS DE LAS VÍA QUE CORRESPONDEN AL CORREDOR CUATROVIENTOS - CHIMICHAGUA - EL BANCO. (INCLUIDOS ESTUDIOS Y DISEÑOS) TRAMO II SAN JOSÉ-YE DE ARJONA--CUATROVIENTOS PR50+800 AL PR58+840 GRUPO V.</t>
  </si>
  <si>
    <t>DEPARTAMENTO DEL CESAR</t>
  </si>
  <si>
    <t>LA CERTIFICACION APORTADA POR EL OFERENTE NO ES LEGIBLE RAZON POR LA CUAL NO CUMPLE.NO APORTA EXPERIENCIA ESPECIFICA 2 Y 4</t>
  </si>
  <si>
    <t>INTERVENTORÍA PARA LA REHABILITACIÓN Y MEJORAMIENTO DE LA VÍA MONIQUIRÁ - SANTA SOFÍA - VILLA DE LEYVA PR00+000 AL PR38+020, LONGITUD 38,2 KM. DEPARTAMENTO DE BOYACÁ.</t>
  </si>
  <si>
    <t>INTERVENTORÍA PARA LA CONSTRUCCIÓN Y MANTENIMIENTO DE ACCESOS A BARRIOS Y PAVIMENTOS LOCALES CUARTA ETAPA EN VARIAS LOCALIDADES EN BOGOTÁ D.C.</t>
  </si>
  <si>
    <t xml:space="preserve">NO SE APORTA RUP EN LOS DOCUMENTOS CARGADOS, RAZON POR LA CUAL NO ES POSIBLE VERIFICAR LA CERTEZA DE LOS CONTRATOS APORTADOS NO SE HABILITAN </t>
  </si>
  <si>
    <t>INTERVENTORIA TÉCNICA, ADMINISTRATIVA, FINANCIERA Y AMBIENTAL A LOS ESTUDIOS, DISEÑOS, MEJORAMIENTO Y PAVIMENTACIÓN DE LAS VÍAS DEL BARRIO MIRADOR DE SAN JUAN Y SUS SECTORES ALEDAÑOS, MUNICIPIO DE GIRON - DEPARTAMENTO DE SANTANDER.</t>
  </si>
  <si>
    <t>MUNICIPIO DE GIRON</t>
  </si>
  <si>
    <t>INTERVENTORÍA PARA LA RECONSTRUCCIÓN, PAVIMENTACIÓN Y/O REPAVIMENTACIÓN DE 14 KM. EN EL TRAMO VIAL MARGARITAS-RISARALDA-CAUYA, INCLUIDOS EN EL PROGRAMA DE PAVIMENTACIÓN DE LA GOBERNACIÓN DE CALDAS</t>
  </si>
  <si>
    <t>INTERVENTORÍA DE LOS ESTUDIOS Y DISEÑOS, PAVIMENTACIÓN Y/O REPAVIMENTACIÓN DE LAS VÍAS INCLUIDAS DENTRO DEL PROGRAMA DE PAVIMENTACIÓN DE INFRAESTRUCTURA VIAL DE INTEGRACIÓN Y DESARROLLO    GRUPO 56 TRAMO 1 VÍA CRUCE PALERMO - YAGUARA CON UNA LONGITUD DE 23.64 KILÓMETROS TRAMO 2 VÍA PALERMO - SANTA MARÍA CON UNA LONGITUD DE 6.55 KILÓMETROS EN EL DEPARTAMENTO DEL HUILA.</t>
  </si>
  <si>
    <t>INTERVENTORIA TECNICA ADMINISTRATIVA LEGAL AMBIENTAL FINANCIERA Y SOCIAL PARA LA EJECUCION DE LA TOTALIDAD DE LAS OBRAS DE COSNTRUCCION Y TODAS LAS ACTIVIDADES NECESARIAS PARA LA ADECUACION Y TODAS LAS ACTIVIDADES NECESARIAS PARA LA ADECUACION DE LA AC 26 AL SISTEMA TRANSMILENIO EN EL TRAMO 3 COMPRENDIDO ENTRE LA TV 76 Y LA KR  42B Y EN EL TRAMO 4 COMPRENDIDO ENTRE KR 42B Y LA KRA 19, GRUPO 4DE LA LICITACION IDU LP DG 022 2007</t>
  </si>
  <si>
    <t>REALIZAR A PRECIO GLOBAL FIJO, LA INTERVENTORIA TÉCNICA, ADMINISTRATIVA, LEGAL, FINANCIERA, SOCIAL, AMBIENTAL y S&amp;SO PARA LA CONSTRUCCIÓN DE LAS OBRAS DE LA CALZADA OCCIDENTAL DEL PAR VIAL DE LA AVENIDA GONZALO ARlZA ENTRE LA CALLE 72 Y SU EMPALME CON LA CARRERA 111 C EN BOGOTÁ D.C., DE ACUERDO CON LA DESCRIPCIÓN, ESPECIFICACIONES Y DEMÁS CONDICIONES ESTABLECIDAS EN EL PLIEGO DE CONDICIONES, EN ESPECIAL LO DISPUESTO EN
EL CAPITULO 4, ESTUDIOS PREVIOS,
REQUERIMIENTOS TÉCNICOS, ANEXOS,APÉNDICES Y LA PROPUESTA PRESENTADA EL 5 DE DICIEMBRE DE 2012, DE CONFORMIDAD CON LO DISPUESTO EN EL PLIEGO DE CONDICIONES, ADENDAS, y DEMÁS
DOCUMENTOS QUE HACEN PARTE INTEGRAL DE ESTE CONTRATO.</t>
  </si>
  <si>
    <t>INTERVENTORIA DE LAS OBRAS DE
 MEJORAMIENTO Y MANTENIMIENTO DE LA
 CARRETERA TUQUERRES-SAMANIEGO RUTA 1702
 DEPARTAMENTO DE NARIÑO. MODULO 1</t>
  </si>
  <si>
    <t>INSTITUTO 
NACIONAL DE VIAS</t>
  </si>
  <si>
    <t>INTERVENTORIA PARA EL MANTENIMIENTO, REPARACIONES Y MEJORAMIENTO DE LAS VÍAS 
URBANAS DEL MUNICIPIO DE BUCARAMANGA, EN LOS 
SECTORES INDICADOS POR LA SECRETARIA DE 
INFRAESTRUCTURA Y LA REHABILITACIÓN DE LA VÍA DE 
ACCESO PRINCIPAL AL BARRIO CAFÉ MADRID (CRA 8B - 
CALLE 33 - CRA 8) DEL MUNICIPIO DE BUCARAMANGA.</t>
  </si>
  <si>
    <t>MUNICIPIO DE 
BUCARAMANGA</t>
  </si>
  <si>
    <t>no se evidencia en la certificación aportada el cumplimiento de la experiencia especifica 4, ya que en esta aclaran que el adoquinado es peatonal para andenes y senderos peatonales. "ADJUNTAN UNA CERTIFICACION MENCIONANDO LAS ACTIVIDADES EJECUTADAS PERO NO ES UN ACTA DE LIQUIDACION O ACTA DE CIERRE, ES UN CERTIFICADO DIFERENTE DE DOS PAGINAS"</t>
  </si>
  <si>
    <t>”INTERVENTORÍA DE LAS OBRAS DE MEJORAMIENTO Y 
MANTENIMIENTO DEL SECTOR PUENTE CAQUETA – SAN JUAN DE 
VILLALOBOS PR 20 – PR 66 DE LA CARRETERA MOCOA – PITALITO 
RUTA 4503 DIRECCIÓN TERRITORIAL PUTUMAYO.”</t>
  </si>
  <si>
    <t>INSTITUTO NACIONAL 
DE VIAS</t>
  </si>
  <si>
    <t>no se evidencia en la certificación aportada el cumplimiento de la experiencia especifica 2, "ADJUNTAN UNA CERTIFICACION MENCIONANDO LAS ACTIVIDADES EJECUTADAS PERO NO ES UN ACTA DE LIQUIDACION O ACTA DE CIERRE, ES UN CERTIFICADO DIFERENTE DE DOS PAGINAS FIRMADO POR EL DIRECTOR DE INVIAS DE PUTUMAYO"</t>
  </si>
  <si>
    <t>OBJETO DEL CONTRATO: ¨EJERCER LA INTERVENTORIA TECNICA, 
ADMINISTRATIVA Y FINANCIERA, A PRECIO GLOBAL FIJO PARA LAS 
OBRAS DE REHABILITACION DE LA AVENIDA LA MORISCA ENTRE LA 
AVENIDA CIUDAD DE CALI Y LA AVENIDA LONGITUDINAL DE 
OCCIDENTE EN LA LOCALIDAD DE ENGATIVA.¨</t>
  </si>
  <si>
    <t xml:space="preserve">INSTITUTO DE 
DESARROLLO 
URBANO </t>
  </si>
  <si>
    <t>OBJETO DEL CONTRATO: ¨INTERVENTORIA TECNICA, 
ADMINISTRATIVA Y FINANCIERA, A PRECIO GLOBAL FIJO PARA LA 
EVALUACION Y REHABILITACION DE VIAS DEL GRUPO N.9 
(LOCALIDADES DE ENGATIVA, BARIOS UNIDOS, ANTONIO NARIÑO Y 
CANDELARIA) EN SANTAFE DE BOGOTA DC.¨</t>
  </si>
  <si>
    <t xml:space="preserve">LA INTERVENTORIA TECNICA Y ADMINISTRATIVA, 
FINANCIERA Y AMBEINTAL AL CONTRATO CUYO OBJETO 
FUE LA PAVIMENTACION, RECONSTRUCCION Y/O 
REPAVIMENTACION DE 17,3 KM EN EL TRAMO VIAS LAS 
MARGARITAS - EL CRUCERO - ASI - INCLUIDO EN EL 
PROGRAMA DE PAVIMENTACION DE LA GOBERNACION 
DE CALDAS </t>
  </si>
  <si>
    <t>INTERVENTORIA PARA EL MEJORAMIENTO Y 
REHABILITACION GESTION PREDIAL, SOCIAL Y 
AMBIENTAL DE LA VIA GUATICA - PUENTE UMBRIA EN EL 
DEPARTAMENTO DE RISARALDA PARA EL PROGRAMA 
"VIAS PARA LA EQUIDAD", MODULO 2.</t>
  </si>
  <si>
    <t xml:space="preserve">INVIAS </t>
  </si>
  <si>
    <t>“INTERVENTORÍA TÉCNICA, ADMINISTRATIVA, FINANCIERA, SOCIAL Y AMBIENTAL PARA LA CONSTRUCCIÓN DEL PROYECTO VIAL Y ANDENES EN EL TRAMO II DE LA CALLE 50 DESDE EL PUENTE DE LOS NARANJOS (SIN INCLUIRLO), HASTA EL CAI DE POLICÍA DEL BARRIO PUERTO ESPEJO EN DESARROLLO DEL SISTEMA ESTRATÉGICO DE TRANSPORTE PÚBLICO – SETP - ARMENIA”</t>
  </si>
  <si>
    <t>AMABLE EMPRESA INDUSTRIAL Y COMERCIAL DEL ESTADO DEL ORDEN MUNICIPAL</t>
  </si>
  <si>
    <t xml:space="preserve">INTERVENTORIA TECNICA, ADMINISTRATIVA, FINANCIERA, JURIDICA, SOCIAL, AMBIENTAL Y SISO PARA EL MEJORAMIENTO EN CONCRETO ASFALTICO DE LA VIA QUE CONDUCE DEL MUNICIPIO DE TURBACO AL MUNICIPIO DE TURBANA DEL DEPARTAMENTO DE BOLIVAR </t>
  </si>
  <si>
    <t xml:space="preserve">GOBERNACION DE BOLIVAR </t>
  </si>
  <si>
    <t xml:space="preserve">SISTEMA ESTRATEGICO DE TRANSPORTE PUBLICO DE SINCELEJO </t>
  </si>
  <si>
    <t>INTERVENTORIA TECNICA, ADMINISTRATIVA, FINANCIERA, JURIDICA Y AMBIENTAL  A LAS OBRAS DE CONSTRUCCION DE LA MALLA VIAL Y ESPACIO PUBLICO DE LA AVENIDA CIUDADELA #450 AÑOS, INCLUYE LA CONSTRUCCION Y/O AMPLIACION DE LAS REDES DE ACUEDUCTO, ALCANTARILLADO SANITARIO, OBRAS DE DRENAJE PLUVIAL Y OBRAS COMPLEMENTARIAS, CONSTRUCCION DE LA MALLA VIAL Y ESPACIO PUBLICO DE LA AVENIDA CARRERA 27 Y  CONSTRUCCION DE LA MALLA VIAL Y ESPACIO PUBLICO DE  LA AVENIDA FUNDACION, INCLUYE LA CONSTRUCCION Y/O AMPLIACION DE LAS REDES DE ACUEDUCTO, ALCANTARILLADO SANITARIO, OBRAS DE DRENAJE PLUVIAL Y OBRAS COMPLEMENTARIAS, PARA LA IMPLEMENTACION DEL SISTEMA ESTRATEGICO DE TRANSPORTE PUBLICO DE PASAJEROS DE LA CIUDAD DE VALLEDUPAR - S.E.T.P.</t>
  </si>
  <si>
    <t>SISTEMA INTEGRADO DE TRANSPORTE DE VALLEDUPAR - SIVA SAS</t>
  </si>
  <si>
    <t>INTERVENTORÍA TÉCNICA, ADMINISTRATIVA, FINANCIERA Y AMBIENTAL PARA LAS INTERVENCIONES INTEGRALES A LA MALLA VIAL LOCAL DEL GRUPO VIAL FASE III, GRUPO 2 (LOCALIDADES DE TUNJUALITO Y CIUDAD BOLÍVAR), CON RECURSOS COFINANCIADOS ENTRE EL IDU Y LOS FONDOS DE DESARROLLO LOCAL EN LA CIUDAD DE BOGOTÁ D.C.</t>
  </si>
  <si>
    <t xml:space="preserve">INTERVENTORÍA TÉCNICA, ADMINISTRATIVA, FINANCIERA Y AMBIENTAL A PRECIO GLOBAL FIJO PARA LA TERMINACIÓN DE LA AVENIDA CIUDAD DE CALI ENTRE LA AVENIDA VILLAVICENCIO Y LA AVENIDA PRIMERO DE MAYO Y CONEXIÓN CON LA AVENIDA VILLAVICENCIO, EN BOGOTÁ D.C. </t>
  </si>
  <si>
    <t>CONTINUACIÓN DE LA INTERVENTORÍA TÉCNICA, ADMINISTRATIVA, FINANCIERA Y AMBIENTAL PARA LA TERMINACIÓN DE LA AVENIDA CIUDAD DE CALI DE LA AVENIDA VILLAVICENCIO A LA AVENIDA PRIMERO DE MAYO Y CONEXIÓN CON LA AVENIDA CIUDAD DE VILLAVICENCIO</t>
  </si>
  <si>
    <t>INTERVENTORÍA TÉCNICA Y ADMINISTRATIVA DE LA PAVIMENTACIÓN EN CONCRETO RÍGIDO EN VÍAS EN EL BARRIO EL RECREO DEL MUNICIPIO DE LA MESA</t>
  </si>
  <si>
    <t>SECRETARÍA DE VÍAS</t>
  </si>
  <si>
    <t>INTERVENTORÍA TÉCNICA, ADMINISTRATIVA, FINANCIERA, AMBIENTAL Y SOCIAL AL CONTRATO N° 086 DE 2004 (MODALIDAD CONVENIO INTERADMINISTRATIVO DE COFINANCIACIÓN) SUSCRITO ENTRE EL FONDO DE DESARROLLO LOCAL DE SAN CRISTOBAL Y ADMINISTRACIÓN COOPERATIVA DEL TERRITORIO COLOMBIANO - COOTECOL</t>
  </si>
  <si>
    <t>ALCALDÍA LOCAL DE SAN CRISTOBAL
FONDO DE DESARROLLO LOCAL</t>
  </si>
  <si>
    <t>INTERVENTORÍA TÉCNICA, ADMINISTRATIVA, FINANCIERA Y AMBIENTAL PARA EL MEJORAMIENTO EN PAVIMENTO ASFÁLTICO DE LA VÍA BERRUGAS – SAN ONOFRE Y RAMAL RINCÓN DEL MAR, MUNICIPIO DE SAN ONOFRE, DEPARTAMENTO DE SUCRE.</t>
  </si>
  <si>
    <t>INSTITUTO NACIONAL DE VÍAS - INVÍAS</t>
  </si>
  <si>
    <t>no se evidencia en la certificación aportada el cumplimiento de la experiencia especifica 4, En la experiencia adjuntada el presupuesto en salarios minimos coincide con los datos de RUP, pero en el acta adjuntada no coincide el valor final del proyecto.QUEDA HABILITADO PORQUE EL CONSORCIADO QUE TIENE EL 10% O MENOS DE PARTICIPACION NO ESTA OBLIGADO A CERTIFICAR EXPERIENCIA.</t>
  </si>
  <si>
    <t>INTERVENTORIA TECNICA, ADMINISTRATIVA, FINANCIERA Y AMBIENTAL PARA EL PROYECTO MEJORAMIENTO EN PAVIMENTO ASFALTICO DE LA VIA EL DELIRIO - PUERTO VIEJO, MUNICIPIOS DE SAN ANTONIO DE PALMITO Y TOLU, DEPARTAMENTO DE SUCRE</t>
  </si>
  <si>
    <t>no se evidencia en la certificación aportada el cumplimiento de la experiencia especifica 2 y 4. En la experiencia adjuntada el presupuesto en salarios minimos coincide con los datos de RUP, pero en el acta adjuntada no coincide el valor final del proyecto. QUEDA HABILITADO PORQUE EL CONSORCIADO QUE TIENE EL 10% O MENOS DE PARTICIPACION NO ESTA OBLIGADO A CERTIFICAR EXPERIENCIA.</t>
  </si>
  <si>
    <t>INTERVENTORIATECNICA,ADMINISTRATIVA, FINANCIERA
 Y AMBIENTAL AL CONTRATO DE OBRA PÚBLICA “
 ESTUDIOS, DISEÑOS Y CONSTRUCCIÓN DEL
 INTERCAMBIADOR VIAL SOBRE LA AVENIDA LA TOMA CON 
CARRERA16, ENLACIUDADDENEIVA,ENELMARCODE
 LA IMPLEMENTACIÓN DEL SISTEMA ESTRATEGICO DE
 TRANSPORTE PÚBLICO</t>
  </si>
  <si>
    <t>SISTEMA ESTRATEGICO DE TRANSPORTE PUBLICO DE NEIVA S.A.S. - SETP TRANSFEDERAL S.A.S.</t>
  </si>
  <si>
    <t xml:space="preserve">NO SE EVIDENCIA VALOR DEL CONTRATO </t>
  </si>
  <si>
    <t>INTERVENTORIATECNICAADMINISTRATIVAYFINANCIERA
 Y CONTABLE AL CONTRATO DE OBRA PARA LA
 CONSTRUCCION PAVIMENTO EN CONCRETO RIGIDO
 COFINANCIADOCONLACOMUNIDADENVIASDELAREA
 URBANA DEL MUNICIPIODE LA PLATA HUILA Y LA CONSTRUCCION DEPAVIMENTO ENCONCRETO RIGIDO DE LA CARRERA 1 ENTRE CALLE 6 Y 8 DEL MUNICIPIO DE LA PLATA HUILA.</t>
  </si>
  <si>
    <t>MUNICIPIO DE LA PLATA</t>
  </si>
  <si>
    <t xml:space="preserve"> INTERVENTORIA TECNICA PARA EL SEGUIMIENTO Y
 CONTROL DE LOS PROYECTOS EJECUTADOS CON
 RECUSRSOSDEREGALIASPETROLERASENELMUNICIPIO
 DE ARAUCA DEPARTAMENTO DE ARAUCA.</t>
  </si>
  <si>
    <t xml:space="preserve"> MUNICIPIO DE ARAUCA </t>
  </si>
  <si>
    <t>CUMPPLE</t>
  </si>
  <si>
    <t>INTERVENTORIATECNICA,ADMINISTRATIVA, FINANCIERA,
 JURIDICAYAMBIENTALALAREHABILITACIONDELAVIA
 NEIVA-TELLO-BARAYAENUNALONGITUDL=5,7KMY
 REHABILITACIONYAMPLIACIONDELAVIAPALERMO
NEIVAENUNALONGITUDL=2,9KMENELDEPARTAMENTO
 DEL HUILA</t>
  </si>
  <si>
    <t>GOBERNACIÓN DEL HUILA</t>
  </si>
  <si>
    <t>INTERVENTORIA TECNICA, ADMINISTRATIVA Y
 FINANCIERA A LAS OBRAS DE EXPLANACION,
 URBANISMO, PAVIMENTACION YCONSTRUCCIONDELOS
 BARRIOSJOSEMARTI,CONARVAR,PIGOANZA,COLMENAR
 Y LA ESPAÑOLA  EN LA CIUDAD DE NEIVA.</t>
  </si>
  <si>
    <t>CONARVA</t>
  </si>
  <si>
    <t>CONTINUACIÓN DE LA INTERVENTORÍA TÉCNICA, ADMINISTRATIVA, FINANCIERA Y AMBIENTAL PARA LA CULMINACIÓN DE LA TOTALIDAD DE LAS OBRAS DE CONSTRUCCIÓN Y REHABILITACIÓN DE ACCESOS A BARRIOS Y PAVIMENTOS LOCALES EJECUTADAS BAJO EL CONTRATO IDU-226-04, GRUPO 2: LOCALIDADES DE BOSA, KENNEDY, FONTIBÓN Y PUENTE ARANDA EN BOGOTÁ D.C.</t>
  </si>
  <si>
    <t>INTERVENTORÍA TÉCNICA, ADMINISTRATIVA, LEGAL, FINANCIERA, AMBIENTAL  Y SOCIAL PARA LA EJECUCIÓN DE LAS OBRAS DE CONSTRUCCIÓN Y TODAS LAS ACTIVIDADES NECESARIAS PARA LA ADECUACIÓN DE LA CALLE 26 (AVENIDA JORGE ELIÉCER GAITÁN) Y DE LA CARRERA 10ª (AVENIDA FERNANDO MAZUERA), AL SISTEMA TRANSMILENIO, EN EL TRAMO 3 COMPRENDIDO ENTRE LA TRANSVERSAL 76 Y LA CARRERA 42 B Y EL TRAMO 4 COMPRENDIDO ENTRE LA CARRERA 42 B Y CARRERA 19, GRUPO 4 DE LA LICITACIÓN PUBLICA IDU-LP-DG-022-2007 EN BOGOTÁ, D.C.</t>
  </si>
  <si>
    <t xml:space="preserve">INTERVENTORIA PARA LA CONSTRUCIÓN DE LA AVENIDA CIUDAD DE CALI DESDE LA CALLE 153 HASTA LA AVENIDA SAN JOSE, EN BOGOTÁ D.C </t>
  </si>
  <si>
    <t>INTERVENTORÍA TÉCNICA, ADMINISTRATIVA, AMBIENTAL Y FINANCIERA PARA LA CONSTRUCCION DE LA PRIMERA ETAPA DEL MEJORAMIENTO INTEGRAL DEL BARRIO LA CHINITA Y LA LUZ: CONSTRUCCION DEL EJE VIAL MIXTO EN LA CALLE 12 ENTRE CARRERAS 17B Y 22 EN EL DISTRITO DE BARRANQUILLA.</t>
  </si>
  <si>
    <t>DISTRITO INDUSTRIAL, ESPECIAL Y PORTUARIO DE BARRANQULLA</t>
  </si>
  <si>
    <t>INTERVENTORÍA TÉCNICA, ADMINISTRATIVA Y FINANCIERA A LA CONSTRUCCIÒN DE PAVIMENTO RIGIDO DE LA AVENIDA CRISTIAN MORENO PALLARES DEL CASCO URBANO DEL MUNICIPIO DE PELAYA, DEPARTAMENTO DEL CESAR.</t>
  </si>
  <si>
    <t>ALCALDIA MUNICIPIO DE PELAYA CESAR</t>
  </si>
  <si>
    <t>INTERVENTORÍA TÉCNICA, ADMINISTRATIVA Y DE CONTROL PRESUPUESTAL PARA LA FABRICA DE INTERVENTORÍA DE OBRA REQUERIDAS POR FONADE EN EL DESARROLLO DE SUS PROGRAMAS EN: INFRAESTRUCTURA DE EDIFICACIONES, INFRAESTRUCTURA VIAL, INFRAESTRUCTURA DE SANEAMIENTO BÁSICO Y AGUA POTABLE, INFRAESTRUCTURA ENERGÉTICA, SERVICIOS PÚBLICOS Y PROYECTOS ESPECIALES, FABRICA Nº 3.</t>
  </si>
  <si>
    <t>ENTERRITORIO</t>
  </si>
  <si>
    <t>INTERVENTORÍA INTEGRAL A LA CONSTRUCCIÓN DE LA
FASE 1 DE LA TERMINAL AGUABLANCA, CONEXIÓN VIAL ASOCIADA Y DEMÁS OBRAS COMPLEMENTARIAS DEL
SISTEMA INTEGRADO DE TRANSPORTE MASIVO- SITM MIO DE PASAJEROS DE SANTIAGO DE CALI.</t>
  </si>
  <si>
    <t>METRO CALI S.A.</t>
  </si>
  <si>
    <t>INTERVENTORÍA TÉCNICA, ADMINISTRATIVA, FINANCIERA, LEGAL Y AMBIENTAL PARA LA CONSTRUCCIÓN Y/O MANTENIMIENTO DE VÍAS EN CONCRETO RÍGIDO Y/O CONCRETO FLEXIBLE EN DIFERENTES SECTORES DEL MUNICIPIO DE PEREIRA.</t>
  </si>
  <si>
    <t>ALCALDÍA DE PEREIRA</t>
  </si>
  <si>
    <t>INTERVENTORÍA TÉCNICA, ADMINISTRATIVA, LEGAL, FINANCIERA, SOCIAL, AMBIENTAL Y S&amp;SO PARA LA CONSTRUCCIÓN DE LAS OBRAS FALTANTES DE LA AVENIDA SANTA LUCIA DESDE LA AVENIDA JORGE GAITÁN CORTES HASTA LA AVENIDA GENERAL SANTANDER- PROYECTO 170 DEL GRUPO 1 DEL ACUERDO DE VALORIZACIÓN 180 DE 2005 EN BOGOTÁ DC.</t>
  </si>
  <si>
    <t>LA CAJA DE LA VIVIENDA POPULAR, REQUIERE CONTRATAR, LA INTERVENTORIA TECNICA, ADMINISTRATIVA, FINANCIERA, SOCIAL, AMBIENTAL Y S&amp;SO PARA LA CONSTRUCCION DE LAS OBRAS DE INTERVENCION FISICA A ESCALA BARRIAL, UBICADAS EN LAS LOCALIDADES DE USME, RAFAEL URIBE URIBE, CIUDAD BOLIVAR Y BOSA EN BOGOTA D.C., DE CONFORMIDAD CON LAS ESPECIFICACIONES ESTABLECIDAS EN EL PLIEGO DE CONDICIONES Y EL PROCESO LICITATORIO CVP-LP01-2013</t>
  </si>
  <si>
    <t>CAJA DE VIVIENDA POPULAR</t>
  </si>
  <si>
    <t xml:space="preserve">IINTERVENTORIIA TECNICA, ADMINISTRATIVA, FINANCIERA Y JURIDICA PARA LA PAVIMENTACION DE VIAS URBANAS (MEJORAMIENTO Y REHABILITACION) PROYECTO No. 201840010303 INSCRITO EN EL BANCO DE PROGRAMAS Y PROYECTOS DE INVERSION MUNICIIPAL. </t>
  </si>
  <si>
    <t xml:space="preserve">ALCALDIA DE CUCUTA </t>
  </si>
  <si>
    <t>INTERVENTORÍATÉCNICA,ADMINISTRATIVA,LEGAL,FINANCIERA,SOCIAL,AMBiENTALYDESEGURIDAD Y SALUD EN EL TRABAJO PARA LA COMPLEMENTACIÓNOACTUALIZAICÓNOAJUSTEA LOSESTUDIOSY DISEÑOS Y LACONSTRUCCIÓNDE LAAVENIDABOSADESDEAVENIDAAGOBERTOMEJÍA (AK80) HASTA AVENIDA CIUDAD DE CALI, EN LA CIUDAD DE BOGOTÁ, D.C ACUERDO 527 DE 2013</t>
  </si>
  <si>
    <t>INSTITUTO DE 
DESARROLLO 
URBANO - IDU</t>
  </si>
  <si>
    <t xml:space="preserve">no se evidencia en la certificación aportada el cumplimiento de la experiencia especifica 4. </t>
  </si>
  <si>
    <t xml:space="preserve"> INTERVENTORÍA A LA EJECUCIÓN DE LAS ACTIVIDADES Y OBRAS REQUERIDAS PARA LA CONSERVACIÓN DE LA MALLA VIAL QUE SOPORTA RUTAS DEL SISTEMA INTEGRADO DE TRANSPORTE PÚBLICO- SITP, EN LA CIUDAD DE BOGOTÁ D.C. GRUPOS 2</t>
  </si>
  <si>
    <t>LAS CERTIFICACIONES APORTADAS NO CUMPLEN CON LA EXPERIENCIA ESPECIFICA 4 CONSTRUCCIÓN O RECONSTRUCCIÓN REHABILITACIÓN O MEJORAMIENTO REPAVIMENTACIÓN O PAVIMENTACIÓN en pavimentoarticulado o adoquinado.  El valor del contrato anexado en las certificaciones no coincide con el valor en salarios minoimos del RUP.</t>
  </si>
  <si>
    <t>INTERVENTORÍAPARAELMEJORAMIENTODELAVÍADEACCESOALPUERTOFLUVIAL
 DE SABANAGRANDE, ENTRE CARRETERA ORIENTAL Y EL PUENTE AMARILLO,
 MUNICIPIO DE SABANAGRANDE, DEPARTAMENTO DEL ATLANTICO</t>
  </si>
  <si>
    <t>GOBERNACION DE 
ATLANTICO</t>
  </si>
  <si>
    <t>INTERVENTORÍA TÉCNICA, ADMINISTRATIVA, FINANCIERA Y AMBIENTAL PARA LAS OBRAS DE CONSTRUCCIÓN Y AMPLIACIÓN DE PLAZAS Y MEJORMAIENTO DEL ESPACIO PÚBLICO EN LOS MUNICIPIOS DE PUERTO COLOMBIA Y USIACURI EN EL DEPARTAMENTO DEL ATLANTICO . GRUPO 1</t>
  </si>
  <si>
    <t>LAS CERTIFICACIONES APORTADAS NO CUMPLEN CON LA EXPERIENCIA ESPECIFICA 2 intervención de redes de servicios públicos</t>
  </si>
  <si>
    <t>INTERVENTORÍA TÉCNICA, ADMINISTRATIVA, FINANCIERA Y AMBIENTAL AL CONTRATO CUYO OBJETO ES: “MEJORAMIENTO VÍA NOBSA - CHÁMEZA – NAZARETH SOGAMOSO - PRIMERA ETAPA”.</t>
  </si>
  <si>
    <t>GOBERNACION DE 
BOYACÁ</t>
  </si>
  <si>
    <t>REALIZAR LA INTERVENTORÍA TÉCNICA, ADMINISTRATIVA, SOCIAL, AMBIENTAL Y FINANCIERA DEL CONTRATO DE OBRA PÚBLICA PRODUCTO DE LA LICITACIÓN PUBLICA No. ALRUU-LP-071-2016, QUE ACTUALMENTE ADELANTA EL FDLRUU PARA CONTRATAR POR EL SISTEMA DE PRECIOS UNITARIOS FIJOS Y A MONTO AGOTABLE, LA REALIZACIÓN DE OBRAS DE, REHABILITACIÓN Y/O MANTENIMIENTO DE SEGMENTOS DE LA MALLA VIAL LOCAL Y/O ANDENES -ESPACIO PÚBLICO DE LA LOCALIDAD DE RAFAEL URIBE URIBE</t>
  </si>
  <si>
    <t>ALCALDIA LOCAL 
DE RAFAEL URIBE 
URIBE</t>
  </si>
  <si>
    <t xml:space="preserve"> “INTERVENTORÍA TÉCNICA, ADMINISTRATIVA, FINANCIERA Y AMBIENTAL PARA EL MEJORAMIENTO, REHABILITACIÓN Y MANTENIMIENTO DE LA VÍA NACIONAL RUTA 60, TRAMO RANCHO GRANDE – PAEZ (INCLUYE PASO URBANO MUNICIPIO DE MIRAFLORES), Y VÍAS DEPARTAMENTALES (60BY19, RUTA 50434 Y RUTA D 1509002) DE ACCESO A LOS MUNICIPIOS DE BERBEO,RONDON Y ZETAQUIRA EN EL DEPARTAMENTO DE BOYACÁ”.</t>
  </si>
  <si>
    <t>INTERVENTORÍA TÉCNICA, ADMINISTRATIVA, FINANCIERA, LEGAL, SOCIAL Y AMBIENTAL PARA LA CONSERVACION DE LA INFRAESTRUCTURA DEL SISTEMA INTEGRADO DE TRANSPORTE PÚBLICO: TRONCALES DEL SISTEMA TRANSMILENIO Y RUTAS AUXILIARES, ALIMENTADORAS, COMPLEMENTARIAS Y ESPECIALES: GRUPO2: TRONCAL CALLE 80 COMPRENDIDAENTRE EL RIO BOGOTA Y LOS HEROES Y RUTAS AUXILIARES , ALIMENTADORAS; COMPLEMENTARIAS Y ESPECIALES LOCALIDAD DE ENGATIVA Y BARRIOS UNIDOS, EN BOGOTA D.C.</t>
  </si>
  <si>
    <t>INTERVENTORÍA PARA LA  RECONSTRUCCIÓN, PAVIMENTAIÓN Y/O REPAVIMENTACIÓN EN EL TRAMO VIAL MANIZALES - NEIRA. DEPARTAMENTO DE CALDAS</t>
  </si>
  <si>
    <t xml:space="preserve">INFICALDAS </t>
  </si>
  <si>
    <t>INTERVENTORÍA TÉCNICA, ADMINISTRATIVA, FINANCIERA Y AMBIENTAL PARA LA CULMINACIÓN DE LA TOTALIDAD DE LAS OBRAS DE CONSTRUCCIÓN DE ACCESOS A BARRIOS Y PAVIMENTOS LOCALES - PROGRAMA DE GESTIÓN COMPARTIDA - EJECUTADAS BAJO EL CONTRATO IDU-209-03, BARRIO JERUSALÉN EN LA LOCALIDAD DE CIUDAD BOLIVAR, EN BOGOTÁ D.C.</t>
  </si>
  <si>
    <t>INTERVENTORIA INTEGRAL QUE INCLUYE PERO NO SE LIMITA A LA INTERVENTORIA TECNICA,FINANCIERA,ADMINISTRATIVA,JURIDICA,GESTION SOCIAL,PREDIAL Y AMBIENTAL, PARA EL MEJORAMIENTO DEL PROYECTO TRANSVERSAL DEL CUSIANA FASE 2 EN EL PROGRAMA DE CORREDORES PRIORITARIOS PARA LA PROSPERIDAD</t>
  </si>
  <si>
    <t>INTERVENTORÍA TÉCNICA, ADMINISTRATIVA,FINANCIERA, JURÍDICA, AMBIENTAL Y SOCIAL AL CONTRATO CUYO OBJETO ES LA CONSTRUCCIÓN PAVIMENTO VÍAS PLAN VIAL DE LA CARRERA 19 ENTRE CALLES 44 A 65; CALLE 47 ENTRE CARRERAS 19 A 23; CARRERA 34 ENTRE CALLES 54 A 65 Y BOX COULVERT ZANJÓN MIRRIÑAO DE LA CARRERA 19; CONSTRUCCIÓN PAVIMENTO CARRERA 35 ENTRE CALLES 47- AVENIDA LA CARBONERA Y BOX COULVERT ZANJÓN MIRRIÑAO CARRERA 35; CONSTRUCCIÓN DE PAVIMENTOS EN ZONA URBANA Y RURAL DEL MUNICIPIO DE PALMIRA VALLE DEL CAUCA</t>
  </si>
  <si>
    <t>ALCALDIA MUNICIPAL DE PALMIRA</t>
  </si>
  <si>
    <t>MEJORAMIENTO DE LAS VIAS ALTOS DEL ROSARIO-ORILLAS DEL RIO MAGDALENA- SECTOR BOCAS DE LAS PALOMAS; BUENA V ISTA ARENAL NOROSI; BARRANCO DE LOBA,SECTOR PORTUGAL-ALTOS DEL ROSARIO;SOP-941-2011-MEJORAMIENTO DE LA VIA SAN MARTIN DE LOBA-LA VICTORIA Y SOP-C-942-2011- MEJORAMMIENTO DE LAS VIAS ZAMBRANO, ZAMBRANO- ANTIGUO PUERTO FERRY, RIO VIEGO REGIDOR Y BARRANCO DE LOBA- SAN MARTIN DE LOBA</t>
  </si>
  <si>
    <t>GOBERNACION DE BOLIVAR</t>
  </si>
  <si>
    <t>no se evidencia en la certificación aportada el cumplimiento de la experiencia especifica 1, 2, 3 y 4</t>
  </si>
  <si>
    <t>VALOR TOTAL PROYECTO</t>
  </si>
  <si>
    <t>SMMLV P.O.</t>
  </si>
  <si>
    <t>VALOR:</t>
  </si>
  <si>
    <t>OBJETO:  REALIZAR LA INTERVENTORIA, TECNICA, ADMINISTRATIVA, JURIDICA, FINANCIERA, SOCIAL, AMBIENTAL Y DE SEGURIDAD Y SALUD EN EL TRABAJO AL CONTRATO QUE TIENE COMO OBJETO CONTRATAR A PRECIOS FIJOS Y A MONTO AGOTABLE LAS ACTIVIDADES DE CONSTRUCCIÓN DE LA MALLA VIAL Y ESPACIO PÚBLICO, DERIVADOS DEL CONTRATO DE CONSULTORÍA 440 DE 2022, EN LA LOCALIDAD DE FONTIBÓN, BOGOTÁ D.C.</t>
  </si>
  <si>
    <t xml:space="preserve">Los contratos para acreditar la experiencia deben cumplir las siguientes características: </t>
  </si>
  <si>
    <t>EXPERIENCIA GENERAL</t>
  </si>
  <si>
    <t>INTERVENTORÍA A PROYECTOS DE: 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</si>
  <si>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t>COMO SE ESPECIFICO EN LA RESPUESTA A LAS OBSERVACIONES DEL PROYECTO DE PLIEGOS, LAS CUALES SON VINCULANTES PARA EL PRESENTE PROCESO:
CADA CONTRATO DEBE CONTENER LAS 8 ACTIVIDADES DE INTERVENTORÍA ES DECIR INTERVENTORÍA TÉCNICA, ADMINISTRATIVA, JURÍDICA, FINANCIERA, SOCIAL, AMBIENTAL Y DE SEGURIDAD, SST Y PMT</t>
  </si>
  <si>
    <t>Nota 1: No se aceptará experiencia en contratos cuyo objeto o alcance sea exclusivamente en cualquiera de las siguientes actividades de interventoría de obra: componentes de seguridad vial o semaforización o puentes.</t>
  </si>
  <si>
    <t>Nota 2: En todo caso la obra civil en infraestructura vial que se pretenda acreditar como experiencia, debe demostrar la interventoría a la intervención en la estructura del pavimento.</t>
  </si>
  <si>
    <t>EXPERIENCIA ESPECIFICA</t>
  </si>
  <si>
    <r>
      <rPr>
        <b/>
        <u/>
        <sz val="18"/>
        <color rgb="FFFF0000"/>
        <rFont val="Calibri"/>
        <family val="2"/>
      </rPr>
      <t xml:space="preserve">EXPERIENCIA ESPECIFICA 1: </t>
    </r>
    <r>
      <rPr>
        <b/>
        <sz val="18"/>
        <color rgb="FFFF0000"/>
        <rFont val="Calibri"/>
        <family val="2"/>
        <charset val="1"/>
      </rPr>
      <t xml:space="preserve"> Por lo menos uno (1) de los contratos válidos aportados como experiencia general debe acreditar que se hayan realizado actividades de interventoría para el diagnóstico y/o estudios y diseños, para actividades de Conservación de vías. </t>
    </r>
  </si>
  <si>
    <r>
      <t xml:space="preserve">SEGÚN EL GLOSARIO DEL PRESENTE PROCESO, LA DEFINICIÓN DE CONSERVACIÓN ES: Conjunto de actividades que se ejecutan sobre una infraestructura vial y/o del espacio público asociado a la infraestructura de transporte y/o edificación no residencial orientadas a preservar las estructuras (...). </t>
    </r>
    <r>
      <rPr>
        <b/>
        <u/>
        <sz val="18"/>
        <color rgb="FFFF0000"/>
        <rFont val="Calibri"/>
        <family val="2"/>
      </rPr>
      <t>Incluye las actividades de mantenimiento rutinario, periódico, preventivo, correctivo, rehabilitación o reconstrucción.</t>
    </r>
  </si>
  <si>
    <t>Y</t>
  </si>
  <si>
    <r>
      <rPr>
        <b/>
        <u/>
        <sz val="18"/>
        <color rgb="FFFF0000"/>
        <rFont val="Calibri"/>
        <family val="2"/>
      </rPr>
      <t xml:space="preserve">EXPERIENCIA ESPECIFICA 2: </t>
    </r>
    <r>
      <rPr>
        <b/>
        <sz val="18"/>
        <color rgb="FFFF0000"/>
        <rFont val="Calibri"/>
        <family val="2"/>
        <charset val="1"/>
      </rPr>
      <t xml:space="preserve"> Por lo menos uno (1) de los contratos válidos aportados como experiencia general debe acreditar la intervención de redes de servicios públicos.</t>
    </r>
  </si>
  <si>
    <r>
      <t xml:space="preserve">NÚMERO DE CONTRATOS: </t>
    </r>
    <r>
      <rPr>
        <b/>
        <sz val="18"/>
        <rFont val="Calibri"/>
        <family val="2"/>
        <charset val="1"/>
      </rPr>
      <t>C. El Proponente podrá aportar mínimo uno (1) y máximo cinco (5) contratos para la evaluación y asignación de puntaje por concepto de experiencia.</t>
    </r>
  </si>
  <si>
    <t xml:space="preserve">CONDICIÓN 1: E. Los contratos deben haber terminado antes de la fecha de cierre del presente Proceso de Contratación. </t>
  </si>
  <si>
    <r>
      <rPr>
        <b/>
        <sz val="18"/>
        <color theme="1"/>
        <rFont val="Calibri"/>
        <family val="2"/>
        <charset val="1"/>
      </rPr>
      <t>CONDICI</t>
    </r>
    <r>
      <rPr>
        <b/>
        <sz val="18"/>
        <rFont val="Calibri"/>
        <family val="2"/>
        <charset val="1"/>
      </rPr>
      <t>ÓN 2: En el clasificador de bienes y servicios, el segmento correspondiente para la clasificación de la experiencia es el segmento 80 y/o 81 : 81101500 - 81102200 - 801016</t>
    </r>
    <r>
      <rPr>
        <b/>
        <sz val="18"/>
        <color rgb="FF000000"/>
        <rFont val="Calibri"/>
        <family val="2"/>
        <charset val="1"/>
      </rPr>
      <t>00</t>
    </r>
  </si>
  <si>
    <r>
      <rPr>
        <b/>
        <sz val="18"/>
        <color theme="1"/>
        <rFont val="Calibri"/>
        <family val="2"/>
        <charset val="1"/>
      </rPr>
      <t>CONDICIÓN 3</t>
    </r>
    <r>
      <rPr>
        <b/>
        <sz val="18"/>
        <rFont val="Calibri"/>
        <family val="2"/>
        <charset val="1"/>
      </rPr>
      <t>: C. Si el Proponente relaciona o anexa más de cinco (5) contratos en el “Formato 3 – Experiencia”, para efectos de evaluar la experiencia únicamente se tendrán en cuenta los cinco (5) contratos aportados de mayor valor.</t>
    </r>
  </si>
  <si>
    <r>
      <rPr>
        <b/>
        <sz val="18"/>
        <color theme="1"/>
        <rFont val="Calibri"/>
        <family val="2"/>
        <charset val="1"/>
      </rPr>
      <t>CONDICIÓN 4</t>
    </r>
    <r>
      <rPr>
        <b/>
        <sz val="18"/>
        <rFont val="Calibri"/>
        <family val="2"/>
        <charset val="1"/>
      </rPr>
      <t>: C.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demostrar experiencia. En este último caso, el porcentaje de participación del integrante que no aporta experiencia en la estructura plural no podrá superar el diez por ciento (10 %).</t>
    </r>
    <r>
      <rPr>
        <b/>
        <sz val="18"/>
        <color rgb="FF000000"/>
        <rFont val="Calibri"/>
        <family val="2"/>
        <charset val="1"/>
      </rPr>
      <t xml:space="preserve">
Estos porcentajes que acreditarán los integrantes del Proponente Plural se podrán cumplir con contratos válidos que acrediten cualquier requisito de experiencia solicitada en el Pliego de Condiciones y se verificará de conformidad con el porcentaje mínimo de experiencia exigido en el numeral 3.8.1., esto es, frente al cien por ciento (100 %) del Presupuesto Oficial.</t>
    </r>
  </si>
  <si>
    <t>CONDICIÓN 5: H. Cuando el contrato que se aporte para la experiencia haya sido ejecutado por un Consorcio o por una Unión Temporal, y dos (2) o más de sus integrantes conformen un Proponente Plural para participar en el presente proceso, dicho contrato se entenderá aportado como un (1) solo contrato y se tendrá en cuenta para el aporte de la experiencia la sumatoria de los porcentajes de los integrantes del Consorcio o de la Unión Temporal que ejecutaron el contrato y que están participando en el Proceso de Contratación, siempre y cuando en el “Formato 3 – Experiencia” se indique qué integrantes y porcentajes de participación se ofrecen como experiencia</t>
  </si>
  <si>
    <t>Año</t>
  </si>
  <si>
    <t>Salario mínimo mensual</t>
  </si>
  <si>
    <t>CANTIDAD DE SMMLV QUE REPRESENTAN EL PROMEDIO DE LOS CONTRATOS VALIDOS PARA ACREDITAR EXPERIENCIA</t>
  </si>
  <si>
    <t>PUNTAJE MAXIMO</t>
  </si>
  <si>
    <t>PRIMERAS DOS CIFRAS DEC.TRM</t>
  </si>
  <si>
    <t>OFERENTES</t>
  </si>
  <si>
    <t>Promedio SMMLV</t>
  </si>
  <si>
    <t>PUNTAJE</t>
  </si>
  <si>
    <t>REQUISITOS HABILITANTES TÉCNICOS</t>
  </si>
  <si>
    <t>OFERENTE</t>
  </si>
  <si>
    <t>FORMATO 8 - ACEPTACIÓN Y CUMPLIMIENTO PERSONAL CLAVE</t>
  </si>
  <si>
    <t>EXIGENCIA MINIMA DE LA EXPERIENCIA</t>
  </si>
  <si>
    <t>OFERTA ECONOMICA</t>
  </si>
  <si>
    <t xml:space="preserve">CONSOLIDADO </t>
  </si>
  <si>
    <t xml:space="preserve">OBSERVACIONES </t>
  </si>
  <si>
    <t xml:space="preserve">DENTRO DE LA DOCUMENTACION APORTADA NO SE ENCUENTRA LA OFERTA ECONOMICA </t>
  </si>
  <si>
    <t xml:space="preserve">DENTRO DE LA DOCUMENTACION APORTADA NO SE ENCUENTRA LA ODERTA ECONOMICA </t>
  </si>
  <si>
    <t> </t>
  </si>
  <si>
    <r>
      <rPr>
        <b/>
        <sz val="18"/>
        <color rgb="FFFF0000"/>
        <rFont val="Calibri"/>
        <family val="2"/>
        <charset val="1"/>
      </rPr>
      <t xml:space="preserve">cada contrato debe cumplir con alguno de estos códigos </t>
    </r>
    <r>
      <rPr>
        <b/>
        <u/>
        <sz val="18"/>
        <color rgb="FFFF0000"/>
        <rFont val="Calibri"/>
        <family val="2"/>
        <charset val="1"/>
      </rPr>
      <t>81101500, 81102200, 80101600</t>
    </r>
  </si>
  <si>
    <r>
      <rPr>
        <b/>
        <sz val="12"/>
        <color theme="1"/>
        <rFont val="Calibri"/>
        <family val="2"/>
        <charset val="1"/>
      </rPr>
      <t xml:space="preserve">OBJETO: </t>
    </r>
    <r>
      <rPr>
        <b/>
        <sz val="12"/>
        <color rgb="FFFF0000"/>
        <rFont val="Calibri"/>
        <family val="2"/>
        <charset val="1"/>
      </rPr>
      <t>REALIZAR LA INTERVENTORIA, TECNICA ADMINISTRATIVA JURÍDICA FINANCIERA SOCIAL AMBIENTAL Y DE SEGURIDAD Y SALUD EN EL TRABAJO AL CONTRATO cuyo objeto es REALIZAR LAS OBRAS DE CONSERVACION DE LA MALLA VIAL Y ESPACIO PUBLICO ASOCIADO EN LA LOCALIDAD DE FONTIBON BOGOTA DC A TRAVES DEL SISTEMA DE PRECIOS UNITARIOS FIJOS Y A MONTO AGOTABLE</t>
    </r>
  </si>
  <si>
    <t xml:space="preserve">Por lo menos uno (1) de los contratos válidos aportados como experiencia general debe acreditar que se hayan realizado actividades de interventoría para el diagnóstico y/o estudios y diseños, para actividades de Conservación de vías. </t>
  </si>
  <si>
    <t>Por lo menos uno (1) de los contratos válidos aportados como experiencia general debe acreditar la intervención de redes de servicios públicos</t>
  </si>
  <si>
    <r>
      <t xml:space="preserve">NÚMERO DE CONTRATOS: </t>
    </r>
    <r>
      <rPr>
        <b/>
        <sz val="12"/>
        <rFont val="Calibri"/>
        <family val="2"/>
        <charset val="1"/>
      </rPr>
      <t xml:space="preserve">C. Se podrán aportar mínimo uno (1) y máximo seis (6) contratos para la evaluación y asignación de puntaje por concepto de experiencia, siempre y cuando cumplan con lo establecido en este documento. </t>
    </r>
  </si>
  <si>
    <t>CONDICIÓN 1: E. Los contratos acreditados deben haber terminado antes de la fecha de cierre del presente proceso de contratación</t>
  </si>
  <si>
    <t>CONDICIÓN 2: En el clasificador de bienes y servicios, el segmento correspondiente para la clasificación de la experiencia es el segmento 80 y/o 81 : 81101500 - 81102200 - 80101600</t>
  </si>
  <si>
    <t>CONDICIÓN 3: C. Si el Proponente relaciona o anexa más de cinco (5) contratos en el “Formato 3 – Experiencia”, para efectos de evaluar la experiencia únicamente se tendrán en cuenta los cinco (5) contratos aportados de mayor valor.</t>
  </si>
  <si>
    <t>CONDICIÓN 4: C.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demostrar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verificará de conformidad con el porcentaje mínimo de experiencia exigido en el numeral 3.8.1., esto es, frente al cien por ciento (100 %) del Presupuesto Oficial.</t>
  </si>
  <si>
    <t>REALIZAR LA INTERVENTORIA, TECNICA ADMINISTRATIVA JURÍDICA FINANCIERA SOCIAL AMBIENTAL Y DE SEGURIDAD Y SALUD EN EL TRABAJO AL CONTRATO cuyo objeto es "REALIZAR LAS OBRAS DE CONSERVACION DE LA MALLA VIAL Y ESPACIO PUBLICO ASOCIADO EN LA LOCALIDAD DE FONTIBON BOGOTA DC A TRAVES DEL SISTEMA DE PRECIOS UNITARIOS FIJOS Y A MONTO AGOTABLE"</t>
  </si>
  <si>
    <t>Nombre de Oferente :</t>
  </si>
  <si>
    <t>CAPACIDAD FINANCIERA</t>
  </si>
  <si>
    <t>CAPACIDAD JURIDICA</t>
  </si>
  <si>
    <t>CAPACIDAD TÉCNICA</t>
  </si>
  <si>
    <t>INFORME 
FINAL</t>
  </si>
  <si>
    <t>No.</t>
  </si>
  <si>
    <t>VERIFICACIÓN REGISTRO NACIONAL DE OBRAS INCONCLUSAS</t>
  </si>
  <si>
    <t>NO REGISTRA OBRAS INCONCLUSAS</t>
  </si>
  <si>
    <t>CONCURSO DE MERITOS ABIERTO FDLF-CMA-001-2023</t>
  </si>
  <si>
    <t>FACTORES PONDERABLES</t>
  </si>
  <si>
    <t>FACTORES PONDERABLES / PUNTAJE FINAL</t>
  </si>
  <si>
    <t>EXPERIENCIA DEL PROPONENTE
(67,5 PUNTOS)</t>
  </si>
  <si>
    <t>EQUIPO DE TRABAJO (PERSONAL CLAVE EVALUABLE)
(10 PUNTOS)</t>
  </si>
  <si>
    <t>FACTOR DE SOSTENIBILIDAD
(1 PUNTO)</t>
  </si>
  <si>
    <t>APOYO A LA INDUSTRIA NACIONAL
(20 PUNTOS)</t>
  </si>
  <si>
    <t>VINCULACIÓN DE PERSONAS CON DISCAPACIDAD
(1 PUNTO)</t>
  </si>
  <si>
    <t>EMPRENDIMIENTO Y EMPRESAS DE MUJERES
(0,25 PUNTOS)</t>
  </si>
  <si>
    <t>MIPYME 
(0,25 PUNTOS)</t>
  </si>
  <si>
    <t>ANOTACIONES REGISTRO NACIONAL DE OBRAS INCONCLUSAS 
( -1 PUNTO)</t>
  </si>
  <si>
    <t>MULTAS Y SANCIONES
( -2 PUNTOS)</t>
  </si>
  <si>
    <t>PUNTAJE     TOTAL</t>
  </si>
  <si>
    <t>EL PROPONENTE NO ADJUNTA EL FORMATO DE VINCULACIÓN DE PERSONAS EN SITUACIÓN DE  DISCAPACIDAD</t>
  </si>
  <si>
    <t>no presentaron formato para puntaje  de emprendimiento de mujeres</t>
  </si>
  <si>
    <t>0.25</t>
  </si>
  <si>
    <t>MEDIA GEOMETRICA</t>
  </si>
  <si>
    <t>FECHA DE CIERRE</t>
  </si>
  <si>
    <t>TRM VIGENTE 09/12/2024</t>
  </si>
  <si>
    <t>NO HABILITADO</t>
  </si>
  <si>
    <t>HABILITADO</t>
  </si>
  <si>
    <t>SE REQUIERE AL PROPONENTE PARA QUE SUBSANE O PRESENTE OBSERVACIONES EN EL TERMINO DEL TRASLADO DEL INFORME DE EVALUACIÓN PRELIMINAR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</si>
</sst>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_-;&quot;-$&quot;* #,##0_-;_-\$* \-_-;_-@_-"/>
    <numFmt numFmtId="167" formatCode="_-* #,##0.00_-;\-* #,##0.00_-;_-* \-??_-;_-@_-"/>
    <numFmt numFmtId="168" formatCode="_-* #,##0.00_-;\-* #,##0.00_-;_-* &quot;-&quot;_-;_-@_-"/>
    <numFmt numFmtId="169" formatCode="_ * #,##0.00_ ;_ * \-#,##0.00_ ;_ * &quot;-&quot;??_ ;_ @_ "/>
    <numFmt numFmtId="170" formatCode="_-&quot;$&quot;\ * #,##0.00_-;\-&quot;$&quot;\ * #,##0.00_-;_-&quot;$&quot;\ * &quot;-&quot;_-;_-@_-"/>
    <numFmt numFmtId="171" formatCode="0.00000000"/>
    <numFmt numFmtId="172" formatCode="0.000"/>
    <numFmt numFmtId="173" formatCode="_-&quot;$&quot;\ * #,##0.0_-;\-&quot;$&quot;\ * #,##0.0_-;_-&quot;$&quot;\ * &quot;-&quot;_-;_-@_-"/>
  </numFmts>
  <fonts count="94">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rgb="FF000000"/>
      <name val="Calibri"/>
      <family val="2"/>
      <charset val="1"/>
    </font>
    <font>
      <b/>
      <sz val="20"/>
      <color rgb="FF000000"/>
      <name val="Calibri"/>
      <family val="2"/>
      <charset val="1"/>
    </font>
    <font>
      <sz val="11"/>
      <color rgb="FF000000"/>
      <name val="Calibri"/>
      <family val="2"/>
      <charset val="1"/>
    </font>
    <font>
      <sz val="10"/>
      <name val="Arial"/>
      <family val="2"/>
    </font>
    <font>
      <b/>
      <sz val="18"/>
      <color rgb="FF000000"/>
      <name val="Calibri"/>
      <family val="2"/>
    </font>
    <font>
      <b/>
      <sz val="20"/>
      <name val="Arial"/>
      <family val="2"/>
      <charset val="1"/>
    </font>
    <font>
      <b/>
      <sz val="14"/>
      <name val="Arial"/>
      <family val="2"/>
      <charset val="1"/>
    </font>
    <font>
      <b/>
      <sz val="26"/>
      <name val="Arial"/>
      <family val="2"/>
      <charset val="1"/>
    </font>
    <font>
      <b/>
      <sz val="12"/>
      <name val="Arial"/>
      <family val="2"/>
      <charset val="1"/>
    </font>
    <font>
      <sz val="12"/>
      <name val="Arial"/>
      <family val="2"/>
      <charset val="1"/>
    </font>
    <font>
      <b/>
      <sz val="20"/>
      <color rgb="FF000000"/>
      <name val="Calibri"/>
      <family val="2"/>
    </font>
    <font>
      <b/>
      <sz val="18"/>
      <color rgb="FFFF0000"/>
      <name val="Calibri"/>
      <family val="2"/>
      <charset val="1"/>
    </font>
    <font>
      <sz val="18"/>
      <color rgb="FF000000"/>
      <name val="Calibri"/>
      <family val="2"/>
      <charset val="1"/>
    </font>
    <font>
      <b/>
      <sz val="11"/>
      <color rgb="FFFFFFFF"/>
      <name val="Arial"/>
      <family val="2"/>
    </font>
    <font>
      <sz val="11"/>
      <color rgb="FF111111"/>
      <name val="Arial"/>
      <family val="2"/>
    </font>
    <font>
      <sz val="11"/>
      <color indexed="8"/>
      <name val="Calibri"/>
      <family val="2"/>
    </font>
    <font>
      <b/>
      <sz val="12"/>
      <color theme="1"/>
      <name val="Arial"/>
      <family val="2"/>
      <charset val="1"/>
    </font>
    <font>
      <sz val="12"/>
      <color rgb="FF000000"/>
      <name val="Calibri"/>
      <family val="2"/>
      <charset val="1"/>
    </font>
    <font>
      <b/>
      <sz val="12"/>
      <name val="Arial"/>
      <family val="2"/>
    </font>
    <font>
      <sz val="11"/>
      <color theme="1"/>
      <name val="Calibri"/>
      <family val="2"/>
    </font>
    <font>
      <sz val="11"/>
      <color theme="1"/>
      <name val="Calibri"/>
      <family val="2"/>
    </font>
    <font>
      <b/>
      <sz val="11"/>
      <color theme="1"/>
      <name val="Calibri"/>
      <family val="2"/>
      <scheme val="minor"/>
    </font>
    <font>
      <b/>
      <sz val="14"/>
      <color theme="1"/>
      <name val="Calibri"/>
      <family val="2"/>
      <scheme val="minor"/>
    </font>
    <font>
      <b/>
      <sz val="16"/>
      <color theme="1"/>
      <name val="Calibri"/>
      <family val="2"/>
      <scheme val="minor"/>
    </font>
    <font>
      <b/>
      <sz val="11"/>
      <color theme="1"/>
      <name val="Arial Narrow"/>
      <family val="2"/>
    </font>
    <font>
      <b/>
      <sz val="12"/>
      <color rgb="FFFF0000"/>
      <name val="Arial"/>
      <family val="2"/>
    </font>
    <font>
      <b/>
      <sz val="16"/>
      <color rgb="FFFF0000"/>
      <name val="Calibri"/>
      <family val="2"/>
    </font>
    <font>
      <b/>
      <sz val="11"/>
      <color rgb="FF000000"/>
      <name val="Calibri"/>
      <family val="2"/>
    </font>
    <font>
      <b/>
      <sz val="11"/>
      <color rgb="FF000000"/>
      <name val="Calibri"/>
      <family val="2"/>
      <charset val="1"/>
    </font>
    <font>
      <sz val="10"/>
      <color indexed="8"/>
      <name val="MS Sans Serif"/>
      <family val="2"/>
    </font>
    <font>
      <sz val="11"/>
      <color theme="0"/>
      <name val="Calibri"/>
      <family val="2"/>
      <charset val="1"/>
    </font>
    <font>
      <b/>
      <sz val="16"/>
      <name val="Calibri"/>
      <family val="2"/>
    </font>
    <font>
      <sz val="11"/>
      <name val="Calibri"/>
      <family val="2"/>
      <scheme val="minor"/>
    </font>
    <font>
      <b/>
      <sz val="11"/>
      <name val="Calibri"/>
      <family val="2"/>
      <scheme val="minor"/>
    </font>
    <font>
      <sz val="11"/>
      <name val="Calibri"/>
      <family val="2"/>
    </font>
    <font>
      <b/>
      <sz val="24"/>
      <color theme="0"/>
      <name val="Arial"/>
      <family val="2"/>
      <charset val="1"/>
    </font>
    <font>
      <b/>
      <sz val="36"/>
      <color theme="0"/>
      <name val="Arial"/>
      <family val="2"/>
      <charset val="1"/>
    </font>
    <font>
      <b/>
      <sz val="28"/>
      <color theme="0"/>
      <name val="Calibri"/>
      <family val="2"/>
    </font>
    <font>
      <b/>
      <sz val="10"/>
      <color rgb="FFFF0000"/>
      <name val="Calibri"/>
      <family val="2"/>
      <charset val="1"/>
    </font>
    <font>
      <sz val="10"/>
      <color rgb="FF000000"/>
      <name val="Calibri"/>
      <family val="2"/>
      <charset val="1"/>
    </font>
    <font>
      <b/>
      <u/>
      <sz val="10"/>
      <color rgb="FFFF0000"/>
      <name val="Calibri"/>
      <family val="2"/>
      <charset val="1"/>
    </font>
    <font>
      <b/>
      <sz val="12"/>
      <color rgb="FF000000"/>
      <name val="Calibri"/>
      <family val="2"/>
      <charset val="1"/>
    </font>
    <font>
      <b/>
      <u/>
      <sz val="18"/>
      <color rgb="FFFF0000"/>
      <name val="Calibri"/>
      <family val="2"/>
      <charset val="1"/>
    </font>
    <font>
      <b/>
      <sz val="18"/>
      <color theme="1"/>
      <name val="Calibri"/>
      <family val="2"/>
      <charset val="1"/>
    </font>
    <font>
      <b/>
      <sz val="18"/>
      <name val="Calibri"/>
      <family val="2"/>
      <charset val="1"/>
    </font>
    <font>
      <b/>
      <sz val="18"/>
      <color rgb="FF000000"/>
      <name val="Calibri"/>
      <family val="2"/>
      <charset val="1"/>
    </font>
    <font>
      <b/>
      <sz val="14"/>
      <color rgb="FF000000"/>
      <name val="Calibri"/>
      <family val="2"/>
    </font>
    <font>
      <b/>
      <u/>
      <sz val="25"/>
      <color rgb="FFFF0000"/>
      <name val="Calibri"/>
      <family val="2"/>
      <charset val="1"/>
    </font>
    <font>
      <b/>
      <sz val="12"/>
      <name val="Calibri"/>
      <family val="2"/>
      <charset val="1"/>
    </font>
    <font>
      <b/>
      <u/>
      <sz val="12"/>
      <color rgb="FFFF0000"/>
      <name val="Calibri"/>
      <family val="2"/>
      <charset val="1"/>
    </font>
    <font>
      <b/>
      <sz val="12"/>
      <color rgb="FFFF0000"/>
      <name val="Calibri"/>
      <family val="2"/>
      <charset val="1"/>
    </font>
    <font>
      <b/>
      <sz val="12"/>
      <color theme="1"/>
      <name val="Calibri"/>
      <family val="2"/>
      <charset val="1"/>
    </font>
    <font>
      <sz val="12"/>
      <color rgb="FF000000"/>
      <name val="Calibri"/>
      <family val="2"/>
    </font>
    <font>
      <b/>
      <sz val="14"/>
      <name val="Calibri"/>
      <family val="2"/>
      <scheme val="minor"/>
    </font>
    <font>
      <b/>
      <sz val="14"/>
      <name val="Calibri"/>
      <family val="2"/>
    </font>
    <font>
      <b/>
      <sz val="20"/>
      <color theme="1"/>
      <name val="Calibri"/>
      <family val="2"/>
      <scheme val="minor"/>
    </font>
    <font>
      <b/>
      <sz val="10"/>
      <color theme="1"/>
      <name val="Arial"/>
      <family val="2"/>
    </font>
    <font>
      <sz val="20"/>
      <color rgb="FFFF0000"/>
      <name val="Calibri"/>
      <family val="2"/>
      <scheme val="minor"/>
    </font>
    <font>
      <sz val="20"/>
      <name val="Calibri"/>
      <family val="2"/>
      <scheme val="minor"/>
    </font>
    <font>
      <b/>
      <u/>
      <sz val="18"/>
      <color rgb="FFFF0000"/>
      <name val="Calibri"/>
      <family val="2"/>
    </font>
    <font>
      <b/>
      <sz val="18"/>
      <color rgb="FFFF0000"/>
      <name val="Calibri"/>
      <family val="2"/>
    </font>
    <font>
      <b/>
      <sz val="18"/>
      <color theme="1"/>
      <name val="Calibri"/>
      <family val="2"/>
      <scheme val="minor"/>
    </font>
    <font>
      <b/>
      <sz val="12"/>
      <color theme="1"/>
      <name val="Calibri  "/>
    </font>
    <font>
      <sz val="11"/>
      <color rgb="FFFF0000"/>
      <name val="Calibri"/>
      <family val="2"/>
      <charset val="1"/>
    </font>
    <font>
      <sz val="11"/>
      <name val="Calibri"/>
      <family val="2"/>
      <charset val="1"/>
    </font>
    <font>
      <b/>
      <sz val="16"/>
      <color rgb="FF000000"/>
      <name val="Calibri"/>
      <family val="2"/>
    </font>
    <font>
      <b/>
      <sz val="18"/>
      <name val="Arial"/>
      <family val="2"/>
    </font>
    <font>
      <b/>
      <sz val="18"/>
      <color rgb="FFFF0000"/>
      <name val="Arial"/>
      <family val="2"/>
    </font>
    <font>
      <b/>
      <sz val="18"/>
      <name val="Calibri"/>
      <family val="2"/>
    </font>
    <font>
      <sz val="12"/>
      <name val="Arial"/>
      <family val="2"/>
    </font>
    <font>
      <sz val="10"/>
      <name val="Arial Narrow"/>
      <family val="2"/>
    </font>
    <font>
      <sz val="10"/>
      <color theme="1"/>
      <name val="Arial"/>
      <family val="2"/>
    </font>
    <font>
      <sz val="11"/>
      <name val="Arial Narrow"/>
      <family val="2"/>
    </font>
    <font>
      <sz val="9"/>
      <name val="Arial"/>
      <family val="2"/>
    </font>
    <font>
      <sz val="11"/>
      <name val="Arial"/>
      <family val="2"/>
    </font>
    <font>
      <b/>
      <sz val="11"/>
      <name val="Calibri"/>
      <family val="2"/>
    </font>
    <font>
      <sz val="12"/>
      <name val="Arial"/>
    </font>
    <font>
      <sz val="12"/>
      <color rgb="FF000000"/>
      <name val="Arial"/>
      <family val="2"/>
    </font>
    <font>
      <b/>
      <sz val="12"/>
      <name val="Arial"/>
    </font>
    <font>
      <sz val="11"/>
      <color rgb="FFFF0000"/>
      <name val="Calibri"/>
      <family val="2"/>
      <scheme val="minor"/>
    </font>
    <font>
      <sz val="12"/>
      <color theme="7"/>
      <name val="Arial"/>
      <family val="2"/>
    </font>
  </fonts>
  <fills count="25">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rgb="FF77BB0F"/>
        <bgColor indexed="64"/>
      </patternFill>
    </fill>
    <fill>
      <patternFill patternType="solid">
        <fgColor rgb="FFF8F8F8"/>
        <bgColor indexed="64"/>
      </patternFill>
    </fill>
    <fill>
      <patternFill patternType="solid">
        <fgColor rgb="FFFFFFFF"/>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theme="7"/>
        <bgColor indexed="64"/>
      </patternFill>
    </fill>
    <fill>
      <patternFill patternType="solid">
        <fgColor theme="1" tint="0.34998626667073579"/>
        <bgColor indexed="64"/>
      </patternFill>
    </fill>
    <fill>
      <patternFill patternType="solid">
        <fgColor rgb="FF92D050"/>
        <bgColor indexed="64"/>
      </patternFill>
    </fill>
    <fill>
      <patternFill patternType="solid">
        <fgColor rgb="FFC6E0B4"/>
        <bgColor rgb="FF000000"/>
      </patternFill>
    </fill>
    <fill>
      <patternFill patternType="solid">
        <fgColor rgb="FFD0CECE"/>
        <bgColor indexed="64"/>
      </patternFill>
    </fill>
    <fill>
      <patternFill patternType="solid">
        <fgColor rgb="FFFF0000"/>
        <bgColor rgb="FF000000"/>
      </patternFill>
    </fill>
    <fill>
      <patternFill patternType="solid">
        <fgColor theme="5" tint="0.59999389629810485"/>
        <bgColor indexed="64"/>
      </patternFill>
    </fill>
    <fill>
      <patternFill patternType="solid">
        <fgColor rgb="FF00B050"/>
        <bgColor indexed="64"/>
      </patternFill>
    </fill>
    <fill>
      <patternFill patternType="solid">
        <fgColor theme="0"/>
        <bgColor indexed="64"/>
      </patternFill>
    </fill>
    <fill>
      <patternFill patternType="solid">
        <fgColor theme="7" tint="0.59999389629810485"/>
        <bgColor rgb="FFFFFFCC"/>
      </patternFill>
    </fill>
    <fill>
      <patternFill patternType="solid">
        <fgColor theme="7" tint="0.59999389629810485"/>
        <bgColor rgb="FFCCFFFF"/>
      </patternFill>
    </fill>
    <fill>
      <patternFill patternType="solid">
        <fgColor theme="9" tint="0.59999389629810485"/>
        <bgColor rgb="FF000000"/>
      </patternFill>
    </fill>
    <fill>
      <patternFill patternType="solid">
        <fgColor theme="3" tint="0.59999389629810485"/>
        <bgColor indexed="64"/>
      </patternFill>
    </fill>
    <fill>
      <patternFill patternType="solid">
        <fgColor theme="6" tint="0.59999389629810485"/>
        <bgColor indexed="64"/>
      </patternFill>
    </fill>
    <fill>
      <patternFill patternType="solid">
        <fgColor theme="0" tint="-4.9989318521683403E-2"/>
        <bgColor indexed="64"/>
      </patternFill>
    </fill>
  </fills>
  <borders count="91">
    <border>
      <left/>
      <right/>
      <top/>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style="medium">
        <color auto="1"/>
      </left>
      <right/>
      <top style="medium">
        <color auto="1"/>
      </top>
      <bottom/>
      <diagonal/>
    </border>
    <border>
      <left style="medium">
        <color auto="1"/>
      </left>
      <right/>
      <top/>
      <bottom/>
      <diagonal/>
    </border>
    <border>
      <left style="thin">
        <color auto="1"/>
      </left>
      <right style="thin">
        <color auto="1"/>
      </right>
      <top style="medium">
        <color auto="1"/>
      </top>
      <bottom style="thin">
        <color auto="1"/>
      </bottom>
      <diagonal/>
    </border>
    <border>
      <left/>
      <right style="medium">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right/>
      <top style="medium">
        <color auto="1"/>
      </top>
      <bottom/>
      <diagonal/>
    </border>
    <border>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top style="thin">
        <color auto="1"/>
      </top>
      <bottom/>
      <diagonal/>
    </border>
    <border>
      <left style="thin">
        <color auto="1"/>
      </left>
      <right/>
      <top/>
      <bottom style="thin">
        <color auto="1"/>
      </bottom>
      <diagonal/>
    </border>
    <border>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top style="medium">
        <color indexed="64"/>
      </top>
      <bottom style="thin">
        <color auto="1"/>
      </bottom>
      <diagonal/>
    </border>
    <border>
      <left style="medium">
        <color indexed="64"/>
      </left>
      <right/>
      <top style="medium">
        <color indexed="64"/>
      </top>
      <bottom style="thin">
        <color indexed="64"/>
      </bottom>
      <diagonal/>
    </border>
    <border>
      <left style="medium">
        <color auto="1"/>
      </left>
      <right/>
      <top style="thin">
        <color auto="1"/>
      </top>
      <bottom style="medium">
        <color auto="1"/>
      </bottom>
      <diagonal/>
    </border>
    <border>
      <left/>
      <right/>
      <top style="thin">
        <color indexed="64"/>
      </top>
      <bottom style="medium">
        <color indexed="64"/>
      </bottom>
      <diagonal/>
    </border>
    <border>
      <left style="thin">
        <color auto="1"/>
      </left>
      <right/>
      <top style="thin">
        <color auto="1"/>
      </top>
      <bottom style="medium">
        <color auto="1"/>
      </bottom>
      <diagonal/>
    </border>
    <border>
      <left style="thin">
        <color auto="1"/>
      </left>
      <right/>
      <top style="medium">
        <color auto="1"/>
      </top>
      <bottom style="thin">
        <color auto="1"/>
      </bottom>
      <diagonal/>
    </border>
    <border>
      <left style="medium">
        <color indexed="64"/>
      </left>
      <right style="medium">
        <color indexed="64"/>
      </right>
      <top style="medium">
        <color indexed="64"/>
      </top>
      <bottom style="medium">
        <color indexed="64"/>
      </bottom>
      <diagonal/>
    </border>
    <border>
      <left/>
      <right style="medium">
        <color auto="1"/>
      </right>
      <top style="thin">
        <color auto="1"/>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medium">
        <color indexed="64"/>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auto="1"/>
      </right>
      <top style="medium">
        <color indexed="64"/>
      </top>
      <bottom style="medium">
        <color indexed="64"/>
      </bottom>
      <diagonal/>
    </border>
    <border>
      <left style="medium">
        <color indexed="64"/>
      </left>
      <right/>
      <top/>
      <bottom style="medium">
        <color auto="1"/>
      </bottom>
      <diagonal/>
    </border>
    <border>
      <left style="medium">
        <color auto="1"/>
      </left>
      <right/>
      <top style="thin">
        <color auto="1"/>
      </top>
      <bottom/>
      <diagonal/>
    </border>
    <border>
      <left style="thin">
        <color auto="1"/>
      </left>
      <right/>
      <top style="medium">
        <color indexed="64"/>
      </top>
      <bottom style="medium">
        <color indexed="64"/>
      </bottom>
      <diagonal/>
    </border>
    <border>
      <left style="thin">
        <color rgb="FF000000"/>
      </left>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medium">
        <color indexed="64"/>
      </right>
      <top/>
      <bottom style="thin">
        <color auto="1"/>
      </bottom>
      <diagonal/>
    </border>
    <border>
      <left/>
      <right/>
      <top style="thin">
        <color auto="1"/>
      </top>
      <bottom/>
      <diagonal/>
    </border>
    <border>
      <left/>
      <right style="thin">
        <color auto="1"/>
      </right>
      <top style="thin">
        <color auto="1"/>
      </top>
      <bottom/>
      <diagonal/>
    </border>
    <border>
      <left/>
      <right style="thin">
        <color auto="1"/>
      </right>
      <top style="thin">
        <color auto="1"/>
      </top>
      <bottom style="medium">
        <color auto="1"/>
      </bottom>
      <diagonal/>
    </border>
    <border>
      <left style="thin">
        <color auto="1"/>
      </left>
      <right style="medium">
        <color auto="1"/>
      </right>
      <top/>
      <bottom style="thin">
        <color auto="1"/>
      </bottom>
      <diagonal/>
    </border>
    <border>
      <left/>
      <right style="medium">
        <color indexed="64"/>
      </right>
      <top style="thin">
        <color auto="1"/>
      </top>
      <bottom style="medium">
        <color indexed="64"/>
      </bottom>
      <diagonal/>
    </border>
    <border>
      <left style="thin">
        <color auto="1"/>
      </left>
      <right/>
      <top style="dotted">
        <color auto="1"/>
      </top>
      <bottom style="dashed">
        <color auto="1"/>
      </bottom>
      <diagonal/>
    </border>
    <border>
      <left/>
      <right/>
      <top style="dotted">
        <color auto="1"/>
      </top>
      <bottom style="dotted">
        <color auto="1"/>
      </bottom>
      <diagonal/>
    </border>
    <border>
      <left style="thin">
        <color auto="1"/>
      </left>
      <right/>
      <top style="dashed">
        <color auto="1"/>
      </top>
      <bottom style="dash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right style="thin">
        <color auto="1"/>
      </right>
      <top style="medium">
        <color auto="1"/>
      </top>
      <bottom style="thin">
        <color auto="1"/>
      </bottom>
      <diagonal/>
    </border>
    <border>
      <left style="thin">
        <color auto="1"/>
      </left>
      <right/>
      <top style="thin">
        <color auto="1"/>
      </top>
      <bottom style="dotted">
        <color auto="1"/>
      </bottom>
      <diagonal/>
    </border>
    <border>
      <left/>
      <right style="thin">
        <color auto="1"/>
      </right>
      <top style="thin">
        <color auto="1"/>
      </top>
      <bottom style="dotted">
        <color auto="1"/>
      </bottom>
      <diagonal/>
    </border>
    <border>
      <left style="medium">
        <color rgb="FF000000"/>
      </left>
      <right/>
      <top style="medium">
        <color rgb="FF000000"/>
      </top>
      <bottom/>
      <diagonal/>
    </border>
    <border>
      <left style="medium">
        <color auto="1"/>
      </left>
      <right/>
      <top style="medium">
        <color rgb="FF000000"/>
      </top>
      <bottom/>
      <diagonal/>
    </border>
    <border>
      <left style="medium">
        <color auto="1"/>
      </left>
      <right style="medium">
        <color rgb="FF000000"/>
      </right>
      <top style="medium">
        <color rgb="FF000000"/>
      </top>
      <bottom/>
      <diagonal/>
    </border>
    <border>
      <left style="medium">
        <color auto="1"/>
      </left>
      <right style="medium">
        <color rgb="FF000000"/>
      </right>
      <top style="medium">
        <color auto="1"/>
      </top>
      <bottom/>
      <diagonal/>
    </border>
    <border>
      <left style="medium">
        <color auto="1"/>
      </left>
      <right/>
      <top style="medium">
        <color auto="1"/>
      </top>
      <bottom style="medium">
        <color rgb="FF000000"/>
      </bottom>
      <diagonal/>
    </border>
    <border>
      <left style="medium">
        <color auto="1"/>
      </left>
      <right style="medium">
        <color rgb="FF000000"/>
      </right>
      <top style="medium">
        <color auto="1"/>
      </top>
      <bottom style="medium">
        <color rgb="FF000000"/>
      </bottom>
      <diagonal/>
    </border>
    <border>
      <left style="medium">
        <color indexed="64"/>
      </left>
      <right/>
      <top/>
      <bottom style="thin">
        <color indexed="64"/>
      </bottom>
      <diagonal/>
    </border>
    <border>
      <left/>
      <right/>
      <top/>
      <bottom style="thin">
        <color auto="1"/>
      </bottom>
      <diagonal/>
    </border>
    <border>
      <left style="thin">
        <color auto="1"/>
      </left>
      <right style="medium">
        <color auto="1"/>
      </right>
      <top/>
      <bottom/>
      <diagonal/>
    </border>
    <border>
      <left style="medium">
        <color rgb="FF000000"/>
      </left>
      <right style="thin">
        <color auto="1"/>
      </right>
      <top style="medium">
        <color rgb="FF000000"/>
      </top>
      <bottom style="thin">
        <color auto="1"/>
      </bottom>
      <diagonal/>
    </border>
    <border>
      <left style="thin">
        <color auto="1"/>
      </left>
      <right style="thin">
        <color auto="1"/>
      </right>
      <top style="medium">
        <color rgb="FF000000"/>
      </top>
      <bottom style="thin">
        <color auto="1"/>
      </bottom>
      <diagonal/>
    </border>
    <border>
      <left style="thin">
        <color auto="1"/>
      </left>
      <right style="medium">
        <color rgb="FF000000"/>
      </right>
      <top style="medium">
        <color rgb="FF000000"/>
      </top>
      <bottom/>
      <diagonal/>
    </border>
    <border>
      <left style="medium">
        <color rgb="FF000000"/>
      </left>
      <right/>
      <top style="thin">
        <color auto="1"/>
      </top>
      <bottom style="thin">
        <color auto="1"/>
      </bottom>
      <diagonal/>
    </border>
    <border>
      <left style="thin">
        <color auto="1"/>
      </left>
      <right style="medium">
        <color rgb="FF000000"/>
      </right>
      <top/>
      <bottom style="thin">
        <color auto="1"/>
      </bottom>
      <diagonal/>
    </border>
    <border>
      <left style="thin">
        <color auto="1"/>
      </left>
      <right style="medium">
        <color rgb="FF000000"/>
      </right>
      <top style="thin">
        <color auto="1"/>
      </top>
      <bottom style="thin">
        <color auto="1"/>
      </bottom>
      <diagonal/>
    </border>
    <border>
      <left style="medium">
        <color rgb="FF000000"/>
      </left>
      <right/>
      <top style="thin">
        <color auto="1"/>
      </top>
      <bottom style="medium">
        <color rgb="FF000000"/>
      </bottom>
      <diagonal/>
    </border>
    <border>
      <left style="medium">
        <color auto="1"/>
      </left>
      <right/>
      <top style="thin">
        <color auto="1"/>
      </top>
      <bottom style="medium">
        <color rgb="FF000000"/>
      </bottom>
      <diagonal/>
    </border>
    <border>
      <left style="thin">
        <color auto="1"/>
      </left>
      <right/>
      <top style="thin">
        <color auto="1"/>
      </top>
      <bottom style="medium">
        <color rgb="FF000000"/>
      </bottom>
      <diagonal/>
    </border>
    <border>
      <left style="thin">
        <color auto="1"/>
      </left>
      <right style="medium">
        <color rgb="FF000000"/>
      </right>
      <top style="thin">
        <color auto="1"/>
      </top>
      <bottom style="medium">
        <color rgb="FF000000"/>
      </bottom>
      <diagonal/>
    </border>
    <border>
      <left/>
      <right/>
      <top style="medium">
        <color auto="1"/>
      </top>
      <bottom style="medium">
        <color rgb="FF000000"/>
      </bottom>
      <diagonal/>
    </border>
    <border>
      <left style="medium">
        <color indexed="64"/>
      </left>
      <right style="medium">
        <color indexed="64"/>
      </right>
      <top style="medium">
        <color indexed="64"/>
      </top>
      <bottom style="thin">
        <color auto="1"/>
      </bottom>
      <diagonal/>
    </border>
    <border>
      <left/>
      <right style="medium">
        <color auto="1"/>
      </right>
      <top style="medium">
        <color auto="1"/>
      </top>
      <bottom style="thin">
        <color auto="1"/>
      </bottom>
      <diagonal/>
    </border>
    <border>
      <left style="medium">
        <color indexed="64"/>
      </left>
      <right style="medium">
        <color indexed="64"/>
      </right>
      <top style="thin">
        <color auto="1"/>
      </top>
      <bottom style="medium">
        <color indexed="64"/>
      </bottom>
      <diagonal/>
    </border>
  </borders>
  <cellStyleXfs count="126">
    <xf numFmtId="0" fontId="0" fillId="0" borderId="0"/>
    <xf numFmtId="166" fontId="15" fillId="0" borderId="0" applyBorder="0" applyProtection="0"/>
    <xf numFmtId="164" fontId="16" fillId="0" borderId="0" applyBorder="0" applyAlignment="0" applyProtection="0"/>
    <xf numFmtId="167" fontId="15" fillId="0" borderId="0" applyBorder="0" applyProtection="0"/>
    <xf numFmtId="9" fontId="15" fillId="0" borderId="0" applyBorder="0" applyProtection="0"/>
    <xf numFmtId="0" fontId="16" fillId="0" borderId="0"/>
    <xf numFmtId="9" fontId="16" fillId="0" borderId="0" applyFont="0" applyFill="0" applyBorder="0" applyAlignment="0" applyProtection="0"/>
    <xf numFmtId="169" fontId="16" fillId="0" borderId="0" applyFont="0" applyFill="0" applyBorder="0" applyAlignment="0" applyProtection="0"/>
    <xf numFmtId="0" fontId="28" fillId="0" borderId="0" applyFill="0" applyProtection="0"/>
    <xf numFmtId="0" fontId="12" fillId="0" borderId="0"/>
    <xf numFmtId="0" fontId="32" fillId="0" borderId="0"/>
    <xf numFmtId="0" fontId="15" fillId="0" borderId="0"/>
    <xf numFmtId="42" fontId="15" fillId="0" borderId="0" applyFont="0" applyFill="0" applyBorder="0" applyAlignment="0" applyProtection="0"/>
    <xf numFmtId="166" fontId="15" fillId="0" borderId="0" applyBorder="0" applyProtection="0"/>
    <xf numFmtId="41" fontId="15" fillId="0" borderId="0" applyFont="0" applyFill="0" applyBorder="0" applyAlignment="0" applyProtection="0"/>
    <xf numFmtId="0" fontId="33" fillId="0" borderId="0"/>
    <xf numFmtId="41" fontId="15" fillId="0" borderId="0" applyFont="0" applyFill="0" applyBorder="0" applyAlignment="0" applyProtection="0"/>
    <xf numFmtId="0" fontId="11" fillId="0" borderId="0"/>
    <xf numFmtId="42" fontId="11" fillId="0" borderId="0" applyFont="0" applyFill="0" applyBorder="0" applyAlignment="0" applyProtection="0"/>
    <xf numFmtId="41" fontId="11" fillId="0" borderId="0" applyFont="0" applyFill="0" applyBorder="0" applyAlignment="0" applyProtection="0"/>
    <xf numFmtId="0" fontId="10" fillId="0" borderId="0"/>
    <xf numFmtId="42" fontId="10" fillId="0" borderId="0" applyFont="0" applyFill="0" applyBorder="0" applyAlignment="0" applyProtection="0"/>
    <xf numFmtId="41" fontId="10" fillId="0" borderId="0" applyFont="0" applyFill="0" applyBorder="0" applyAlignment="0" applyProtection="0"/>
    <xf numFmtId="0" fontId="9" fillId="0" borderId="0"/>
    <xf numFmtId="9" fontId="15" fillId="0" borderId="0" applyFont="0" applyFill="0" applyBorder="0" applyAlignment="0" applyProtection="0"/>
    <xf numFmtId="169" fontId="16" fillId="0" borderId="0" applyFont="0" applyFill="0" applyBorder="0" applyAlignment="0" applyProtection="0"/>
    <xf numFmtId="9" fontId="16" fillId="0" borderId="0" applyFont="0" applyFill="0" applyBorder="0" applyAlignment="0" applyProtection="0"/>
    <xf numFmtId="42" fontId="16" fillId="0" borderId="0" applyFont="0" applyFill="0" applyBorder="0" applyAlignment="0" applyProtection="0"/>
    <xf numFmtId="0" fontId="8" fillId="0" borderId="0"/>
    <xf numFmtId="42" fontId="15" fillId="0" borderId="0" applyFont="0" applyFill="0" applyBorder="0" applyAlignment="0" applyProtection="0"/>
    <xf numFmtId="41" fontId="15" fillId="0" borderId="0" applyFont="0" applyFill="0" applyBorder="0" applyAlignment="0" applyProtection="0"/>
    <xf numFmtId="0" fontId="32" fillId="0" borderId="0"/>
    <xf numFmtId="41" fontId="15" fillId="0" borderId="0" applyFont="0" applyFill="0" applyBorder="0" applyAlignment="0" applyProtection="0"/>
    <xf numFmtId="0" fontId="8" fillId="0" borderId="0"/>
    <xf numFmtId="42" fontId="8" fillId="0" borderId="0" applyFont="0" applyFill="0" applyBorder="0" applyAlignment="0" applyProtection="0"/>
    <xf numFmtId="41" fontId="8" fillId="0" borderId="0" applyFont="0" applyFill="0" applyBorder="0" applyAlignment="0" applyProtection="0"/>
    <xf numFmtId="42" fontId="15" fillId="0" borderId="0" applyFont="0" applyFill="0" applyBorder="0" applyAlignment="0" applyProtection="0"/>
    <xf numFmtId="0" fontId="8" fillId="0" borderId="0"/>
    <xf numFmtId="42" fontId="8" fillId="0" borderId="0" applyFont="0" applyFill="0" applyBorder="0" applyAlignment="0" applyProtection="0"/>
    <xf numFmtId="41" fontId="8" fillId="0" borderId="0" applyFont="0" applyFill="0" applyBorder="0" applyAlignment="0" applyProtection="0"/>
    <xf numFmtId="0" fontId="8" fillId="0" borderId="0"/>
    <xf numFmtId="42" fontId="16" fillId="0" borderId="0" applyFont="0" applyFill="0" applyBorder="0" applyAlignment="0" applyProtection="0"/>
    <xf numFmtId="0" fontId="7" fillId="0" borderId="0"/>
    <xf numFmtId="41" fontId="7" fillId="0" borderId="0" applyFont="0" applyFill="0" applyBorder="0" applyAlignment="0" applyProtection="0"/>
    <xf numFmtId="42"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0" fontId="42" fillId="0" borderId="0"/>
    <xf numFmtId="0" fontId="16" fillId="0" borderId="0"/>
    <xf numFmtId="0" fontId="6" fillId="0" borderId="0"/>
    <xf numFmtId="42" fontId="6" fillId="0" borderId="0" applyFont="0" applyFill="0" applyBorder="0" applyAlignment="0" applyProtection="0"/>
    <xf numFmtId="41" fontId="6" fillId="0" borderId="0" applyFont="0" applyFill="0" applyBorder="0" applyAlignment="0" applyProtection="0"/>
    <xf numFmtId="0" fontId="6" fillId="0" borderId="0"/>
    <xf numFmtId="165" fontId="6" fillId="0" borderId="0" applyFont="0" applyFill="0" applyBorder="0" applyAlignment="0" applyProtection="0"/>
    <xf numFmtId="9" fontId="6" fillId="0" borderId="0" applyFont="0" applyFill="0" applyBorder="0" applyAlignment="0" applyProtection="0"/>
    <xf numFmtId="0" fontId="5" fillId="0" borderId="0"/>
    <xf numFmtId="0" fontId="5" fillId="0" borderId="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0" fontId="3" fillId="0" borderId="0"/>
    <xf numFmtId="0" fontId="3" fillId="0" borderId="0"/>
    <xf numFmtId="41" fontId="3" fillId="0" borderId="0" applyFont="0" applyFill="0" applyBorder="0" applyAlignment="0" applyProtection="0"/>
    <xf numFmtId="0" fontId="3" fillId="0" borderId="0"/>
    <xf numFmtId="0" fontId="3" fillId="0" borderId="0"/>
    <xf numFmtId="0" fontId="3" fillId="0" borderId="0"/>
    <xf numFmtId="0" fontId="2" fillId="0" borderId="0"/>
    <xf numFmtId="0" fontId="2" fillId="0" borderId="0"/>
    <xf numFmtId="41" fontId="2" fillId="0" borderId="0" applyFont="0" applyFill="0" applyBorder="0" applyAlignment="0" applyProtection="0"/>
    <xf numFmtId="0" fontId="2" fillId="0" borderId="0"/>
    <xf numFmtId="44" fontId="15" fillId="0" borderId="0" applyFont="0" applyFill="0" applyBorder="0" applyAlignment="0" applyProtection="0"/>
    <xf numFmtId="9" fontId="16" fillId="0" borderId="0" applyFont="0" applyFill="0" applyBorder="0" applyAlignment="0" applyProtection="0"/>
    <xf numFmtId="0" fontId="1" fillId="0" borderId="0"/>
    <xf numFmtId="42" fontId="15" fillId="0" borderId="0" applyFont="0" applyFill="0" applyBorder="0" applyAlignment="0" applyProtection="0"/>
    <xf numFmtId="41" fontId="15" fillId="0" borderId="0" applyFont="0" applyFill="0" applyBorder="0" applyAlignment="0" applyProtection="0"/>
    <xf numFmtId="41" fontId="15" fillId="0" borderId="0" applyFont="0" applyFill="0" applyBorder="0" applyAlignment="0" applyProtection="0"/>
    <xf numFmtId="0" fontId="1" fillId="0" borderId="0"/>
    <xf numFmtId="42" fontId="1" fillId="0" borderId="0" applyFont="0" applyFill="0" applyBorder="0" applyAlignment="0" applyProtection="0"/>
    <xf numFmtId="41" fontId="1" fillId="0" borderId="0" applyFont="0" applyFill="0" applyBorder="0" applyAlignment="0" applyProtection="0"/>
    <xf numFmtId="0" fontId="1" fillId="0" borderId="0"/>
    <xf numFmtId="42" fontId="1" fillId="0" borderId="0" applyFont="0" applyFill="0" applyBorder="0" applyAlignment="0" applyProtection="0"/>
    <xf numFmtId="41" fontId="1" fillId="0" borderId="0" applyFont="0" applyFill="0" applyBorder="0" applyAlignment="0" applyProtection="0"/>
    <xf numFmtId="0" fontId="1" fillId="0" borderId="0"/>
    <xf numFmtId="42" fontId="16" fillId="0" borderId="0" applyFont="0" applyFill="0" applyBorder="0" applyAlignment="0" applyProtection="0"/>
    <xf numFmtId="0" fontId="1" fillId="0" borderId="0"/>
    <xf numFmtId="42" fontId="15" fillId="0" borderId="0" applyFont="0" applyFill="0" applyBorder="0" applyAlignment="0" applyProtection="0"/>
    <xf numFmtId="41" fontId="15" fillId="0" borderId="0" applyFont="0" applyFill="0" applyBorder="0" applyAlignment="0" applyProtection="0"/>
    <xf numFmtId="41" fontId="15" fillId="0" borderId="0" applyFont="0" applyFill="0" applyBorder="0" applyAlignment="0" applyProtection="0"/>
    <xf numFmtId="0" fontId="1" fillId="0" borderId="0"/>
    <xf numFmtId="42" fontId="1" fillId="0" borderId="0" applyFont="0" applyFill="0" applyBorder="0" applyAlignment="0" applyProtection="0"/>
    <xf numFmtId="41" fontId="1" fillId="0" borderId="0" applyFont="0" applyFill="0" applyBorder="0" applyAlignment="0" applyProtection="0"/>
    <xf numFmtId="42" fontId="15" fillId="0" borderId="0" applyFont="0" applyFill="0" applyBorder="0" applyAlignment="0" applyProtection="0"/>
    <xf numFmtId="0" fontId="1" fillId="0" borderId="0"/>
    <xf numFmtId="42" fontId="1" fillId="0" borderId="0" applyFont="0" applyFill="0" applyBorder="0" applyAlignment="0" applyProtection="0"/>
    <xf numFmtId="41" fontId="1" fillId="0" borderId="0" applyFont="0" applyFill="0" applyBorder="0" applyAlignment="0" applyProtection="0"/>
    <xf numFmtId="0" fontId="1" fillId="0" borderId="0"/>
    <xf numFmtId="42" fontId="16" fillId="0" borderId="0" applyFont="0" applyFill="0" applyBorder="0" applyAlignment="0" applyProtection="0"/>
    <xf numFmtId="0" fontId="1" fillId="0" borderId="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42" fontId="1" fillId="0" borderId="0" applyFont="0" applyFill="0" applyBorder="0" applyAlignment="0" applyProtection="0"/>
    <xf numFmtId="41" fontId="1" fillId="0" borderId="0" applyFont="0" applyFill="0" applyBorder="0" applyAlignment="0" applyProtection="0"/>
    <xf numFmtId="0" fontId="1" fillId="0" borderId="0"/>
    <xf numFmtId="165"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42"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xf numFmtId="0" fontId="1" fillId="0" borderId="0"/>
    <xf numFmtId="41"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1" fontId="1" fillId="0" borderId="0" applyFont="0" applyFill="0" applyBorder="0" applyAlignment="0" applyProtection="0"/>
    <xf numFmtId="0" fontId="1" fillId="0" borderId="0"/>
    <xf numFmtId="44" fontId="15" fillId="0" borderId="0" applyFont="0" applyFill="0" applyBorder="0" applyAlignment="0" applyProtection="0"/>
  </cellStyleXfs>
  <cellXfs count="491">
    <xf numFmtId="0" fontId="0" fillId="0" borderId="0" xfId="0"/>
    <xf numFmtId="9" fontId="24" fillId="0" borderId="0" xfId="4" applyFont="1" applyBorder="1" applyAlignment="1" applyProtection="1">
      <alignment vertical="center"/>
    </xf>
    <xf numFmtId="0" fontId="26" fillId="5" borderId="19" xfId="11" applyFont="1" applyFill="1" applyBorder="1" applyAlignment="1">
      <alignment horizontal="center" vertical="center" wrapText="1"/>
    </xf>
    <xf numFmtId="0" fontId="31" fillId="0" borderId="0" xfId="11" applyFont="1" applyAlignment="1">
      <alignment horizontal="center" vertical="center" wrapText="1"/>
    </xf>
    <xf numFmtId="167" fontId="31" fillId="0" borderId="0" xfId="3" applyFont="1" applyBorder="1" applyAlignment="1" applyProtection="1">
      <alignment horizontal="center" vertical="center" wrapText="1"/>
    </xf>
    <xf numFmtId="14" fontId="21" fillId="0" borderId="1" xfId="3" applyNumberFormat="1" applyFont="1" applyBorder="1" applyAlignment="1" applyProtection="1">
      <alignment horizontal="center" vertical="center" wrapText="1"/>
    </xf>
    <xf numFmtId="42" fontId="22" fillId="0" borderId="1" xfId="12" applyFont="1" applyFill="1" applyBorder="1" applyAlignment="1">
      <alignment horizontal="center" vertical="center" wrapText="1"/>
    </xf>
    <xf numFmtId="4" fontId="22" fillId="0" borderId="1" xfId="13" applyNumberFormat="1" applyFont="1" applyBorder="1" applyAlignment="1" applyProtection="1">
      <alignment vertical="center" wrapText="1"/>
    </xf>
    <xf numFmtId="0" fontId="15" fillId="4" borderId="0" xfId="11" applyFill="1" applyAlignment="1">
      <alignment vertical="center"/>
    </xf>
    <xf numFmtId="0" fontId="15" fillId="0" borderId="0" xfId="11" applyAlignment="1">
      <alignment vertical="center"/>
    </xf>
    <xf numFmtId="0" fontId="43" fillId="0" borderId="0" xfId="11" applyFont="1" applyAlignment="1">
      <alignment vertical="center"/>
    </xf>
    <xf numFmtId="0" fontId="29" fillId="0" borderId="20" xfId="11" applyFont="1" applyBorder="1" applyAlignment="1">
      <alignment horizontal="justify" vertical="center"/>
    </xf>
    <xf numFmtId="168" fontId="21" fillId="0" borderId="13" xfId="16" applyNumberFormat="1" applyFont="1" applyFill="1" applyBorder="1" applyAlignment="1" applyProtection="1">
      <alignment horizontal="center" vertical="center" wrapText="1"/>
    </xf>
    <xf numFmtId="4" fontId="21" fillId="0" borderId="15" xfId="13" applyNumberFormat="1" applyFont="1" applyBorder="1" applyAlignment="1" applyProtection="1">
      <alignment horizontal="center" vertical="center" wrapText="1"/>
    </xf>
    <xf numFmtId="0" fontId="30" fillId="0" borderId="0" xfId="11" applyFont="1" applyAlignment="1">
      <alignment vertical="center"/>
    </xf>
    <xf numFmtId="41" fontId="38" fillId="0" borderId="0" xfId="16" applyFont="1" applyBorder="1" applyAlignment="1">
      <alignment vertical="center" wrapText="1"/>
    </xf>
    <xf numFmtId="168" fontId="39" fillId="0" borderId="0" xfId="16" applyNumberFormat="1" applyFont="1" applyBorder="1" applyAlignment="1">
      <alignment vertical="center"/>
    </xf>
    <xf numFmtId="41" fontId="38" fillId="0" borderId="0" xfId="16" applyFont="1" applyBorder="1" applyAlignment="1">
      <alignment horizontal="center" vertical="center" wrapText="1"/>
    </xf>
    <xf numFmtId="42" fontId="38" fillId="0" borderId="0" xfId="12" applyFont="1" applyBorder="1" applyAlignment="1">
      <alignment horizontal="left" vertical="center" wrapText="1"/>
    </xf>
    <xf numFmtId="0" fontId="25" fillId="0" borderId="0" xfId="11" applyFont="1" applyAlignment="1">
      <alignment vertical="center"/>
    </xf>
    <xf numFmtId="167" fontId="17" fillId="0" borderId="0" xfId="3" applyFont="1" applyBorder="1" applyAlignment="1" applyProtection="1">
      <alignment vertical="center"/>
    </xf>
    <xf numFmtId="0" fontId="15" fillId="0" borderId="0" xfId="11" applyAlignment="1">
      <alignment horizontal="left" vertical="center" wrapText="1"/>
    </xf>
    <xf numFmtId="0" fontId="15" fillId="0" borderId="0" xfId="11" applyAlignment="1">
      <alignment vertical="center" wrapText="1"/>
    </xf>
    <xf numFmtId="0" fontId="45" fillId="0" borderId="1" xfId="11" applyFont="1" applyBorder="1" applyAlignment="1">
      <alignment horizontal="center" vertical="center"/>
    </xf>
    <xf numFmtId="0" fontId="41" fillId="0" borderId="8" xfId="11" applyFont="1" applyBorder="1" applyAlignment="1">
      <alignment horizontal="left" vertical="center" wrapText="1"/>
    </xf>
    <xf numFmtId="0" fontId="14" fillId="0" borderId="10" xfId="11" applyFont="1" applyBorder="1" applyAlignment="1">
      <alignment vertical="center"/>
    </xf>
    <xf numFmtId="0" fontId="14" fillId="0" borderId="0" xfId="11" applyFont="1" applyAlignment="1">
      <alignment vertical="center"/>
    </xf>
    <xf numFmtId="0" fontId="13" fillId="0" borderId="0" xfId="11" applyFont="1" applyAlignment="1">
      <alignment vertical="center"/>
    </xf>
    <xf numFmtId="0" fontId="13" fillId="0" borderId="5" xfId="11" applyFont="1" applyBorder="1" applyAlignment="1">
      <alignment vertical="center" wrapText="1"/>
    </xf>
    <xf numFmtId="0" fontId="27" fillId="0" borderId="22" xfId="11" applyFont="1" applyBorder="1" applyAlignment="1">
      <alignment horizontal="center" vertical="center" wrapText="1"/>
    </xf>
    <xf numFmtId="0" fontId="27" fillId="0" borderId="31" xfId="11" applyFont="1" applyBorder="1" applyAlignment="1">
      <alignment horizontal="center" vertical="center" wrapText="1"/>
    </xf>
    <xf numFmtId="1" fontId="31" fillId="0" borderId="1" xfId="3" applyNumberFormat="1" applyFont="1" applyBorder="1" applyAlignment="1" applyProtection="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21" fillId="9" borderId="24" xfId="11" applyFont="1" applyFill="1" applyBorder="1" applyAlignment="1">
      <alignment vertical="center" wrapText="1"/>
    </xf>
    <xf numFmtId="0" fontId="21" fillId="9" borderId="14" xfId="11" applyFont="1" applyFill="1" applyBorder="1" applyAlignment="1">
      <alignment vertical="center" wrapText="1"/>
    </xf>
    <xf numFmtId="0" fontId="21" fillId="9" borderId="25" xfId="11" applyFont="1" applyFill="1" applyBorder="1" applyAlignment="1">
      <alignment vertical="center" wrapText="1"/>
    </xf>
    <xf numFmtId="0" fontId="48" fillId="10" borderId="27" xfId="11" applyFont="1" applyFill="1" applyBorder="1" applyAlignment="1">
      <alignment horizontal="center" vertical="center" wrapText="1"/>
    </xf>
    <xf numFmtId="0" fontId="52" fillId="0" borderId="0" xfId="11" applyFont="1" applyAlignment="1">
      <alignment vertical="center"/>
    </xf>
    <xf numFmtId="0" fontId="52" fillId="0" borderId="0" xfId="0" applyFont="1"/>
    <xf numFmtId="0" fontId="51" fillId="0" borderId="0" xfId="11" applyFont="1" applyAlignment="1">
      <alignment horizontal="left" vertical="center" wrapText="1"/>
    </xf>
    <xf numFmtId="9" fontId="51" fillId="0" borderId="0" xfId="4" applyFont="1" applyBorder="1" applyAlignment="1" applyProtection="1">
      <alignment vertical="center"/>
    </xf>
    <xf numFmtId="0" fontId="52" fillId="0" borderId="0" xfId="11" applyFont="1" applyAlignment="1">
      <alignment horizontal="center" vertical="center" wrapText="1"/>
    </xf>
    <xf numFmtId="0" fontId="53" fillId="0" borderId="0" xfId="11" applyFont="1" applyAlignment="1">
      <alignment horizontal="center" vertical="center" wrapText="1"/>
    </xf>
    <xf numFmtId="168" fontId="31" fillId="0" borderId="0" xfId="16" applyNumberFormat="1" applyFont="1" applyBorder="1" applyAlignment="1">
      <alignment horizontal="center" vertical="center" wrapText="1"/>
    </xf>
    <xf numFmtId="4" fontId="31" fillId="0" borderId="37" xfId="11" applyNumberFormat="1" applyFont="1" applyBorder="1" applyAlignment="1">
      <alignment vertical="center" wrapText="1"/>
    </xf>
    <xf numFmtId="0" fontId="24" fillId="0" borderId="0" xfId="11" applyFont="1" applyAlignment="1">
      <alignment horizontal="left" vertical="center" wrapText="1"/>
    </xf>
    <xf numFmtId="0" fontId="4" fillId="0" borderId="0" xfId="57"/>
    <xf numFmtId="0" fontId="4" fillId="0" borderId="7" xfId="57" applyBorder="1"/>
    <xf numFmtId="0" fontId="34" fillId="0" borderId="6" xfId="60" applyFont="1" applyBorder="1" applyAlignment="1">
      <alignment horizontal="left" vertical="center" wrapText="1"/>
    </xf>
    <xf numFmtId="0" fontId="34" fillId="0" borderId="1" xfId="60" applyFont="1" applyBorder="1" applyAlignment="1">
      <alignment horizontal="left" vertical="center" wrapText="1"/>
    </xf>
    <xf numFmtId="171" fontId="4" fillId="0" borderId="0" xfId="57" applyNumberFormat="1"/>
    <xf numFmtId="0" fontId="59" fillId="8" borderId="1" xfId="0" applyFont="1" applyFill="1" applyBorder="1" applyAlignment="1">
      <alignment horizontal="center" vertical="center" wrapText="1"/>
    </xf>
    <xf numFmtId="0" fontId="27" fillId="6" borderId="22" xfId="11" applyFont="1" applyFill="1" applyBorder="1" applyAlignment="1">
      <alignment horizontal="center" vertical="center" wrapText="1"/>
    </xf>
    <xf numFmtId="10" fontId="27" fillId="0" borderId="0" xfId="11" applyNumberFormat="1" applyFont="1" applyAlignment="1">
      <alignment horizontal="center" vertical="center" wrapText="1"/>
    </xf>
    <xf numFmtId="0" fontId="26" fillId="0" borderId="0" xfId="11" applyFont="1" applyAlignment="1">
      <alignment horizontal="center" vertical="center" wrapText="1"/>
    </xf>
    <xf numFmtId="6" fontId="27" fillId="7" borderId="23" xfId="11" applyNumberFormat="1" applyFont="1" applyFill="1" applyBorder="1" applyAlignment="1">
      <alignment horizontal="center" vertical="center" wrapText="1"/>
    </xf>
    <xf numFmtId="6" fontId="27" fillId="0" borderId="23" xfId="11" applyNumberFormat="1" applyFont="1" applyBorder="1" applyAlignment="1">
      <alignment horizontal="center" vertical="center" wrapText="1"/>
    </xf>
    <xf numFmtId="6" fontId="27" fillId="0" borderId="27" xfId="11" applyNumberFormat="1" applyFont="1" applyBorder="1" applyAlignment="1">
      <alignment horizontal="center" vertical="center" wrapText="1"/>
    </xf>
    <xf numFmtId="9" fontId="31" fillId="0" borderId="0" xfId="11" applyNumberFormat="1" applyFont="1" applyAlignment="1">
      <alignment horizontal="center" vertical="center" wrapText="1"/>
    </xf>
    <xf numFmtId="168" fontId="44" fillId="0" borderId="0" xfId="16" applyNumberFormat="1" applyFont="1" applyBorder="1" applyAlignment="1">
      <alignment vertical="center"/>
    </xf>
    <xf numFmtId="0" fontId="60" fillId="0" borderId="0" xfId="11" applyFont="1" applyAlignment="1">
      <alignment horizontal="left" vertical="center" wrapText="1"/>
    </xf>
    <xf numFmtId="0" fontId="63" fillId="0" borderId="0" xfId="11" applyFont="1" applyAlignment="1">
      <alignment horizontal="left" vertical="center" wrapText="1"/>
    </xf>
    <xf numFmtId="9" fontId="63" fillId="0" borderId="0" xfId="4" applyFont="1" applyBorder="1" applyAlignment="1" applyProtection="1">
      <alignment vertical="center"/>
    </xf>
    <xf numFmtId="0" fontId="30" fillId="0" borderId="0" xfId="11" applyFont="1" applyAlignment="1">
      <alignment horizontal="center" vertical="center" wrapText="1"/>
    </xf>
    <xf numFmtId="9" fontId="22" fillId="0" borderId="1" xfId="24" applyFont="1" applyFill="1" applyBorder="1" applyAlignment="1" applyProtection="1">
      <alignment vertical="center" wrapText="1"/>
    </xf>
    <xf numFmtId="9" fontId="21" fillId="9" borderId="14" xfId="24" applyFont="1" applyFill="1" applyBorder="1" applyAlignment="1">
      <alignment vertical="center" wrapText="1"/>
    </xf>
    <xf numFmtId="172" fontId="4" fillId="0" borderId="6" xfId="57" applyNumberFormat="1" applyBorder="1" applyAlignment="1">
      <alignment horizontal="center" vertical="center"/>
    </xf>
    <xf numFmtId="9" fontId="22" fillId="0" borderId="14" xfId="24" applyFont="1" applyFill="1" applyBorder="1" applyAlignment="1" applyProtection="1">
      <alignment vertical="center" wrapText="1"/>
    </xf>
    <xf numFmtId="168" fontId="21" fillId="0" borderId="1" xfId="16" applyNumberFormat="1" applyFont="1" applyFill="1" applyBorder="1" applyAlignment="1" applyProtection="1">
      <alignment horizontal="center" vertical="center" wrapText="1"/>
    </xf>
    <xf numFmtId="0" fontId="0" fillId="0" borderId="1" xfId="0" applyBorder="1"/>
    <xf numFmtId="0" fontId="0" fillId="0" borderId="0" xfId="0" applyAlignment="1">
      <alignment horizontal="left"/>
    </xf>
    <xf numFmtId="0" fontId="0" fillId="0" borderId="0" xfId="0" applyAlignment="1">
      <alignment horizontal="center"/>
    </xf>
    <xf numFmtId="0" fontId="27" fillId="6" borderId="20" xfId="11" applyFont="1" applyFill="1" applyBorder="1" applyAlignment="1">
      <alignment horizontal="center" vertical="center" wrapText="1"/>
    </xf>
    <xf numFmtId="6" fontId="27" fillId="7" borderId="21" xfId="11" applyNumberFormat="1" applyFont="1" applyFill="1" applyBorder="1" applyAlignment="1">
      <alignment horizontal="center" vertical="center" wrapText="1"/>
    </xf>
    <xf numFmtId="0" fontId="0" fillId="0" borderId="16" xfId="0" applyBorder="1" applyAlignment="1">
      <alignment horizontal="center" vertical="center"/>
    </xf>
    <xf numFmtId="1" fontId="19" fillId="14" borderId="6" xfId="3" applyNumberFormat="1" applyFont="1" applyFill="1" applyBorder="1" applyAlignment="1" applyProtection="1">
      <alignment horizontal="center" vertical="center"/>
    </xf>
    <xf numFmtId="0" fontId="0" fillId="0" borderId="21" xfId="0" applyBorder="1" applyAlignment="1">
      <alignment wrapText="1"/>
    </xf>
    <xf numFmtId="0" fontId="0" fillId="0" borderId="23" xfId="0" applyBorder="1"/>
    <xf numFmtId="0" fontId="0" fillId="0" borderId="23" xfId="0" applyBorder="1" applyAlignment="1">
      <alignment wrapText="1"/>
    </xf>
    <xf numFmtId="0" fontId="52" fillId="0" borderId="23" xfId="0" applyFont="1" applyBorder="1" applyAlignment="1">
      <alignment wrapText="1"/>
    </xf>
    <xf numFmtId="0" fontId="0" fillId="0" borderId="9" xfId="0" applyBorder="1" applyAlignment="1">
      <alignment horizontal="center" vertical="center"/>
    </xf>
    <xf numFmtId="0" fontId="65" fillId="0" borderId="1" xfId="0" applyFont="1" applyBorder="1" applyAlignment="1">
      <alignment horizontal="center" vertical="center"/>
    </xf>
    <xf numFmtId="0" fontId="65" fillId="15" borderId="1" xfId="0" applyFont="1" applyFill="1" applyBorder="1" applyAlignment="1">
      <alignment horizontal="center" vertical="center"/>
    </xf>
    <xf numFmtId="0" fontId="65" fillId="0" borderId="15" xfId="0" applyFont="1" applyBorder="1" applyAlignment="1">
      <alignment horizontal="center" vertical="center" wrapText="1"/>
    </xf>
    <xf numFmtId="0" fontId="65" fillId="0" borderId="9" xfId="0" applyFont="1" applyBorder="1" applyAlignment="1">
      <alignment horizontal="center" vertical="center"/>
    </xf>
    <xf numFmtId="0" fontId="65" fillId="0" borderId="16" xfId="0" applyFont="1" applyBorder="1" applyAlignment="1">
      <alignment horizontal="center" vertical="center" wrapText="1"/>
    </xf>
    <xf numFmtId="0" fontId="65" fillId="0" borderId="16" xfId="0" applyFont="1" applyBorder="1" applyAlignment="1">
      <alignment horizontal="center" vertical="center"/>
    </xf>
    <xf numFmtId="0" fontId="59" fillId="0" borderId="1" xfId="0" applyFont="1" applyBorder="1" applyAlignment="1">
      <alignment horizontal="center" vertical="center"/>
    </xf>
    <xf numFmtId="0" fontId="2" fillId="0" borderId="0" xfId="67"/>
    <xf numFmtId="0" fontId="36" fillId="0" borderId="4" xfId="70" applyFont="1" applyBorder="1"/>
    <xf numFmtId="0" fontId="36" fillId="0" borderId="11" xfId="70" applyFont="1" applyBorder="1"/>
    <xf numFmtId="0" fontId="0" fillId="0" borderId="11" xfId="70" applyFont="1" applyBorder="1"/>
    <xf numFmtId="0" fontId="0" fillId="0" borderId="19" xfId="70" applyFont="1" applyBorder="1"/>
    <xf numFmtId="0" fontId="36" fillId="0" borderId="5" xfId="70" applyFont="1" applyBorder="1" applyAlignment="1">
      <alignment vertical="center" wrapText="1"/>
    </xf>
    <xf numFmtId="0" fontId="36" fillId="0" borderId="0" xfId="70" applyFont="1" applyAlignment="1">
      <alignment vertical="center"/>
    </xf>
    <xf numFmtId="2" fontId="2" fillId="0" borderId="0" xfId="70" applyNumberFormat="1"/>
    <xf numFmtId="2" fontId="2" fillId="0" borderId="7" xfId="70" applyNumberFormat="1" applyBorder="1"/>
    <xf numFmtId="0" fontId="36" fillId="0" borderId="5" xfId="70" applyFont="1" applyBorder="1" applyAlignment="1">
      <alignment vertical="center"/>
    </xf>
    <xf numFmtId="0" fontId="2" fillId="0" borderId="0" xfId="70"/>
    <xf numFmtId="0" fontId="2" fillId="0" borderId="7" xfId="70" applyBorder="1"/>
    <xf numFmtId="0" fontId="2" fillId="0" borderId="5" xfId="67" applyBorder="1" applyAlignment="1">
      <alignment horizontal="center"/>
    </xf>
    <xf numFmtId="2" fontId="2" fillId="0" borderId="7" xfId="70" applyNumberFormat="1" applyBorder="1" applyAlignment="1">
      <alignment horizontal="center"/>
    </xf>
    <xf numFmtId="0" fontId="2" fillId="0" borderId="7" xfId="67" applyBorder="1"/>
    <xf numFmtId="2" fontId="71" fillId="0" borderId="1" xfId="67" applyNumberFormat="1" applyFont="1" applyBorder="1" applyAlignment="1">
      <alignment horizontal="center" vertical="center"/>
    </xf>
    <xf numFmtId="0" fontId="2" fillId="0" borderId="9" xfId="67" applyBorder="1" applyAlignment="1">
      <alignment horizontal="left" vertical="center"/>
    </xf>
    <xf numFmtId="2" fontId="2" fillId="0" borderId="18" xfId="67" applyNumberFormat="1" applyBorder="1" applyAlignment="1">
      <alignment horizontal="center" vertical="center" wrapText="1"/>
    </xf>
    <xf numFmtId="2" fontId="2" fillId="0" borderId="0" xfId="67" applyNumberFormat="1"/>
    <xf numFmtId="0" fontId="34" fillId="0" borderId="39" xfId="67" applyFont="1" applyBorder="1" applyAlignment="1">
      <alignment horizontal="center" vertical="center" wrapText="1"/>
    </xf>
    <xf numFmtId="0" fontId="34" fillId="0" borderId="21" xfId="67" applyFont="1" applyBorder="1" applyAlignment="1">
      <alignment horizontal="center" vertical="center" wrapText="1"/>
    </xf>
    <xf numFmtId="0" fontId="34" fillId="0" borderId="16" xfId="67" applyFont="1" applyBorder="1" applyAlignment="1">
      <alignment horizontal="center" vertical="center"/>
    </xf>
    <xf numFmtId="0" fontId="66" fillId="0" borderId="22" xfId="20" applyFont="1" applyBorder="1" applyAlignment="1">
      <alignment vertical="center"/>
    </xf>
    <xf numFmtId="0" fontId="67" fillId="0" borderId="13" xfId="0" applyFont="1" applyBorder="1" applyAlignment="1">
      <alignment vertical="center"/>
    </xf>
    <xf numFmtId="0" fontId="46" fillId="0" borderId="42" xfId="11" applyFont="1" applyBorder="1" applyAlignment="1">
      <alignment horizontal="center" vertical="center"/>
    </xf>
    <xf numFmtId="0" fontId="15" fillId="0" borderId="8" xfId="11" applyBorder="1" applyAlignment="1">
      <alignment vertical="center"/>
    </xf>
    <xf numFmtId="0" fontId="26" fillId="5" borderId="43" xfId="11" applyFont="1" applyFill="1" applyBorder="1" applyAlignment="1">
      <alignment horizontal="center" vertical="center" wrapText="1"/>
    </xf>
    <xf numFmtId="0" fontId="34" fillId="0" borderId="5" xfId="57" applyFont="1" applyBorder="1"/>
    <xf numFmtId="170" fontId="37" fillId="0" borderId="0" xfId="58" applyNumberFormat="1" applyFont="1" applyBorder="1"/>
    <xf numFmtId="0" fontId="37" fillId="0" borderId="0" xfId="57" applyFont="1" applyAlignment="1">
      <alignment horizontal="center"/>
    </xf>
    <xf numFmtId="0" fontId="0" fillId="13" borderId="6" xfId="0" applyFill="1" applyBorder="1" applyAlignment="1">
      <alignment horizontal="center"/>
    </xf>
    <xf numFmtId="0" fontId="0" fillId="13" borderId="1" xfId="0" applyFill="1" applyBorder="1" applyAlignment="1">
      <alignment horizontal="center"/>
    </xf>
    <xf numFmtId="0" fontId="75" fillId="0" borderId="43" xfId="20" applyFont="1" applyBorder="1" applyAlignment="1">
      <alignment horizontal="center" vertical="center" wrapText="1"/>
    </xf>
    <xf numFmtId="0" fontId="76" fillId="13" borderId="6" xfId="0" applyFont="1" applyFill="1" applyBorder="1" applyAlignment="1">
      <alignment horizontal="center"/>
    </xf>
    <xf numFmtId="0" fontId="76" fillId="13" borderId="1" xfId="0" applyFont="1" applyFill="1" applyBorder="1" applyAlignment="1">
      <alignment horizontal="center"/>
    </xf>
    <xf numFmtId="172" fontId="41" fillId="0" borderId="6" xfId="0" applyNumberFormat="1" applyFont="1" applyBorder="1" applyAlignment="1">
      <alignment horizontal="center"/>
    </xf>
    <xf numFmtId="172" fontId="41" fillId="0" borderId="1" xfId="0" applyNumberFormat="1" applyFont="1" applyBorder="1" applyAlignment="1">
      <alignment horizontal="center"/>
    </xf>
    <xf numFmtId="0" fontId="13" fillId="3" borderId="40" xfId="11" applyFont="1" applyFill="1" applyBorder="1" applyAlignment="1">
      <alignment horizontal="center" vertical="center" wrapText="1"/>
    </xf>
    <xf numFmtId="0" fontId="34" fillId="0" borderId="20" xfId="57" applyFont="1" applyBorder="1" applyAlignment="1">
      <alignment horizontal="center" vertical="center"/>
    </xf>
    <xf numFmtId="0" fontId="34" fillId="0" borderId="22" xfId="57" applyFont="1" applyBorder="1" applyAlignment="1">
      <alignment horizontal="center"/>
    </xf>
    <xf numFmtId="0" fontId="34" fillId="0" borderId="22" xfId="57" applyFont="1" applyBorder="1" applyAlignment="1">
      <alignment horizontal="center" vertical="center"/>
    </xf>
    <xf numFmtId="0" fontId="15" fillId="0" borderId="9" xfId="11" applyBorder="1" applyAlignment="1">
      <alignment vertical="center"/>
    </xf>
    <xf numFmtId="0" fontId="66" fillId="0" borderId="20" xfId="20" applyFont="1" applyBorder="1" applyAlignment="1">
      <alignment vertical="center"/>
    </xf>
    <xf numFmtId="0" fontId="67" fillId="0" borderId="39" xfId="0" applyFont="1" applyBorder="1" applyAlignment="1">
      <alignment vertical="center"/>
    </xf>
    <xf numFmtId="0" fontId="0" fillId="18" borderId="1" xfId="0" applyFill="1" applyBorder="1" applyAlignment="1">
      <alignment horizontal="center" vertical="center"/>
    </xf>
    <xf numFmtId="0" fontId="0" fillId="18" borderId="1" xfId="0" applyFill="1" applyBorder="1" applyAlignment="1">
      <alignment horizontal="left"/>
    </xf>
    <xf numFmtId="0" fontId="0" fillId="18" borderId="1" xfId="0" applyFill="1" applyBorder="1" applyAlignment="1">
      <alignment horizontal="center"/>
    </xf>
    <xf numFmtId="0" fontId="0" fillId="18" borderId="0" xfId="0" applyFill="1"/>
    <xf numFmtId="0" fontId="0" fillId="18" borderId="1" xfId="0" applyFill="1" applyBorder="1" applyAlignment="1">
      <alignment horizontal="left" wrapText="1"/>
    </xf>
    <xf numFmtId="0" fontId="0" fillId="18" borderId="1" xfId="0" applyFill="1" applyBorder="1" applyAlignment="1">
      <alignment horizontal="left" vertical="center"/>
    </xf>
    <xf numFmtId="0" fontId="0" fillId="18" borderId="1" xfId="0" applyFill="1" applyBorder="1"/>
    <xf numFmtId="0" fontId="0" fillId="18" borderId="3" xfId="0" applyFill="1" applyBorder="1" applyAlignment="1">
      <alignment horizontal="left"/>
    </xf>
    <xf numFmtId="0" fontId="22" fillId="0" borderId="41" xfId="11" applyFont="1" applyBorder="1" applyAlignment="1">
      <alignment vertical="center" wrapText="1"/>
    </xf>
    <xf numFmtId="0" fontId="22" fillId="0" borderId="22" xfId="11" applyFont="1" applyBorder="1" applyAlignment="1">
      <alignment horizontal="center" vertical="center" wrapText="1"/>
    </xf>
    <xf numFmtId="0" fontId="21" fillId="19" borderId="6" xfId="11" applyFont="1" applyFill="1" applyBorder="1" applyAlignment="1">
      <alignment horizontal="center" vertical="center" wrapText="1"/>
    </xf>
    <xf numFmtId="0" fontId="21" fillId="20" borderId="22" xfId="11" applyFont="1" applyFill="1" applyBorder="1" applyAlignment="1">
      <alignment horizontal="center" vertical="center" wrapText="1"/>
    </xf>
    <xf numFmtId="0" fontId="21" fillId="20" borderId="1" xfId="11" applyFont="1" applyFill="1" applyBorder="1" applyAlignment="1">
      <alignment horizontal="center" vertical="center" wrapText="1"/>
    </xf>
    <xf numFmtId="0" fontId="21" fillId="20" borderId="17" xfId="11" applyFont="1" applyFill="1" applyBorder="1" applyAlignment="1">
      <alignment horizontal="center" vertical="center" wrapText="1"/>
    </xf>
    <xf numFmtId="0" fontId="29" fillId="20" borderId="1" xfId="11" applyFont="1" applyFill="1" applyBorder="1" applyAlignment="1">
      <alignment horizontal="center" vertical="center" wrapText="1"/>
    </xf>
    <xf numFmtId="0" fontId="0" fillId="0" borderId="9" xfId="0" applyBorder="1" applyAlignment="1">
      <alignment horizontal="left" vertical="center" wrapText="1"/>
    </xf>
    <xf numFmtId="0" fontId="0" fillId="0" borderId="9" xfId="0" applyBorder="1" applyAlignment="1">
      <alignment horizontal="left" vertical="center"/>
    </xf>
    <xf numFmtId="0" fontId="78" fillId="8" borderId="44" xfId="0" applyFont="1" applyFill="1" applyBorder="1" applyAlignment="1">
      <alignment horizontal="center"/>
    </xf>
    <xf numFmtId="0" fontId="78" fillId="8" borderId="45" xfId="0" applyFont="1" applyFill="1" applyBorder="1" applyAlignment="1">
      <alignment horizontal="center"/>
    </xf>
    <xf numFmtId="0" fontId="78" fillId="8" borderId="50" xfId="0" applyFont="1" applyFill="1" applyBorder="1" applyAlignment="1">
      <alignment horizontal="center"/>
    </xf>
    <xf numFmtId="0" fontId="78" fillId="8" borderId="51" xfId="0" applyFont="1" applyFill="1" applyBorder="1" applyAlignment="1">
      <alignment horizontal="center"/>
    </xf>
    <xf numFmtId="0" fontId="78" fillId="8" borderId="52" xfId="0" applyFont="1" applyFill="1" applyBorder="1" applyAlignment="1">
      <alignment horizontal="center"/>
    </xf>
    <xf numFmtId="0" fontId="78" fillId="8" borderId="53" xfId="0" applyFont="1" applyFill="1" applyBorder="1" applyAlignment="1">
      <alignment horizontal="center"/>
    </xf>
    <xf numFmtId="0" fontId="38" fillId="0" borderId="0" xfId="11" applyFont="1" applyAlignment="1">
      <alignment horizontal="left" vertical="center" wrapText="1"/>
    </xf>
    <xf numFmtId="0" fontId="79" fillId="12" borderId="40" xfId="11" applyFont="1" applyFill="1" applyBorder="1" applyAlignment="1">
      <alignment horizontal="left" vertical="center" wrapText="1"/>
    </xf>
    <xf numFmtId="168" fontId="81" fillId="0" borderId="40" xfId="16" applyNumberFormat="1" applyFont="1" applyBorder="1" applyAlignment="1">
      <alignment vertical="center"/>
    </xf>
    <xf numFmtId="9" fontId="79" fillId="0" borderId="40" xfId="11" applyNumberFormat="1" applyFont="1" applyBorder="1" applyAlignment="1">
      <alignment horizontal="center" vertical="center" wrapText="1"/>
    </xf>
    <xf numFmtId="0" fontId="45" fillId="0" borderId="9" xfId="11" applyFont="1" applyBorder="1" applyAlignment="1">
      <alignment horizontal="center" vertical="center"/>
    </xf>
    <xf numFmtId="0" fontId="13" fillId="3" borderId="30" xfId="11" applyFont="1" applyFill="1" applyBorder="1" applyAlignment="1">
      <alignment horizontal="center" vertical="center" wrapText="1"/>
    </xf>
    <xf numFmtId="0" fontId="67" fillId="0" borderId="16" xfId="0" applyFont="1" applyBorder="1" applyAlignment="1">
      <alignment vertical="center"/>
    </xf>
    <xf numFmtId="0" fontId="67" fillId="0" borderId="15" xfId="0" applyFont="1" applyBorder="1" applyAlignment="1">
      <alignment vertical="center"/>
    </xf>
    <xf numFmtId="0" fontId="66" fillId="0" borderId="42" xfId="20" applyFont="1" applyBorder="1" applyAlignment="1">
      <alignment vertical="center"/>
    </xf>
    <xf numFmtId="0" fontId="13" fillId="3" borderId="28" xfId="11" applyFont="1" applyFill="1" applyBorder="1" applyAlignment="1">
      <alignment horizontal="center" vertical="center" wrapText="1"/>
    </xf>
    <xf numFmtId="0" fontId="45" fillId="0" borderId="42" xfId="11" applyFont="1" applyBorder="1" applyAlignment="1">
      <alignment horizontal="left" vertical="center" wrapText="1"/>
    </xf>
    <xf numFmtId="0" fontId="45" fillId="0" borderId="42" xfId="0" applyFont="1" applyBorder="1" applyAlignment="1">
      <alignment horizontal="left" vertical="center" wrapText="1"/>
    </xf>
    <xf numFmtId="0" fontId="47" fillId="0" borderId="42" xfId="0" applyFont="1" applyBorder="1" applyAlignment="1">
      <alignment horizontal="justify" vertical="center" wrapText="1"/>
    </xf>
    <xf numFmtId="0" fontId="15" fillId="0" borderId="42" xfId="11" applyBorder="1" applyAlignment="1">
      <alignment horizontal="left" vertical="center" wrapText="1"/>
    </xf>
    <xf numFmtId="6" fontId="27" fillId="0" borderId="0" xfId="11" applyNumberFormat="1" applyFont="1" applyAlignment="1">
      <alignment horizontal="center" vertical="center" wrapText="1"/>
    </xf>
    <xf numFmtId="0" fontId="22" fillId="0" borderId="55" xfId="11" applyFont="1" applyBorder="1" applyAlignment="1">
      <alignment horizontal="center" vertical="center" wrapText="1"/>
    </xf>
    <xf numFmtId="0" fontId="22" fillId="0" borderId="1" xfId="11" applyFont="1" applyBorder="1" applyAlignment="1">
      <alignment vertical="center" wrapText="1"/>
    </xf>
    <xf numFmtId="0" fontId="21" fillId="9" borderId="24" xfId="11" applyFont="1" applyFill="1" applyBorder="1" applyAlignment="1">
      <alignment vertical="center"/>
    </xf>
    <xf numFmtId="0" fontId="0" fillId="18" borderId="1" xfId="0" applyFill="1" applyBorder="1" applyAlignment="1">
      <alignment vertical="center"/>
    </xf>
    <xf numFmtId="0" fontId="0" fillId="18" borderId="1" xfId="0" applyFill="1" applyBorder="1" applyAlignment="1">
      <alignment horizontal="left" vertical="center" wrapText="1"/>
    </xf>
    <xf numFmtId="0" fontId="0" fillId="0" borderId="1" xfId="0" applyBorder="1" applyAlignment="1">
      <alignment vertical="center"/>
    </xf>
    <xf numFmtId="0" fontId="0" fillId="0" borderId="0" xfId="0" applyAlignment="1">
      <alignment vertical="center"/>
    </xf>
    <xf numFmtId="0" fontId="82" fillId="0" borderId="22" xfId="11" applyFont="1" applyBorder="1" applyAlignment="1">
      <alignment horizontal="left" vertical="center" wrapText="1"/>
    </xf>
    <xf numFmtId="42" fontId="82" fillId="0" borderId="1" xfId="12" applyFont="1" applyFill="1" applyBorder="1" applyAlignment="1">
      <alignment horizontal="center" vertical="center" wrapText="1"/>
    </xf>
    <xf numFmtId="4" fontId="82" fillId="0" borderId="1" xfId="13" applyNumberFormat="1" applyFont="1" applyBorder="1" applyAlignment="1" applyProtection="1">
      <alignment vertical="center" wrapText="1"/>
    </xf>
    <xf numFmtId="0" fontId="82" fillId="0" borderId="24" xfId="11" applyFont="1" applyBorder="1" applyAlignment="1">
      <alignment horizontal="left" vertical="center" wrapText="1"/>
    </xf>
    <xf numFmtId="0" fontId="82" fillId="0" borderId="49" xfId="11" applyFont="1" applyBorder="1" applyAlignment="1">
      <alignment horizontal="left" vertical="center" wrapText="1"/>
    </xf>
    <xf numFmtId="42" fontId="82" fillId="0" borderId="3" xfId="12" applyFont="1" applyFill="1" applyBorder="1" applyAlignment="1">
      <alignment horizontal="center" vertical="center" wrapText="1"/>
    </xf>
    <xf numFmtId="0" fontId="82" fillId="0" borderId="1" xfId="11" applyFont="1" applyBorder="1" applyAlignment="1">
      <alignment horizontal="left" vertical="center" wrapText="1"/>
    </xf>
    <xf numFmtId="0" fontId="22" fillId="0" borderId="22" xfId="11" applyFont="1" applyBorder="1" applyAlignment="1">
      <alignment horizontal="left" vertical="center" wrapText="1"/>
    </xf>
    <xf numFmtId="0" fontId="22" fillId="0" borderId="24" xfId="11" applyFont="1" applyBorder="1" applyAlignment="1">
      <alignment horizontal="left" vertical="center" wrapText="1"/>
    </xf>
    <xf numFmtId="0" fontId="21" fillId="9" borderId="1" xfId="11" applyFont="1" applyFill="1" applyBorder="1" applyAlignment="1">
      <alignment vertical="center" wrapText="1"/>
    </xf>
    <xf numFmtId="0" fontId="83" fillId="0" borderId="60" xfId="11" applyFont="1" applyBorder="1" applyAlignment="1">
      <alignment horizontal="center" vertical="center" wrapText="1"/>
    </xf>
    <xf numFmtId="0" fontId="83" fillId="0" borderId="61" xfId="11" applyFont="1" applyBorder="1" applyAlignment="1">
      <alignment horizontal="center" vertical="center" wrapText="1"/>
    </xf>
    <xf numFmtId="0" fontId="83" fillId="0" borderId="62" xfId="11" applyFont="1" applyBorder="1" applyAlignment="1">
      <alignment horizontal="center" vertical="center" wrapText="1"/>
    </xf>
    <xf numFmtId="0" fontId="84" fillId="0" borderId="62" xfId="0" applyFont="1" applyBorder="1" applyAlignment="1">
      <alignment horizontal="center" vertical="center" wrapText="1"/>
    </xf>
    <xf numFmtId="0" fontId="85" fillId="0" borderId="63" xfId="5" applyFont="1" applyBorder="1" applyAlignment="1">
      <alignment horizontal="center" vertical="center" wrapText="1"/>
    </xf>
    <xf numFmtId="9" fontId="85" fillId="0" borderId="63" xfId="72" applyFont="1" applyFill="1" applyBorder="1" applyAlignment="1">
      <alignment horizontal="center" vertical="center" wrapText="1"/>
    </xf>
    <xf numFmtId="14" fontId="85" fillId="0" borderId="64" xfId="5" applyNumberFormat="1" applyFont="1" applyBorder="1" applyAlignment="1">
      <alignment horizontal="center" vertical="center" wrapText="1"/>
    </xf>
    <xf numFmtId="0" fontId="85" fillId="0" borderId="1" xfId="5" applyFont="1" applyBorder="1" applyAlignment="1">
      <alignment horizontal="center" vertical="center" wrapText="1"/>
    </xf>
    <xf numFmtId="2" fontId="21" fillId="9" borderId="38" xfId="11" applyNumberFormat="1" applyFont="1" applyFill="1" applyBorder="1" applyAlignment="1">
      <alignment vertical="center" wrapText="1"/>
    </xf>
    <xf numFmtId="0" fontId="21" fillId="0" borderId="1" xfId="16" applyNumberFormat="1" applyFont="1" applyFill="1" applyBorder="1" applyAlignment="1" applyProtection="1">
      <alignment horizontal="center" vertical="center" wrapText="1"/>
    </xf>
    <xf numFmtId="0" fontId="29" fillId="20" borderId="13" xfId="11" applyFont="1" applyFill="1" applyBorder="1" applyAlignment="1">
      <alignment vertical="center" wrapText="1"/>
    </xf>
    <xf numFmtId="168" fontId="21" fillId="0" borderId="1" xfId="11" applyNumberFormat="1" applyFont="1" applyBorder="1" applyAlignment="1">
      <alignment vertical="center"/>
    </xf>
    <xf numFmtId="2" fontId="21" fillId="9" borderId="37" xfId="11" applyNumberFormat="1" applyFont="1" applyFill="1" applyBorder="1" applyAlignment="1">
      <alignment vertical="center" wrapText="1"/>
    </xf>
    <xf numFmtId="2" fontId="21" fillId="9" borderId="57" xfId="11" applyNumberFormat="1" applyFont="1" applyFill="1" applyBorder="1" applyAlignment="1">
      <alignment vertical="center" wrapText="1"/>
    </xf>
    <xf numFmtId="0" fontId="0" fillId="21" borderId="1" xfId="0" applyFill="1" applyBorder="1" applyAlignment="1">
      <alignment horizontal="center"/>
    </xf>
    <xf numFmtId="0" fontId="0" fillId="13" borderId="1" xfId="0" applyFill="1" applyBorder="1" applyAlignment="1">
      <alignment horizontal="center" vertical="center"/>
    </xf>
    <xf numFmtId="0" fontId="76" fillId="13" borderId="1" xfId="0" applyFont="1" applyFill="1" applyBorder="1" applyAlignment="1">
      <alignment horizontal="center" vertical="center"/>
    </xf>
    <xf numFmtId="0" fontId="47" fillId="13" borderId="1" xfId="0" applyFont="1" applyFill="1" applyBorder="1" applyAlignment="1">
      <alignment horizontal="center"/>
    </xf>
    <xf numFmtId="0" fontId="52" fillId="0" borderId="0" xfId="0" applyFont="1" applyAlignment="1">
      <alignment wrapText="1"/>
    </xf>
    <xf numFmtId="0" fontId="82" fillId="0" borderId="22" xfId="11" applyFont="1" applyBorder="1" applyAlignment="1">
      <alignment horizontal="center" vertical="center" wrapText="1"/>
    </xf>
    <xf numFmtId="1" fontId="82" fillId="0" borderId="1" xfId="3" applyNumberFormat="1" applyFont="1" applyBorder="1" applyAlignment="1" applyProtection="1">
      <alignment horizontal="center" vertical="center" wrapText="1"/>
    </xf>
    <xf numFmtId="9" fontId="82" fillId="0" borderId="1" xfId="24" applyFont="1" applyFill="1" applyBorder="1" applyAlignment="1" applyProtection="1">
      <alignment vertical="center" wrapText="1"/>
    </xf>
    <xf numFmtId="14" fontId="82" fillId="0" borderId="1" xfId="3" applyNumberFormat="1" applyFont="1" applyBorder="1" applyAlignment="1" applyProtection="1">
      <alignment horizontal="center" vertical="center" wrapText="1"/>
    </xf>
    <xf numFmtId="168" fontId="82" fillId="0" borderId="1" xfId="16" applyNumberFormat="1" applyFont="1" applyFill="1" applyBorder="1" applyAlignment="1" applyProtection="1">
      <alignment horizontal="center" vertical="center" wrapText="1"/>
    </xf>
    <xf numFmtId="168" fontId="82" fillId="0" borderId="1" xfId="11" applyNumberFormat="1" applyFont="1" applyBorder="1" applyAlignment="1">
      <alignment vertical="center"/>
    </xf>
    <xf numFmtId="4" fontId="82" fillId="0" borderId="15" xfId="13" applyNumberFormat="1" applyFont="1" applyBorder="1" applyAlignment="1" applyProtection="1">
      <alignment horizontal="center" vertical="center" wrapText="1"/>
    </xf>
    <xf numFmtId="0" fontId="82" fillId="0" borderId="24" xfId="11" applyFont="1" applyBorder="1" applyAlignment="1">
      <alignment horizontal="center" vertical="center" wrapText="1"/>
    </xf>
    <xf numFmtId="9" fontId="82" fillId="0" borderId="14" xfId="24" applyFont="1" applyFill="1" applyBorder="1" applyAlignment="1" applyProtection="1">
      <alignment vertical="center" wrapText="1"/>
    </xf>
    <xf numFmtId="0" fontId="82" fillId="0" borderId="41" xfId="11" applyFont="1" applyBorder="1" applyAlignment="1">
      <alignment vertical="center" wrapText="1"/>
    </xf>
    <xf numFmtId="14" fontId="22" fillId="0" borderId="1" xfId="3" applyNumberFormat="1" applyFont="1" applyBorder="1" applyAlignment="1" applyProtection="1">
      <alignment horizontal="center" vertical="center" wrapText="1"/>
    </xf>
    <xf numFmtId="168" fontId="22" fillId="0" borderId="1" xfId="16" applyNumberFormat="1" applyFont="1" applyFill="1" applyBorder="1" applyAlignment="1" applyProtection="1">
      <alignment horizontal="center" vertical="center" wrapText="1"/>
    </xf>
    <xf numFmtId="168" fontId="22" fillId="0" borderId="1" xfId="11" applyNumberFormat="1" applyFont="1" applyBorder="1" applyAlignment="1">
      <alignment vertical="center"/>
    </xf>
    <xf numFmtId="4" fontId="22" fillId="0" borderId="56" xfId="13" applyNumberFormat="1" applyFont="1" applyBorder="1" applyAlignment="1" applyProtection="1">
      <alignment horizontal="center" vertical="center" wrapText="1"/>
    </xf>
    <xf numFmtId="4" fontId="22" fillId="0" borderId="15" xfId="13" applyNumberFormat="1" applyFont="1" applyBorder="1" applyAlignment="1" applyProtection="1">
      <alignment horizontal="center" vertical="center" wrapText="1"/>
    </xf>
    <xf numFmtId="0" fontId="22" fillId="9" borderId="14" xfId="11" applyFont="1" applyFill="1" applyBorder="1" applyAlignment="1">
      <alignment vertical="center" wrapText="1"/>
    </xf>
    <xf numFmtId="0" fontId="22" fillId="9" borderId="25" xfId="11" applyFont="1" applyFill="1" applyBorder="1" applyAlignment="1">
      <alignment vertical="center" wrapText="1"/>
    </xf>
    <xf numFmtId="4" fontId="82" fillId="0" borderId="1" xfId="13" applyNumberFormat="1" applyFont="1" applyBorder="1" applyAlignment="1" applyProtection="1">
      <alignment horizontal="center" vertical="center" wrapText="1"/>
    </xf>
    <xf numFmtId="0" fontId="82" fillId="9" borderId="24" xfId="11" applyFont="1" applyFill="1" applyBorder="1" applyAlignment="1">
      <alignment vertical="center" wrapText="1"/>
    </xf>
    <xf numFmtId="0" fontId="82" fillId="9" borderId="14" xfId="11" applyFont="1" applyFill="1" applyBorder="1" applyAlignment="1">
      <alignment vertical="center" wrapText="1"/>
    </xf>
    <xf numFmtId="0" fontId="82" fillId="9" borderId="25" xfId="11" applyFont="1" applyFill="1" applyBorder="1" applyAlignment="1">
      <alignment vertical="center" wrapText="1"/>
    </xf>
    <xf numFmtId="9" fontId="82" fillId="9" borderId="14" xfId="24" applyFont="1" applyFill="1" applyBorder="1" applyAlignment="1">
      <alignment vertical="center" wrapText="1"/>
    </xf>
    <xf numFmtId="0" fontId="82" fillId="0" borderId="14" xfId="11" applyFont="1" applyBorder="1" applyAlignment="1">
      <alignment vertical="center" wrapText="1"/>
    </xf>
    <xf numFmtId="4" fontId="82" fillId="18" borderId="15" xfId="13" applyNumberFormat="1" applyFont="1" applyFill="1" applyBorder="1" applyAlignment="1" applyProtection="1">
      <alignment horizontal="center" vertical="center" wrapText="1"/>
    </xf>
    <xf numFmtId="0" fontId="82" fillId="18" borderId="41" xfId="11" applyFont="1" applyFill="1" applyBorder="1" applyAlignment="1">
      <alignment vertical="center" wrapText="1"/>
    </xf>
    <xf numFmtId="4" fontId="82" fillId="18" borderId="1" xfId="13" applyNumberFormat="1" applyFont="1" applyFill="1" applyBorder="1" applyAlignment="1" applyProtection="1">
      <alignment vertical="center" wrapText="1"/>
    </xf>
    <xf numFmtId="168" fontId="82" fillId="0" borderId="13" xfId="16" applyNumberFormat="1" applyFont="1" applyFill="1" applyBorder="1" applyAlignment="1" applyProtection="1">
      <alignment horizontal="center" vertical="center" wrapText="1"/>
    </xf>
    <xf numFmtId="42" fontId="82" fillId="18" borderId="1" xfId="12" applyFont="1" applyFill="1" applyBorder="1" applyAlignment="1">
      <alignment horizontal="center" vertical="center" wrapText="1"/>
    </xf>
    <xf numFmtId="1" fontId="82" fillId="0" borderId="3" xfId="3" applyNumberFormat="1" applyFont="1" applyBorder="1" applyAlignment="1" applyProtection="1">
      <alignment horizontal="center" vertical="center" wrapText="1"/>
    </xf>
    <xf numFmtId="4" fontId="82" fillId="0" borderId="3" xfId="13" applyNumberFormat="1" applyFont="1" applyBorder="1" applyAlignment="1" applyProtection="1">
      <alignment vertical="center" wrapText="1"/>
    </xf>
    <xf numFmtId="14" fontId="82" fillId="0" borderId="3" xfId="3" applyNumberFormat="1" applyFont="1" applyBorder="1" applyAlignment="1" applyProtection="1">
      <alignment horizontal="center" vertical="center" wrapText="1"/>
    </xf>
    <xf numFmtId="168" fontId="82" fillId="0" borderId="3" xfId="16" applyNumberFormat="1" applyFont="1" applyFill="1" applyBorder="1" applyAlignment="1" applyProtection="1">
      <alignment horizontal="center" vertical="center" wrapText="1"/>
    </xf>
    <xf numFmtId="0" fontId="82" fillId="0" borderId="55" xfId="11" applyFont="1" applyBorder="1" applyAlignment="1">
      <alignment horizontal="center" vertical="center" wrapText="1"/>
    </xf>
    <xf numFmtId="0" fontId="30" fillId="0" borderId="1" xfId="11" applyFont="1" applyBorder="1" applyAlignment="1">
      <alignment vertical="center" wrapText="1"/>
    </xf>
    <xf numFmtId="0" fontId="82" fillId="0" borderId="1" xfId="11" applyFont="1" applyBorder="1" applyAlignment="1">
      <alignment vertical="center" wrapText="1"/>
    </xf>
    <xf numFmtId="0" fontId="82" fillId="0" borderId="1" xfId="16" applyNumberFormat="1" applyFont="1" applyFill="1" applyBorder="1" applyAlignment="1" applyProtection="1">
      <alignment horizontal="center" vertical="center" wrapText="1"/>
    </xf>
    <xf numFmtId="0" fontId="82" fillId="0" borderId="25" xfId="11" applyFont="1" applyBorder="1" applyAlignment="1">
      <alignment vertical="center" wrapText="1"/>
    </xf>
    <xf numFmtId="0" fontId="82" fillId="0" borderId="13" xfId="16" applyNumberFormat="1" applyFont="1" applyFill="1" applyBorder="1" applyAlignment="1" applyProtection="1">
      <alignment horizontal="center" vertical="center" wrapText="1"/>
    </xf>
    <xf numFmtId="9" fontId="82" fillId="0" borderId="55" xfId="24" applyFont="1" applyFill="1" applyBorder="1" applyAlignment="1" applyProtection="1">
      <alignment vertical="center" wrapText="1"/>
    </xf>
    <xf numFmtId="4" fontId="82" fillId="0" borderId="56" xfId="13" applyNumberFormat="1" applyFont="1" applyBorder="1" applyAlignment="1" applyProtection="1">
      <alignment horizontal="center" vertical="center" wrapText="1"/>
    </xf>
    <xf numFmtId="0" fontId="82" fillId="0" borderId="3" xfId="11" applyFont="1" applyBorder="1" applyAlignment="1">
      <alignment horizontal="center" vertical="center" wrapText="1"/>
    </xf>
    <xf numFmtId="4" fontId="82" fillId="0" borderId="1" xfId="13" applyNumberFormat="1" applyFont="1" applyBorder="1" applyAlignment="1" applyProtection="1">
      <alignment horizontal="left" vertical="center" wrapText="1"/>
    </xf>
    <xf numFmtId="173" fontId="82" fillId="0" borderId="1" xfId="12" applyNumberFormat="1" applyFont="1" applyFill="1" applyBorder="1" applyAlignment="1">
      <alignment horizontal="center" vertical="center" wrapText="1"/>
    </xf>
    <xf numFmtId="9" fontId="82" fillId="0" borderId="1" xfId="24" applyFont="1" applyFill="1" applyBorder="1" applyAlignment="1">
      <alignment horizontal="center" vertical="center" wrapText="1"/>
    </xf>
    <xf numFmtId="44" fontId="82" fillId="0" borderId="1" xfId="71" applyFont="1" applyFill="1" applyBorder="1" applyAlignment="1">
      <alignment horizontal="center" vertical="center" wrapText="1"/>
    </xf>
    <xf numFmtId="14" fontId="82" fillId="0" borderId="1" xfId="12" applyNumberFormat="1" applyFont="1" applyFill="1" applyBorder="1" applyAlignment="1">
      <alignment horizontal="center" vertical="center" wrapText="1"/>
    </xf>
    <xf numFmtId="170" fontId="82" fillId="0" borderId="1" xfId="12" applyNumberFormat="1" applyFont="1" applyFill="1" applyBorder="1" applyAlignment="1">
      <alignment horizontal="center" vertical="center" wrapText="1"/>
    </xf>
    <xf numFmtId="0" fontId="82" fillId="9" borderId="1" xfId="11" applyFont="1" applyFill="1" applyBorder="1" applyAlignment="1">
      <alignment vertical="center" wrapText="1"/>
    </xf>
    <xf numFmtId="173" fontId="82" fillId="0" borderId="9" xfId="12" applyNumberFormat="1" applyFont="1" applyFill="1" applyBorder="1" applyAlignment="1">
      <alignment horizontal="center" vertical="center" wrapText="1"/>
    </xf>
    <xf numFmtId="4" fontId="16" fillId="0" borderId="1" xfId="5" applyNumberFormat="1" applyBorder="1" applyAlignment="1">
      <alignment horizontal="center" vertical="center" wrapText="1"/>
    </xf>
    <xf numFmtId="0" fontId="16" fillId="0" borderId="1" xfId="5" applyBorder="1" applyAlignment="1">
      <alignment horizontal="center" vertical="center" wrapText="1"/>
    </xf>
    <xf numFmtId="0" fontId="31" fillId="9" borderId="24" xfId="11" applyFont="1" applyFill="1" applyBorder="1" applyAlignment="1">
      <alignment vertical="center" wrapText="1"/>
    </xf>
    <xf numFmtId="4" fontId="22" fillId="0" borderId="1" xfId="13" applyNumberFormat="1" applyFont="1" applyBorder="1" applyAlignment="1" applyProtection="1">
      <alignment horizontal="center" vertical="center" wrapText="1"/>
    </xf>
    <xf numFmtId="0" fontId="15" fillId="0" borderId="62" xfId="11" applyBorder="1" applyAlignment="1">
      <alignment horizontal="center" vertical="center" wrapText="1"/>
    </xf>
    <xf numFmtId="168" fontId="82" fillId="0" borderId="13" xfId="11" applyNumberFormat="1" applyFont="1" applyBorder="1" applyAlignment="1">
      <alignment vertical="center"/>
    </xf>
    <xf numFmtId="44" fontId="82" fillId="0" borderId="1" xfId="71" applyFont="1" applyBorder="1" applyAlignment="1" applyProtection="1">
      <alignment horizontal="center" vertical="center" wrapText="1"/>
    </xf>
    <xf numFmtId="0" fontId="82" fillId="9" borderId="14" xfId="11" applyFont="1" applyFill="1" applyBorder="1" applyAlignment="1">
      <alignment horizontal="left" vertical="center" wrapText="1"/>
    </xf>
    <xf numFmtId="168" fontId="82" fillId="0" borderId="17" xfId="16" applyNumberFormat="1" applyFont="1" applyFill="1" applyBorder="1" applyAlignment="1" applyProtection="1">
      <alignment horizontal="center" vertical="center" wrapText="1"/>
    </xf>
    <xf numFmtId="0" fontId="87" fillId="0" borderId="22" xfId="11" applyFont="1" applyBorder="1" applyAlignment="1">
      <alignment horizontal="center" vertical="center" wrapText="1"/>
    </xf>
    <xf numFmtId="0" fontId="87" fillId="0" borderId="24" xfId="11" applyFont="1" applyBorder="1" applyAlignment="1">
      <alignment horizontal="center" vertical="center" wrapText="1"/>
    </xf>
    <xf numFmtId="0" fontId="82" fillId="0" borderId="41" xfId="11" applyFont="1" applyBorder="1" applyAlignment="1">
      <alignment horizontal="center" vertical="center" wrapText="1"/>
    </xf>
    <xf numFmtId="0" fontId="82" fillId="9" borderId="24" xfId="11" applyFont="1" applyFill="1" applyBorder="1" applyAlignment="1">
      <alignment vertical="center"/>
    </xf>
    <xf numFmtId="0" fontId="77" fillId="0" borderId="1" xfId="0" applyFont="1" applyBorder="1" applyAlignment="1">
      <alignment horizontal="left" vertical="center"/>
    </xf>
    <xf numFmtId="0" fontId="77" fillId="0" borderId="1" xfId="0" applyFont="1" applyBorder="1" applyAlignment="1">
      <alignment horizontal="center" vertical="center"/>
    </xf>
    <xf numFmtId="9" fontId="77" fillId="0" borderId="1" xfId="24" applyFont="1" applyFill="1" applyBorder="1" applyAlignment="1">
      <alignment horizontal="left" vertical="center"/>
    </xf>
    <xf numFmtId="0" fontId="0" fillId="0" borderId="1" xfId="0" applyBorder="1" applyAlignment="1">
      <alignment horizontal="left"/>
    </xf>
    <xf numFmtId="0" fontId="77" fillId="0" borderId="1" xfId="0" applyFont="1" applyBorder="1" applyAlignment="1">
      <alignment horizontal="left"/>
    </xf>
    <xf numFmtId="9" fontId="77" fillId="0" borderId="1" xfId="0" applyNumberFormat="1" applyFont="1" applyBorder="1" applyAlignment="1">
      <alignment horizontal="left"/>
    </xf>
    <xf numFmtId="0" fontId="0" fillId="0" borderId="1" xfId="0" applyBorder="1" applyAlignment="1">
      <alignment horizontal="left" vertical="center"/>
    </xf>
    <xf numFmtId="0" fontId="0" fillId="0" borderId="1" xfId="0" applyBorder="1" applyAlignment="1">
      <alignment horizontal="center"/>
    </xf>
    <xf numFmtId="9" fontId="0" fillId="0" borderId="1" xfId="24" applyFont="1" applyFill="1" applyBorder="1" applyAlignment="1">
      <alignment horizontal="left" vertical="center"/>
    </xf>
    <xf numFmtId="0" fontId="0" fillId="0" borderId="1" xfId="0" applyBorder="1" applyAlignment="1">
      <alignment horizontal="left" wrapText="1"/>
    </xf>
    <xf numFmtId="9" fontId="0" fillId="0" borderId="1" xfId="24" applyFont="1" applyFill="1" applyBorder="1" applyAlignment="1">
      <alignment horizontal="left" vertical="center" wrapText="1"/>
    </xf>
    <xf numFmtId="0" fontId="0" fillId="0" borderId="1" xfId="0" applyBorder="1" applyAlignment="1">
      <alignment wrapText="1"/>
    </xf>
    <xf numFmtId="0" fontId="46" fillId="0" borderId="22" xfId="57" applyFont="1" applyBorder="1" applyAlignment="1">
      <alignment horizontal="center" vertical="center"/>
    </xf>
    <xf numFmtId="0" fontId="46" fillId="0" borderId="1" xfId="60" applyFont="1" applyBorder="1" applyAlignment="1">
      <alignment horizontal="left" vertical="center" wrapText="1"/>
    </xf>
    <xf numFmtId="172" fontId="88" fillId="0" borderId="1" xfId="0" applyNumberFormat="1" applyFont="1" applyBorder="1" applyAlignment="1">
      <alignment horizontal="center"/>
    </xf>
    <xf numFmtId="0" fontId="47" fillId="0" borderId="23" xfId="0" applyFont="1" applyBorder="1"/>
    <xf numFmtId="0" fontId="45" fillId="0" borderId="0" xfId="57" applyFont="1"/>
    <xf numFmtId="0" fontId="0" fillId="0" borderId="23" xfId="0" applyBorder="1" applyAlignment="1">
      <alignment vertical="center"/>
    </xf>
    <xf numFmtId="0" fontId="4" fillId="0" borderId="0" xfId="57" applyAlignment="1">
      <alignment vertical="center"/>
    </xf>
    <xf numFmtId="0" fontId="40" fillId="22" borderId="6" xfId="11" applyFont="1" applyFill="1" applyBorder="1" applyAlignment="1">
      <alignment horizontal="center" vertical="center" wrapText="1"/>
    </xf>
    <xf numFmtId="2" fontId="40" fillId="23" borderId="13" xfId="4" applyNumberFormat="1" applyFont="1" applyFill="1" applyBorder="1" applyAlignment="1">
      <alignment vertical="center"/>
    </xf>
    <xf numFmtId="4" fontId="82" fillId="0" borderId="14" xfId="13" applyNumberFormat="1" applyFont="1" applyBorder="1" applyAlignment="1" applyProtection="1">
      <alignment horizontal="center" vertical="center" wrapText="1"/>
    </xf>
    <xf numFmtId="4" fontId="21" fillId="0" borderId="14" xfId="13" applyNumberFormat="1" applyFont="1" applyBorder="1" applyAlignment="1" applyProtection="1">
      <alignment horizontal="center" vertical="center" wrapText="1"/>
    </xf>
    <xf numFmtId="4" fontId="21" fillId="0" borderId="1" xfId="13" applyNumberFormat="1" applyFont="1" applyBorder="1" applyAlignment="1" applyProtection="1">
      <alignment horizontal="center" vertical="center" wrapText="1"/>
    </xf>
    <xf numFmtId="0" fontId="89" fillId="0" borderId="41" xfId="11" applyFont="1" applyBorder="1" applyAlignment="1">
      <alignment vertical="center" wrapText="1"/>
    </xf>
    <xf numFmtId="0" fontId="30" fillId="0" borderId="1" xfId="11" applyFont="1" applyBorder="1" applyAlignment="1">
      <alignment horizontal="left" vertical="center" wrapText="1"/>
    </xf>
    <xf numFmtId="0" fontId="90" fillId="0" borderId="41" xfId="11" applyFont="1" applyBorder="1" applyAlignment="1">
      <alignment vertical="center" wrapText="1"/>
    </xf>
    <xf numFmtId="0" fontId="21" fillId="19" borderId="75" xfId="11" applyFont="1" applyFill="1" applyBorder="1" applyAlignment="1">
      <alignment horizontal="center" vertical="center" wrapText="1"/>
    </xf>
    <xf numFmtId="0" fontId="21" fillId="19" borderId="9" xfId="11" applyFont="1" applyFill="1" applyBorder="1" applyAlignment="1">
      <alignment horizontal="center" vertical="center" wrapText="1"/>
    </xf>
    <xf numFmtId="0" fontId="29" fillId="0" borderId="77" xfId="11" applyFont="1" applyBorder="1" applyAlignment="1">
      <alignment horizontal="justify" vertical="center"/>
    </xf>
    <xf numFmtId="1" fontId="19" fillId="14" borderId="78" xfId="3" applyNumberFormat="1" applyFont="1" applyFill="1" applyBorder="1" applyAlignment="1" applyProtection="1">
      <alignment horizontal="center" vertical="center"/>
    </xf>
    <xf numFmtId="0" fontId="40" fillId="22" borderId="78" xfId="11" applyFont="1" applyFill="1" applyBorder="1" applyAlignment="1">
      <alignment horizontal="center" vertical="center" wrapText="1"/>
    </xf>
    <xf numFmtId="0" fontId="89" fillId="9" borderId="25" xfId="11" applyFont="1" applyFill="1" applyBorder="1" applyAlignment="1">
      <alignment vertical="center" wrapText="1"/>
    </xf>
    <xf numFmtId="0" fontId="82" fillId="0" borderId="13" xfId="11" applyFont="1" applyBorder="1" applyAlignment="1">
      <alignment horizontal="center" vertical="center" wrapText="1"/>
    </xf>
    <xf numFmtId="0" fontId="82" fillId="0" borderId="1" xfId="11" applyFont="1" applyBorder="1" applyAlignment="1">
      <alignment horizontal="center" vertical="center" wrapText="1"/>
    </xf>
    <xf numFmtId="2" fontId="21" fillId="9" borderId="38" xfId="11" applyNumberFormat="1" applyFont="1" applyFill="1" applyBorder="1" applyAlignment="1">
      <alignment horizontal="center" vertical="center" wrapText="1"/>
    </xf>
    <xf numFmtId="0" fontId="21" fillId="19" borderId="39" xfId="11" applyFont="1" applyFill="1" applyBorder="1" applyAlignment="1">
      <alignment horizontal="center" vertical="center" wrapText="1"/>
    </xf>
    <xf numFmtId="0" fontId="24" fillId="0" borderId="0" xfId="11" applyFont="1" applyAlignment="1">
      <alignment horizontal="center" vertical="center" wrapText="1"/>
    </xf>
    <xf numFmtId="0" fontId="73" fillId="0" borderId="0" xfId="11" applyFont="1" applyAlignment="1">
      <alignment horizontal="center" vertical="center" wrapText="1"/>
    </xf>
    <xf numFmtId="0" fontId="25" fillId="0" borderId="0" xfId="11" applyFont="1" applyAlignment="1">
      <alignment horizontal="center" vertical="center" wrapText="1"/>
    </xf>
    <xf numFmtId="0" fontId="57" fillId="0" borderId="0" xfId="11" applyFont="1" applyAlignment="1">
      <alignment horizontal="left" vertical="center" wrapText="1"/>
    </xf>
    <xf numFmtId="0" fontId="21" fillId="19" borderId="18" xfId="11" applyFont="1" applyFill="1" applyBorder="1" applyAlignment="1">
      <alignment horizontal="center" vertical="center" wrapText="1"/>
    </xf>
    <xf numFmtId="0" fontId="21" fillId="19" borderId="34" xfId="11" applyFont="1" applyFill="1" applyBorder="1" applyAlignment="1">
      <alignment horizontal="center" vertical="center" wrapText="1"/>
    </xf>
    <xf numFmtId="0" fontId="22" fillId="0" borderId="1" xfId="11" applyFont="1" applyBorder="1" applyAlignment="1">
      <alignment horizontal="center" vertical="center" wrapText="1"/>
    </xf>
    <xf numFmtId="0" fontId="55" fillId="0" borderId="0" xfId="11" applyFont="1" applyAlignment="1">
      <alignment horizontal="center" vertical="center" wrapText="1"/>
    </xf>
    <xf numFmtId="0" fontId="61" fillId="0" borderId="0" xfId="11" applyFont="1" applyAlignment="1">
      <alignment horizontal="left" vertical="center" wrapText="1"/>
    </xf>
    <xf numFmtId="0" fontId="62" fillId="0" borderId="0" xfId="11" applyFont="1" applyAlignment="1">
      <alignment horizontal="center" vertical="center" wrapText="1"/>
    </xf>
    <xf numFmtId="0" fontId="63" fillId="0" borderId="0" xfId="11" applyFont="1" applyAlignment="1">
      <alignment horizontal="center" vertical="center" wrapText="1"/>
    </xf>
    <xf numFmtId="0" fontId="4" fillId="0" borderId="0" xfId="57" applyAlignment="1">
      <alignment horizontal="center"/>
    </xf>
    <xf numFmtId="4" fontId="89" fillId="0" borderId="1" xfId="13" applyNumberFormat="1" applyFont="1" applyBorder="1" applyAlignment="1">
      <alignment horizontal="center" vertical="center" wrapText="1"/>
    </xf>
    <xf numFmtId="0" fontId="31" fillId="9" borderId="24" xfId="11" applyFont="1" applyFill="1" applyBorder="1" applyAlignment="1">
      <alignment horizontal="left" vertical="center" wrapText="1"/>
    </xf>
    <xf numFmtId="0" fontId="91" fillId="9" borderId="24" xfId="11" applyFont="1" applyFill="1" applyBorder="1" applyAlignment="1">
      <alignment vertical="center" wrapText="1"/>
    </xf>
    <xf numFmtId="0" fontId="82" fillId="0" borderId="13" xfId="11" applyFont="1" applyBorder="1" applyAlignment="1">
      <alignment horizontal="left" vertical="center" wrapText="1"/>
    </xf>
    <xf numFmtId="0" fontId="30" fillId="15" borderId="1" xfId="0" applyFont="1" applyFill="1" applyBorder="1" applyAlignment="1">
      <alignment horizontal="center" vertical="center"/>
    </xf>
    <xf numFmtId="172" fontId="41" fillId="18" borderId="1" xfId="0" applyNumberFormat="1" applyFont="1" applyFill="1" applyBorder="1" applyAlignment="1">
      <alignment horizontal="center"/>
    </xf>
    <xf numFmtId="2" fontId="92" fillId="0" borderId="18" xfId="67" applyNumberFormat="1" applyFont="1" applyBorder="1" applyAlignment="1">
      <alignment horizontal="center" vertical="center" wrapText="1"/>
    </xf>
    <xf numFmtId="0" fontId="93" fillId="0" borderId="24" xfId="11" applyFont="1" applyBorder="1" applyAlignment="1">
      <alignment horizontal="left" vertical="center" wrapText="1"/>
    </xf>
    <xf numFmtId="42" fontId="93" fillId="0" borderId="1" xfId="12" applyFont="1" applyFill="1" applyBorder="1" applyAlignment="1">
      <alignment horizontal="center" vertical="center" wrapText="1"/>
    </xf>
    <xf numFmtId="1" fontId="93" fillId="0" borderId="1" xfId="3" applyNumberFormat="1" applyFont="1" applyBorder="1" applyAlignment="1" applyProtection="1">
      <alignment horizontal="center" vertical="center" wrapText="1"/>
    </xf>
    <xf numFmtId="4" fontId="93" fillId="0" borderId="1" xfId="13" applyNumberFormat="1" applyFont="1" applyBorder="1" applyAlignment="1" applyProtection="1">
      <alignment vertical="center" wrapText="1"/>
    </xf>
    <xf numFmtId="9" fontId="93" fillId="0" borderId="14" xfId="24" applyFont="1" applyFill="1" applyBorder="1" applyAlignment="1" applyProtection="1">
      <alignment vertical="center" wrapText="1"/>
    </xf>
    <xf numFmtId="14" fontId="93" fillId="0" borderId="1" xfId="3" applyNumberFormat="1" applyFont="1" applyBorder="1" applyAlignment="1" applyProtection="1">
      <alignment horizontal="center" vertical="center" wrapText="1"/>
    </xf>
    <xf numFmtId="168" fontId="93" fillId="0" borderId="1" xfId="16" applyNumberFormat="1" applyFont="1" applyFill="1" applyBorder="1" applyAlignment="1" applyProtection="1">
      <alignment horizontal="center" vertical="center" wrapText="1"/>
    </xf>
    <xf numFmtId="168" fontId="93" fillId="0" borderId="1" xfId="11" applyNumberFormat="1" applyFont="1" applyBorder="1" applyAlignment="1">
      <alignment vertical="center"/>
    </xf>
    <xf numFmtId="0" fontId="93" fillId="0" borderId="1" xfId="11" applyFont="1" applyBorder="1" applyAlignment="1">
      <alignment horizontal="center" vertical="center" wrapText="1"/>
    </xf>
    <xf numFmtId="0" fontId="93" fillId="0" borderId="41" xfId="11" applyFont="1" applyBorder="1" applyAlignment="1">
      <alignment vertical="center" wrapText="1"/>
    </xf>
    <xf numFmtId="2" fontId="1" fillId="0" borderId="18" xfId="67" applyNumberFormat="1" applyFont="1" applyBorder="1" applyAlignment="1">
      <alignment horizontal="center" vertical="center" wrapText="1"/>
    </xf>
    <xf numFmtId="0" fontId="65" fillId="0" borderId="16" xfId="0" applyFont="1" applyBorder="1" applyAlignment="1">
      <alignment horizontal="left" vertical="center" wrapText="1"/>
    </xf>
    <xf numFmtId="0" fontId="18" fillId="4" borderId="28" xfId="11" applyFont="1" applyFill="1" applyBorder="1" applyAlignment="1">
      <alignment horizontal="center" vertical="center" wrapText="1"/>
    </xf>
    <xf numFmtId="0" fontId="18" fillId="4" borderId="29" xfId="11" applyFont="1" applyFill="1" applyBorder="1" applyAlignment="1">
      <alignment horizontal="center" vertical="center" wrapText="1"/>
    </xf>
    <xf numFmtId="0" fontId="18" fillId="4" borderId="30" xfId="11" applyFont="1" applyFill="1" applyBorder="1" applyAlignment="1">
      <alignment horizontal="center" vertical="center" wrapText="1"/>
    </xf>
    <xf numFmtId="0" fontId="18" fillId="0" borderId="28" xfId="11" applyFont="1" applyBorder="1" applyAlignment="1">
      <alignment horizontal="center" vertical="center" wrapText="1"/>
    </xf>
    <xf numFmtId="0" fontId="18" fillId="0" borderId="29" xfId="11" applyFont="1" applyBorder="1" applyAlignment="1">
      <alignment horizontal="center" vertical="center" wrapText="1"/>
    </xf>
    <xf numFmtId="0" fontId="18" fillId="0" borderId="30" xfId="11" applyFont="1" applyBorder="1" applyAlignment="1">
      <alignment horizontal="center" vertical="center" wrapText="1"/>
    </xf>
    <xf numFmtId="0" fontId="82" fillId="0" borderId="13" xfId="11" applyFont="1" applyBorder="1" applyAlignment="1">
      <alignment horizontal="center" vertical="center" wrapText="1"/>
    </xf>
    <xf numFmtId="168" fontId="23" fillId="22" borderId="33" xfId="16" applyNumberFormat="1" applyFont="1" applyFill="1" applyBorder="1" applyAlignment="1">
      <alignment horizontal="center" vertical="center"/>
    </xf>
    <xf numFmtId="168" fontId="23" fillId="22" borderId="58" xfId="16" applyNumberFormat="1" applyFont="1" applyFill="1" applyBorder="1" applyAlignment="1">
      <alignment horizontal="center" vertical="center"/>
    </xf>
    <xf numFmtId="0" fontId="31" fillId="0" borderId="36" xfId="11" applyFont="1" applyBorder="1" applyAlignment="1">
      <alignment horizontal="center" vertical="center" wrapText="1"/>
    </xf>
    <xf numFmtId="0" fontId="50" fillId="11" borderId="28" xfId="11" applyFont="1" applyFill="1" applyBorder="1" applyAlignment="1">
      <alignment horizontal="center" vertical="center"/>
    </xf>
    <xf numFmtId="0" fontId="21" fillId="23" borderId="24" xfId="11" applyFont="1" applyFill="1" applyBorder="1" applyAlignment="1">
      <alignment horizontal="left" vertical="center" wrapText="1"/>
    </xf>
    <xf numFmtId="0" fontId="21" fillId="0" borderId="13" xfId="11" applyFont="1" applyBorder="1" applyAlignment="1">
      <alignment horizontal="left" vertical="center" wrapText="1"/>
    </xf>
    <xf numFmtId="14" fontId="40" fillId="0" borderId="13" xfId="4" applyNumberFormat="1" applyFont="1" applyBorder="1" applyAlignment="1">
      <alignment horizontal="center" vertical="center"/>
    </xf>
    <xf numFmtId="0" fontId="21" fillId="0" borderId="49" xfId="11" applyFont="1" applyBorder="1" applyAlignment="1">
      <alignment horizontal="left" vertical="center" wrapText="1"/>
    </xf>
    <xf numFmtId="2" fontId="21" fillId="9" borderId="17" xfId="11" applyNumberFormat="1" applyFont="1" applyFill="1" applyBorder="1" applyAlignment="1">
      <alignment horizontal="center" vertical="center"/>
    </xf>
    <xf numFmtId="0" fontId="21" fillId="19" borderId="35" xfId="11" applyFont="1" applyFill="1" applyBorder="1" applyAlignment="1">
      <alignment horizontal="center" vertical="center" wrapText="1"/>
    </xf>
    <xf numFmtId="0" fontId="21" fillId="20" borderId="13" xfId="11" applyFont="1" applyFill="1" applyBorder="1" applyAlignment="1">
      <alignment horizontal="center" vertical="center" wrapText="1"/>
    </xf>
    <xf numFmtId="0" fontId="82" fillId="0" borderId="1" xfId="11" applyFont="1" applyBorder="1" applyAlignment="1">
      <alignment horizontal="center" vertical="center" wrapText="1"/>
    </xf>
    <xf numFmtId="0" fontId="82" fillId="0" borderId="15" xfId="11" applyFont="1" applyBorder="1" applyAlignment="1">
      <alignment horizontal="center" vertical="center" wrapText="1"/>
    </xf>
    <xf numFmtId="0" fontId="21" fillId="20" borderId="32" xfId="11" applyFont="1" applyFill="1" applyBorder="1" applyAlignment="1">
      <alignment horizontal="center" vertical="center" wrapText="1"/>
    </xf>
    <xf numFmtId="0" fontId="21" fillId="20" borderId="9" xfId="11" applyFont="1" applyFill="1" applyBorder="1" applyAlignment="1">
      <alignment horizontal="center" vertical="center" wrapText="1"/>
    </xf>
    <xf numFmtId="2" fontId="21" fillId="9" borderId="38" xfId="11" applyNumberFormat="1" applyFont="1" applyFill="1" applyBorder="1" applyAlignment="1">
      <alignment horizontal="center" vertical="center" wrapText="1"/>
    </xf>
    <xf numFmtId="2" fontId="21" fillId="9" borderId="57" xfId="11" applyNumberFormat="1" applyFont="1" applyFill="1" applyBorder="1" applyAlignment="1">
      <alignment horizontal="center" vertical="center" wrapText="1"/>
    </xf>
    <xf numFmtId="0" fontId="49" fillId="11" borderId="4" xfId="11" applyFont="1" applyFill="1" applyBorder="1" applyAlignment="1">
      <alignment horizontal="center" vertical="center"/>
    </xf>
    <xf numFmtId="0" fontId="21" fillId="20" borderId="33" xfId="11" applyFont="1" applyFill="1" applyBorder="1" applyAlignment="1">
      <alignment horizontal="center" vertical="center" wrapText="1"/>
    </xf>
    <xf numFmtId="0" fontId="21" fillId="19" borderId="39" xfId="11" applyFont="1" applyFill="1" applyBorder="1" applyAlignment="1">
      <alignment horizontal="center" vertical="center" wrapText="1"/>
    </xf>
    <xf numFmtId="0" fontId="21" fillId="19" borderId="65" xfId="11" applyFont="1" applyFill="1" applyBorder="1" applyAlignment="1">
      <alignment horizontal="center" vertical="center" wrapText="1"/>
    </xf>
    <xf numFmtId="0" fontId="22" fillId="0" borderId="13" xfId="11" applyFont="1" applyBorder="1" applyAlignment="1">
      <alignment horizontal="center" vertical="center" wrapText="1"/>
    </xf>
    <xf numFmtId="168" fontId="23" fillId="22" borderId="79" xfId="16" applyNumberFormat="1" applyFont="1" applyFill="1" applyBorder="1" applyAlignment="1">
      <alignment horizontal="center" vertical="center"/>
    </xf>
    <xf numFmtId="168" fontId="23" fillId="22" borderId="81" xfId="16" applyNumberFormat="1" applyFont="1" applyFill="1" applyBorder="1" applyAlignment="1">
      <alignment horizontal="center" vertical="center"/>
    </xf>
    <xf numFmtId="2" fontId="21" fillId="9" borderId="37" xfId="11" applyNumberFormat="1" applyFont="1" applyFill="1" applyBorder="1" applyAlignment="1">
      <alignment horizontal="center" vertical="center" wrapText="1"/>
    </xf>
    <xf numFmtId="0" fontId="82" fillId="9" borderId="13" xfId="11" applyFont="1" applyFill="1" applyBorder="1" applyAlignment="1">
      <alignment horizontal="center" vertical="center" wrapText="1"/>
    </xf>
    <xf numFmtId="0" fontId="82" fillId="9" borderId="15" xfId="11" applyFont="1" applyFill="1" applyBorder="1" applyAlignment="1">
      <alignment horizontal="center" vertical="center" wrapText="1"/>
    </xf>
    <xf numFmtId="0" fontId="24" fillId="0" borderId="0" xfId="11" applyFont="1" applyAlignment="1">
      <alignment horizontal="center" vertical="center" wrapText="1"/>
    </xf>
    <xf numFmtId="0" fontId="73" fillId="0" borderId="0" xfId="11" applyFont="1" applyAlignment="1">
      <alignment horizontal="center" vertical="center" wrapText="1"/>
    </xf>
    <xf numFmtId="0" fontId="93" fillId="0" borderId="13" xfId="11" applyFont="1" applyBorder="1" applyAlignment="1">
      <alignment horizontal="center" vertical="center" wrapText="1"/>
    </xf>
    <xf numFmtId="14" fontId="40" fillId="0" borderId="82" xfId="4" applyNumberFormat="1" applyFont="1" applyBorder="1" applyAlignment="1">
      <alignment horizontal="center" vertical="center"/>
    </xf>
    <xf numFmtId="0" fontId="21" fillId="0" borderId="83" xfId="11" applyFont="1" applyBorder="1" applyAlignment="1">
      <alignment horizontal="left" vertical="center" wrapText="1"/>
    </xf>
    <xf numFmtId="0" fontId="21" fillId="0" borderId="84" xfId="11" applyFont="1" applyBorder="1" applyAlignment="1">
      <alignment horizontal="left" vertical="center" wrapText="1"/>
    </xf>
    <xf numFmtId="2" fontId="21" fillId="9" borderId="85" xfId="11" applyNumberFormat="1" applyFont="1" applyFill="1" applyBorder="1" applyAlignment="1">
      <alignment horizontal="center" vertical="center"/>
    </xf>
    <xf numFmtId="2" fontId="21" fillId="9" borderId="86" xfId="11" applyNumberFormat="1" applyFont="1" applyFill="1" applyBorder="1" applyAlignment="1">
      <alignment horizontal="center" vertical="center"/>
    </xf>
    <xf numFmtId="0" fontId="21" fillId="20" borderId="8" xfId="11" applyFont="1" applyFill="1" applyBorder="1" applyAlignment="1">
      <alignment horizontal="center" vertical="center" wrapText="1"/>
    </xf>
    <xf numFmtId="0" fontId="21" fillId="20" borderId="76" xfId="11" applyFont="1" applyFill="1" applyBorder="1" applyAlignment="1">
      <alignment horizontal="center" vertical="center" wrapText="1"/>
    </xf>
    <xf numFmtId="0" fontId="25" fillId="0" borderId="0" xfId="11" applyFont="1" applyAlignment="1">
      <alignment horizontal="center" vertical="center" wrapText="1"/>
    </xf>
    <xf numFmtId="0" fontId="56" fillId="0" borderId="0" xfId="11" applyFont="1" applyAlignment="1">
      <alignment horizontal="center" vertical="center" wrapText="1"/>
    </xf>
    <xf numFmtId="0" fontId="58" fillId="0" borderId="0" xfId="11" applyFont="1" applyAlignment="1">
      <alignment horizontal="center" vertical="center" wrapText="1"/>
    </xf>
    <xf numFmtId="0" fontId="57" fillId="0" borderId="0" xfId="11" applyFont="1" applyAlignment="1">
      <alignment horizontal="left" vertical="center" wrapText="1"/>
    </xf>
    <xf numFmtId="0" fontId="58" fillId="12" borderId="0" xfId="11" applyFont="1" applyFill="1" applyAlignment="1">
      <alignment horizontal="center" vertical="center" wrapText="1"/>
    </xf>
    <xf numFmtId="42" fontId="80" fillId="12" borderId="44" xfId="12" applyFont="1" applyFill="1" applyBorder="1" applyAlignment="1">
      <alignment horizontal="center" vertical="center" wrapText="1"/>
    </xf>
    <xf numFmtId="42" fontId="80" fillId="12" borderId="46" xfId="12" applyFont="1" applyFill="1" applyBorder="1" applyAlignment="1">
      <alignment horizontal="center" vertical="center" wrapText="1"/>
    </xf>
    <xf numFmtId="0" fontId="79" fillId="12" borderId="28" xfId="11" applyFont="1" applyFill="1" applyBorder="1" applyAlignment="1">
      <alignment horizontal="center" vertical="center" wrapText="1"/>
    </xf>
    <xf numFmtId="0" fontId="79" fillId="12" borderId="29" xfId="11" applyFont="1" applyFill="1" applyBorder="1" applyAlignment="1">
      <alignment horizontal="center" vertical="center" wrapText="1"/>
    </xf>
    <xf numFmtId="0" fontId="79" fillId="12" borderId="30" xfId="11" applyFont="1" applyFill="1" applyBorder="1" applyAlignment="1">
      <alignment horizontal="center" vertical="center" wrapText="1"/>
    </xf>
    <xf numFmtId="0" fontId="18" fillId="4" borderId="17" xfId="11" applyFont="1" applyFill="1" applyBorder="1" applyAlignment="1">
      <alignment horizontal="center" vertical="center" wrapText="1"/>
    </xf>
    <xf numFmtId="0" fontId="18" fillId="0" borderId="1" xfId="11" applyFont="1" applyBorder="1" applyAlignment="1">
      <alignment horizontal="center" vertical="center" wrapText="1"/>
    </xf>
    <xf numFmtId="0" fontId="20" fillId="0" borderId="1" xfId="11" applyFont="1" applyBorder="1" applyAlignment="1">
      <alignment horizontal="center" vertical="center" wrapText="1"/>
    </xf>
    <xf numFmtId="0" fontId="21" fillId="0" borderId="1" xfId="11" applyFont="1" applyBorder="1" applyAlignment="1">
      <alignment horizontal="center" vertical="center"/>
    </xf>
    <xf numFmtId="0" fontId="21" fillId="19" borderId="74" xfId="11" applyFont="1" applyFill="1" applyBorder="1" applyAlignment="1">
      <alignment horizontal="center" vertical="center" wrapText="1"/>
    </xf>
    <xf numFmtId="0" fontId="50" fillId="11" borderId="4" xfId="11" applyFont="1" applyFill="1" applyBorder="1" applyAlignment="1">
      <alignment horizontal="center" vertical="center"/>
    </xf>
    <xf numFmtId="0" fontId="21" fillId="23" borderId="80" xfId="11" applyFont="1" applyFill="1" applyBorder="1" applyAlignment="1">
      <alignment horizontal="left" vertical="center" wrapText="1"/>
    </xf>
    <xf numFmtId="0" fontId="21" fillId="19" borderId="18" xfId="11" applyFont="1" applyFill="1" applyBorder="1" applyAlignment="1">
      <alignment horizontal="center" vertical="center" wrapText="1"/>
    </xf>
    <xf numFmtId="0" fontId="21" fillId="19" borderId="16" xfId="11" applyFont="1" applyFill="1" applyBorder="1" applyAlignment="1">
      <alignment horizontal="center" vertical="center" wrapText="1"/>
    </xf>
    <xf numFmtId="0" fontId="49" fillId="11" borderId="68" xfId="11" applyFont="1" applyFill="1" applyBorder="1" applyAlignment="1">
      <alignment horizontal="center" vertical="center"/>
    </xf>
    <xf numFmtId="0" fontId="49" fillId="11" borderId="69" xfId="11" applyFont="1" applyFill="1" applyBorder="1" applyAlignment="1">
      <alignment horizontal="center" vertical="center"/>
    </xf>
    <xf numFmtId="0" fontId="49" fillId="11" borderId="70" xfId="11" applyFont="1" applyFill="1" applyBorder="1" applyAlignment="1">
      <alignment horizontal="center" vertical="center"/>
    </xf>
    <xf numFmtId="0" fontId="49" fillId="11" borderId="11" xfId="11" applyFont="1" applyFill="1" applyBorder="1" applyAlignment="1">
      <alignment horizontal="center" vertical="center"/>
    </xf>
    <xf numFmtId="0" fontId="49" fillId="11" borderId="71" xfId="11" applyFont="1" applyFill="1" applyBorder="1" applyAlignment="1">
      <alignment horizontal="center" vertical="center"/>
    </xf>
    <xf numFmtId="0" fontId="49" fillId="11" borderId="87" xfId="11" applyFont="1" applyFill="1" applyBorder="1" applyAlignment="1">
      <alignment horizontal="center" vertical="center"/>
    </xf>
    <xf numFmtId="0" fontId="49" fillId="11" borderId="72" xfId="11" applyFont="1" applyFill="1" applyBorder="1" applyAlignment="1">
      <alignment horizontal="center" vertical="center"/>
    </xf>
    <xf numFmtId="0" fontId="49" fillId="11" borderId="73" xfId="11" applyFont="1" applyFill="1" applyBorder="1" applyAlignment="1">
      <alignment horizontal="center" vertical="center"/>
    </xf>
    <xf numFmtId="0" fontId="21" fillId="0" borderId="80" xfId="11" applyFont="1" applyBorder="1" applyAlignment="1">
      <alignment horizontal="left" vertical="center" wrapText="1"/>
    </xf>
    <xf numFmtId="0" fontId="82" fillId="0" borderId="17" xfId="11" applyFont="1" applyBorder="1" applyAlignment="1">
      <alignment horizontal="center" vertical="center" wrapText="1"/>
    </xf>
    <xf numFmtId="0" fontId="50" fillId="11" borderId="29" xfId="11" applyFont="1" applyFill="1" applyBorder="1" applyAlignment="1">
      <alignment horizontal="center" vertical="center"/>
    </xf>
    <xf numFmtId="0" fontId="50" fillId="11" borderId="30" xfId="11" applyFont="1" applyFill="1" applyBorder="1" applyAlignment="1">
      <alignment horizontal="center" vertical="center"/>
    </xf>
    <xf numFmtId="0" fontId="21" fillId="0" borderId="36" xfId="11" applyFont="1" applyBorder="1" applyAlignment="1">
      <alignment horizontal="left" vertical="center" wrapText="1"/>
    </xf>
    <xf numFmtId="0" fontId="21" fillId="0" borderId="57" xfId="11" applyFont="1" applyBorder="1" applyAlignment="1">
      <alignment horizontal="left" vertical="center" wrapText="1"/>
    </xf>
    <xf numFmtId="2" fontId="21" fillId="9" borderId="38" xfId="11" applyNumberFormat="1" applyFont="1" applyFill="1" applyBorder="1" applyAlignment="1">
      <alignment horizontal="center" vertical="center"/>
    </xf>
    <xf numFmtId="2" fontId="21" fillId="9" borderId="59" xfId="11" applyNumberFormat="1" applyFont="1" applyFill="1" applyBorder="1" applyAlignment="1">
      <alignment horizontal="center" vertical="center"/>
    </xf>
    <xf numFmtId="0" fontId="21" fillId="19" borderId="34" xfId="11" applyFont="1" applyFill="1" applyBorder="1" applyAlignment="1">
      <alignment horizontal="center" vertical="center" wrapText="1"/>
    </xf>
    <xf numFmtId="0" fontId="21" fillId="20" borderId="15" xfId="11" applyFont="1" applyFill="1" applyBorder="1" applyAlignment="1">
      <alignment horizontal="center" vertical="center" wrapText="1"/>
    </xf>
    <xf numFmtId="0" fontId="49" fillId="11" borderId="5" xfId="11" applyFont="1" applyFill="1" applyBorder="1" applyAlignment="1">
      <alignment horizontal="center" vertical="center"/>
    </xf>
    <xf numFmtId="0" fontId="49" fillId="11" borderId="0" xfId="11" applyFont="1" applyFill="1" applyAlignment="1">
      <alignment horizontal="center" vertical="center"/>
    </xf>
    <xf numFmtId="0" fontId="49" fillId="11" borderId="48" xfId="11" applyFont="1" applyFill="1" applyBorder="1" applyAlignment="1">
      <alignment horizontal="center" vertical="center"/>
    </xf>
    <xf numFmtId="0" fontId="49" fillId="11" borderId="12" xfId="11" applyFont="1" applyFill="1" applyBorder="1" applyAlignment="1">
      <alignment horizontal="center" vertical="center"/>
    </xf>
    <xf numFmtId="0" fontId="21" fillId="20" borderId="58" xfId="11" applyFont="1" applyFill="1" applyBorder="1" applyAlignment="1">
      <alignment horizontal="center" vertical="center" wrapText="1"/>
    </xf>
    <xf numFmtId="0" fontId="21" fillId="9" borderId="13" xfId="11" applyFont="1" applyFill="1" applyBorder="1" applyAlignment="1">
      <alignment horizontal="center" vertical="center" wrapText="1"/>
    </xf>
    <xf numFmtId="0" fontId="21" fillId="9" borderId="15" xfId="11" applyFont="1" applyFill="1" applyBorder="1" applyAlignment="1">
      <alignment horizontal="center" vertical="center" wrapText="1"/>
    </xf>
    <xf numFmtId="0" fontId="22" fillId="0" borderId="1" xfId="11" applyFont="1" applyBorder="1" applyAlignment="1">
      <alignment horizontal="center" vertical="center" wrapText="1"/>
    </xf>
    <xf numFmtId="0" fontId="86" fillId="0" borderId="66" xfId="5" applyFont="1" applyBorder="1" applyAlignment="1">
      <alignment horizontal="center" vertical="center" wrapText="1"/>
    </xf>
    <xf numFmtId="0" fontId="86" fillId="0" borderId="67" xfId="5" applyFont="1" applyBorder="1" applyAlignment="1">
      <alignment horizontal="center" vertical="center" wrapText="1"/>
    </xf>
    <xf numFmtId="2" fontId="70" fillId="0" borderId="3" xfId="67" applyNumberFormat="1" applyFont="1" applyBorder="1" applyAlignment="1">
      <alignment horizontal="center" vertical="center"/>
    </xf>
    <xf numFmtId="2" fontId="70" fillId="0" borderId="8" xfId="67" applyNumberFormat="1" applyFont="1" applyBorder="1" applyAlignment="1">
      <alignment horizontal="center" vertical="center"/>
    </xf>
    <xf numFmtId="0" fontId="68" fillId="16" borderId="28" xfId="67" applyFont="1" applyFill="1" applyBorder="1" applyAlignment="1">
      <alignment horizontal="center" vertical="center"/>
    </xf>
    <xf numFmtId="0" fontId="68" fillId="16" borderId="29" xfId="67" applyFont="1" applyFill="1" applyBorder="1" applyAlignment="1">
      <alignment horizontal="center" vertical="center"/>
    </xf>
    <xf numFmtId="0" fontId="68" fillId="16" borderId="30" xfId="67" applyFont="1" applyFill="1" applyBorder="1" applyAlignment="1">
      <alignment horizontal="center" vertical="center"/>
    </xf>
    <xf numFmtId="0" fontId="35" fillId="3" borderId="28" xfId="67" applyFont="1" applyFill="1" applyBorder="1" applyAlignment="1">
      <alignment horizontal="center" vertical="center" wrapText="1"/>
    </xf>
    <xf numFmtId="0" fontId="35" fillId="3" borderId="29" xfId="67" applyFont="1" applyFill="1" applyBorder="1" applyAlignment="1">
      <alignment horizontal="center" vertical="center" wrapText="1"/>
    </xf>
    <xf numFmtId="0" fontId="35" fillId="3" borderId="30" xfId="67" applyFont="1" applyFill="1" applyBorder="1" applyAlignment="1">
      <alignment horizontal="center" vertical="center" wrapText="1"/>
    </xf>
    <xf numFmtId="2" fontId="2" fillId="0" borderId="0" xfId="70" applyNumberFormat="1" applyAlignment="1">
      <alignment horizontal="center"/>
    </xf>
    <xf numFmtId="0" fontId="34" fillId="0" borderId="20" xfId="67" applyFont="1" applyBorder="1" applyAlignment="1">
      <alignment horizontal="center" vertical="center"/>
    </xf>
    <xf numFmtId="0" fontId="34" fillId="0" borderId="6" xfId="67" applyFont="1" applyBorder="1" applyAlignment="1">
      <alignment horizontal="center" vertical="center"/>
    </xf>
    <xf numFmtId="0" fontId="18" fillId="4" borderId="1" xfId="11" applyFont="1" applyFill="1" applyBorder="1" applyAlignment="1">
      <alignment horizontal="center" vertical="center" wrapText="1"/>
    </xf>
    <xf numFmtId="0" fontId="64" fillId="0" borderId="0" xfId="11" applyFont="1" applyAlignment="1">
      <alignment horizontal="center" vertical="center" wrapText="1"/>
    </xf>
    <xf numFmtId="0" fontId="54" fillId="0" borderId="0" xfId="11" applyFont="1" applyAlignment="1">
      <alignment horizontal="center" vertical="center" wrapText="1"/>
    </xf>
    <xf numFmtId="0" fontId="55" fillId="0" borderId="0" xfId="11" applyFont="1" applyAlignment="1">
      <alignment horizontal="center" vertical="center" wrapText="1"/>
    </xf>
    <xf numFmtId="0" fontId="61" fillId="0" borderId="0" xfId="11" applyFont="1" applyAlignment="1">
      <alignment horizontal="left" vertical="center" wrapText="1"/>
    </xf>
    <xf numFmtId="0" fontId="62" fillId="0" borderId="0" xfId="11" applyFont="1" applyAlignment="1">
      <alignment horizontal="center" vertical="center" wrapText="1"/>
    </xf>
    <xf numFmtId="0" fontId="63" fillId="0" borderId="0" xfId="11" applyFont="1" applyAlignment="1">
      <alignment horizontal="center" vertical="center" wrapText="1"/>
    </xf>
    <xf numFmtId="0" fontId="54" fillId="12" borderId="0" xfId="11" applyFont="1" applyFill="1" applyAlignment="1">
      <alignment horizontal="center" vertical="center" wrapText="1"/>
    </xf>
    <xf numFmtId="0" fontId="14" fillId="0" borderId="28" xfId="11" applyFont="1" applyBorder="1" applyAlignment="1">
      <alignment horizontal="center" vertical="center"/>
    </xf>
    <xf numFmtId="0" fontId="14" fillId="0" borderId="29" xfId="11" applyFont="1" applyBorder="1" applyAlignment="1">
      <alignment horizontal="center" vertical="center"/>
    </xf>
    <xf numFmtId="0" fontId="14" fillId="0" borderId="47" xfId="11" applyFont="1" applyBorder="1" applyAlignment="1">
      <alignment horizontal="center" vertical="center"/>
    </xf>
    <xf numFmtId="0" fontId="14" fillId="0" borderId="46" xfId="11" applyFont="1" applyBorder="1" applyAlignment="1">
      <alignment horizontal="center" vertical="center"/>
    </xf>
    <xf numFmtId="0" fontId="13" fillId="2" borderId="28" xfId="11" applyFont="1" applyFill="1" applyBorder="1" applyAlignment="1">
      <alignment horizontal="center" vertical="center" wrapText="1"/>
    </xf>
    <xf numFmtId="0" fontId="13" fillId="2" borderId="29" xfId="11" applyFont="1" applyFill="1" applyBorder="1" applyAlignment="1">
      <alignment horizontal="center" vertical="center" wrapText="1"/>
    </xf>
    <xf numFmtId="0" fontId="13" fillId="2" borderId="47" xfId="11" applyFont="1" applyFill="1" applyBorder="1" applyAlignment="1">
      <alignment horizontal="center" vertical="center" wrapText="1"/>
    </xf>
    <xf numFmtId="0" fontId="13" fillId="2" borderId="46" xfId="11" applyFont="1" applyFill="1" applyBorder="1" applyAlignment="1">
      <alignment horizontal="center" vertical="center" wrapText="1"/>
    </xf>
    <xf numFmtId="0" fontId="14" fillId="0" borderId="30" xfId="11" applyFont="1" applyBorder="1" applyAlignment="1">
      <alignment horizontal="center" vertical="center"/>
    </xf>
    <xf numFmtId="0" fontId="13" fillId="2" borderId="30" xfId="11" applyFont="1" applyFill="1" applyBorder="1" applyAlignment="1">
      <alignment horizontal="center" vertical="center" wrapText="1"/>
    </xf>
    <xf numFmtId="0" fontId="74" fillId="0" borderId="44" xfId="57" applyFont="1" applyBorder="1" applyAlignment="1">
      <alignment horizontal="center" vertical="center"/>
    </xf>
    <xf numFmtId="0" fontId="74" fillId="0" borderId="45" xfId="57" applyFont="1" applyBorder="1" applyAlignment="1">
      <alignment horizontal="center" vertical="center"/>
    </xf>
    <xf numFmtId="0" fontId="74" fillId="0" borderId="46" xfId="57" applyFont="1" applyBorder="1" applyAlignment="1">
      <alignment horizontal="center" vertical="center"/>
    </xf>
    <xf numFmtId="0" fontId="74" fillId="0" borderId="20" xfId="57" applyFont="1" applyBorder="1" applyAlignment="1">
      <alignment horizontal="center" vertical="center"/>
    </xf>
    <xf numFmtId="0" fontId="74" fillId="0" borderId="6" xfId="57" applyFont="1" applyBorder="1" applyAlignment="1">
      <alignment horizontal="center" vertical="center"/>
    </xf>
    <xf numFmtId="0" fontId="74" fillId="0" borderId="21" xfId="57" applyFont="1" applyBorder="1" applyAlignment="1">
      <alignment horizontal="center" vertical="center"/>
    </xf>
    <xf numFmtId="0" fontId="74" fillId="0" borderId="22" xfId="57" applyFont="1" applyBorder="1" applyAlignment="1">
      <alignment horizontal="center" vertical="center"/>
    </xf>
    <xf numFmtId="0" fontId="74" fillId="0" borderId="1" xfId="57" applyFont="1" applyBorder="1" applyAlignment="1">
      <alignment horizontal="center" vertical="center"/>
    </xf>
    <xf numFmtId="0" fontId="74" fillId="0" borderId="23" xfId="57" applyFont="1" applyBorder="1" applyAlignment="1">
      <alignment horizontal="center" vertical="center"/>
    </xf>
    <xf numFmtId="0" fontId="74" fillId="0" borderId="31" xfId="57" applyFont="1" applyBorder="1" applyAlignment="1">
      <alignment horizontal="center" vertical="center"/>
    </xf>
    <xf numFmtId="0" fontId="74" fillId="0" borderId="26" xfId="57" applyFont="1" applyBorder="1" applyAlignment="1">
      <alignment horizontal="center" vertical="center"/>
    </xf>
    <xf numFmtId="0" fontId="74" fillId="0" borderId="27" xfId="57" applyFont="1" applyBorder="1" applyAlignment="1">
      <alignment horizontal="center" vertical="center"/>
    </xf>
    <xf numFmtId="0" fontId="75" fillId="0" borderId="28" xfId="20" applyFont="1" applyBorder="1" applyAlignment="1">
      <alignment horizontal="center" vertical="center" wrapText="1"/>
    </xf>
    <xf numFmtId="0" fontId="75" fillId="0" borderId="30" xfId="20" applyFont="1" applyBorder="1" applyAlignment="1">
      <alignment horizontal="center" vertical="center" wrapText="1"/>
    </xf>
    <xf numFmtId="0" fontId="4" fillId="0" borderId="4" xfId="57" applyBorder="1" applyAlignment="1">
      <alignment horizontal="center"/>
    </xf>
    <xf numFmtId="0" fontId="4" fillId="0" borderId="11" xfId="57" applyBorder="1" applyAlignment="1">
      <alignment horizontal="center"/>
    </xf>
    <xf numFmtId="0" fontId="4" fillId="0" borderId="19" xfId="57" applyBorder="1" applyAlignment="1">
      <alignment horizontal="center"/>
    </xf>
    <xf numFmtId="0" fontId="4" fillId="0" borderId="5" xfId="57" applyBorder="1" applyAlignment="1">
      <alignment horizontal="center"/>
    </xf>
    <xf numFmtId="0" fontId="4" fillId="0" borderId="0" xfId="57" applyAlignment="1">
      <alignment horizontal="center"/>
    </xf>
    <xf numFmtId="0" fontId="4" fillId="0" borderId="7" xfId="57" applyBorder="1" applyAlignment="1">
      <alignment horizontal="center"/>
    </xf>
    <xf numFmtId="0" fontId="4" fillId="0" borderId="48" xfId="57" applyBorder="1" applyAlignment="1">
      <alignment horizontal="center"/>
    </xf>
    <xf numFmtId="0" fontId="4" fillId="0" borderId="12" xfId="57" applyBorder="1" applyAlignment="1">
      <alignment horizontal="center"/>
    </xf>
    <xf numFmtId="0" fontId="4" fillId="0" borderId="2" xfId="57" applyBorder="1" applyAlignment="1">
      <alignment horizontal="center"/>
    </xf>
    <xf numFmtId="0" fontId="69" fillId="0" borderId="88" xfId="122" applyFont="1" applyBorder="1" applyAlignment="1">
      <alignment vertical="center"/>
    </xf>
    <xf numFmtId="14" fontId="69" fillId="0" borderId="89" xfId="123" applyNumberFormat="1" applyFont="1" applyFill="1" applyBorder="1" applyAlignment="1" applyProtection="1">
      <alignment vertical="center"/>
    </xf>
    <xf numFmtId="0" fontId="69" fillId="0" borderId="42" xfId="122" applyFont="1" applyBorder="1" applyAlignment="1">
      <alignment vertical="center"/>
    </xf>
    <xf numFmtId="168" fontId="69" fillId="0" borderId="25" xfId="123" applyNumberFormat="1" applyFont="1" applyFill="1" applyBorder="1" applyAlignment="1" applyProtection="1">
      <alignment vertical="center"/>
    </xf>
    <xf numFmtId="0" fontId="69" fillId="17" borderId="90" xfId="122" applyFont="1" applyFill="1" applyBorder="1" applyAlignment="1">
      <alignment vertical="center"/>
    </xf>
    <xf numFmtId="41" fontId="69" fillId="17" borderId="59" xfId="123" applyFont="1" applyFill="1" applyBorder="1" applyAlignment="1" applyProtection="1">
      <alignment vertical="center"/>
    </xf>
    <xf numFmtId="2" fontId="71" fillId="2" borderId="1" xfId="67" applyNumberFormat="1" applyFont="1" applyFill="1" applyBorder="1" applyAlignment="1">
      <alignment horizontal="center" vertical="center"/>
    </xf>
    <xf numFmtId="172" fontId="41" fillId="24" borderId="1" xfId="0" applyNumberFormat="1" applyFont="1" applyFill="1" applyBorder="1" applyAlignment="1">
      <alignment horizontal="center" vertical="center"/>
    </xf>
    <xf numFmtId="0" fontId="46" fillId="0" borderId="18" xfId="11" applyFont="1" applyBorder="1" applyAlignment="1">
      <alignment horizontal="center" vertical="center"/>
    </xf>
    <xf numFmtId="0" fontId="46" fillId="0" borderId="13" xfId="11" applyFont="1" applyBorder="1" applyAlignment="1">
      <alignment horizontal="center" vertical="center"/>
    </xf>
    <xf numFmtId="0" fontId="46" fillId="0" borderId="54" xfId="11" applyFont="1" applyBorder="1" applyAlignment="1">
      <alignment horizontal="left" vertical="center" wrapText="1"/>
    </xf>
  </cellXfs>
  <cellStyles count="126">
    <cellStyle name="Millares [0]" xfId="16" builtinId="6"/>
    <cellStyle name="Millares [0] 2" xfId="14" xr:uid="{00000000-0005-0000-0000-000001000000}"/>
    <cellStyle name="Millares [0] 2 2" xfId="19" xr:uid="{00000000-0005-0000-0000-000002000000}"/>
    <cellStyle name="Millares [0] 2 2 2" xfId="35" xr:uid="{00000000-0005-0000-0000-000003000000}"/>
    <cellStyle name="Millares [0] 2 2 2 2" xfId="91" xr:uid="{886772E9-B743-43DB-BE48-0103E07429FB}"/>
    <cellStyle name="Millares [0] 2 2 3" xfId="79" xr:uid="{C95C432B-5CA7-4657-A472-7A44B39DB15F}"/>
    <cellStyle name="Millares [0] 2 3" xfId="22" xr:uid="{00000000-0005-0000-0000-000004000000}"/>
    <cellStyle name="Millares [0] 2 3 2" xfId="39" xr:uid="{00000000-0005-0000-0000-000005000000}"/>
    <cellStyle name="Millares [0] 2 3 2 2" xfId="95" xr:uid="{946E122D-14D4-472C-8221-7C338CC65209}"/>
    <cellStyle name="Millares [0] 2 3 3" xfId="59" xr:uid="{00000000-0005-0000-0000-000006000000}"/>
    <cellStyle name="Millares [0] 2 3 3 2" xfId="113" xr:uid="{A8201741-D813-4C8C-84ED-07F9BC715EFB}"/>
    <cellStyle name="Millares [0] 2 3 4" xfId="82" xr:uid="{126558BE-7E69-4416-8719-AD2313BA2A5E}"/>
    <cellStyle name="Millares [0] 2 4" xfId="30" xr:uid="{00000000-0005-0000-0000-000007000000}"/>
    <cellStyle name="Millares [0] 2 4 2" xfId="87" xr:uid="{AE5D1DE7-0C2F-4CC2-85C8-D8B7D966B41E}"/>
    <cellStyle name="Millares [0] 2 5" xfId="75" xr:uid="{45250C2F-B0D7-4D75-A6A4-D2D3D53A8151}"/>
    <cellStyle name="Millares [0] 3" xfId="32" xr:uid="{00000000-0005-0000-0000-000008000000}"/>
    <cellStyle name="Millares [0] 3 2" xfId="88" xr:uid="{B25F43DD-9C21-41A0-B0C8-4FC80A53BB7F}"/>
    <cellStyle name="Millares [0] 4" xfId="43" xr:uid="{00000000-0005-0000-0000-000009000000}"/>
    <cellStyle name="Millares [0] 4 2" xfId="63" xr:uid="{00000000-0005-0000-0000-00000A000000}"/>
    <cellStyle name="Millares [0] 4 2 2" xfId="69" xr:uid="{00000000-0005-0000-0000-00000B000000}"/>
    <cellStyle name="Millares [0] 4 2 2 2" xfId="123" xr:uid="{80018DD1-4404-47EA-9C06-DBEBAE48B08C}"/>
    <cellStyle name="Millares [0] 4 2 3" xfId="117" xr:uid="{4BF9FD59-8ECD-423A-86D0-E3D9F51365BE}"/>
    <cellStyle name="Millares [0] 4 3" xfId="99" xr:uid="{5A48F2BE-444B-4D2C-8F2C-9138E995F596}"/>
    <cellStyle name="Millares [0] 5" xfId="51" xr:uid="{00000000-0005-0000-0000-00000C000000}"/>
    <cellStyle name="Millares [0] 5 2" xfId="105" xr:uid="{11C8E356-5D25-4010-B43F-58717D9552B3}"/>
    <cellStyle name="Millares [0] 6" xfId="76" xr:uid="{51C9980B-A154-408B-B632-721430C679DC}"/>
    <cellStyle name="Millares 2" xfId="3" xr:uid="{00000000-0005-0000-0000-00000D000000}"/>
    <cellStyle name="Millares 2 2" xfId="25" xr:uid="{00000000-0005-0000-0000-00000E000000}"/>
    <cellStyle name="Millares 3" xfId="7" xr:uid="{00000000-0005-0000-0000-00000F000000}"/>
    <cellStyle name="Millares 4" xfId="45" xr:uid="{00000000-0005-0000-0000-000010000000}"/>
    <cellStyle name="Millares 4 2" xfId="101" xr:uid="{4220DC00-3BB8-499A-8A04-9454C67D7C41}"/>
    <cellStyle name="Moneda" xfId="71" builtinId="4"/>
    <cellStyle name="Moneda [0] 2" xfId="12" xr:uid="{00000000-0005-0000-0000-000011000000}"/>
    <cellStyle name="Moneda [0] 2 2" xfId="18" xr:uid="{00000000-0005-0000-0000-000012000000}"/>
    <cellStyle name="Moneda [0] 2 2 2" xfId="34" xr:uid="{00000000-0005-0000-0000-000013000000}"/>
    <cellStyle name="Moneda [0] 2 2 2 2" xfId="90" xr:uid="{050FB825-1AC4-4482-88EA-72F04113F6C4}"/>
    <cellStyle name="Moneda [0] 2 2 3" xfId="78" xr:uid="{AF0B6D25-B19A-41B0-831B-DFFA0810D428}"/>
    <cellStyle name="Moneda [0] 2 3" xfId="21" xr:uid="{00000000-0005-0000-0000-000014000000}"/>
    <cellStyle name="Moneda [0] 2 3 2" xfId="38" xr:uid="{00000000-0005-0000-0000-000015000000}"/>
    <cellStyle name="Moneda [0] 2 3 2 2" xfId="94" xr:uid="{DDD09C5F-CA3E-47EE-A160-ADBA5E74F4C5}"/>
    <cellStyle name="Moneda [0] 2 3 3" xfId="58" xr:uid="{00000000-0005-0000-0000-000016000000}"/>
    <cellStyle name="Moneda [0] 2 3 3 2" xfId="112" xr:uid="{112FCE45-10BD-44D2-8C82-11312A827B25}"/>
    <cellStyle name="Moneda [0] 2 3 4" xfId="81" xr:uid="{A72E4427-FCA4-4922-9C25-7BF9F2B9B8D0}"/>
    <cellStyle name="Moneda [0] 2 4" xfId="27" xr:uid="{00000000-0005-0000-0000-000017000000}"/>
    <cellStyle name="Moneda [0] 2 4 2" xfId="41" xr:uid="{00000000-0005-0000-0000-000018000000}"/>
    <cellStyle name="Moneda [0] 2 4 2 2" xfId="97" xr:uid="{661F3951-DEDF-4125-B7AC-0E3ED01DE5CD}"/>
    <cellStyle name="Moneda [0] 2 4 3" xfId="84" xr:uid="{65C8A339-55BC-4DDF-BFCE-ABFC8E2F1EDE}"/>
    <cellStyle name="Moneda [0] 2 5" xfId="29" xr:uid="{00000000-0005-0000-0000-000019000000}"/>
    <cellStyle name="Moneda [0] 2 5 2" xfId="86" xr:uid="{7DA9ED7C-F15C-4946-BB40-A3D89E0CA5A9}"/>
    <cellStyle name="Moneda [0] 2 6" xfId="74" xr:uid="{EC1DE87C-8764-4A24-B499-3F9A9191520C}"/>
    <cellStyle name="Moneda [0] 3" xfId="36" xr:uid="{00000000-0005-0000-0000-00001A000000}"/>
    <cellStyle name="Moneda [0] 3 2" xfId="92" xr:uid="{608EFEE8-8373-4E6E-B42C-6F133AC42CC5}"/>
    <cellStyle name="Moneda [0] 4" xfId="44" xr:uid="{00000000-0005-0000-0000-00001B000000}"/>
    <cellStyle name="Moneda [0] 4 2" xfId="100" xr:uid="{7D06BE1C-41C5-4DD1-B9B9-06F572F6F898}"/>
    <cellStyle name="Moneda [0] 5" xfId="50" xr:uid="{00000000-0005-0000-0000-00001C000000}"/>
    <cellStyle name="Moneda [0] 5 2" xfId="104" xr:uid="{4CC763A5-A90E-4F4A-ADDC-F262A7FBCFD3}"/>
    <cellStyle name="Moneda 2" xfId="2" xr:uid="{00000000-0005-0000-0000-00001D000000}"/>
    <cellStyle name="Moneda 3" xfId="53" xr:uid="{00000000-0005-0000-0000-00001E000000}"/>
    <cellStyle name="Moneda 3 2" xfId="107" xr:uid="{16DD723B-1052-481A-BD0B-ABE5086ED7D0}"/>
    <cellStyle name="Moneda 4" xfId="125" xr:uid="{37AA7306-755E-43ED-A574-9BA3A4C9448F}"/>
    <cellStyle name="Normal" xfId="0" builtinId="0"/>
    <cellStyle name="Normal 10" xfId="47" xr:uid="{00000000-0005-0000-0000-000020000000}"/>
    <cellStyle name="Normal 11" xfId="55" xr:uid="{00000000-0005-0000-0000-000021000000}"/>
    <cellStyle name="Normal 11 2" xfId="109" xr:uid="{A983D2E3-A567-4A78-983F-08B366999492}"/>
    <cellStyle name="Normal 12 2" xfId="48" xr:uid="{00000000-0005-0000-0000-000022000000}"/>
    <cellStyle name="Normal 2" xfId="5" xr:uid="{00000000-0005-0000-0000-000023000000}"/>
    <cellStyle name="Normal 2 2" xfId="11" xr:uid="{00000000-0005-0000-0000-000024000000}"/>
    <cellStyle name="Normal 3" xfId="8" xr:uid="{00000000-0005-0000-0000-000025000000}"/>
    <cellStyle name="Normal 3 2" xfId="17" xr:uid="{00000000-0005-0000-0000-000026000000}"/>
    <cellStyle name="Normal 3 2 2" xfId="33" xr:uid="{00000000-0005-0000-0000-000027000000}"/>
    <cellStyle name="Normal 3 2 2 2" xfId="89" xr:uid="{554E7C85-71BD-47A2-9B6C-9DD8B9A97079}"/>
    <cellStyle name="Normal 3 2 3" xfId="60" xr:uid="{00000000-0005-0000-0000-000028000000}"/>
    <cellStyle name="Normal 3 2 3 2" xfId="66" xr:uid="{00000000-0005-0000-0000-000029000000}"/>
    <cellStyle name="Normal 3 2 3 2 2" xfId="120" xr:uid="{E9D927B6-03BA-4B13-A823-5484A6308DE5}"/>
    <cellStyle name="Normal 3 2 3 3" xfId="114" xr:uid="{5B1CB344-59BA-46AD-BE0E-5A7CE93C56BC}"/>
    <cellStyle name="Normal 3 2 4" xfId="64" xr:uid="{00000000-0005-0000-0000-00002A000000}"/>
    <cellStyle name="Normal 3 2 4 2" xfId="70" xr:uid="{00000000-0005-0000-0000-00002B000000}"/>
    <cellStyle name="Normal 3 2 4 2 2" xfId="124" xr:uid="{21682DC1-B216-4509-9A5B-13807C94A7D0}"/>
    <cellStyle name="Normal 3 2 4 3" xfId="118" xr:uid="{FA4C9A5B-72E6-45B2-B385-5998C14B088C}"/>
    <cellStyle name="Normal 3 2 5" xfId="77" xr:uid="{075B0E8F-2ABF-4918-9B26-F0122835DA40}"/>
    <cellStyle name="Normal 3 3" xfId="20" xr:uid="{00000000-0005-0000-0000-00002C000000}"/>
    <cellStyle name="Normal 3 3 2" xfId="37" xr:uid="{00000000-0005-0000-0000-00002D000000}"/>
    <cellStyle name="Normal 3 3 2 2" xfId="93" xr:uid="{3F592B17-1027-4DC7-BFAD-3A32548D729D}"/>
    <cellStyle name="Normal 3 3 3" xfId="56" xr:uid="{00000000-0005-0000-0000-00002E000000}"/>
    <cellStyle name="Normal 3 3 3 2" xfId="110" xr:uid="{5650ADC4-D93D-4C8F-BA10-FFED19C044D7}"/>
    <cellStyle name="Normal 3 3 4" xfId="57" xr:uid="{00000000-0005-0000-0000-00002F000000}"/>
    <cellStyle name="Normal 3 3 4 2" xfId="65" xr:uid="{00000000-0005-0000-0000-000030000000}"/>
    <cellStyle name="Normal 3 3 4 2 2" xfId="119" xr:uid="{AE85696A-A310-4190-BC37-0A6C0DD9871F}"/>
    <cellStyle name="Normal 3 3 4 3" xfId="111" xr:uid="{BBD7A495-8EEF-4D1E-B51B-6C306DA21A52}"/>
    <cellStyle name="Normal 3 3 5" xfId="80" xr:uid="{7F9B7681-A423-4054-B4DB-B968195886DC}"/>
    <cellStyle name="Normal 3 4" xfId="52" xr:uid="{00000000-0005-0000-0000-000031000000}"/>
    <cellStyle name="Normal 3 4 2" xfId="106" xr:uid="{0A7B9719-DA1C-4F0E-8962-5F82A6D4C0E0}"/>
    <cellStyle name="Normal 4" xfId="9" xr:uid="{00000000-0005-0000-0000-000032000000}"/>
    <cellStyle name="Normal 4 2" xfId="28" xr:uid="{00000000-0005-0000-0000-000033000000}"/>
    <cellStyle name="Normal 4 2 2" xfId="85" xr:uid="{0981DB62-C3AD-4F87-B54C-87DFE82601D7}"/>
    <cellStyle name="Normal 4 3" xfId="73" xr:uid="{A001FFF4-02B0-47D8-9B69-301BAA4B4D0A}"/>
    <cellStyle name="Normal 5" xfId="10" xr:uid="{00000000-0005-0000-0000-000034000000}"/>
    <cellStyle name="Normal 6" xfId="15" xr:uid="{00000000-0005-0000-0000-000035000000}"/>
    <cellStyle name="Normal 6 2" xfId="31" xr:uid="{00000000-0005-0000-0000-000036000000}"/>
    <cellStyle name="Normal 7" xfId="23" xr:uid="{00000000-0005-0000-0000-000037000000}"/>
    <cellStyle name="Normal 7 2" xfId="40" xr:uid="{00000000-0005-0000-0000-000038000000}"/>
    <cellStyle name="Normal 7 2 2" xfId="96" xr:uid="{F43645A6-7C48-44D0-9E81-066A82E684C1}"/>
    <cellStyle name="Normal 7 3" xfId="61" xr:uid="{00000000-0005-0000-0000-000039000000}"/>
    <cellStyle name="Normal 7 3 2" xfId="67" xr:uid="{00000000-0005-0000-0000-00003A000000}"/>
    <cellStyle name="Normal 7 3 2 2" xfId="121" xr:uid="{C339E7A1-74F3-4FA3-8E3F-8E08E490D898}"/>
    <cellStyle name="Normal 7 3 3" xfId="115" xr:uid="{FFD90D0B-52A6-4993-A2BB-B82D54F9BA37}"/>
    <cellStyle name="Normal 7 4" xfId="83" xr:uid="{746C56CD-C6A0-4A5C-A323-00322727F543}"/>
    <cellStyle name="Normal 8" xfId="42" xr:uid="{00000000-0005-0000-0000-00003B000000}"/>
    <cellStyle name="Normal 8 2" xfId="62" xr:uid="{00000000-0005-0000-0000-00003C000000}"/>
    <cellStyle name="Normal 8 2 2" xfId="68" xr:uid="{00000000-0005-0000-0000-00003D000000}"/>
    <cellStyle name="Normal 8 2 2 2" xfId="122" xr:uid="{71D9578C-C1B9-43A2-B041-18B4163B496F}"/>
    <cellStyle name="Normal 8 2 3" xfId="116" xr:uid="{4097E595-B294-4E38-BF13-C7AD493E5A3C}"/>
    <cellStyle name="Normal 8 3" xfId="98" xr:uid="{BE35A688-B7C3-4576-A4AE-D2090F5763E7}"/>
    <cellStyle name="Normal 9" xfId="49" xr:uid="{00000000-0005-0000-0000-00003E000000}"/>
    <cellStyle name="Normal 9 2" xfId="103" xr:uid="{C4240DAF-58DD-4AFB-9CE0-03CB8B57C06E}"/>
    <cellStyle name="Porcentaje" xfId="24" builtinId="5"/>
    <cellStyle name="Porcentaje 2" xfId="4" xr:uid="{00000000-0005-0000-0000-000040000000}"/>
    <cellStyle name="Porcentaje 2 2" xfId="26" xr:uid="{00000000-0005-0000-0000-000041000000}"/>
    <cellStyle name="Porcentaje 3" xfId="6" xr:uid="{00000000-0005-0000-0000-000042000000}"/>
    <cellStyle name="Porcentaje 4" xfId="46" xr:uid="{00000000-0005-0000-0000-000043000000}"/>
    <cellStyle name="Porcentaje 4 2" xfId="102" xr:uid="{F9E1CA4C-041E-47C7-A881-7DFDAA2E6DFC}"/>
    <cellStyle name="Porcentaje 5" xfId="54" xr:uid="{00000000-0005-0000-0000-000044000000}"/>
    <cellStyle name="Porcentaje 5 2" xfId="108" xr:uid="{2A0004E3-C115-4828-859A-72921CA8FB3C}"/>
    <cellStyle name="Porcentual 2" xfId="72" xr:uid="{6B8D5CC3-D05D-40F7-8969-57FE40E9C036}"/>
    <cellStyle name="Texto explicativo" xfId="1" builtinId="53" customBuiltin="1"/>
    <cellStyle name="Texto explicativo 2" xfId="13" xr:uid="{00000000-0005-0000-0000-000046000000}"/>
  </cellStyles>
  <dxfs count="644">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b/>
        <i val="0"/>
        <color auto="1"/>
      </font>
      <fill>
        <patternFill>
          <bgColor rgb="FF92D050"/>
        </patternFill>
      </fill>
    </dxf>
    <dxf>
      <font>
        <b/>
        <i val="0"/>
        <color theme="0"/>
      </font>
      <fill>
        <patternFill>
          <bgColor rgb="FFFF0000"/>
        </patternFill>
      </fill>
    </dxf>
    <dxf>
      <font>
        <strike val="0"/>
        <color rgb="FFFF0000"/>
      </font>
    </dxf>
    <dxf>
      <font>
        <strike val="0"/>
        <color rgb="FFFF0000"/>
      </font>
    </dxf>
    <dxf>
      <font>
        <strike val="0"/>
        <color rgb="FFFF0000"/>
      </font>
    </dxf>
    <dxf>
      <font>
        <strike val="0"/>
        <color rgb="FFFF0000"/>
      </font>
    </dxf>
    <dxf>
      <font>
        <b/>
        <i val="0"/>
        <color theme="0"/>
      </font>
      <fill>
        <patternFill>
          <bgColor rgb="FF92D050"/>
        </patternFill>
      </fill>
    </dxf>
    <dxf>
      <font>
        <b/>
        <i val="0"/>
      </font>
      <fill>
        <patternFill>
          <bgColor rgb="FFFF0000"/>
        </patternFill>
      </fill>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theme="9"/>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color theme="9"/>
      </font>
    </dxf>
    <dxf>
      <font>
        <strike val="0"/>
        <color rgb="FFFF0000"/>
      </font>
    </dxf>
    <dxf>
      <font>
        <strike val="0"/>
        <color rgb="FFFF0000"/>
      </font>
    </dxf>
    <dxf>
      <font>
        <strike val="0"/>
        <color rgb="FFFF0000"/>
      </font>
    </dxf>
    <dxf>
      <font>
        <strike val="0"/>
        <color rgb="FFFF0000"/>
      </font>
    </dxf>
    <dxf>
      <font>
        <color theme="9"/>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strike val="0"/>
        <color rgb="FFFF0000"/>
      </font>
    </dxf>
    <dxf>
      <font>
        <strike val="0"/>
        <color rgb="FFFF0000"/>
      </font>
    </dxf>
    <dxf>
      <font>
        <color theme="9"/>
      </font>
    </dxf>
    <dxf>
      <font>
        <color rgb="FFFF0000"/>
      </font>
    </dxf>
    <dxf>
      <font>
        <color theme="9"/>
      </font>
    </dxf>
    <dxf>
      <font>
        <strike val="0"/>
        <color rgb="FFFF0000"/>
      </font>
    </dxf>
    <dxf>
      <font>
        <strike val="0"/>
        <color rgb="FFFF0000"/>
      </font>
    </dxf>
    <dxf>
      <font>
        <strike val="0"/>
        <color rgb="FFFF0000"/>
      </font>
    </dxf>
    <dxf>
      <font>
        <strike val="0"/>
        <color rgb="FFFF0000"/>
      </font>
    </dxf>
    <dxf>
      <font>
        <color theme="9"/>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strike val="0"/>
        <color rgb="FFFF0000"/>
      </font>
    </dxf>
    <dxf>
      <font>
        <strike val="0"/>
        <color rgb="FFFF0000"/>
      </font>
    </dxf>
    <dxf>
      <font>
        <color theme="9"/>
      </font>
    </dxf>
    <dxf>
      <font>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color theme="9"/>
      </font>
    </dxf>
    <dxf>
      <font>
        <strike val="0"/>
        <color rgb="FFFF0000"/>
      </font>
    </dxf>
    <dxf>
      <font>
        <strike val="0"/>
        <color rgb="FFFF0000"/>
      </font>
    </dxf>
    <dxf>
      <font>
        <strike val="0"/>
        <color rgb="FFFF0000"/>
      </font>
    </dxf>
    <dxf>
      <font>
        <strike val="0"/>
        <color rgb="FFFF0000"/>
      </font>
    </dxf>
    <dxf>
      <font>
        <color rgb="FFFF0000"/>
      </font>
    </dxf>
    <dxf>
      <font>
        <strike val="0"/>
        <color rgb="FFFF0000"/>
      </font>
    </dxf>
    <dxf>
      <font>
        <strike val="0"/>
        <color rgb="FFFF0000"/>
      </font>
    </dxf>
    <dxf>
      <font>
        <color theme="9"/>
      </font>
    </dxf>
    <dxf>
      <font>
        <strike val="0"/>
        <color rgb="FFFF0000"/>
      </font>
    </dxf>
    <dxf>
      <font>
        <strike val="0"/>
        <color rgb="FFFF0000"/>
      </font>
    </dxf>
    <dxf>
      <font>
        <color theme="9"/>
      </font>
    </dxf>
    <dxf>
      <font>
        <color rgb="FFFF0000"/>
      </font>
    </dxf>
    <dxf>
      <font>
        <color theme="9"/>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strike val="0"/>
        <color rgb="FFFF0000"/>
      </font>
    </dxf>
    <dxf>
      <font>
        <strike val="0"/>
        <color rgb="FFFF0000"/>
      </font>
    </dxf>
    <dxf>
      <font>
        <color theme="9"/>
      </font>
    </dxf>
    <dxf>
      <font>
        <color rgb="FFFF0000"/>
      </font>
    </dxf>
    <dxf>
      <font>
        <color theme="9"/>
      </font>
    </dxf>
    <dxf>
      <font>
        <strike val="0"/>
        <color rgb="FFFF0000"/>
      </font>
    </dxf>
    <dxf>
      <font>
        <strike val="0"/>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strike val="0"/>
        <color rgb="FFFF0000"/>
      </font>
    </dxf>
    <dxf>
      <font>
        <strike val="0"/>
        <color rgb="FFFF0000"/>
      </font>
    </dxf>
    <dxf>
      <font>
        <color theme="9"/>
      </font>
    </dxf>
    <dxf>
      <font>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color theme="9"/>
      </font>
    </dxf>
    <dxf>
      <font>
        <strike val="0"/>
        <color rgb="FFFF0000"/>
      </font>
    </dxf>
    <dxf>
      <font>
        <strike val="0"/>
        <color rgb="FFFF0000"/>
      </font>
    </dxf>
    <dxf>
      <font>
        <strike val="0"/>
        <color rgb="FFFF0000"/>
      </font>
    </dxf>
    <dxf>
      <font>
        <strike val="0"/>
        <color rgb="FFFF0000"/>
      </font>
    </dxf>
    <dxf>
      <font>
        <color rgb="FFFF0000"/>
      </font>
    </dxf>
    <dxf>
      <font>
        <strike val="0"/>
        <color rgb="FFFF0000"/>
      </font>
    </dxf>
    <dxf>
      <font>
        <strike val="0"/>
        <color rgb="FFFF0000"/>
      </font>
    </dxf>
    <dxf>
      <font>
        <color theme="9"/>
      </font>
    </dxf>
    <dxf>
      <font>
        <strike val="0"/>
        <color rgb="FFFF0000"/>
      </font>
    </dxf>
    <dxf>
      <font>
        <strike val="0"/>
        <color rgb="FFFF0000"/>
      </font>
    </dxf>
    <dxf>
      <font>
        <color theme="9"/>
      </font>
    </dxf>
    <dxf>
      <font>
        <color rgb="FFFF0000"/>
      </font>
    </dxf>
    <dxf>
      <font>
        <color theme="9"/>
      </font>
    </dxf>
    <dxf>
      <font>
        <strike val="0"/>
        <color rgb="FFFF0000"/>
      </font>
    </dxf>
    <dxf>
      <font>
        <strike val="0"/>
        <color rgb="FFFF0000"/>
      </font>
    </dxf>
    <dxf>
      <font>
        <strike val="0"/>
        <color rgb="FFFF0000"/>
      </font>
    </dxf>
    <dxf>
      <font>
        <strike val="0"/>
        <color rgb="FFFF0000"/>
      </font>
    </dxf>
    <dxf>
      <font>
        <color theme="9"/>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strike val="0"/>
        <color rgb="FFFF0000"/>
      </font>
    </dxf>
    <dxf>
      <font>
        <strike val="0"/>
        <color rgb="FFFF0000"/>
      </font>
    </dxf>
    <dxf>
      <font>
        <color theme="9"/>
      </font>
    </dxf>
    <dxf>
      <font>
        <color rgb="FFFF0000"/>
      </font>
    </dxf>
    <dxf>
      <font>
        <strike val="0"/>
        <color rgb="FFFF0000"/>
      </font>
    </dxf>
    <dxf>
      <font>
        <strike val="0"/>
        <color rgb="FFFF0000"/>
      </font>
    </dxf>
    <dxf>
      <font>
        <color theme="9"/>
      </font>
    </dxf>
    <dxf>
      <font>
        <color rgb="FFFF0000"/>
      </font>
    </dxf>
    <dxf>
      <font>
        <strike val="0"/>
        <color rgb="FFFF0000"/>
      </font>
    </dxf>
    <dxf>
      <font>
        <strike val="0"/>
        <color rgb="FFFF0000"/>
      </font>
    </dxf>
    <dxf>
      <font>
        <strike val="0"/>
        <color rgb="FFFF0000"/>
      </font>
    </dxf>
    <dxf>
      <font>
        <strike val="0"/>
        <color rgb="FFFF0000"/>
      </font>
    </dxf>
    <dxf>
      <font>
        <color theme="9"/>
      </font>
    </dxf>
    <dxf>
      <font>
        <color rgb="FFFF0000"/>
      </font>
    </dxf>
    <dxf>
      <font>
        <color theme="9"/>
      </font>
    </dxf>
    <dxf>
      <font>
        <strike val="0"/>
        <color rgb="FFFF0000"/>
      </font>
    </dxf>
    <dxf>
      <font>
        <strike val="0"/>
        <color rgb="FFFF0000"/>
      </font>
    </dxf>
    <dxf>
      <font>
        <strike val="0"/>
        <color rgb="FFFF0000"/>
      </font>
    </dxf>
    <dxf>
      <font>
        <strike val="0"/>
        <color rgb="FFFF0000"/>
      </font>
    </dxf>
    <dxf>
      <font>
        <color rgb="FFFF0000"/>
      </font>
    </dxf>
    <dxf>
      <font>
        <strike val="0"/>
        <color rgb="FFFF0000"/>
      </font>
    </dxf>
    <dxf>
      <font>
        <strike val="0"/>
        <color rgb="FFFF0000"/>
      </font>
    </dxf>
    <dxf>
      <font>
        <color theme="9"/>
      </font>
    </dxf>
    <dxf>
      <font>
        <color theme="9"/>
      </font>
    </dxf>
    <dxf>
      <font>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b/>
        <i val="0"/>
        <color auto="1"/>
      </font>
      <fill>
        <patternFill>
          <bgColor rgb="FF92D050"/>
        </patternFill>
      </fill>
    </dxf>
    <dxf>
      <font>
        <b/>
        <i val="0"/>
        <color theme="0"/>
      </font>
      <fill>
        <patternFill>
          <bgColor rgb="FFFF0000"/>
        </patternFill>
      </fill>
    </dxf>
    <dxf>
      <font>
        <color theme="9"/>
      </font>
    </dxf>
    <dxf>
      <font>
        <color rgb="FFFF0000"/>
      </font>
    </dxf>
    <dxf>
      <font>
        <color theme="9"/>
      </font>
    </dxf>
    <dxf>
      <font>
        <strike val="0"/>
        <color rgb="FFFF0000"/>
      </font>
    </dxf>
    <dxf>
      <font>
        <strike val="0"/>
        <color rgb="FFFF0000"/>
      </font>
    </dxf>
    <dxf>
      <font>
        <color rgb="FFFF0000"/>
      </font>
    </dxf>
    <dxf>
      <font>
        <strike val="0"/>
        <color rgb="FFFF0000"/>
      </font>
    </dxf>
    <dxf>
      <font>
        <strike val="0"/>
        <color rgb="FFFF0000"/>
      </font>
    </dxf>
    <dxf>
      <font>
        <color theme="9"/>
      </font>
    </dxf>
    <dxf>
      <font>
        <strike val="0"/>
        <color rgb="FFFF0000"/>
      </font>
    </dxf>
    <dxf>
      <font>
        <strike val="0"/>
        <color rgb="FFFF0000"/>
      </font>
    </dxf>
    <dxf>
      <font>
        <strike val="0"/>
        <color rgb="FFFF0000"/>
      </font>
    </dxf>
    <dxf>
      <font>
        <strike val="0"/>
        <color rgb="FFFF0000"/>
      </font>
    </dxf>
    <dxf>
      <font>
        <b/>
        <i val="0"/>
        <color auto="1"/>
      </font>
      <fill>
        <patternFill>
          <bgColor rgb="FF92D050"/>
        </patternFill>
      </fill>
    </dxf>
    <dxf>
      <font>
        <b/>
        <i val="0"/>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0AD47"/>
      <rgbColor rgb="FFADB9CA"/>
      <rgbColor rgb="FF993366"/>
      <rgbColor rgb="FFFFFFCC"/>
      <rgbColor rgb="FFCCFFFF"/>
      <rgbColor rgb="FF660066"/>
      <rgbColor rgb="FFFF8080"/>
      <rgbColor rgb="FF0066CC"/>
      <rgbColor rgb="FFD0CEC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B3B3B3"/>
      <rgbColor rgb="FFFFCC99"/>
      <rgbColor rgb="FF3366FF"/>
      <rgbColor rgb="FF33CCCC"/>
      <rgbColor rgb="FF92D050"/>
      <rgbColor rgb="FFFFCC00"/>
      <rgbColor rgb="FFFF9900"/>
      <rgbColor rgb="FFFF6600"/>
      <rgbColor rgb="FF585858"/>
      <rgbColor rgb="FFAFABAB"/>
      <rgbColor rgb="FF003366"/>
      <rgbColor rgb="FF579D1C"/>
      <rgbColor rgb="FF003300"/>
      <rgbColor rgb="FF333300"/>
      <rgbColor rgb="FF993300"/>
      <rgbColor rgb="FF993366"/>
      <rgbColor rgb="FF44546A"/>
      <rgbColor rgb="FF4E4D4D"/>
      <rgbColor rgb="00003366"/>
      <rgbColor rgb="00339966"/>
      <rgbColor rgb="00003300"/>
      <rgbColor rgb="00333300"/>
      <rgbColor rgb="00993300"/>
      <rgbColor rgb="00993366"/>
      <rgbColor rgb="00333399"/>
      <rgbColor rgb="00333333"/>
    </indexed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1</xdr:col>
      <xdr:colOff>85725</xdr:colOff>
      <xdr:row>3</xdr:row>
      <xdr:rowOff>57150</xdr:rowOff>
    </xdr:from>
    <xdr:ext cx="5018776" cy="1092090"/>
    <xdr:pic>
      <xdr:nvPicPr>
        <xdr:cNvPr id="4" name="Imagen 3">
          <a:extLst>
            <a:ext uri="{FF2B5EF4-FFF2-40B4-BE49-F238E27FC236}">
              <a16:creationId xmlns:a16="http://schemas.microsoft.com/office/drawing/2014/main" id="{C72D8983-A77A-45B1-B091-25813BFBFB8D}"/>
            </a:ext>
          </a:extLst>
        </xdr:cNvPr>
        <xdr:cNvPicPr>
          <a:picLocks noChangeAspect="1"/>
        </xdr:cNvPicPr>
      </xdr:nvPicPr>
      <xdr:blipFill>
        <a:blip xmlns:r="http://schemas.openxmlformats.org/officeDocument/2006/relationships" r:embed="rId1"/>
        <a:stretch>
          <a:fillRect/>
        </a:stretch>
      </xdr:blipFill>
      <xdr:spPr>
        <a:xfrm>
          <a:off x="685800" y="819150"/>
          <a:ext cx="5018776" cy="1092090"/>
        </a:xfrm>
        <a:prstGeom prst="rect">
          <a:avLst/>
        </a:prstGeom>
      </xdr:spPr>
    </xdr:pic>
    <xdr:clientData/>
  </xdr:oneCellAnchor>
  <xdr:twoCellAnchor>
    <xdr:from>
      <xdr:col>0</xdr:col>
      <xdr:colOff>590550</xdr:colOff>
      <xdr:row>5</xdr:row>
      <xdr:rowOff>190500</xdr:rowOff>
    </xdr:from>
    <xdr:to>
      <xdr:col>2</xdr:col>
      <xdr:colOff>212432</xdr:colOff>
      <xdr:row>7</xdr:row>
      <xdr:rowOff>53308</xdr:rowOff>
    </xdr:to>
    <xdr:sp macro="" textlink="">
      <xdr:nvSpPr>
        <xdr:cNvPr id="9" name="Rectángulo 8">
          <a:extLst>
            <a:ext uri="{FF2B5EF4-FFF2-40B4-BE49-F238E27FC236}">
              <a16:creationId xmlns:a16="http://schemas.microsoft.com/office/drawing/2014/main" id="{CE3C4E0D-C36F-4FE5-B1BA-B7F10C64FC58}"/>
            </a:ext>
          </a:extLst>
        </xdr:cNvPr>
        <xdr:cNvSpPr/>
      </xdr:nvSpPr>
      <xdr:spPr>
        <a:xfrm>
          <a:off x="590550" y="1390650"/>
          <a:ext cx="4917782" cy="300958"/>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oneCellAnchor>
    <xdr:from>
      <xdr:col>5</xdr:col>
      <xdr:colOff>342900</xdr:colOff>
      <xdr:row>6</xdr:row>
      <xdr:rowOff>19050</xdr:rowOff>
    </xdr:from>
    <xdr:ext cx="7397078" cy="2247361"/>
    <xdr:pic>
      <xdr:nvPicPr>
        <xdr:cNvPr id="10" name="Imagen 9">
          <a:extLst>
            <a:ext uri="{FF2B5EF4-FFF2-40B4-BE49-F238E27FC236}">
              <a16:creationId xmlns:a16="http://schemas.microsoft.com/office/drawing/2014/main" id="{574F6F7F-294C-4B5B-A849-1CD524BA970A}"/>
            </a:ext>
          </a:extLst>
        </xdr:cNvPr>
        <xdr:cNvPicPr>
          <a:picLocks noChangeAspect="1"/>
        </xdr:cNvPicPr>
      </xdr:nvPicPr>
      <xdr:blipFill>
        <a:blip xmlns:r="http://schemas.openxmlformats.org/officeDocument/2006/relationships" r:embed="rId2"/>
        <a:stretch>
          <a:fillRect/>
        </a:stretch>
      </xdr:blipFill>
      <xdr:spPr>
        <a:xfrm>
          <a:off x="10315575" y="1438275"/>
          <a:ext cx="7397078" cy="2247361"/>
        </a:xfrm>
        <a:prstGeom prst="rect">
          <a:avLst/>
        </a:prstGeom>
      </xdr:spPr>
    </xdr:pic>
    <xdr:clientData/>
  </xdr:oneCellAnchor>
  <xdr:oneCellAnchor>
    <xdr:from>
      <xdr:col>6</xdr:col>
      <xdr:colOff>0</xdr:colOff>
      <xdr:row>19</xdr:row>
      <xdr:rowOff>0</xdr:rowOff>
    </xdr:from>
    <xdr:ext cx="8044869" cy="6725589"/>
    <xdr:pic>
      <xdr:nvPicPr>
        <xdr:cNvPr id="11" name="Imagen 10">
          <a:extLst>
            <a:ext uri="{FF2B5EF4-FFF2-40B4-BE49-F238E27FC236}">
              <a16:creationId xmlns:a16="http://schemas.microsoft.com/office/drawing/2014/main" id="{1F2084D9-4AE8-4616-9BFF-2E7D2AA94D2B}"/>
            </a:ext>
          </a:extLst>
        </xdr:cNvPr>
        <xdr:cNvPicPr>
          <a:picLocks noChangeAspect="1"/>
        </xdr:cNvPicPr>
      </xdr:nvPicPr>
      <xdr:blipFill>
        <a:blip xmlns:r="http://schemas.openxmlformats.org/officeDocument/2006/relationships" r:embed="rId3"/>
        <a:stretch>
          <a:fillRect/>
        </a:stretch>
      </xdr:blipFill>
      <xdr:spPr>
        <a:xfrm>
          <a:off x="10734675" y="4152900"/>
          <a:ext cx="8044869" cy="6725589"/>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4</xdr:col>
      <xdr:colOff>149679</xdr:colOff>
      <xdr:row>0</xdr:row>
      <xdr:rowOff>22412</xdr:rowOff>
    </xdr:from>
    <xdr:to>
      <xdr:col>7</xdr:col>
      <xdr:colOff>1114985</xdr:colOff>
      <xdr:row>4</xdr:row>
      <xdr:rowOff>410095</xdr:rowOff>
    </xdr:to>
    <xdr:pic>
      <xdr:nvPicPr>
        <xdr:cNvPr id="3" name="Imagen 2">
          <a:extLst>
            <a:ext uri="{FF2B5EF4-FFF2-40B4-BE49-F238E27FC236}">
              <a16:creationId xmlns:a16="http://schemas.microsoft.com/office/drawing/2014/main" id="{BED47930-61D6-660B-4807-0F4073D72A99}"/>
            </a:ext>
          </a:extLst>
        </xdr:cNvPr>
        <xdr:cNvPicPr>
          <a:picLocks noChangeAspect="1"/>
        </xdr:cNvPicPr>
      </xdr:nvPicPr>
      <xdr:blipFill>
        <a:blip xmlns:r="http://schemas.openxmlformats.org/officeDocument/2006/relationships" r:embed="rId1"/>
        <a:stretch>
          <a:fillRect/>
        </a:stretch>
      </xdr:blipFill>
      <xdr:spPr>
        <a:xfrm>
          <a:off x="8923885" y="22412"/>
          <a:ext cx="4999424" cy="2662477"/>
        </a:xfrm>
        <a:prstGeom prst="rect">
          <a:avLst/>
        </a:prstGeom>
      </xdr:spPr>
    </xdr:pic>
    <xdr:clientData/>
  </xdr:twoCellAnchor>
  <xdr:twoCellAnchor editAs="oneCell">
    <xdr:from>
      <xdr:col>8</xdr:col>
      <xdr:colOff>1199030</xdr:colOff>
      <xdr:row>0</xdr:row>
      <xdr:rowOff>0</xdr:rowOff>
    </xdr:from>
    <xdr:to>
      <xdr:col>12</xdr:col>
      <xdr:colOff>1432097</xdr:colOff>
      <xdr:row>4</xdr:row>
      <xdr:rowOff>335394</xdr:rowOff>
    </xdr:to>
    <xdr:pic>
      <xdr:nvPicPr>
        <xdr:cNvPr id="2" name="Imagen 1">
          <a:extLst>
            <a:ext uri="{FF2B5EF4-FFF2-40B4-BE49-F238E27FC236}">
              <a16:creationId xmlns:a16="http://schemas.microsoft.com/office/drawing/2014/main" id="{D88941E2-876F-5202-DD92-747DB11F2ADF}"/>
            </a:ext>
          </a:extLst>
        </xdr:cNvPr>
        <xdr:cNvPicPr>
          <a:picLocks noChangeAspect="1"/>
        </xdr:cNvPicPr>
      </xdr:nvPicPr>
      <xdr:blipFill>
        <a:blip xmlns:r="http://schemas.openxmlformats.org/officeDocument/2006/relationships" r:embed="rId2"/>
        <a:stretch>
          <a:fillRect/>
        </a:stretch>
      </xdr:blipFill>
      <xdr:spPr>
        <a:xfrm>
          <a:off x="15542559" y="0"/>
          <a:ext cx="5298126" cy="261018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mahe\Downloads\JSRG%20FORMATO%20INFORME%20PRELIMINAR%20INTERVENTORIA%20TERMINAD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hmahe\Downloads\FORMATO%20INFORME%20PRELIMINAR%20INTERVENTORIA%20TERMINADO%20ING%20FERNAN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OFERENTES"/>
      <sheetName val="EXPERIENCIA DEL PROPONENTE"/>
      <sheetName val="CONDICIONES GENERALES"/>
      <sheetName val="REQUISITOS HAB. TECNICOS"/>
      <sheetName val="RESUMEN EVALUACIÓN"/>
      <sheetName val="MEDIA ARITMETICA ALTA"/>
      <sheetName val="OBRAS INCONCLUSAS"/>
      <sheetName val="F. PONDERABLES"/>
    </sheetNames>
    <sheetDataSet>
      <sheetData sheetId="0">
        <row r="4">
          <cell r="A4">
            <v>1</v>
          </cell>
          <cell r="B4" t="str">
            <v>CONSORCIO INTERVIALES PCI-PC</v>
          </cell>
          <cell r="C4" t="str">
            <v>PEDRO JOSÉ CORREDOR BECERRA</v>
          </cell>
          <cell r="D4" t="str">
            <v>CONSORCIO</v>
          </cell>
          <cell r="E4" t="str">
            <v>PC PROYECCION E INGENIERIA SAS 50%</v>
          </cell>
          <cell r="F4" t="str">
            <v>JORGE WILLAN CORZO GARCIA 10%</v>
          </cell>
        </row>
        <row r="5">
          <cell r="A5">
            <v>2</v>
          </cell>
          <cell r="B5" t="str">
            <v>CONSORCIO VÍAS FONTIBÓN 2025</v>
          </cell>
          <cell r="C5" t="str">
            <v>SANTIAGO CARRILLO VARGAS</v>
          </cell>
          <cell r="D5" t="str">
            <v>CONSORCIO</v>
          </cell>
          <cell r="E5" t="str">
            <v>SANDRA MONICA CARDOZO 50%</v>
          </cell>
          <cell r="F5" t="str">
            <v>SAVIMAC SAS 50%</v>
          </cell>
        </row>
        <row r="6">
          <cell r="A6">
            <v>3</v>
          </cell>
          <cell r="B6" t="str">
            <v>MORALBA SANCHEZ ORDOÑEZ</v>
          </cell>
          <cell r="C6" t="str">
            <v>MORALBA SANCHEZ ORDOÑEZ</v>
          </cell>
          <cell r="D6" t="str">
            <v>PERSONA NATURAL</v>
          </cell>
          <cell r="E6"/>
          <cell r="F6"/>
        </row>
        <row r="7">
          <cell r="A7">
            <v>4</v>
          </cell>
          <cell r="B7" t="str">
            <v>GRUPO METRO COLOMBIA SAS</v>
          </cell>
          <cell r="C7" t="str">
            <v>OSCAR ALFREDO MONTOYA CASTRO</v>
          </cell>
          <cell r="D7" t="str">
            <v>EMPRESA</v>
          </cell>
          <cell r="E7"/>
          <cell r="F7"/>
        </row>
        <row r="8">
          <cell r="A8">
            <v>5</v>
          </cell>
          <cell r="B8" t="str">
            <v>CONSORCIO INTER CGS F1</v>
          </cell>
          <cell r="C8" t="str">
            <v>RICAUTE ALVAREZ PARRADO</v>
          </cell>
          <cell r="D8" t="str">
            <v>CONSORCIO</v>
          </cell>
          <cell r="E8" t="str">
            <v>CONSULTORIA VIAL S.A.S 50%</v>
          </cell>
          <cell r="F8" t="str">
            <v>GRUPO INFRAESTRUCTURA COLOMBIA SAS 40%</v>
          </cell>
        </row>
        <row r="9">
          <cell r="A9">
            <v>6</v>
          </cell>
          <cell r="B9" t="str">
            <v>INGENIEROS CONSTRUCTORES Y ASESORES SAS</v>
          </cell>
          <cell r="C9" t="str">
            <v>ESTHER PAULINA MARTINEZ MENDOZA</v>
          </cell>
          <cell r="D9" t="str">
            <v>EMPRESA</v>
          </cell>
          <cell r="E9"/>
          <cell r="F9"/>
        </row>
        <row r="10">
          <cell r="A10">
            <v>7</v>
          </cell>
          <cell r="B10" t="str">
            <v>GPM PROYECTOS DE INGENIERIA SAS</v>
          </cell>
          <cell r="C10" t="str">
            <v>GONZALO EDUARDO PAZ MATALLANA</v>
          </cell>
          <cell r="D10" t="str">
            <v>EMPRESA</v>
          </cell>
          <cell r="E10"/>
          <cell r="F10"/>
        </row>
        <row r="11">
          <cell r="A11">
            <v>8</v>
          </cell>
          <cell r="B11" t="str">
            <v>CONSORCIO MODELIA 24</v>
          </cell>
          <cell r="C11" t="str">
            <v>CARLOS MARIO ROLÓN AMAYA</v>
          </cell>
          <cell r="D11" t="str">
            <v>CONSORCIO</v>
          </cell>
          <cell r="E11" t="str">
            <v>INGECO INGENIERIA DE CONSTRUCCIONES S.A.S 50%</v>
          </cell>
          <cell r="F11" t="str">
            <v>INGENIERIA DE PROYECTOS S.A.S. 50%</v>
          </cell>
        </row>
        <row r="12">
          <cell r="A12">
            <v>9</v>
          </cell>
          <cell r="B12" t="str">
            <v>UNIÓN TEMPORAL ROADS 402</v>
          </cell>
          <cell r="C12" t="str">
            <v>ANTONIO JOSE PEDRAZA JIMENEZ</v>
          </cell>
          <cell r="D12" t="str">
            <v>UNION TEMPORAL</v>
          </cell>
          <cell r="E12" t="str">
            <v>ANTONIO JOSE PEDRAZA JIMENEZ 50%</v>
          </cell>
          <cell r="F12" t="str">
            <v>CONTRERAS CORTES SERVICIOS DE INGENIERIA SAS 40%</v>
          </cell>
        </row>
        <row r="13">
          <cell r="A13">
            <v>10</v>
          </cell>
          <cell r="B13" t="str">
            <v>CONSORCIO MALLA VIAL 206</v>
          </cell>
          <cell r="C13" t="str">
            <v>PAOLA DEL PILAR LÓPEZ ROJAS</v>
          </cell>
          <cell r="D13" t="str">
            <v>CONSORCIO</v>
          </cell>
          <cell r="E13" t="str">
            <v>LUPSA INGENIERIA Y CONSTRUCCIONES S.A.S. 70%</v>
          </cell>
          <cell r="F13" t="str">
            <v>SUCA CONSTRUCCIONES S.A.S. 30%</v>
          </cell>
        </row>
        <row r="14">
          <cell r="A14">
            <v>11</v>
          </cell>
          <cell r="B14"/>
          <cell r="C14"/>
          <cell r="D14"/>
          <cell r="E14"/>
          <cell r="F14"/>
        </row>
        <row r="15">
          <cell r="A15">
            <v>12</v>
          </cell>
          <cell r="B15"/>
          <cell r="C15"/>
          <cell r="D15"/>
          <cell r="E15"/>
          <cell r="F15"/>
        </row>
        <row r="16">
          <cell r="A16">
            <v>13</v>
          </cell>
          <cell r="B16"/>
          <cell r="C16"/>
          <cell r="D16"/>
          <cell r="E16"/>
          <cell r="F16"/>
        </row>
        <row r="17">
          <cell r="A17">
            <v>14</v>
          </cell>
          <cell r="B17"/>
          <cell r="C17"/>
          <cell r="D17"/>
          <cell r="E17"/>
          <cell r="F17"/>
        </row>
        <row r="18">
          <cell r="A18">
            <v>15</v>
          </cell>
          <cell r="B18"/>
          <cell r="C18"/>
          <cell r="D18"/>
          <cell r="E18"/>
          <cell r="F18"/>
        </row>
        <row r="19">
          <cell r="A19">
            <v>16</v>
          </cell>
          <cell r="B19"/>
          <cell r="C19"/>
          <cell r="D19"/>
          <cell r="E19"/>
          <cell r="F19"/>
        </row>
        <row r="20">
          <cell r="A20">
            <v>17</v>
          </cell>
          <cell r="B20"/>
          <cell r="C20"/>
          <cell r="D20"/>
          <cell r="E20"/>
          <cell r="F20"/>
        </row>
        <row r="21">
          <cell r="A21">
            <v>18</v>
          </cell>
          <cell r="B21"/>
          <cell r="C21"/>
          <cell r="D21"/>
          <cell r="E21"/>
          <cell r="F21"/>
        </row>
        <row r="22">
          <cell r="A22">
            <v>19</v>
          </cell>
          <cell r="B22"/>
          <cell r="C22"/>
          <cell r="D22"/>
          <cell r="E22"/>
          <cell r="F22"/>
        </row>
        <row r="23">
          <cell r="A23">
            <v>20</v>
          </cell>
          <cell r="B23"/>
          <cell r="C23"/>
          <cell r="D23"/>
          <cell r="E23"/>
          <cell r="F23"/>
        </row>
        <row r="24">
          <cell r="A24">
            <v>21</v>
          </cell>
          <cell r="B24"/>
          <cell r="C24"/>
          <cell r="D24"/>
          <cell r="E24"/>
          <cell r="F24"/>
        </row>
        <row r="25">
          <cell r="A25">
            <v>22</v>
          </cell>
          <cell r="B25"/>
          <cell r="C25"/>
          <cell r="D25"/>
          <cell r="E25"/>
          <cell r="F25"/>
        </row>
        <row r="26">
          <cell r="A26">
            <v>23</v>
          </cell>
          <cell r="B26"/>
          <cell r="C26"/>
          <cell r="D26"/>
          <cell r="E26"/>
          <cell r="F26"/>
        </row>
        <row r="27">
          <cell r="A27">
            <v>24</v>
          </cell>
          <cell r="B27"/>
          <cell r="C27"/>
          <cell r="D27"/>
          <cell r="E27"/>
          <cell r="F27"/>
        </row>
        <row r="28">
          <cell r="A28">
            <v>25</v>
          </cell>
          <cell r="B28"/>
          <cell r="C28"/>
          <cell r="D28"/>
          <cell r="E28"/>
          <cell r="F28"/>
        </row>
        <row r="29">
          <cell r="A29">
            <v>26</v>
          </cell>
          <cell r="B29"/>
          <cell r="C29"/>
          <cell r="D29"/>
          <cell r="E29"/>
          <cell r="F29"/>
        </row>
        <row r="30">
          <cell r="A30">
            <v>27</v>
          </cell>
          <cell r="B30"/>
          <cell r="C30"/>
          <cell r="D30"/>
          <cell r="E30"/>
          <cell r="F30"/>
        </row>
        <row r="31">
          <cell r="A31">
            <v>28</v>
          </cell>
          <cell r="B31"/>
          <cell r="C31"/>
          <cell r="D31"/>
          <cell r="E31"/>
          <cell r="F31"/>
        </row>
        <row r="32">
          <cell r="A32">
            <v>29</v>
          </cell>
          <cell r="B32"/>
          <cell r="C32"/>
          <cell r="D32"/>
          <cell r="E32"/>
          <cell r="F32"/>
        </row>
        <row r="33">
          <cell r="A33">
            <v>30</v>
          </cell>
          <cell r="B33"/>
          <cell r="C33"/>
          <cell r="D33"/>
          <cell r="E33"/>
          <cell r="F33"/>
        </row>
        <row r="34">
          <cell r="A34">
            <v>31</v>
          </cell>
          <cell r="B34"/>
          <cell r="C34"/>
          <cell r="D34"/>
          <cell r="E34"/>
          <cell r="F34"/>
        </row>
        <row r="35">
          <cell r="A35">
            <v>32</v>
          </cell>
          <cell r="B35"/>
          <cell r="C35"/>
          <cell r="D35"/>
          <cell r="E35"/>
          <cell r="F35"/>
        </row>
        <row r="36">
          <cell r="A36">
            <v>33</v>
          </cell>
          <cell r="B36"/>
          <cell r="C36"/>
          <cell r="D36"/>
          <cell r="E36"/>
          <cell r="F36"/>
        </row>
        <row r="37">
          <cell r="A37">
            <v>34</v>
          </cell>
          <cell r="B37"/>
          <cell r="C37"/>
          <cell r="D37"/>
          <cell r="E37"/>
          <cell r="F37"/>
        </row>
        <row r="38">
          <cell r="A38">
            <v>35</v>
          </cell>
          <cell r="B38"/>
          <cell r="C38"/>
          <cell r="D38"/>
          <cell r="E38"/>
          <cell r="F38"/>
        </row>
        <row r="39">
          <cell r="A39">
            <v>36</v>
          </cell>
          <cell r="B39"/>
          <cell r="C39"/>
          <cell r="D39"/>
          <cell r="E39"/>
          <cell r="F39"/>
        </row>
        <row r="40">
          <cell r="A40">
            <v>37</v>
          </cell>
          <cell r="B40"/>
          <cell r="C40"/>
          <cell r="D40"/>
          <cell r="E40"/>
          <cell r="F40"/>
        </row>
        <row r="41">
          <cell r="A41">
            <v>38</v>
          </cell>
          <cell r="B41"/>
          <cell r="C41"/>
          <cell r="D41"/>
          <cell r="E41"/>
          <cell r="F41"/>
        </row>
        <row r="42">
          <cell r="A42">
            <v>39</v>
          </cell>
          <cell r="B42"/>
          <cell r="C42"/>
          <cell r="D42"/>
          <cell r="E42"/>
          <cell r="F42"/>
        </row>
        <row r="43">
          <cell r="A43">
            <v>40</v>
          </cell>
          <cell r="B43"/>
          <cell r="C43"/>
          <cell r="D43"/>
          <cell r="E43"/>
          <cell r="F43"/>
        </row>
        <row r="44">
          <cell r="A44">
            <v>41</v>
          </cell>
          <cell r="B44"/>
          <cell r="C44"/>
          <cell r="D44"/>
          <cell r="E44"/>
          <cell r="F44"/>
        </row>
        <row r="45">
          <cell r="A45">
            <v>42</v>
          </cell>
          <cell r="B45"/>
          <cell r="C45"/>
          <cell r="D45"/>
          <cell r="E45"/>
          <cell r="F45"/>
        </row>
        <row r="46">
          <cell r="A46">
            <v>43</v>
          </cell>
          <cell r="B46"/>
          <cell r="C46"/>
          <cell r="D46"/>
          <cell r="E46"/>
          <cell r="F46"/>
        </row>
        <row r="47">
          <cell r="A47">
            <v>44</v>
          </cell>
          <cell r="B47"/>
          <cell r="C47"/>
          <cell r="D47"/>
          <cell r="E47"/>
          <cell r="F47"/>
        </row>
        <row r="48">
          <cell r="A48">
            <v>45</v>
          </cell>
          <cell r="B48"/>
          <cell r="C48"/>
          <cell r="D48"/>
          <cell r="E48"/>
          <cell r="F48"/>
        </row>
        <row r="49">
          <cell r="A49">
            <v>46</v>
          </cell>
          <cell r="B49"/>
          <cell r="C49"/>
          <cell r="D49"/>
          <cell r="E49"/>
          <cell r="F49"/>
        </row>
        <row r="50">
          <cell r="A50">
            <v>47</v>
          </cell>
          <cell r="B50"/>
          <cell r="C50"/>
          <cell r="D50"/>
          <cell r="E50"/>
          <cell r="F50"/>
        </row>
        <row r="51">
          <cell r="A51">
            <v>48</v>
          </cell>
          <cell r="B51"/>
          <cell r="C51"/>
          <cell r="D51"/>
          <cell r="E51"/>
          <cell r="F51"/>
        </row>
        <row r="52">
          <cell r="A52">
            <v>49</v>
          </cell>
          <cell r="B52"/>
          <cell r="C52"/>
          <cell r="D52"/>
          <cell r="E52"/>
          <cell r="F52"/>
        </row>
        <row r="53">
          <cell r="A53">
            <v>50</v>
          </cell>
          <cell r="B53"/>
          <cell r="C53"/>
          <cell r="D53"/>
          <cell r="E53"/>
          <cell r="F53"/>
        </row>
        <row r="54">
          <cell r="A54">
            <v>51</v>
          </cell>
          <cell r="B54"/>
          <cell r="C54"/>
          <cell r="D54"/>
          <cell r="E54"/>
          <cell r="F54"/>
        </row>
        <row r="55">
          <cell r="A55">
            <v>52</v>
          </cell>
          <cell r="B55"/>
          <cell r="C55"/>
          <cell r="D55"/>
          <cell r="E55"/>
          <cell r="F55"/>
        </row>
        <row r="56">
          <cell r="A56">
            <v>53</v>
          </cell>
          <cell r="B56"/>
          <cell r="C56"/>
          <cell r="D56"/>
          <cell r="E56"/>
          <cell r="F56"/>
        </row>
        <row r="57">
          <cell r="A57">
            <v>54</v>
          </cell>
          <cell r="B57"/>
          <cell r="C57"/>
          <cell r="D57"/>
          <cell r="E57"/>
          <cell r="F57"/>
        </row>
        <row r="58">
          <cell r="A58">
            <v>55</v>
          </cell>
          <cell r="B58"/>
          <cell r="C58"/>
          <cell r="D58"/>
          <cell r="E58"/>
          <cell r="F58"/>
        </row>
        <row r="59">
          <cell r="A59">
            <v>56</v>
          </cell>
          <cell r="B59"/>
          <cell r="C59"/>
          <cell r="D59"/>
          <cell r="E59"/>
          <cell r="F59"/>
        </row>
        <row r="60">
          <cell r="A60">
            <v>57</v>
          </cell>
          <cell r="B60"/>
          <cell r="C60"/>
          <cell r="D60"/>
          <cell r="E60"/>
          <cell r="F60"/>
        </row>
        <row r="61">
          <cell r="A61">
            <v>58</v>
          </cell>
          <cell r="B61"/>
          <cell r="C61"/>
          <cell r="D61"/>
          <cell r="E61"/>
          <cell r="F61"/>
        </row>
        <row r="62">
          <cell r="A62">
            <v>59</v>
          </cell>
          <cell r="B62"/>
          <cell r="C62"/>
          <cell r="D62"/>
          <cell r="E62"/>
          <cell r="F62"/>
        </row>
        <row r="63">
          <cell r="A63">
            <v>60</v>
          </cell>
          <cell r="B63"/>
          <cell r="C63"/>
          <cell r="D63"/>
          <cell r="E63"/>
          <cell r="F63"/>
        </row>
        <row r="64">
          <cell r="A64">
            <v>61</v>
          </cell>
          <cell r="B64"/>
          <cell r="C64"/>
          <cell r="D64"/>
          <cell r="E64"/>
          <cell r="F64"/>
        </row>
        <row r="65">
          <cell r="A65">
            <v>62</v>
          </cell>
          <cell r="B65"/>
          <cell r="C65"/>
          <cell r="D65"/>
          <cell r="E65"/>
          <cell r="F65"/>
        </row>
        <row r="66">
          <cell r="A66">
            <v>63</v>
          </cell>
          <cell r="B66"/>
          <cell r="C66"/>
          <cell r="D66"/>
          <cell r="E66"/>
          <cell r="F66"/>
        </row>
        <row r="67">
          <cell r="A67">
            <v>64</v>
          </cell>
          <cell r="B67"/>
          <cell r="C67"/>
          <cell r="D67"/>
          <cell r="E67"/>
          <cell r="F67"/>
        </row>
        <row r="68">
          <cell r="A68">
            <v>65</v>
          </cell>
          <cell r="B68"/>
          <cell r="C68"/>
          <cell r="D68"/>
          <cell r="E68"/>
          <cell r="F68"/>
        </row>
        <row r="69">
          <cell r="A69">
            <v>66</v>
          </cell>
          <cell r="B69"/>
          <cell r="C69"/>
          <cell r="D69"/>
          <cell r="E69"/>
          <cell r="F69"/>
        </row>
        <row r="70">
          <cell r="A70">
            <v>67</v>
          </cell>
          <cell r="B70"/>
          <cell r="C70"/>
          <cell r="D70"/>
          <cell r="E70"/>
          <cell r="F70"/>
        </row>
        <row r="71">
          <cell r="A71">
            <v>68</v>
          </cell>
          <cell r="B71"/>
          <cell r="C71"/>
          <cell r="D71"/>
          <cell r="E71"/>
          <cell r="F71"/>
        </row>
        <row r="72">
          <cell r="A72">
            <v>69</v>
          </cell>
          <cell r="B72"/>
          <cell r="C72"/>
          <cell r="D72"/>
          <cell r="E72"/>
          <cell r="F72"/>
        </row>
        <row r="73">
          <cell r="A73">
            <v>70</v>
          </cell>
          <cell r="B73"/>
          <cell r="C73"/>
          <cell r="D73"/>
          <cell r="E73"/>
          <cell r="F73"/>
        </row>
        <row r="74">
          <cell r="A74">
            <v>71</v>
          </cell>
          <cell r="B74"/>
          <cell r="C74"/>
          <cell r="D74"/>
          <cell r="E74"/>
          <cell r="F74"/>
        </row>
        <row r="75">
          <cell r="A75">
            <v>72</v>
          </cell>
          <cell r="B75"/>
          <cell r="C75"/>
          <cell r="D75"/>
          <cell r="E75"/>
          <cell r="F75"/>
        </row>
        <row r="76">
          <cell r="A76">
            <v>73</v>
          </cell>
          <cell r="B76"/>
          <cell r="C76"/>
          <cell r="D76"/>
          <cell r="E76"/>
          <cell r="F76"/>
        </row>
        <row r="77">
          <cell r="A77">
            <v>74</v>
          </cell>
          <cell r="B77"/>
          <cell r="C77"/>
          <cell r="D77"/>
          <cell r="E77"/>
          <cell r="F77"/>
        </row>
        <row r="78">
          <cell r="A78">
            <v>75</v>
          </cell>
          <cell r="B78"/>
          <cell r="C78"/>
          <cell r="D78"/>
          <cell r="E78"/>
          <cell r="F78"/>
        </row>
        <row r="79">
          <cell r="A79">
            <v>76</v>
          </cell>
          <cell r="B79"/>
          <cell r="C79"/>
          <cell r="D79"/>
          <cell r="E79"/>
          <cell r="F79"/>
        </row>
        <row r="80">
          <cell r="A80">
            <v>77</v>
          </cell>
          <cell r="B80"/>
          <cell r="C80"/>
          <cell r="D80"/>
          <cell r="E80"/>
          <cell r="F80"/>
        </row>
        <row r="81">
          <cell r="A81">
            <v>78</v>
          </cell>
          <cell r="B81"/>
          <cell r="C81"/>
          <cell r="D81"/>
          <cell r="E81"/>
          <cell r="F81"/>
        </row>
        <row r="82">
          <cell r="A82">
            <v>79</v>
          </cell>
          <cell r="B82"/>
          <cell r="C82"/>
          <cell r="D82"/>
          <cell r="E82"/>
          <cell r="F82"/>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OFERENTES"/>
      <sheetName val="EXPERIENCIA DEL PROPONENTE"/>
      <sheetName val="CONDICIONES GENERALES"/>
      <sheetName val="REQUISITOS HAB. TECNICOS"/>
      <sheetName val="RESUMEN EVALUACIÓN"/>
      <sheetName val="MEDIA ARITMETICA ALTA"/>
      <sheetName val="OBRAS INCONCLUSAS"/>
      <sheetName val="F. PONDERABLES"/>
    </sheetNames>
    <sheetDataSet>
      <sheetData sheetId="0">
        <row r="4">
          <cell r="A4">
            <v>1</v>
          </cell>
        </row>
        <row r="5">
          <cell r="A5">
            <v>2</v>
          </cell>
        </row>
        <row r="6">
          <cell r="A6">
            <v>3</v>
          </cell>
        </row>
        <row r="7">
          <cell r="A7">
            <v>4</v>
          </cell>
        </row>
        <row r="8">
          <cell r="A8">
            <v>5</v>
          </cell>
        </row>
        <row r="9">
          <cell r="A9">
            <v>6</v>
          </cell>
        </row>
        <row r="10">
          <cell r="A10">
            <v>7</v>
          </cell>
        </row>
        <row r="11">
          <cell r="A11">
            <v>8</v>
          </cell>
        </row>
        <row r="12">
          <cell r="A12">
            <v>9</v>
          </cell>
        </row>
        <row r="13">
          <cell r="A13">
            <v>10</v>
          </cell>
        </row>
        <row r="14">
          <cell r="A14">
            <v>11</v>
          </cell>
        </row>
        <row r="15">
          <cell r="A15">
            <v>12</v>
          </cell>
        </row>
        <row r="16">
          <cell r="A16">
            <v>13</v>
          </cell>
        </row>
        <row r="17">
          <cell r="A17">
            <v>14</v>
          </cell>
        </row>
        <row r="18">
          <cell r="A18">
            <v>15</v>
          </cell>
        </row>
        <row r="19">
          <cell r="A19">
            <v>16</v>
          </cell>
        </row>
        <row r="20">
          <cell r="A20">
            <v>17</v>
          </cell>
        </row>
        <row r="21">
          <cell r="A21">
            <v>18</v>
          </cell>
        </row>
        <row r="22">
          <cell r="A22">
            <v>19</v>
          </cell>
        </row>
        <row r="23">
          <cell r="A23">
            <v>20</v>
          </cell>
        </row>
        <row r="24">
          <cell r="A24">
            <v>21</v>
          </cell>
        </row>
        <row r="25">
          <cell r="A25">
            <v>22</v>
          </cell>
        </row>
        <row r="26">
          <cell r="A26">
            <v>23</v>
          </cell>
        </row>
        <row r="27">
          <cell r="A27">
            <v>24</v>
          </cell>
        </row>
        <row r="28">
          <cell r="A28">
            <v>25</v>
          </cell>
        </row>
        <row r="29">
          <cell r="A29">
            <v>26</v>
          </cell>
        </row>
        <row r="30">
          <cell r="A30">
            <v>27</v>
          </cell>
        </row>
        <row r="31">
          <cell r="A31">
            <v>28</v>
          </cell>
        </row>
        <row r="32">
          <cell r="A32">
            <v>29</v>
          </cell>
        </row>
        <row r="33">
          <cell r="A33">
            <v>30</v>
          </cell>
        </row>
        <row r="34">
          <cell r="A34">
            <v>31</v>
          </cell>
        </row>
        <row r="35">
          <cell r="A35">
            <v>32</v>
          </cell>
        </row>
        <row r="36">
          <cell r="A36">
            <v>33</v>
          </cell>
        </row>
        <row r="37">
          <cell r="A37">
            <v>34</v>
          </cell>
        </row>
        <row r="38">
          <cell r="A38">
            <v>35</v>
          </cell>
        </row>
        <row r="39">
          <cell r="A39">
            <v>36</v>
          </cell>
        </row>
        <row r="40">
          <cell r="A40">
            <v>37</v>
          </cell>
        </row>
        <row r="41">
          <cell r="A41">
            <v>38</v>
          </cell>
        </row>
        <row r="42">
          <cell r="A42">
            <v>39</v>
          </cell>
        </row>
        <row r="43">
          <cell r="A43">
            <v>40</v>
          </cell>
        </row>
        <row r="44">
          <cell r="A44">
            <v>41</v>
          </cell>
        </row>
        <row r="45">
          <cell r="A45">
            <v>42</v>
          </cell>
        </row>
        <row r="46">
          <cell r="A46">
            <v>43</v>
          </cell>
        </row>
        <row r="47">
          <cell r="A47">
            <v>44</v>
          </cell>
        </row>
        <row r="48">
          <cell r="A48">
            <v>45</v>
          </cell>
          <cell r="B48" t="str">
            <v>PROJEKTA LTDA INGENIEROS CONSULTORES</v>
          </cell>
          <cell r="C48" t="str">
            <v>SERGIO RAFAEL PABÓN LOZANO</v>
          </cell>
          <cell r="D48" t="str">
            <v>PERSONA JURIDICA NACIONAL</v>
          </cell>
          <cell r="E48" t="str">
            <v>PROJEKTA LTDA INGENIEROS CONSULTORES (100%)</v>
          </cell>
        </row>
        <row r="49">
          <cell r="A49">
            <v>46</v>
          </cell>
          <cell r="B49" t="str">
            <v>SOLUCIONES PARA LA INGENIERÍA S.A.S.</v>
          </cell>
          <cell r="C49" t="str">
            <v>Iván Augusto Barreto Esquivel</v>
          </cell>
          <cell r="D49" t="str">
            <v>PERSONA JURIDICA NACIONAL</v>
          </cell>
          <cell r="E49" t="str">
            <v>SOLUCIONES PARA LA INGENIERÍA S.A.S.(100%)</v>
          </cell>
        </row>
        <row r="50">
          <cell r="A50">
            <v>47</v>
          </cell>
          <cell r="B50" t="str">
            <v>CONSORCIO INTERVIAL PH</v>
          </cell>
          <cell r="C50" t="str">
            <v>LUIS HUMBERTO JAUREGUI ESPINEL</v>
          </cell>
          <cell r="D50" t="str">
            <v>CONSORCIO</v>
          </cell>
          <cell r="E50" t="str">
            <v>HUMBERTO JAUREGUI &amp; CIAS SAS (50%)</v>
          </cell>
          <cell r="F50" t="str">
            <v>PROYECTOS VIALES SAS (50%)</v>
          </cell>
        </row>
        <row r="51">
          <cell r="A51">
            <v>48</v>
          </cell>
          <cell r="B51" t="str">
            <v>CONSORCIO SETEC VIAL FONTIBON</v>
          </cell>
          <cell r="C51" t="str">
            <v>ANDRÉS EDUARDO RINCÓN PÉREZ</v>
          </cell>
          <cell r="D51" t="str">
            <v>CONSORCIO</v>
          </cell>
          <cell r="E51" t="str">
            <v>GOMEZ CAJIAO Y ASOCIADOS S.A.S (50%)</v>
          </cell>
          <cell r="F51" t="str">
            <v>SETEC ANDINA S.A.S.(50%)</v>
          </cell>
        </row>
        <row r="52">
          <cell r="A52">
            <v>49</v>
          </cell>
          <cell r="B52" t="str">
            <v>CONSORCIO CCP</v>
          </cell>
          <cell r="C52" t="str">
            <v>EDWIN JAVIER LINARES GARCIA</v>
          </cell>
          <cell r="D52" t="str">
            <v>CONSORCIO</v>
          </cell>
          <cell r="E52" t="str">
            <v>PROCIVING SAS (45%)</v>
          </cell>
          <cell r="F52" t="str">
            <v>CIAF LTDA INGENIERIA (45%)</v>
          </cell>
        </row>
        <row r="53">
          <cell r="A53">
            <v>50</v>
          </cell>
        </row>
        <row r="54">
          <cell r="A54">
            <v>51</v>
          </cell>
        </row>
        <row r="55">
          <cell r="A55">
            <v>52</v>
          </cell>
        </row>
        <row r="56">
          <cell r="A56">
            <v>53</v>
          </cell>
        </row>
        <row r="57">
          <cell r="A57">
            <v>54</v>
          </cell>
        </row>
        <row r="58">
          <cell r="A58">
            <v>55</v>
          </cell>
        </row>
        <row r="59">
          <cell r="A59">
            <v>56</v>
          </cell>
        </row>
        <row r="60">
          <cell r="A60">
            <v>57</v>
          </cell>
        </row>
        <row r="61">
          <cell r="A61">
            <v>58</v>
          </cell>
        </row>
        <row r="62">
          <cell r="A62">
            <v>59</v>
          </cell>
        </row>
        <row r="63">
          <cell r="A63">
            <v>60</v>
          </cell>
        </row>
        <row r="64">
          <cell r="A64">
            <v>61</v>
          </cell>
        </row>
        <row r="65">
          <cell r="A65">
            <v>62</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65"/>
  <sheetViews>
    <sheetView zoomScale="70" zoomScaleNormal="70" workbookViewId="0">
      <pane xSplit="1" ySplit="3" topLeftCell="B4" activePane="bottomRight" state="frozen"/>
      <selection pane="topRight"/>
      <selection pane="bottomLeft"/>
      <selection pane="bottomRight" activeCell="B9" sqref="B9"/>
    </sheetView>
  </sheetViews>
  <sheetFormatPr baseColWidth="10" defaultColWidth="11.42578125" defaultRowHeight="15"/>
  <cols>
    <col min="1" max="1" width="8.140625" customWidth="1"/>
    <col min="2" max="2" width="76.28515625" style="71" customWidth="1"/>
    <col min="3" max="3" width="48.85546875" style="71" customWidth="1"/>
    <col min="4" max="4" width="33.85546875" style="72" customWidth="1"/>
    <col min="5" max="5" width="82.7109375" style="71" customWidth="1"/>
    <col min="6" max="6" width="68.7109375" style="71" customWidth="1"/>
    <col min="7" max="7" width="45.28515625" style="71" customWidth="1"/>
    <col min="8" max="8" width="43.42578125" customWidth="1"/>
    <col min="9" max="9" width="66.85546875" bestFit="1" customWidth="1"/>
  </cols>
  <sheetData>
    <row r="1" spans="1:9" ht="28.5" customHeight="1" thickBot="1">
      <c r="A1" s="337" t="s">
        <v>0</v>
      </c>
      <c r="B1" s="338"/>
      <c r="C1" s="338"/>
      <c r="D1" s="338"/>
      <c r="E1" s="338"/>
      <c r="F1" s="338"/>
      <c r="G1" s="338"/>
      <c r="H1" s="338"/>
      <c r="I1" s="339"/>
    </row>
    <row r="2" spans="1:9" ht="44.25" customHeight="1" thickBot="1">
      <c r="A2" s="340" t="s">
        <v>1</v>
      </c>
      <c r="B2" s="341"/>
      <c r="C2" s="341"/>
      <c r="D2" s="341"/>
      <c r="E2" s="341"/>
      <c r="F2" s="341"/>
      <c r="G2" s="341"/>
      <c r="H2" s="341"/>
      <c r="I2" s="342"/>
    </row>
    <row r="3" spans="1:9" ht="21.75" thickBot="1">
      <c r="A3" s="150" t="s">
        <v>2</v>
      </c>
      <c r="B3" s="151" t="s">
        <v>3</v>
      </c>
      <c r="C3" s="151" t="s">
        <v>4</v>
      </c>
      <c r="D3" s="151" t="s">
        <v>5</v>
      </c>
      <c r="E3" s="151" t="s">
        <v>6</v>
      </c>
      <c r="F3" s="152" t="s">
        <v>7</v>
      </c>
      <c r="G3" s="153" t="s">
        <v>8</v>
      </c>
      <c r="H3" s="154" t="s">
        <v>9</v>
      </c>
      <c r="I3" s="155" t="s">
        <v>10</v>
      </c>
    </row>
    <row r="4" spans="1:9" s="32" customFormat="1">
      <c r="A4" s="81">
        <v>1</v>
      </c>
      <c r="B4" s="148" t="s">
        <v>11</v>
      </c>
      <c r="C4" s="149" t="s">
        <v>12</v>
      </c>
      <c r="D4" s="81" t="s">
        <v>13</v>
      </c>
      <c r="E4" s="149" t="s">
        <v>14</v>
      </c>
      <c r="F4" s="149" t="s">
        <v>15</v>
      </c>
      <c r="G4" s="149" t="s">
        <v>16</v>
      </c>
      <c r="H4" s="81" t="s">
        <v>17</v>
      </c>
      <c r="I4" s="81"/>
    </row>
    <row r="5" spans="1:9">
      <c r="A5" s="33">
        <v>2</v>
      </c>
      <c r="B5" s="149" t="s">
        <v>18</v>
      </c>
      <c r="C5" s="269" t="s">
        <v>19</v>
      </c>
      <c r="D5" s="270" t="s">
        <v>13</v>
      </c>
      <c r="E5" s="271" t="s">
        <v>20</v>
      </c>
      <c r="F5" s="71" t="s">
        <v>21</v>
      </c>
      <c r="G5" s="272"/>
      <c r="H5" s="70"/>
      <c r="I5" s="70"/>
    </row>
    <row r="6" spans="1:9">
      <c r="A6" s="33">
        <v>3</v>
      </c>
      <c r="B6" s="269" t="s">
        <v>22</v>
      </c>
      <c r="C6" s="269" t="s">
        <v>22</v>
      </c>
      <c r="D6" s="270" t="s">
        <v>23</v>
      </c>
      <c r="E6" s="273" t="s">
        <v>24</v>
      </c>
      <c r="F6" s="274"/>
      <c r="G6" s="272"/>
      <c r="H6" s="70"/>
      <c r="I6" s="70"/>
    </row>
    <row r="7" spans="1:9">
      <c r="A7" s="81">
        <v>4</v>
      </c>
      <c r="B7" s="275" t="s">
        <v>25</v>
      </c>
      <c r="C7" s="275" t="s">
        <v>26</v>
      </c>
      <c r="D7" s="33" t="s">
        <v>27</v>
      </c>
      <c r="E7" s="275" t="s">
        <v>28</v>
      </c>
      <c r="F7" s="272"/>
      <c r="G7" s="272"/>
      <c r="H7" s="70"/>
      <c r="I7" s="70"/>
    </row>
    <row r="8" spans="1:9">
      <c r="A8" s="33">
        <v>5</v>
      </c>
      <c r="B8" s="272" t="s">
        <v>29</v>
      </c>
      <c r="C8" s="272" t="s">
        <v>30</v>
      </c>
      <c r="D8" s="276" t="s">
        <v>13</v>
      </c>
      <c r="E8" s="275" t="s">
        <v>31</v>
      </c>
      <c r="F8" s="275" t="s">
        <v>32</v>
      </c>
      <c r="G8" s="272" t="s">
        <v>33</v>
      </c>
      <c r="H8" s="70"/>
      <c r="I8" s="70"/>
    </row>
    <row r="9" spans="1:9">
      <c r="A9" s="33">
        <v>6</v>
      </c>
      <c r="B9" s="275" t="s">
        <v>34</v>
      </c>
      <c r="C9" s="275" t="s">
        <v>35</v>
      </c>
      <c r="D9" s="33" t="s">
        <v>27</v>
      </c>
      <c r="E9" s="275" t="s">
        <v>36</v>
      </c>
      <c r="F9" s="275"/>
      <c r="G9" s="272"/>
      <c r="H9" s="70"/>
      <c r="I9" s="70"/>
    </row>
    <row r="10" spans="1:9">
      <c r="A10" s="81">
        <v>7</v>
      </c>
      <c r="B10" s="272" t="s">
        <v>37</v>
      </c>
      <c r="C10" s="272" t="s">
        <v>38</v>
      </c>
      <c r="D10" s="33" t="s">
        <v>27</v>
      </c>
      <c r="E10" s="272" t="s">
        <v>39</v>
      </c>
      <c r="F10" s="275"/>
      <c r="G10" s="272"/>
      <c r="H10" s="70"/>
      <c r="I10" s="70"/>
    </row>
    <row r="11" spans="1:9">
      <c r="A11" s="33">
        <v>8</v>
      </c>
      <c r="B11" s="275" t="s">
        <v>40</v>
      </c>
      <c r="C11" s="275" t="s">
        <v>41</v>
      </c>
      <c r="D11" s="33" t="s">
        <v>13</v>
      </c>
      <c r="E11" s="149" t="s">
        <v>42</v>
      </c>
      <c r="F11" s="275" t="s">
        <v>43</v>
      </c>
      <c r="G11" s="70"/>
      <c r="I11" s="70"/>
    </row>
    <row r="12" spans="1:9">
      <c r="A12" s="33">
        <v>9</v>
      </c>
      <c r="B12" s="275" t="s">
        <v>44</v>
      </c>
      <c r="C12" s="275" t="s">
        <v>45</v>
      </c>
      <c r="D12" s="33" t="s">
        <v>46</v>
      </c>
      <c r="E12" s="149" t="s">
        <v>47</v>
      </c>
      <c r="F12" s="275" t="s">
        <v>48</v>
      </c>
      <c r="G12" s="70" t="s">
        <v>49</v>
      </c>
      <c r="H12" s="70"/>
      <c r="I12" s="70"/>
    </row>
    <row r="13" spans="1:9">
      <c r="A13" s="81">
        <v>10</v>
      </c>
      <c r="B13" s="275" t="s">
        <v>50</v>
      </c>
      <c r="C13" s="275" t="s">
        <v>51</v>
      </c>
      <c r="D13" s="33" t="s">
        <v>13</v>
      </c>
      <c r="E13" s="149" t="s">
        <v>52</v>
      </c>
      <c r="F13" s="275" t="s">
        <v>53</v>
      </c>
      <c r="G13" s="272"/>
      <c r="H13" s="70"/>
      <c r="I13" s="70"/>
    </row>
    <row r="14" spans="1:9">
      <c r="A14" s="33">
        <v>11</v>
      </c>
      <c r="B14" s="272" t="s">
        <v>54</v>
      </c>
      <c r="C14" s="272" t="s">
        <v>55</v>
      </c>
      <c r="D14" s="33" t="s">
        <v>27</v>
      </c>
      <c r="E14" s="272" t="s">
        <v>56</v>
      </c>
      <c r="F14" s="277"/>
      <c r="G14" s="272"/>
      <c r="H14" s="70"/>
      <c r="I14" s="70"/>
    </row>
    <row r="15" spans="1:9">
      <c r="A15" s="33">
        <v>12</v>
      </c>
      <c r="B15" s="275" t="s">
        <v>57</v>
      </c>
      <c r="C15" s="275" t="s">
        <v>58</v>
      </c>
      <c r="D15" s="33" t="s">
        <v>27</v>
      </c>
      <c r="E15" s="275" t="s">
        <v>59</v>
      </c>
      <c r="F15" s="272"/>
      <c r="G15" s="272"/>
      <c r="H15" s="70"/>
      <c r="I15" s="277"/>
    </row>
    <row r="16" spans="1:9">
      <c r="A16" s="81">
        <v>13</v>
      </c>
      <c r="B16" s="278" t="s">
        <v>60</v>
      </c>
      <c r="C16" s="272" t="s">
        <v>61</v>
      </c>
      <c r="D16" s="276" t="s">
        <v>13</v>
      </c>
      <c r="E16" s="275" t="s">
        <v>62</v>
      </c>
      <c r="F16" s="275" t="s">
        <v>63</v>
      </c>
      <c r="G16" s="272"/>
      <c r="H16" s="70"/>
      <c r="I16" s="70"/>
    </row>
    <row r="17" spans="1:9">
      <c r="A17" s="33">
        <v>14</v>
      </c>
      <c r="B17" s="275" t="s">
        <v>64</v>
      </c>
      <c r="C17" s="275" t="s">
        <v>65</v>
      </c>
      <c r="D17" s="33" t="s">
        <v>27</v>
      </c>
      <c r="E17" s="275" t="s">
        <v>66</v>
      </c>
      <c r="F17" s="275"/>
      <c r="G17" s="272"/>
      <c r="H17" s="70"/>
      <c r="I17" s="70"/>
    </row>
    <row r="18" spans="1:9">
      <c r="A18" s="33">
        <v>15</v>
      </c>
      <c r="B18" s="278" t="s">
        <v>67</v>
      </c>
      <c r="C18" s="272" t="s">
        <v>68</v>
      </c>
      <c r="D18" s="276" t="s">
        <v>13</v>
      </c>
      <c r="E18" s="148" t="s">
        <v>69</v>
      </c>
      <c r="F18" s="279" t="s">
        <v>70</v>
      </c>
      <c r="G18" s="272"/>
      <c r="H18" s="70"/>
      <c r="I18" s="70"/>
    </row>
    <row r="19" spans="1:9">
      <c r="A19" s="81">
        <v>16</v>
      </c>
      <c r="B19" s="275" t="s">
        <v>71</v>
      </c>
      <c r="C19" s="275" t="s">
        <v>72</v>
      </c>
      <c r="D19" s="276" t="s">
        <v>13</v>
      </c>
      <c r="E19" s="275" t="s">
        <v>73</v>
      </c>
      <c r="F19" s="275" t="s">
        <v>74</v>
      </c>
      <c r="G19" s="272"/>
      <c r="H19" s="70"/>
      <c r="I19" s="70"/>
    </row>
    <row r="20" spans="1:9">
      <c r="A20" s="33">
        <v>17</v>
      </c>
      <c r="B20" s="272" t="s">
        <v>75</v>
      </c>
      <c r="C20" s="272" t="s">
        <v>76</v>
      </c>
      <c r="D20" s="276" t="s">
        <v>13</v>
      </c>
      <c r="E20" s="272" t="s">
        <v>77</v>
      </c>
      <c r="F20" s="272" t="s">
        <v>78</v>
      </c>
      <c r="G20" s="272"/>
      <c r="H20" s="70"/>
      <c r="I20" s="70"/>
    </row>
    <row r="21" spans="1:9">
      <c r="A21" s="33">
        <v>18</v>
      </c>
      <c r="B21" s="272" t="s">
        <v>79</v>
      </c>
      <c r="C21" s="272" t="s">
        <v>80</v>
      </c>
      <c r="D21" s="276" t="s">
        <v>13</v>
      </c>
      <c r="E21" s="272" t="s">
        <v>81</v>
      </c>
      <c r="F21" s="272" t="s">
        <v>82</v>
      </c>
      <c r="G21" s="272"/>
      <c r="H21" s="70"/>
      <c r="I21" s="70"/>
    </row>
    <row r="22" spans="1:9">
      <c r="A22" s="81">
        <v>19</v>
      </c>
      <c r="B22" s="272" t="s">
        <v>83</v>
      </c>
      <c r="C22" t="s">
        <v>84</v>
      </c>
      <c r="D22" s="276" t="s">
        <v>13</v>
      </c>
      <c r="E22" s="70" t="s">
        <v>85</v>
      </c>
      <c r="F22" s="70" t="s">
        <v>86</v>
      </c>
      <c r="G22" s="272"/>
      <c r="H22" s="70"/>
      <c r="I22" s="70"/>
    </row>
    <row r="23" spans="1:9">
      <c r="A23" s="33">
        <v>20</v>
      </c>
      <c r="B23" s="272" t="s">
        <v>87</v>
      </c>
      <c r="C23" s="272" t="s">
        <v>88</v>
      </c>
      <c r="D23" s="33" t="s">
        <v>27</v>
      </c>
      <c r="E23" s="149" t="s">
        <v>89</v>
      </c>
      <c r="F23" s="272"/>
      <c r="G23" s="272"/>
      <c r="H23" s="70"/>
      <c r="I23" s="70"/>
    </row>
    <row r="24" spans="1:9">
      <c r="A24" s="33">
        <v>21</v>
      </c>
      <c r="B24" s="275" t="s">
        <v>90</v>
      </c>
      <c r="C24" s="275" t="s">
        <v>91</v>
      </c>
      <c r="D24" s="33" t="s">
        <v>27</v>
      </c>
      <c r="E24" s="275" t="s">
        <v>92</v>
      </c>
      <c r="F24" s="275"/>
      <c r="G24" s="272"/>
      <c r="H24" s="70"/>
      <c r="I24" s="70"/>
    </row>
    <row r="25" spans="1:9">
      <c r="A25" s="81">
        <v>22</v>
      </c>
      <c r="B25" s="272" t="s">
        <v>93</v>
      </c>
      <c r="C25" s="272" t="s">
        <v>94</v>
      </c>
      <c r="D25" s="276" t="s">
        <v>13</v>
      </c>
      <c r="E25" s="149"/>
      <c r="F25" s="272"/>
      <c r="G25" s="272"/>
      <c r="H25" s="70"/>
      <c r="I25" s="70" t="s">
        <v>95</v>
      </c>
    </row>
    <row r="26" spans="1:9">
      <c r="A26" s="33">
        <v>23</v>
      </c>
      <c r="B26" s="272" t="s">
        <v>96</v>
      </c>
      <c r="C26" s="272" t="s">
        <v>97</v>
      </c>
      <c r="D26" s="276" t="s">
        <v>13</v>
      </c>
      <c r="E26" s="272" t="s">
        <v>98</v>
      </c>
      <c r="F26" s="272" t="s">
        <v>99</v>
      </c>
      <c r="G26" s="272"/>
      <c r="H26" s="70"/>
      <c r="I26" s="70"/>
    </row>
    <row r="27" spans="1:9">
      <c r="A27" s="33">
        <v>24</v>
      </c>
      <c r="B27" s="272" t="s">
        <v>100</v>
      </c>
      <c r="C27" s="272" t="s">
        <v>101</v>
      </c>
      <c r="D27" s="33" t="s">
        <v>27</v>
      </c>
      <c r="E27" s="272" t="s">
        <v>102</v>
      </c>
      <c r="F27" s="272"/>
      <c r="G27" s="272"/>
      <c r="H27" s="70"/>
      <c r="I27" s="272"/>
    </row>
    <row r="28" spans="1:9">
      <c r="A28" s="81">
        <v>25</v>
      </c>
      <c r="B28" s="278" t="s">
        <v>103</v>
      </c>
      <c r="C28" s="272" t="s">
        <v>104</v>
      </c>
      <c r="D28" s="276" t="s">
        <v>13</v>
      </c>
      <c r="E28" s="149" t="s">
        <v>105</v>
      </c>
      <c r="F28" s="272" t="s">
        <v>106</v>
      </c>
      <c r="G28" s="272"/>
      <c r="H28" s="70"/>
      <c r="I28" s="70"/>
    </row>
    <row r="29" spans="1:9">
      <c r="A29" s="33">
        <v>26</v>
      </c>
      <c r="B29" s="70" t="s">
        <v>107</v>
      </c>
      <c r="C29" s="70" t="s">
        <v>108</v>
      </c>
      <c r="D29" s="33" t="s">
        <v>27</v>
      </c>
      <c r="E29" s="70" t="s">
        <v>109</v>
      </c>
      <c r="F29" s="70"/>
      <c r="G29" s="272"/>
      <c r="H29" s="70"/>
      <c r="I29" s="70"/>
    </row>
    <row r="30" spans="1:9">
      <c r="A30" s="33">
        <v>27</v>
      </c>
      <c r="B30" s="278" t="s">
        <v>110</v>
      </c>
      <c r="C30" s="272" t="s">
        <v>111</v>
      </c>
      <c r="D30" s="276" t="s">
        <v>13</v>
      </c>
      <c r="E30" s="272" t="s">
        <v>112</v>
      </c>
      <c r="F30" s="272" t="s">
        <v>113</v>
      </c>
      <c r="G30" s="272"/>
      <c r="H30" s="70"/>
      <c r="I30" s="70"/>
    </row>
    <row r="31" spans="1:9">
      <c r="A31" s="33">
        <v>28</v>
      </c>
      <c r="B31" s="272" t="s">
        <v>114</v>
      </c>
      <c r="C31" s="272" t="s">
        <v>115</v>
      </c>
      <c r="D31" s="33" t="s">
        <v>27</v>
      </c>
      <c r="E31" s="272" t="s">
        <v>116</v>
      </c>
      <c r="F31" s="272"/>
      <c r="G31" s="272"/>
      <c r="H31" s="70"/>
      <c r="I31" s="70"/>
    </row>
    <row r="32" spans="1:9">
      <c r="A32" s="33">
        <v>29</v>
      </c>
      <c r="B32" s="272" t="s">
        <v>117</v>
      </c>
      <c r="C32" s="272" t="s">
        <v>118</v>
      </c>
      <c r="D32" s="276" t="s">
        <v>13</v>
      </c>
      <c r="E32" s="275" t="s">
        <v>119</v>
      </c>
      <c r="F32" s="272" t="s">
        <v>120</v>
      </c>
      <c r="G32" s="272"/>
      <c r="H32" s="70"/>
      <c r="I32" s="70"/>
    </row>
    <row r="33" spans="1:9">
      <c r="A33" s="33">
        <v>30</v>
      </c>
      <c r="B33" s="70" t="s">
        <v>121</v>
      </c>
      <c r="C33" s="70" t="s">
        <v>122</v>
      </c>
      <c r="D33" s="276" t="s">
        <v>13</v>
      </c>
      <c r="E33" s="275" t="s">
        <v>123</v>
      </c>
      <c r="F33" s="272" t="s">
        <v>124</v>
      </c>
      <c r="G33" s="272"/>
      <c r="H33" s="70"/>
      <c r="I33" s="70"/>
    </row>
    <row r="34" spans="1:9">
      <c r="A34" s="33">
        <v>31</v>
      </c>
      <c r="B34" s="269" t="s">
        <v>125</v>
      </c>
      <c r="C34" s="269" t="s">
        <v>126</v>
      </c>
      <c r="D34" s="270" t="s">
        <v>13</v>
      </c>
      <c r="E34" s="275" t="s">
        <v>127</v>
      </c>
      <c r="F34" s="272" t="s">
        <v>128</v>
      </c>
      <c r="G34" s="271" t="s">
        <v>129</v>
      </c>
      <c r="H34" s="271"/>
      <c r="I34" s="70"/>
    </row>
    <row r="35" spans="1:9">
      <c r="A35" s="33">
        <v>32</v>
      </c>
      <c r="B35" s="70" t="s">
        <v>130</v>
      </c>
      <c r="C35" s="70" t="s">
        <v>131</v>
      </c>
      <c r="D35" s="270" t="s">
        <v>13</v>
      </c>
      <c r="E35" s="70" t="s">
        <v>132</v>
      </c>
      <c r="F35" s="70" t="s">
        <v>133</v>
      </c>
      <c r="G35" s="70"/>
      <c r="H35" s="70"/>
      <c r="I35" s="70"/>
    </row>
    <row r="36" spans="1:9">
      <c r="A36" s="33">
        <v>33</v>
      </c>
      <c r="B36" s="269" t="s">
        <v>134</v>
      </c>
      <c r="C36" s="70" t="s">
        <v>135</v>
      </c>
      <c r="D36" s="270" t="s">
        <v>13</v>
      </c>
      <c r="E36" s="70" t="s">
        <v>136</v>
      </c>
      <c r="F36" s="273" t="s">
        <v>137</v>
      </c>
      <c r="G36" s="272"/>
      <c r="H36" s="70"/>
      <c r="I36" s="272"/>
    </row>
    <row r="37" spans="1:9">
      <c r="A37" s="33">
        <v>34</v>
      </c>
      <c r="B37" s="275" t="s">
        <v>138</v>
      </c>
      <c r="C37" s="275" t="s">
        <v>139</v>
      </c>
      <c r="D37" s="33" t="s">
        <v>13</v>
      </c>
      <c r="E37" s="272" t="s">
        <v>140</v>
      </c>
      <c r="F37" s="272" t="s">
        <v>141</v>
      </c>
      <c r="G37" s="272"/>
      <c r="H37" s="70"/>
      <c r="I37" s="70"/>
    </row>
    <row r="38" spans="1:9">
      <c r="A38" s="33">
        <v>35</v>
      </c>
      <c r="B38" s="272" t="s">
        <v>142</v>
      </c>
      <c r="C38" s="70" t="s">
        <v>143</v>
      </c>
      <c r="D38" s="270" t="s">
        <v>27</v>
      </c>
      <c r="E38" s="70" t="s">
        <v>144</v>
      </c>
      <c r="F38" s="275"/>
      <c r="G38" s="272"/>
      <c r="H38" s="70"/>
      <c r="I38" s="272"/>
    </row>
    <row r="39" spans="1:9">
      <c r="A39" s="33">
        <v>36</v>
      </c>
      <c r="B39" s="70" t="s">
        <v>145</v>
      </c>
      <c r="C39" s="70" t="s">
        <v>146</v>
      </c>
      <c r="D39" s="270" t="s">
        <v>27</v>
      </c>
      <c r="E39" s="70" t="s">
        <v>147</v>
      </c>
      <c r="F39" s="275"/>
      <c r="G39" s="272"/>
      <c r="H39" s="70"/>
      <c r="I39" s="70"/>
    </row>
    <row r="40" spans="1:9">
      <c r="A40" s="33">
        <v>37</v>
      </c>
      <c r="B40" s="70" t="s">
        <v>148</v>
      </c>
      <c r="C40" s="70" t="s">
        <v>149</v>
      </c>
      <c r="D40" s="276" t="s">
        <v>13</v>
      </c>
      <c r="E40" s="70" t="s">
        <v>150</v>
      </c>
      <c r="F40" s="70" t="s">
        <v>151</v>
      </c>
      <c r="G40" s="272"/>
      <c r="H40" s="70"/>
      <c r="I40" s="70"/>
    </row>
    <row r="41" spans="1:9">
      <c r="A41" s="33">
        <v>38</v>
      </c>
      <c r="B41" s="70" t="s">
        <v>152</v>
      </c>
      <c r="C41" s="70" t="s">
        <v>153</v>
      </c>
      <c r="D41" s="270" t="s">
        <v>27</v>
      </c>
      <c r="E41" s="70" t="s">
        <v>154</v>
      </c>
      <c r="F41" s="275"/>
      <c r="G41" s="275"/>
      <c r="H41" s="70"/>
      <c r="I41" s="70"/>
    </row>
    <row r="42" spans="1:9">
      <c r="A42" s="33">
        <v>39</v>
      </c>
      <c r="B42" s="70" t="s">
        <v>155</v>
      </c>
      <c r="C42" s="70" t="s">
        <v>156</v>
      </c>
      <c r="D42" s="270" t="s">
        <v>27</v>
      </c>
      <c r="E42" s="70" t="s">
        <v>157</v>
      </c>
      <c r="F42" s="275"/>
      <c r="G42" s="272"/>
      <c r="H42" s="70"/>
      <c r="I42" s="70"/>
    </row>
    <row r="43" spans="1:9">
      <c r="A43" s="33">
        <v>40</v>
      </c>
      <c r="B43" s="70" t="s">
        <v>158</v>
      </c>
      <c r="C43" s="70" t="s">
        <v>159</v>
      </c>
      <c r="D43" s="33" t="s">
        <v>13</v>
      </c>
      <c r="E43" s="70" t="s">
        <v>160</v>
      </c>
      <c r="F43" s="70" t="s">
        <v>161</v>
      </c>
      <c r="G43" s="272"/>
      <c r="H43" s="70"/>
      <c r="I43" s="70"/>
    </row>
    <row r="44" spans="1:9">
      <c r="A44" s="33">
        <v>41</v>
      </c>
      <c r="B44" s="272" t="s">
        <v>162</v>
      </c>
      <c r="C44" s="272" t="s">
        <v>163</v>
      </c>
      <c r="D44" s="276" t="s">
        <v>13</v>
      </c>
      <c r="E44" s="272" t="s">
        <v>164</v>
      </c>
      <c r="F44" s="272" t="s">
        <v>165</v>
      </c>
      <c r="G44" s="272"/>
      <c r="H44" s="70"/>
      <c r="I44" s="70"/>
    </row>
    <row r="45" spans="1:9">
      <c r="A45" s="33">
        <v>42</v>
      </c>
      <c r="B45" s="272" t="s">
        <v>166</v>
      </c>
      <c r="C45" s="272" t="s">
        <v>167</v>
      </c>
      <c r="D45" s="276" t="s">
        <v>13</v>
      </c>
      <c r="E45" s="272" t="s">
        <v>168</v>
      </c>
      <c r="F45" s="272" t="s">
        <v>169</v>
      </c>
      <c r="G45" s="272"/>
      <c r="H45" s="70"/>
      <c r="I45" s="70"/>
    </row>
    <row r="46" spans="1:9">
      <c r="A46" s="33">
        <v>43</v>
      </c>
      <c r="B46" s="275" t="s">
        <v>170</v>
      </c>
      <c r="C46" s="177" t="s">
        <v>171</v>
      </c>
      <c r="D46" s="33" t="s">
        <v>13</v>
      </c>
      <c r="E46" s="275" t="s">
        <v>172</v>
      </c>
      <c r="F46" s="272" t="s">
        <v>173</v>
      </c>
      <c r="G46" s="272"/>
      <c r="H46" s="70"/>
      <c r="I46" s="70"/>
    </row>
    <row r="47" spans="1:9">
      <c r="A47" s="33">
        <v>44</v>
      </c>
      <c r="B47" s="176" t="s">
        <v>174</v>
      </c>
      <c r="C47" s="176" t="s">
        <v>175</v>
      </c>
      <c r="D47" s="33" t="s">
        <v>27</v>
      </c>
      <c r="E47" s="176" t="s">
        <v>176</v>
      </c>
      <c r="F47" s="70"/>
      <c r="G47" s="272"/>
      <c r="H47" s="70"/>
      <c r="I47" s="70"/>
    </row>
    <row r="48" spans="1:9">
      <c r="A48" s="33">
        <v>45</v>
      </c>
      <c r="B48" s="278" t="s">
        <v>177</v>
      </c>
      <c r="C48" s="272" t="s">
        <v>178</v>
      </c>
      <c r="D48" s="276" t="s">
        <v>27</v>
      </c>
      <c r="E48" s="272" t="s">
        <v>179</v>
      </c>
      <c r="F48" s="278"/>
      <c r="G48" s="272"/>
      <c r="H48" s="70"/>
      <c r="I48" s="70"/>
    </row>
    <row r="49" spans="1:9">
      <c r="A49" s="81">
        <v>46</v>
      </c>
      <c r="B49" s="272" t="s">
        <v>180</v>
      </c>
      <c r="C49" s="272" t="s">
        <v>181</v>
      </c>
      <c r="D49" s="276" t="s">
        <v>27</v>
      </c>
      <c r="E49" s="272" t="s">
        <v>182</v>
      </c>
      <c r="F49" s="272"/>
      <c r="G49" s="272"/>
      <c r="H49" s="70"/>
      <c r="I49" s="70"/>
    </row>
    <row r="50" spans="1:9">
      <c r="A50" s="33">
        <v>47</v>
      </c>
      <c r="B50" s="272" t="s">
        <v>183</v>
      </c>
      <c r="C50" s="272" t="s">
        <v>184</v>
      </c>
      <c r="D50" s="276" t="s">
        <v>13</v>
      </c>
      <c r="E50" s="149" t="s">
        <v>185</v>
      </c>
      <c r="F50" s="272" t="s">
        <v>186</v>
      </c>
      <c r="G50" s="272"/>
      <c r="H50" s="70"/>
      <c r="I50" s="70"/>
    </row>
    <row r="51" spans="1:9">
      <c r="A51" s="33">
        <v>48</v>
      </c>
      <c r="B51" s="280" t="s">
        <v>187</v>
      </c>
      <c r="C51" t="s">
        <v>188</v>
      </c>
      <c r="D51" s="276" t="s">
        <v>13</v>
      </c>
      <c r="E51" s="272" t="s">
        <v>189</v>
      </c>
      <c r="F51" s="272" t="s">
        <v>190</v>
      </c>
      <c r="G51" s="272"/>
      <c r="H51" s="70"/>
      <c r="I51" s="272"/>
    </row>
    <row r="52" spans="1:9">
      <c r="A52" s="81">
        <v>49</v>
      </c>
      <c r="B52" s="272" t="s">
        <v>191</v>
      </c>
      <c r="C52" s="272" t="s">
        <v>192</v>
      </c>
      <c r="D52" s="276" t="s">
        <v>13</v>
      </c>
      <c r="E52" s="272" t="s">
        <v>193</v>
      </c>
      <c r="F52" s="272" t="s">
        <v>194</v>
      </c>
      <c r="G52" s="272" t="s">
        <v>195</v>
      </c>
      <c r="H52" s="70"/>
      <c r="I52" s="70"/>
    </row>
    <row r="53" spans="1:9">
      <c r="A53" s="33">
        <v>50</v>
      </c>
      <c r="B53" s="272" t="s">
        <v>196</v>
      </c>
      <c r="C53" s="272" t="s">
        <v>197</v>
      </c>
      <c r="D53" s="276" t="s">
        <v>13</v>
      </c>
      <c r="E53" s="272" t="s">
        <v>198</v>
      </c>
      <c r="F53" s="149" t="s">
        <v>199</v>
      </c>
      <c r="G53" s="272" t="s">
        <v>200</v>
      </c>
      <c r="H53" s="70"/>
      <c r="I53" s="272"/>
    </row>
    <row r="54" spans="1:9">
      <c r="A54" s="33">
        <v>51</v>
      </c>
      <c r="B54" s="272" t="s">
        <v>201</v>
      </c>
      <c r="C54" s="272" t="s">
        <v>202</v>
      </c>
      <c r="D54" s="276" t="s">
        <v>13</v>
      </c>
      <c r="E54" s="278" t="s">
        <v>203</v>
      </c>
      <c r="F54" s="272" t="s">
        <v>202</v>
      </c>
      <c r="G54" s="272"/>
      <c r="H54" s="70"/>
      <c r="I54" s="70"/>
    </row>
    <row r="55" spans="1:9">
      <c r="A55" s="81">
        <v>52</v>
      </c>
      <c r="B55" s="272" t="s">
        <v>183</v>
      </c>
      <c r="C55" s="272" t="s">
        <v>184</v>
      </c>
      <c r="D55" s="276" t="s">
        <v>13</v>
      </c>
      <c r="E55" s="70" t="s">
        <v>204</v>
      </c>
      <c r="F55" s="272" t="s">
        <v>205</v>
      </c>
      <c r="G55" s="272"/>
      <c r="H55" s="272"/>
      <c r="I55" s="70"/>
    </row>
    <row r="56" spans="1:9">
      <c r="A56" s="33">
        <v>53</v>
      </c>
      <c r="B56" s="134" t="s">
        <v>206</v>
      </c>
      <c r="C56" s="136" t="s">
        <v>207</v>
      </c>
      <c r="D56" s="135" t="s">
        <v>13</v>
      </c>
      <c r="E56" s="149" t="s">
        <v>208</v>
      </c>
      <c r="F56" s="134" t="s">
        <v>209</v>
      </c>
      <c r="G56" s="134"/>
      <c r="H56" s="134"/>
      <c r="I56" s="70"/>
    </row>
    <row r="57" spans="1:9" s="177" customFormat="1" ht="17.45" customHeight="1">
      <c r="A57" s="33">
        <v>54</v>
      </c>
      <c r="B57" s="138" t="s">
        <v>210</v>
      </c>
      <c r="C57" s="174" t="s">
        <v>211</v>
      </c>
      <c r="D57" s="133" t="s">
        <v>13</v>
      </c>
      <c r="E57" s="175" t="s">
        <v>212</v>
      </c>
      <c r="F57" s="138" t="s">
        <v>213</v>
      </c>
      <c r="G57" s="138"/>
      <c r="H57" s="174"/>
      <c r="I57" s="176"/>
    </row>
    <row r="58" spans="1:9">
      <c r="A58" s="81">
        <v>55</v>
      </c>
      <c r="B58" s="134" t="s">
        <v>130</v>
      </c>
      <c r="C58" s="134" t="s">
        <v>214</v>
      </c>
      <c r="D58" s="135" t="s">
        <v>13</v>
      </c>
      <c r="E58" s="137" t="s">
        <v>215</v>
      </c>
      <c r="F58" s="134" t="s">
        <v>216</v>
      </c>
      <c r="G58" s="134"/>
      <c r="H58" s="139"/>
      <c r="I58" s="70"/>
    </row>
    <row r="59" spans="1:9">
      <c r="A59" s="33">
        <v>56</v>
      </c>
      <c r="B59" s="134" t="s">
        <v>217</v>
      </c>
      <c r="C59" s="136" t="s">
        <v>218</v>
      </c>
      <c r="D59" s="135" t="s">
        <v>13</v>
      </c>
      <c r="E59" s="149" t="s">
        <v>219</v>
      </c>
      <c r="F59" s="134" t="s">
        <v>220</v>
      </c>
      <c r="G59" s="134"/>
      <c r="H59" s="139"/>
      <c r="I59" s="70"/>
    </row>
    <row r="60" spans="1:9">
      <c r="A60" s="33">
        <v>57</v>
      </c>
      <c r="B60" s="134" t="s">
        <v>221</v>
      </c>
      <c r="C60" s="134" t="s">
        <v>222</v>
      </c>
      <c r="D60" s="135" t="s">
        <v>223</v>
      </c>
      <c r="E60" s="134" t="s">
        <v>224</v>
      </c>
      <c r="F60" s="134"/>
      <c r="G60" s="134"/>
      <c r="H60" s="139"/>
      <c r="I60" s="70"/>
    </row>
    <row r="61" spans="1:9">
      <c r="A61" s="81">
        <v>58</v>
      </c>
      <c r="B61" s="139" t="s">
        <v>225</v>
      </c>
      <c r="C61" s="136" t="s">
        <v>226</v>
      </c>
      <c r="D61" s="135" t="s">
        <v>13</v>
      </c>
      <c r="E61" s="139" t="s">
        <v>227</v>
      </c>
      <c r="F61" s="134" t="s">
        <v>228</v>
      </c>
      <c r="G61" s="134"/>
      <c r="H61" s="139"/>
      <c r="I61" s="70"/>
    </row>
    <row r="62" spans="1:9">
      <c r="A62" s="33">
        <v>59</v>
      </c>
      <c r="B62" s="136" t="s">
        <v>229</v>
      </c>
      <c r="C62" s="139" t="s">
        <v>230</v>
      </c>
      <c r="D62" s="135" t="s">
        <v>13</v>
      </c>
      <c r="E62" s="148" t="s">
        <v>231</v>
      </c>
      <c r="F62" s="134" t="s">
        <v>232</v>
      </c>
      <c r="G62" s="134" t="s">
        <v>233</v>
      </c>
      <c r="H62" s="139"/>
      <c r="I62" s="70"/>
    </row>
    <row r="63" spans="1:9">
      <c r="A63" s="33">
        <v>60</v>
      </c>
      <c r="B63" s="134" t="s">
        <v>234</v>
      </c>
      <c r="C63" s="134" t="s">
        <v>235</v>
      </c>
      <c r="D63" s="135" t="s">
        <v>13</v>
      </c>
      <c r="E63" s="149" t="s">
        <v>236</v>
      </c>
      <c r="F63" s="137" t="s">
        <v>237</v>
      </c>
      <c r="G63" s="134"/>
      <c r="H63" s="139"/>
      <c r="I63" s="70"/>
    </row>
    <row r="64" spans="1:9">
      <c r="A64" s="81">
        <v>61</v>
      </c>
      <c r="B64" s="140" t="s">
        <v>238</v>
      </c>
      <c r="C64" s="136" t="s">
        <v>239</v>
      </c>
      <c r="D64" s="135" t="s">
        <v>13</v>
      </c>
      <c r="E64" s="139" t="s">
        <v>240</v>
      </c>
      <c r="F64" s="139" t="s">
        <v>241</v>
      </c>
      <c r="G64" s="134"/>
      <c r="H64" s="139"/>
      <c r="I64" s="70"/>
    </row>
    <row r="65" spans="1:9">
      <c r="A65" s="33">
        <v>62</v>
      </c>
      <c r="B65" s="139" t="s">
        <v>242</v>
      </c>
      <c r="C65" s="70" t="s">
        <v>243</v>
      </c>
      <c r="D65" s="135" t="s">
        <v>223</v>
      </c>
      <c r="E65" s="139" t="s">
        <v>244</v>
      </c>
      <c r="F65" s="139"/>
      <c r="G65" s="134"/>
      <c r="H65" s="139"/>
      <c r="I65" s="70"/>
    </row>
  </sheetData>
  <mergeCells count="2">
    <mergeCell ref="A1:I1"/>
    <mergeCell ref="A2:I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Y963"/>
  <sheetViews>
    <sheetView topLeftCell="A775" zoomScale="40" zoomScaleNormal="40" zoomScaleSheetLayoutView="55" zoomScalePageLayoutView="70" workbookViewId="0">
      <selection activeCell="K768" sqref="K768:L768"/>
    </sheetView>
  </sheetViews>
  <sheetFormatPr baseColWidth="10" defaultColWidth="9.140625" defaultRowHeight="15.75"/>
  <cols>
    <col min="1" max="1" width="86.5703125" style="9" customWidth="1"/>
    <col min="2" max="2" width="18.42578125" style="9" customWidth="1"/>
    <col min="3" max="3" width="26.85546875" style="9" customWidth="1"/>
    <col min="4" max="4" width="28.28515625" style="9" customWidth="1"/>
    <col min="5" max="5" width="30.7109375" style="9" bestFit="1" customWidth="1"/>
    <col min="6" max="6" width="32.7109375" style="9" bestFit="1" customWidth="1"/>
    <col min="7" max="7" width="18.7109375" style="9" bestFit="1" customWidth="1"/>
    <col min="8" max="8" width="22.42578125" style="9" customWidth="1"/>
    <col min="9" max="9" width="25.85546875" style="9" bestFit="1" customWidth="1"/>
    <col min="10" max="10" width="27.28515625" style="9" bestFit="1" customWidth="1"/>
    <col min="11" max="11" width="27.28515625" style="9" customWidth="1"/>
    <col min="12" max="12" width="20.7109375" style="9" bestFit="1" customWidth="1"/>
    <col min="13" max="13" width="29.28515625" style="9" customWidth="1"/>
    <col min="14" max="14" width="32.42578125" style="9" customWidth="1"/>
    <col min="15" max="15" width="37.28515625" style="9" customWidth="1"/>
    <col min="16" max="16" width="52.140625" style="9" customWidth="1"/>
    <col min="17" max="17" width="63.7109375" style="9" customWidth="1"/>
    <col min="18" max="18" width="103.28515625" style="9" customWidth="1"/>
    <col min="19" max="19" width="9.140625" style="9" customWidth="1"/>
    <col min="20" max="20" width="17.7109375" style="14" customWidth="1"/>
    <col min="21" max="21" width="9.140625" style="9"/>
    <col min="22" max="22" width="14.42578125" style="9" customWidth="1"/>
    <col min="23" max="26" width="9.140625" style="9"/>
    <col min="27" max="27" width="18.85546875" style="9" customWidth="1"/>
    <col min="28" max="28" width="91" style="9" customWidth="1"/>
    <col min="29" max="29" width="79.28515625" style="9" customWidth="1"/>
    <col min="30" max="30" width="48.85546875" style="9" customWidth="1"/>
    <col min="31" max="16384" width="9.140625" style="9"/>
  </cols>
  <sheetData>
    <row r="1" spans="1:20" s="8" customFormat="1" ht="59.25" customHeight="1">
      <c r="A1" s="391" t="s">
        <v>0</v>
      </c>
      <c r="B1" s="391"/>
      <c r="C1" s="391"/>
      <c r="D1" s="391"/>
      <c r="E1" s="391"/>
      <c r="F1" s="391"/>
      <c r="G1" s="391"/>
      <c r="H1" s="391"/>
      <c r="I1" s="391"/>
      <c r="J1" s="391"/>
      <c r="K1" s="391"/>
      <c r="L1" s="391"/>
      <c r="M1" s="391"/>
      <c r="N1" s="391"/>
      <c r="O1" s="391"/>
      <c r="P1" s="391"/>
      <c r="Q1" s="391"/>
      <c r="R1" s="391"/>
    </row>
    <row r="2" spans="1:20" ht="35.25" customHeight="1">
      <c r="A2" s="392" t="s">
        <v>245</v>
      </c>
      <c r="B2" s="392"/>
      <c r="C2" s="392"/>
      <c r="D2" s="392"/>
      <c r="E2" s="392"/>
      <c r="F2" s="392"/>
      <c r="G2" s="392"/>
      <c r="H2" s="392"/>
      <c r="I2" s="392"/>
      <c r="J2" s="392"/>
      <c r="K2" s="392"/>
      <c r="L2" s="392"/>
      <c r="M2" s="392"/>
      <c r="N2" s="392"/>
      <c r="O2" s="392"/>
      <c r="P2" s="392"/>
      <c r="Q2" s="392"/>
      <c r="R2" s="392"/>
      <c r="T2" s="9"/>
    </row>
    <row r="3" spans="1:20" ht="35.25" customHeight="1">
      <c r="A3" s="393" t="s">
        <v>246</v>
      </c>
      <c r="B3" s="393"/>
      <c r="C3" s="393"/>
      <c r="D3" s="393"/>
      <c r="E3" s="393"/>
      <c r="F3" s="393"/>
      <c r="G3" s="393"/>
      <c r="H3" s="393"/>
      <c r="I3" s="393"/>
      <c r="J3" s="393"/>
      <c r="K3" s="393"/>
      <c r="L3" s="393"/>
      <c r="M3" s="393"/>
      <c r="N3" s="393"/>
      <c r="O3" s="393"/>
      <c r="P3" s="393"/>
      <c r="Q3" s="393"/>
      <c r="R3" s="393"/>
      <c r="T3" s="10"/>
    </row>
    <row r="4" spans="1:20" ht="27.75" customHeight="1">
      <c r="A4" s="394"/>
      <c r="B4" s="394"/>
      <c r="C4" s="394"/>
      <c r="D4" s="394"/>
      <c r="E4" s="394"/>
      <c r="F4" s="394"/>
      <c r="G4" s="394"/>
      <c r="H4" s="394"/>
      <c r="I4" s="394"/>
      <c r="J4" s="394"/>
      <c r="K4" s="394"/>
      <c r="L4" s="394"/>
      <c r="M4" s="394"/>
      <c r="N4" s="394"/>
      <c r="O4" s="394"/>
      <c r="P4" s="394"/>
      <c r="Q4" s="394"/>
      <c r="R4" s="394"/>
      <c r="T4" s="10"/>
    </row>
    <row r="5" spans="1:20" ht="16.5" thickBot="1">
      <c r="A5" s="3"/>
      <c r="B5" s="3"/>
      <c r="C5" s="3"/>
      <c r="D5" s="3"/>
      <c r="E5" s="3"/>
      <c r="F5" s="3"/>
      <c r="G5" s="3"/>
      <c r="H5" s="3"/>
      <c r="I5" s="3"/>
      <c r="J5" s="3"/>
      <c r="K5" s="3"/>
      <c r="L5" s="3"/>
      <c r="M5" s="3"/>
      <c r="N5" s="3"/>
      <c r="O5" s="4"/>
      <c r="P5" s="4"/>
      <c r="Q5" s="4"/>
      <c r="R5" s="4"/>
      <c r="T5" s="9"/>
    </row>
    <row r="6" spans="1:20" ht="30.75" customHeight="1" thickBot="1">
      <c r="A6" s="347">
        <v>1</v>
      </c>
      <c r="B6" s="347"/>
      <c r="C6" s="347"/>
      <c r="D6" s="347"/>
      <c r="E6" s="361" t="str">
        <f>VLOOKUP(A6,'REQUISITOS HAB. TECNICOS'!$A$5:$B$66,2,FALSE)</f>
        <v>CONSORCIO INTERVIALES PCI-PC</v>
      </c>
      <c r="F6" s="361"/>
      <c r="G6" s="361"/>
      <c r="H6" s="361"/>
      <c r="I6" s="361"/>
      <c r="J6" s="361"/>
      <c r="K6" s="361"/>
      <c r="L6" s="361"/>
      <c r="M6" s="361"/>
      <c r="N6" s="361"/>
      <c r="O6" s="361"/>
      <c r="P6" s="361"/>
      <c r="Q6" s="361"/>
      <c r="R6" s="361"/>
      <c r="T6" s="9"/>
    </row>
    <row r="7" spans="1:20" ht="50.25" customHeight="1" thickBot="1">
      <c r="A7" s="11" t="s">
        <v>247</v>
      </c>
      <c r="B7" s="76">
        <v>5</v>
      </c>
      <c r="C7" s="288" t="s">
        <v>248</v>
      </c>
      <c r="D7" s="344">
        <f>$D$899</f>
        <v>618.89671538461539</v>
      </c>
      <c r="E7" s="361"/>
      <c r="F7" s="361"/>
      <c r="G7" s="361"/>
      <c r="H7" s="361"/>
      <c r="I7" s="361"/>
      <c r="J7" s="361"/>
      <c r="K7" s="361"/>
      <c r="L7" s="361"/>
      <c r="M7" s="361"/>
      <c r="N7" s="361"/>
      <c r="O7" s="361"/>
      <c r="P7" s="361"/>
      <c r="Q7" s="361"/>
      <c r="R7" s="361"/>
      <c r="T7" s="9"/>
    </row>
    <row r="8" spans="1:20" ht="23.25" customHeight="1" thickBot="1">
      <c r="A8" s="348" t="s">
        <v>249</v>
      </c>
      <c r="B8" s="348"/>
      <c r="C8" s="289">
        <f>H24/B7</f>
        <v>1380.2986482200527</v>
      </c>
      <c r="D8" s="345"/>
      <c r="E8" s="361"/>
      <c r="F8" s="361"/>
      <c r="G8" s="361"/>
      <c r="H8" s="361"/>
      <c r="I8" s="361"/>
      <c r="J8" s="361"/>
      <c r="K8" s="361"/>
      <c r="L8" s="361"/>
      <c r="M8" s="361"/>
      <c r="N8" s="361"/>
      <c r="O8" s="361"/>
      <c r="P8" s="361"/>
      <c r="Q8" s="361"/>
      <c r="R8" s="361"/>
      <c r="T8" s="9"/>
    </row>
    <row r="9" spans="1:20" ht="23.25" customHeight="1" thickBot="1">
      <c r="A9" s="349" t="s">
        <v>250</v>
      </c>
      <c r="B9" s="349"/>
      <c r="C9" s="350">
        <v>45631</v>
      </c>
      <c r="D9" s="350"/>
      <c r="E9" s="361"/>
      <c r="F9" s="361"/>
      <c r="G9" s="361"/>
      <c r="H9" s="361"/>
      <c r="I9" s="361"/>
      <c r="J9" s="361"/>
      <c r="K9" s="361"/>
      <c r="L9" s="361"/>
      <c r="M9" s="361"/>
      <c r="N9" s="361"/>
      <c r="O9" s="361"/>
      <c r="P9" s="361"/>
      <c r="Q9" s="361"/>
      <c r="R9" s="361"/>
      <c r="T9" s="9"/>
    </row>
    <row r="10" spans="1:20" ht="38.25" customHeight="1" thickBot="1">
      <c r="A10" s="351" t="s">
        <v>251</v>
      </c>
      <c r="B10" s="351"/>
      <c r="C10" s="352" t="str">
        <f>+IF(H24&gt;D7,"CUMPLE","NO CUMPLE")</f>
        <v>CUMPLE</v>
      </c>
      <c r="D10" s="352"/>
      <c r="E10" s="361"/>
      <c r="F10" s="361"/>
      <c r="G10" s="361"/>
      <c r="H10" s="361"/>
      <c r="I10" s="361"/>
      <c r="J10" s="361"/>
      <c r="K10" s="361"/>
      <c r="L10" s="361"/>
      <c r="M10" s="361"/>
      <c r="N10" s="361"/>
      <c r="O10" s="361"/>
      <c r="P10" s="361"/>
      <c r="Q10" s="361"/>
      <c r="R10" s="361"/>
      <c r="T10" s="9"/>
    </row>
    <row r="11" spans="1:20" ht="84.75" customHeight="1" thickBot="1">
      <c r="A11" s="353" t="s">
        <v>252</v>
      </c>
      <c r="B11" s="353"/>
      <c r="C11" s="353"/>
      <c r="D11" s="353"/>
      <c r="E11" s="353"/>
      <c r="F11" s="353"/>
      <c r="G11" s="311"/>
      <c r="H11" s="311"/>
      <c r="I11" s="143" t="s">
        <v>253</v>
      </c>
      <c r="J11" s="305" t="s">
        <v>254</v>
      </c>
      <c r="K11" s="363" t="s">
        <v>255</v>
      </c>
      <c r="L11" s="364"/>
      <c r="M11" s="357" t="s">
        <v>256</v>
      </c>
      <c r="N11" s="357" t="s">
        <v>257</v>
      </c>
      <c r="O11" s="357" t="s">
        <v>258</v>
      </c>
      <c r="P11" s="357" t="s">
        <v>259</v>
      </c>
      <c r="Q11" s="357" t="s">
        <v>260</v>
      </c>
      <c r="R11" s="362" t="s">
        <v>261</v>
      </c>
      <c r="T11" s="9"/>
    </row>
    <row r="12" spans="1:20" ht="77.25" customHeight="1">
      <c r="A12" s="144" t="s">
        <v>262</v>
      </c>
      <c r="B12" s="354" t="s">
        <v>263</v>
      </c>
      <c r="C12" s="354"/>
      <c r="D12" s="145" t="s">
        <v>264</v>
      </c>
      <c r="E12" s="145" t="s">
        <v>265</v>
      </c>
      <c r="F12" s="145" t="s">
        <v>266</v>
      </c>
      <c r="G12" s="146" t="s">
        <v>267</v>
      </c>
      <c r="H12" s="146" t="s">
        <v>268</v>
      </c>
      <c r="I12" s="147" t="s">
        <v>269</v>
      </c>
      <c r="J12" s="147" t="s">
        <v>270</v>
      </c>
      <c r="K12" s="198" t="s">
        <v>271</v>
      </c>
      <c r="L12" s="198" t="s">
        <v>272</v>
      </c>
      <c r="M12" s="358"/>
      <c r="N12" s="358"/>
      <c r="O12" s="358"/>
      <c r="P12" s="358"/>
      <c r="Q12" s="358"/>
      <c r="R12" s="362"/>
      <c r="T12" s="9"/>
    </row>
    <row r="13" spans="1:20">
      <c r="A13" s="34" t="str">
        <f>VLOOKUP(A6,'LISTA DE OFERENTES'!$A$4:$F$82,5,FALSE)</f>
        <v>PC PROYECCION E INGENIERIA SAS 50%</v>
      </c>
      <c r="B13" s="35"/>
      <c r="C13" s="35"/>
      <c r="D13" s="35"/>
      <c r="E13" s="35"/>
      <c r="F13" s="35"/>
      <c r="G13" s="35"/>
      <c r="H13" s="35"/>
      <c r="I13" s="35"/>
      <c r="J13" s="35"/>
      <c r="K13" s="35"/>
      <c r="L13" s="35"/>
      <c r="M13" s="35"/>
      <c r="N13" s="35"/>
      <c r="O13" s="35"/>
      <c r="P13" s="36"/>
      <c r="Q13" s="35"/>
      <c r="R13" s="36"/>
      <c r="T13" s="9"/>
    </row>
    <row r="14" spans="1:20" s="14" customFormat="1" ht="73.5" customHeight="1">
      <c r="A14" s="178" t="s">
        <v>273</v>
      </c>
      <c r="B14" s="343" t="s">
        <v>274</v>
      </c>
      <c r="C14" s="343"/>
      <c r="D14" s="179">
        <v>2180080116</v>
      </c>
      <c r="E14" s="208">
        <v>2021</v>
      </c>
      <c r="F14" s="180">
        <f>D14/(VLOOKUP(E14,$D$929:$E$962,2,FALSE))</f>
        <v>2399.579226131118</v>
      </c>
      <c r="G14" s="209">
        <v>0.2</v>
      </c>
      <c r="H14" s="180">
        <f t="shared" ref="H14:H15" si="0">F14*G14</f>
        <v>479.91584522622361</v>
      </c>
      <c r="I14" s="210">
        <v>44269</v>
      </c>
      <c r="J14" s="211" t="s">
        <v>275</v>
      </c>
      <c r="K14" s="211" t="s">
        <v>275</v>
      </c>
      <c r="L14" s="212">
        <f>IF(K14="CUMPLE",H14,0)</f>
        <v>479.91584522622361</v>
      </c>
      <c r="M14" s="213" t="s">
        <v>275</v>
      </c>
      <c r="N14" s="213" t="s">
        <v>275</v>
      </c>
      <c r="O14" s="224" t="s">
        <v>275</v>
      </c>
      <c r="P14" s="224" t="s">
        <v>276</v>
      </c>
      <c r="Q14" s="224" t="s">
        <v>275</v>
      </c>
      <c r="R14" s="216"/>
    </row>
    <row r="15" spans="1:20" s="14" customFormat="1" ht="69.75" customHeight="1">
      <c r="A15" s="181" t="s">
        <v>277</v>
      </c>
      <c r="B15" s="343" t="s">
        <v>278</v>
      </c>
      <c r="C15" s="356"/>
      <c r="D15" s="179">
        <v>109994720</v>
      </c>
      <c r="E15" s="208">
        <v>2014</v>
      </c>
      <c r="F15" s="180">
        <f>D15/(VLOOKUP(E15,$D$929:$E$962,2,FALSE))</f>
        <v>178.56285714285715</v>
      </c>
      <c r="G15" s="215">
        <v>0.7</v>
      </c>
      <c r="H15" s="180">
        <f t="shared" si="0"/>
        <v>124.994</v>
      </c>
      <c r="I15" s="210">
        <v>41992</v>
      </c>
      <c r="J15" s="211" t="s">
        <v>275</v>
      </c>
      <c r="K15" s="211" t="s">
        <v>275</v>
      </c>
      <c r="L15" s="212">
        <f t="shared" ref="L15:L20" si="1">IF(K15="CUMPLE",H15,0)</f>
        <v>124.994</v>
      </c>
      <c r="M15" s="213" t="s">
        <v>275</v>
      </c>
      <c r="N15" s="224" t="s">
        <v>275</v>
      </c>
      <c r="O15" s="224" t="s">
        <v>275</v>
      </c>
      <c r="P15" s="224" t="s">
        <v>275</v>
      </c>
      <c r="Q15" s="224" t="s">
        <v>276</v>
      </c>
      <c r="R15" s="216"/>
    </row>
    <row r="16" spans="1:20" s="14" customFormat="1" ht="75" customHeight="1">
      <c r="A16" s="181" t="s">
        <v>279</v>
      </c>
      <c r="B16" s="343" t="s">
        <v>274</v>
      </c>
      <c r="C16" s="343"/>
      <c r="D16" s="179">
        <v>1015436044</v>
      </c>
      <c r="E16" s="208">
        <v>2019</v>
      </c>
      <c r="F16" s="180">
        <f>D16/(VLOOKUP(E16,$D$929:$E$962,2,FALSE))</f>
        <v>1226.200247308348</v>
      </c>
      <c r="G16" s="215">
        <v>0.15</v>
      </c>
      <c r="H16" s="180">
        <f>F16*G16</f>
        <v>183.93003709625219</v>
      </c>
      <c r="I16" s="210" t="s">
        <v>280</v>
      </c>
      <c r="J16" s="211" t="s">
        <v>275</v>
      </c>
      <c r="K16" s="211" t="s">
        <v>275</v>
      </c>
      <c r="L16" s="212">
        <f t="shared" si="1"/>
        <v>183.93003709625219</v>
      </c>
      <c r="M16" s="213" t="s">
        <v>275</v>
      </c>
      <c r="N16" s="213" t="s">
        <v>275</v>
      </c>
      <c r="O16" s="224" t="s">
        <v>275</v>
      </c>
      <c r="P16" s="224" t="s">
        <v>276</v>
      </c>
      <c r="Q16" s="224" t="s">
        <v>276</v>
      </c>
      <c r="R16" s="216"/>
    </row>
    <row r="17" spans="1:18" s="14" customFormat="1">
      <c r="A17" s="34" t="str">
        <f>VLOOKUP(A6,'LISTA DE OFERENTES'!$A$4:$I$82,7,FALSE)</f>
        <v>GERMAN ALONSO PUENTES GORDO 30%</v>
      </c>
      <c r="B17" s="226"/>
      <c r="C17" s="226"/>
      <c r="D17" s="226"/>
      <c r="E17" s="226"/>
      <c r="F17" s="226"/>
      <c r="G17" s="226"/>
      <c r="H17" s="226"/>
      <c r="I17" s="226"/>
      <c r="J17" s="226"/>
      <c r="K17" s="226"/>
      <c r="L17" s="226"/>
      <c r="M17" s="226"/>
      <c r="N17" s="226"/>
      <c r="O17" s="226"/>
      <c r="P17" s="226"/>
      <c r="Q17" s="226"/>
      <c r="R17" s="227"/>
    </row>
    <row r="18" spans="1:18" s="14" customFormat="1" ht="73.5" customHeight="1">
      <c r="A18" s="178" t="s">
        <v>273</v>
      </c>
      <c r="B18" s="343" t="s">
        <v>274</v>
      </c>
      <c r="C18" s="343"/>
      <c r="D18" s="179">
        <v>2180080116</v>
      </c>
      <c r="E18" s="208">
        <v>2021</v>
      </c>
      <c r="F18" s="180">
        <f>D18/(VLOOKUP(E18,$D$929:$E$962,2,FALSE))</f>
        <v>2399.579226131118</v>
      </c>
      <c r="G18" s="209">
        <v>0.6</v>
      </c>
      <c r="H18" s="180">
        <f t="shared" ref="H18" si="2">F18*G18</f>
        <v>1439.7475356786708</v>
      </c>
      <c r="I18" s="210">
        <v>44269</v>
      </c>
      <c r="J18" s="211" t="s">
        <v>275</v>
      </c>
      <c r="K18" s="211" t="s">
        <v>275</v>
      </c>
      <c r="L18" s="212">
        <f>IF(K18="CUMPLE",H18,0)</f>
        <v>1439.7475356786708</v>
      </c>
      <c r="M18" s="213" t="s">
        <v>275</v>
      </c>
      <c r="N18" s="213" t="s">
        <v>275</v>
      </c>
      <c r="O18" s="224" t="s">
        <v>275</v>
      </c>
      <c r="P18" s="224" t="s">
        <v>276</v>
      </c>
      <c r="Q18" s="224" t="s">
        <v>275</v>
      </c>
      <c r="R18" s="216"/>
    </row>
    <row r="19" spans="1:18" s="14" customFormat="1" ht="64.5" customHeight="1">
      <c r="A19" s="184" t="s">
        <v>281</v>
      </c>
      <c r="B19" s="343" t="s">
        <v>274</v>
      </c>
      <c r="C19" s="343"/>
      <c r="D19" s="179">
        <v>2866431040</v>
      </c>
      <c r="E19" s="208">
        <v>2016</v>
      </c>
      <c r="F19" s="180">
        <f>D19/(VLOOKUP(E19,$D$929:$E$962,2,FALSE))</f>
        <v>4157.5317315850925</v>
      </c>
      <c r="G19" s="209">
        <v>0.4</v>
      </c>
      <c r="H19" s="180">
        <f>F19*G19</f>
        <v>1663.0126926340372</v>
      </c>
      <c r="I19" s="210">
        <v>42628</v>
      </c>
      <c r="J19" s="211" t="s">
        <v>275</v>
      </c>
      <c r="K19" s="211" t="s">
        <v>275</v>
      </c>
      <c r="L19" s="212">
        <f t="shared" si="1"/>
        <v>1663.0126926340372</v>
      </c>
      <c r="M19" s="213" t="s">
        <v>275</v>
      </c>
      <c r="N19" s="213" t="s">
        <v>275</v>
      </c>
      <c r="O19" s="224" t="s">
        <v>276</v>
      </c>
      <c r="P19" s="213" t="s">
        <v>275</v>
      </c>
      <c r="Q19" s="224" t="s">
        <v>276</v>
      </c>
      <c r="R19" s="216"/>
    </row>
    <row r="20" spans="1:18" s="14" customFormat="1" ht="60" customHeight="1">
      <c r="A20" s="184" t="s">
        <v>282</v>
      </c>
      <c r="B20" s="355" t="s">
        <v>283</v>
      </c>
      <c r="C20" s="355"/>
      <c r="D20" s="179">
        <v>645885070</v>
      </c>
      <c r="E20" s="208">
        <v>2002</v>
      </c>
      <c r="F20" s="180">
        <f>D20/(VLOOKUP(E20,$D$929:$E$962,2,FALSE))</f>
        <v>2090.2429449838187</v>
      </c>
      <c r="G20" s="209">
        <v>1</v>
      </c>
      <c r="H20" s="180">
        <f>F20*G20</f>
        <v>2090.2429449838187</v>
      </c>
      <c r="I20" s="210">
        <v>37516</v>
      </c>
      <c r="J20" s="211" t="s">
        <v>275</v>
      </c>
      <c r="K20" s="211" t="s">
        <v>275</v>
      </c>
      <c r="L20" s="212">
        <f t="shared" si="1"/>
        <v>2090.2429449838187</v>
      </c>
      <c r="M20" s="213" t="s">
        <v>275</v>
      </c>
      <c r="N20" s="213" t="s">
        <v>275</v>
      </c>
      <c r="O20" s="224" t="s">
        <v>276</v>
      </c>
      <c r="P20" s="213" t="s">
        <v>275</v>
      </c>
      <c r="Q20" s="224" t="s">
        <v>276</v>
      </c>
      <c r="R20" s="216"/>
    </row>
    <row r="21" spans="1:18" s="14" customFormat="1" ht="75" customHeight="1">
      <c r="A21" s="181" t="s">
        <v>279</v>
      </c>
      <c r="B21" s="343" t="s">
        <v>274</v>
      </c>
      <c r="C21" s="343"/>
      <c r="D21" s="179">
        <v>1015436044</v>
      </c>
      <c r="E21" s="208">
        <v>2019</v>
      </c>
      <c r="F21" s="180">
        <f>D21/(VLOOKUP(E21,$D$929:$E$962,2,FALSE))</f>
        <v>1226.200247308348</v>
      </c>
      <c r="G21" s="215">
        <v>0.6</v>
      </c>
      <c r="H21" s="180">
        <f>F21*G21</f>
        <v>735.72014838500877</v>
      </c>
      <c r="I21" s="210" t="s">
        <v>280</v>
      </c>
      <c r="J21" s="211" t="s">
        <v>275</v>
      </c>
      <c r="K21" s="211" t="s">
        <v>275</v>
      </c>
      <c r="L21" s="212">
        <f t="shared" ref="L21" si="3">IF(K21="CUMPLE",H21,0)</f>
        <v>735.72014838500877</v>
      </c>
      <c r="M21" s="213" t="s">
        <v>275</v>
      </c>
      <c r="N21" s="213" t="s">
        <v>275</v>
      </c>
      <c r="O21" s="224" t="s">
        <v>275</v>
      </c>
      <c r="P21" s="224" t="s">
        <v>276</v>
      </c>
      <c r="Q21" s="224" t="s">
        <v>276</v>
      </c>
      <c r="R21" s="216"/>
    </row>
    <row r="22" spans="1:18" s="14" customFormat="1">
      <c r="A22" s="34" t="str">
        <f>VLOOKUP(A6,'LISTA DE OFERENTES'!$A$4:$I$82,6,FALSE)</f>
        <v>JORGE WILLAN CORZO GARCIA 10%</v>
      </c>
      <c r="B22" s="226"/>
      <c r="C22" s="226"/>
      <c r="D22" s="226"/>
      <c r="E22" s="226"/>
      <c r="F22" s="226"/>
      <c r="G22" s="226"/>
      <c r="H22" s="226"/>
      <c r="I22" s="226"/>
      <c r="J22" s="226"/>
      <c r="K22" s="226"/>
      <c r="L22" s="226"/>
      <c r="M22" s="226"/>
      <c r="N22" s="226"/>
      <c r="O22" s="226"/>
      <c r="P22" s="226"/>
      <c r="Q22" s="226"/>
      <c r="R22" s="227"/>
    </row>
    <row r="23" spans="1:18" s="14" customFormat="1" ht="75" customHeight="1">
      <c r="A23" s="181" t="s">
        <v>279</v>
      </c>
      <c r="B23" s="343" t="s">
        <v>274</v>
      </c>
      <c r="C23" s="343"/>
      <c r="D23" s="179">
        <v>1015436044</v>
      </c>
      <c r="E23" s="208">
        <v>2019</v>
      </c>
      <c r="F23" s="180">
        <f>D23/(VLOOKUP(E23,$D$929:$E$962,2,FALSE))</f>
        <v>1226.200247308348</v>
      </c>
      <c r="G23" s="215">
        <v>0.15</v>
      </c>
      <c r="H23" s="180">
        <f>F23*G23</f>
        <v>183.93003709625219</v>
      </c>
      <c r="I23" s="210" t="s">
        <v>280</v>
      </c>
      <c r="J23" s="211" t="s">
        <v>275</v>
      </c>
      <c r="K23" s="211" t="s">
        <v>275</v>
      </c>
      <c r="L23" s="212">
        <f t="shared" ref="L23" si="4">IF(K23="CUMPLE",H23,0)</f>
        <v>183.93003709625219</v>
      </c>
      <c r="M23" s="213" t="s">
        <v>275</v>
      </c>
      <c r="N23" s="213" t="s">
        <v>275</v>
      </c>
      <c r="O23" s="224" t="s">
        <v>275</v>
      </c>
      <c r="P23" s="224" t="s">
        <v>276</v>
      </c>
      <c r="Q23" s="224" t="s">
        <v>276</v>
      </c>
      <c r="R23" s="216"/>
    </row>
    <row r="24" spans="1:18" s="14" customFormat="1" ht="48" customHeight="1" thickBot="1">
      <c r="A24" s="346" t="s">
        <v>284</v>
      </c>
      <c r="B24" s="346"/>
      <c r="C24" s="346"/>
      <c r="D24" s="346"/>
      <c r="E24" s="346"/>
      <c r="F24" s="45">
        <f>+SUM(F14:F16)+SUM(F18:F21)+F23</f>
        <v>14904.09672789905</v>
      </c>
      <c r="G24" s="45"/>
      <c r="H24" s="45">
        <f>SUM(H14:H23)</f>
        <v>6901.4932411002637</v>
      </c>
      <c r="I24" s="359"/>
      <c r="J24" s="368"/>
      <c r="K24" s="368"/>
      <c r="L24" s="200"/>
      <c r="M24" s="200"/>
      <c r="N24" s="200"/>
      <c r="O24" s="200"/>
      <c r="P24" s="200"/>
      <c r="Q24" s="201"/>
      <c r="R24" s="37" t="s">
        <v>275</v>
      </c>
    </row>
    <row r="25" spans="1:18" ht="16.5" thickBot="1">
      <c r="A25" s="3"/>
      <c r="B25" s="3"/>
      <c r="C25" s="3"/>
      <c r="D25" s="3"/>
      <c r="E25" s="3"/>
      <c r="F25" s="3"/>
      <c r="G25" s="3"/>
      <c r="H25" s="3"/>
      <c r="I25" s="3"/>
      <c r="J25" s="3"/>
      <c r="K25" s="3"/>
      <c r="L25" s="3"/>
      <c r="M25" s="3"/>
      <c r="N25" s="3"/>
      <c r="O25" s="4"/>
      <c r="P25" s="4"/>
      <c r="Q25" s="4"/>
      <c r="R25" s="4"/>
    </row>
    <row r="26" spans="1:18" ht="30.75" customHeight="1" thickBot="1">
      <c r="A26" s="347">
        <f>1+A6</f>
        <v>2</v>
      </c>
      <c r="B26" s="347"/>
      <c r="C26" s="347"/>
      <c r="D26" s="347"/>
      <c r="E26" s="361" t="str">
        <f>VLOOKUP(A26,'REQUISITOS HAB. TECNICOS'!$A$5:$B$66,2,FALSE)</f>
        <v>CONSORCIO VÍAS FONTIBÓN 2025</v>
      </c>
      <c r="F26" s="361"/>
      <c r="G26" s="361"/>
      <c r="H26" s="361"/>
      <c r="I26" s="361"/>
      <c r="J26" s="361"/>
      <c r="K26" s="361"/>
      <c r="L26" s="361"/>
      <c r="M26" s="361"/>
      <c r="N26" s="361"/>
      <c r="O26" s="361"/>
      <c r="P26" s="361"/>
      <c r="Q26" s="361"/>
      <c r="R26" s="361"/>
    </row>
    <row r="27" spans="1:18" ht="50.25" customHeight="1" thickBot="1">
      <c r="A27" s="11" t="s">
        <v>247</v>
      </c>
      <c r="B27" s="76">
        <v>3</v>
      </c>
      <c r="C27" s="288" t="s">
        <v>248</v>
      </c>
      <c r="D27" s="344">
        <f>$D$899</f>
        <v>618.89671538461539</v>
      </c>
      <c r="E27" s="361"/>
      <c r="F27" s="361"/>
      <c r="G27" s="361"/>
      <c r="H27" s="361"/>
      <c r="I27" s="361"/>
      <c r="J27" s="361"/>
      <c r="K27" s="361"/>
      <c r="L27" s="361"/>
      <c r="M27" s="361"/>
      <c r="N27" s="361"/>
      <c r="O27" s="361"/>
      <c r="P27" s="361"/>
      <c r="Q27" s="361"/>
      <c r="R27" s="361"/>
    </row>
    <row r="28" spans="1:18" ht="23.25" customHeight="1" thickBot="1">
      <c r="A28" s="348" t="s">
        <v>249</v>
      </c>
      <c r="B28" s="348"/>
      <c r="C28" s="289">
        <f>+AVERAGE(H34:H37)</f>
        <v>880.85894991088844</v>
      </c>
      <c r="D28" s="345"/>
      <c r="E28" s="361"/>
      <c r="F28" s="361"/>
      <c r="G28" s="361"/>
      <c r="H28" s="361"/>
      <c r="I28" s="361"/>
      <c r="J28" s="361"/>
      <c r="K28" s="361"/>
      <c r="L28" s="361"/>
      <c r="M28" s="361"/>
      <c r="N28" s="361"/>
      <c r="O28" s="361"/>
      <c r="P28" s="361"/>
      <c r="Q28" s="361"/>
      <c r="R28" s="361"/>
    </row>
    <row r="29" spans="1:18" ht="23.25" customHeight="1" thickBot="1">
      <c r="A29" s="349" t="s">
        <v>250</v>
      </c>
      <c r="B29" s="349"/>
      <c r="C29" s="350">
        <v>45631</v>
      </c>
      <c r="D29" s="350"/>
      <c r="E29" s="361"/>
      <c r="F29" s="361"/>
      <c r="G29" s="361"/>
      <c r="H29" s="361"/>
      <c r="I29" s="361"/>
      <c r="J29" s="361"/>
      <c r="K29" s="361"/>
      <c r="L29" s="361"/>
      <c r="M29" s="361"/>
      <c r="N29" s="361"/>
      <c r="O29" s="361"/>
      <c r="P29" s="361"/>
      <c r="Q29" s="361"/>
      <c r="R29" s="361"/>
    </row>
    <row r="30" spans="1:18" ht="38.25" customHeight="1" thickBot="1">
      <c r="A30" s="351" t="s">
        <v>251</v>
      </c>
      <c r="B30" s="351"/>
      <c r="C30" s="352" t="str">
        <f>+IF(H38&gt;D27,"CUMPLE","NO CUMPLE")</f>
        <v>CUMPLE</v>
      </c>
      <c r="D30" s="352"/>
      <c r="E30" s="361"/>
      <c r="F30" s="361"/>
      <c r="G30" s="361"/>
      <c r="H30" s="361"/>
      <c r="I30" s="361"/>
      <c r="J30" s="361"/>
      <c r="K30" s="361"/>
      <c r="L30" s="361"/>
      <c r="M30" s="361"/>
      <c r="N30" s="361"/>
      <c r="O30" s="361"/>
      <c r="P30" s="361"/>
      <c r="Q30" s="361"/>
      <c r="R30" s="361"/>
    </row>
    <row r="31" spans="1:18" ht="90" customHeight="1" thickBot="1">
      <c r="A31" s="353" t="s">
        <v>252</v>
      </c>
      <c r="B31" s="353"/>
      <c r="C31" s="353"/>
      <c r="D31" s="353"/>
      <c r="E31" s="353"/>
      <c r="F31" s="353"/>
      <c r="G31" s="311"/>
      <c r="H31" s="311"/>
      <c r="I31" s="143" t="s">
        <v>253</v>
      </c>
      <c r="J31" s="305" t="s">
        <v>254</v>
      </c>
      <c r="K31" s="363" t="s">
        <v>255</v>
      </c>
      <c r="L31" s="364"/>
      <c r="M31" s="357" t="s">
        <v>256</v>
      </c>
      <c r="N31" s="357" t="s">
        <v>257</v>
      </c>
      <c r="O31" s="357" t="s">
        <v>258</v>
      </c>
      <c r="P31" s="357" t="s">
        <v>259</v>
      </c>
      <c r="Q31" s="357" t="s">
        <v>260</v>
      </c>
      <c r="R31" s="362" t="s">
        <v>261</v>
      </c>
    </row>
    <row r="32" spans="1:18" ht="77.25" customHeight="1">
      <c r="A32" s="144" t="s">
        <v>262</v>
      </c>
      <c r="B32" s="354" t="s">
        <v>263</v>
      </c>
      <c r="C32" s="354"/>
      <c r="D32" s="145" t="s">
        <v>264</v>
      </c>
      <c r="E32" s="145" t="s">
        <v>265</v>
      </c>
      <c r="F32" s="145" t="s">
        <v>266</v>
      </c>
      <c r="G32" s="146" t="s">
        <v>267</v>
      </c>
      <c r="H32" s="146" t="s">
        <v>268</v>
      </c>
      <c r="I32" s="147" t="s">
        <v>269</v>
      </c>
      <c r="J32" s="147" t="s">
        <v>270</v>
      </c>
      <c r="K32" s="198" t="s">
        <v>271</v>
      </c>
      <c r="L32" s="198" t="s">
        <v>272</v>
      </c>
      <c r="M32" s="358"/>
      <c r="N32" s="358"/>
      <c r="O32" s="358"/>
      <c r="P32" s="358"/>
      <c r="Q32" s="358"/>
      <c r="R32" s="362"/>
    </row>
    <row r="33" spans="1:18">
      <c r="A33" s="34" t="str">
        <f>VLOOKUP(A26,'[1]LISTA DE OFERENTES'!$A$4:$F$82,5,FALSE)</f>
        <v>SANDRA MONICA CARDOZO 50%</v>
      </c>
      <c r="B33" s="35"/>
      <c r="C33" s="35"/>
      <c r="D33" s="35"/>
      <c r="E33" s="35"/>
      <c r="F33" s="35"/>
      <c r="G33" s="35"/>
      <c r="H33" s="35"/>
      <c r="I33" s="35"/>
      <c r="J33" s="35"/>
      <c r="K33" s="35"/>
      <c r="L33" s="35"/>
      <c r="M33" s="35"/>
      <c r="N33" s="35"/>
      <c r="O33" s="35"/>
      <c r="P33" s="35"/>
      <c r="Q33" s="35"/>
      <c r="R33" s="36"/>
    </row>
    <row r="34" spans="1:18" s="14" customFormat="1" ht="45">
      <c r="A34" s="185" t="s">
        <v>285</v>
      </c>
      <c r="B34" s="365" t="s">
        <v>286</v>
      </c>
      <c r="C34" s="365"/>
      <c r="D34" s="6">
        <v>2196942792</v>
      </c>
      <c r="E34" s="208">
        <v>2015</v>
      </c>
      <c r="F34" s="7">
        <f>D34/(VLOOKUP(E34,$D$929:$E$962,2,FALSE))</f>
        <v>3409.5488352603397</v>
      </c>
      <c r="G34" s="65">
        <v>0.42499999999999999</v>
      </c>
      <c r="H34" s="7">
        <f t="shared" ref="H34:H35" si="5">F34*G34</f>
        <v>1449.0582549856445</v>
      </c>
      <c r="I34" s="217">
        <v>42343</v>
      </c>
      <c r="J34" s="218" t="s">
        <v>275</v>
      </c>
      <c r="K34" s="218" t="s">
        <v>275</v>
      </c>
      <c r="L34" s="219">
        <f>IF(K34="CUMPLE",H34,0)</f>
        <v>1449.0582549856445</v>
      </c>
      <c r="M34" s="220" t="s">
        <v>275</v>
      </c>
      <c r="N34" s="220" t="s">
        <v>275</v>
      </c>
      <c r="O34" s="220" t="s">
        <v>275</v>
      </c>
      <c r="P34" s="220" t="s">
        <v>275</v>
      </c>
      <c r="Q34" s="312" t="s">
        <v>276</v>
      </c>
      <c r="R34" s="141"/>
    </row>
    <row r="35" spans="1:18" s="14" customFormat="1" ht="47.25">
      <c r="A35" s="294" t="s">
        <v>287</v>
      </c>
      <c r="B35" s="365" t="s">
        <v>288</v>
      </c>
      <c r="C35" s="365"/>
      <c r="D35" s="6">
        <v>785941819</v>
      </c>
      <c r="E35" s="208">
        <v>2016</v>
      </c>
      <c r="F35" s="7">
        <f>D35/(VLOOKUP(E35,$D$929:$E$962,2,FALSE))</f>
        <v>1139.9465070236636</v>
      </c>
      <c r="G35" s="65">
        <v>0.5</v>
      </c>
      <c r="H35" s="7">
        <f t="shared" si="5"/>
        <v>569.97325351183179</v>
      </c>
      <c r="I35" s="217">
        <v>42417</v>
      </c>
      <c r="J35" s="218" t="s">
        <v>275</v>
      </c>
      <c r="K35" s="218" t="s">
        <v>275</v>
      </c>
      <c r="L35" s="219">
        <f t="shared" ref="L35:L37" si="6">IF(K35="CUMPLE",H35,0)</f>
        <v>569.97325351183179</v>
      </c>
      <c r="M35" s="220" t="s">
        <v>275</v>
      </c>
      <c r="N35" s="221" t="s">
        <v>275</v>
      </c>
      <c r="O35" s="220" t="s">
        <v>275</v>
      </c>
      <c r="P35" s="220" t="s">
        <v>275</v>
      </c>
      <c r="Q35" s="220" t="s">
        <v>275</v>
      </c>
      <c r="R35" s="141"/>
    </row>
    <row r="36" spans="1:18" s="14" customFormat="1">
      <c r="A36" s="34" t="str">
        <f>VLOOKUP(A26,'LISTA DE OFERENTES'!$A$4:$I$82,6,FALSE)</f>
        <v>SAVIMAC SAS 50%</v>
      </c>
      <c r="B36" s="222"/>
      <c r="C36" s="222"/>
      <c r="D36" s="222"/>
      <c r="E36" s="222"/>
      <c r="F36" s="7"/>
      <c r="G36" s="222"/>
      <c r="H36" s="222"/>
      <c r="I36" s="222"/>
      <c r="J36" s="222"/>
      <c r="K36" s="222"/>
      <c r="L36" s="222"/>
      <c r="M36" s="222"/>
      <c r="N36" s="222"/>
      <c r="O36" s="222"/>
      <c r="P36" s="222"/>
      <c r="Q36" s="222"/>
      <c r="R36" s="223"/>
    </row>
    <row r="37" spans="1:18" s="14" customFormat="1" ht="98.25" customHeight="1">
      <c r="A37" s="186" t="s">
        <v>289</v>
      </c>
      <c r="B37" s="365" t="s">
        <v>290</v>
      </c>
      <c r="C37" s="365"/>
      <c r="D37" s="6">
        <v>919999997</v>
      </c>
      <c r="E37" s="208">
        <v>2017</v>
      </c>
      <c r="F37" s="7">
        <f>D37/(VLOOKUP(E37,$D$929:$E$962,2,FALSE))</f>
        <v>1247.0906824703782</v>
      </c>
      <c r="G37" s="68">
        <v>0.5</v>
      </c>
      <c r="H37" s="7">
        <f>F37*G37</f>
        <v>623.54534123518908</v>
      </c>
      <c r="I37" s="217">
        <v>43073</v>
      </c>
      <c r="J37" s="218" t="s">
        <v>275</v>
      </c>
      <c r="K37" s="218" t="s">
        <v>275</v>
      </c>
      <c r="L37" s="219">
        <f t="shared" si="6"/>
        <v>623.54534123518908</v>
      </c>
      <c r="M37" s="221" t="s">
        <v>275</v>
      </c>
      <c r="N37" s="221" t="s">
        <v>275</v>
      </c>
      <c r="O37" s="221" t="s">
        <v>275</v>
      </c>
      <c r="P37" s="312" t="s">
        <v>276</v>
      </c>
      <c r="Q37" s="221" t="s">
        <v>275</v>
      </c>
      <c r="R37" s="141"/>
    </row>
    <row r="38" spans="1:18" s="14" customFormat="1" ht="48" customHeight="1" thickBot="1">
      <c r="A38" s="346" t="s">
        <v>284</v>
      </c>
      <c r="B38" s="346"/>
      <c r="C38" s="346"/>
      <c r="D38" s="346"/>
      <c r="E38" s="346"/>
      <c r="F38" s="45">
        <f>+SUM(F34:F37)</f>
        <v>5796.5860247543815</v>
      </c>
      <c r="G38" s="45"/>
      <c r="H38" s="45">
        <f>+SUM(H34:H37)</f>
        <v>2642.5768497326653</v>
      </c>
      <c r="I38" s="359"/>
      <c r="J38" s="360"/>
      <c r="K38" s="196"/>
      <c r="L38" s="196"/>
      <c r="M38" s="196"/>
      <c r="N38" s="196"/>
      <c r="O38" s="196"/>
      <c r="P38" s="304"/>
      <c r="Q38" s="304"/>
      <c r="R38" s="37" t="s">
        <v>275</v>
      </c>
    </row>
    <row r="39" spans="1:18" ht="16.5" thickBot="1">
      <c r="A39" s="3"/>
      <c r="B39" s="3"/>
      <c r="C39" s="3"/>
      <c r="D39" s="3"/>
      <c r="E39" s="3"/>
      <c r="F39" s="3"/>
      <c r="G39" s="3"/>
      <c r="H39" s="3"/>
      <c r="I39" s="3"/>
      <c r="J39" s="3"/>
      <c r="K39" s="3"/>
      <c r="L39" s="3"/>
      <c r="M39" s="3"/>
      <c r="N39" s="3"/>
      <c r="O39" s="4"/>
      <c r="P39" s="4"/>
      <c r="Q39" s="4"/>
      <c r="R39" s="4"/>
    </row>
    <row r="40" spans="1:18" ht="30.75" customHeight="1" thickBot="1">
      <c r="A40" s="347">
        <f>1+A26</f>
        <v>3</v>
      </c>
      <c r="B40" s="347"/>
      <c r="C40" s="347"/>
      <c r="D40" s="347"/>
      <c r="E40" s="361" t="str">
        <f>VLOOKUP(A40,'REQUISITOS HAB. TECNICOS'!$A$5:$B$66,2,FALSE)</f>
        <v>MORALBA SANCHEZ ORDOÑEZ</v>
      </c>
      <c r="F40" s="361"/>
      <c r="G40" s="361"/>
      <c r="H40" s="361"/>
      <c r="I40" s="361"/>
      <c r="J40" s="361"/>
      <c r="K40" s="361"/>
      <c r="L40" s="361"/>
      <c r="M40" s="361"/>
      <c r="N40" s="361"/>
      <c r="O40" s="361"/>
      <c r="P40" s="361"/>
      <c r="Q40" s="361"/>
      <c r="R40" s="361"/>
    </row>
    <row r="41" spans="1:18" ht="50.25" customHeight="1" thickBot="1">
      <c r="A41" s="11" t="s">
        <v>247</v>
      </c>
      <c r="B41" s="76">
        <v>2</v>
      </c>
      <c r="C41" s="288" t="s">
        <v>248</v>
      </c>
      <c r="D41" s="344">
        <f>$D$899</f>
        <v>618.89671538461539</v>
      </c>
      <c r="E41" s="361"/>
      <c r="F41" s="361"/>
      <c r="G41" s="361"/>
      <c r="H41" s="361"/>
      <c r="I41" s="361"/>
      <c r="J41" s="361"/>
      <c r="K41" s="361"/>
      <c r="L41" s="361"/>
      <c r="M41" s="361"/>
      <c r="N41" s="361"/>
      <c r="O41" s="361"/>
      <c r="P41" s="361"/>
      <c r="Q41" s="361"/>
      <c r="R41" s="361"/>
    </row>
    <row r="42" spans="1:18" ht="23.25" customHeight="1" thickBot="1">
      <c r="A42" s="348" t="s">
        <v>249</v>
      </c>
      <c r="B42" s="348"/>
      <c r="C42" s="289" t="e">
        <f>+AVERAGE(H48:H49)</f>
        <v>#DIV/0!</v>
      </c>
      <c r="D42" s="345"/>
      <c r="E42" s="361"/>
      <c r="F42" s="361"/>
      <c r="G42" s="361"/>
      <c r="H42" s="361"/>
      <c r="I42" s="361"/>
      <c r="J42" s="361"/>
      <c r="K42" s="361"/>
      <c r="L42" s="361"/>
      <c r="M42" s="361"/>
      <c r="N42" s="361"/>
      <c r="O42" s="361"/>
      <c r="P42" s="361"/>
      <c r="Q42" s="361"/>
      <c r="R42" s="361"/>
    </row>
    <row r="43" spans="1:18" ht="23.25" customHeight="1" thickBot="1">
      <c r="A43" s="349" t="s">
        <v>250</v>
      </c>
      <c r="B43" s="349"/>
      <c r="C43" s="350">
        <v>45631</v>
      </c>
      <c r="D43" s="350"/>
      <c r="E43" s="361"/>
      <c r="F43" s="361"/>
      <c r="G43" s="361"/>
      <c r="H43" s="361"/>
      <c r="I43" s="361"/>
      <c r="J43" s="361"/>
      <c r="K43" s="361"/>
      <c r="L43" s="361"/>
      <c r="M43" s="361"/>
      <c r="N43" s="361"/>
      <c r="O43" s="361"/>
      <c r="P43" s="361"/>
      <c r="Q43" s="361"/>
      <c r="R43" s="361"/>
    </row>
    <row r="44" spans="1:18" ht="38.25" customHeight="1" thickBot="1">
      <c r="A44" s="351" t="s">
        <v>251</v>
      </c>
      <c r="B44" s="351"/>
      <c r="C44" s="352" t="str">
        <f>+IF(H50&gt;D41,"CUMPLE","NO CUMPLE")</f>
        <v>NO CUMPLE</v>
      </c>
      <c r="D44" s="352"/>
      <c r="E44" s="361"/>
      <c r="F44" s="361"/>
      <c r="G44" s="361"/>
      <c r="H44" s="361"/>
      <c r="I44" s="361"/>
      <c r="J44" s="361"/>
      <c r="K44" s="361"/>
      <c r="L44" s="361"/>
      <c r="M44" s="361"/>
      <c r="N44" s="361"/>
      <c r="O44" s="361"/>
      <c r="P44" s="361"/>
      <c r="Q44" s="361"/>
      <c r="R44" s="361"/>
    </row>
    <row r="45" spans="1:18" ht="86.25" customHeight="1" thickBot="1">
      <c r="A45" s="353" t="s">
        <v>252</v>
      </c>
      <c r="B45" s="353"/>
      <c r="C45" s="353"/>
      <c r="D45" s="353"/>
      <c r="E45" s="353"/>
      <c r="F45" s="353"/>
      <c r="G45" s="311"/>
      <c r="H45" s="311"/>
      <c r="I45" s="143" t="s">
        <v>253</v>
      </c>
      <c r="J45" s="305" t="s">
        <v>254</v>
      </c>
      <c r="K45" s="363" t="s">
        <v>255</v>
      </c>
      <c r="L45" s="364"/>
      <c r="M45" s="357" t="s">
        <v>256</v>
      </c>
      <c r="N45" s="357" t="s">
        <v>257</v>
      </c>
      <c r="O45" s="357" t="s">
        <v>258</v>
      </c>
      <c r="P45" s="357" t="s">
        <v>259</v>
      </c>
      <c r="Q45" s="357" t="s">
        <v>260</v>
      </c>
      <c r="R45" s="362" t="s">
        <v>261</v>
      </c>
    </row>
    <row r="46" spans="1:18" ht="77.25" customHeight="1">
      <c r="A46" s="144" t="s">
        <v>262</v>
      </c>
      <c r="B46" s="354" t="s">
        <v>263</v>
      </c>
      <c r="C46" s="354"/>
      <c r="D46" s="145" t="s">
        <v>264</v>
      </c>
      <c r="E46" s="145" t="s">
        <v>265</v>
      </c>
      <c r="F46" s="145" t="s">
        <v>266</v>
      </c>
      <c r="G46" s="146" t="s">
        <v>267</v>
      </c>
      <c r="H46" s="146" t="s">
        <v>268</v>
      </c>
      <c r="I46" s="147" t="s">
        <v>269</v>
      </c>
      <c r="J46" s="147" t="s">
        <v>270</v>
      </c>
      <c r="K46" s="198" t="s">
        <v>271</v>
      </c>
      <c r="L46" s="198" t="s">
        <v>272</v>
      </c>
      <c r="M46" s="358"/>
      <c r="N46" s="358"/>
      <c r="O46" s="358"/>
      <c r="P46" s="358"/>
      <c r="Q46" s="358"/>
      <c r="R46" s="362"/>
    </row>
    <row r="47" spans="1:18">
      <c r="A47" s="34">
        <f>VLOOKUP(A40,'[1]LISTA DE OFERENTES'!$A$4:$F$82,5,FALSE)</f>
        <v>0</v>
      </c>
      <c r="B47" s="35"/>
      <c r="C47" s="35"/>
      <c r="D47" s="35"/>
      <c r="E47" s="35"/>
      <c r="F47" s="35"/>
      <c r="G47" s="35"/>
      <c r="H47" s="35"/>
      <c r="I47" s="35"/>
      <c r="J47" s="35"/>
      <c r="K47" s="35"/>
      <c r="L47" s="35"/>
      <c r="M47" s="35"/>
      <c r="N47" s="35"/>
      <c r="O47" s="35"/>
      <c r="P47" s="35"/>
      <c r="Q47" s="35"/>
      <c r="R47" s="36"/>
    </row>
    <row r="48" spans="1:18" s="14" customFormat="1" ht="150" customHeight="1">
      <c r="A48" s="178" t="s">
        <v>291</v>
      </c>
      <c r="B48" s="343" t="s">
        <v>292</v>
      </c>
      <c r="C48" s="343"/>
      <c r="D48" s="179">
        <v>14661105918</v>
      </c>
      <c r="E48" s="208">
        <v>2021</v>
      </c>
      <c r="F48" s="180">
        <f>D48/(VLOOKUP(E48,$D$929:$E$962,2,FALSE))</f>
        <v>16137.244193341743</v>
      </c>
      <c r="G48" s="209">
        <v>0.35</v>
      </c>
      <c r="H48" s="180"/>
      <c r="I48" s="210">
        <v>44255</v>
      </c>
      <c r="J48" s="211" t="s">
        <v>275</v>
      </c>
      <c r="K48" s="211" t="s">
        <v>276</v>
      </c>
      <c r="L48" s="212">
        <f>+H48</f>
        <v>0</v>
      </c>
      <c r="M48" s="213" t="s">
        <v>276</v>
      </c>
      <c r="N48" s="303" t="s">
        <v>276</v>
      </c>
      <c r="O48" s="303" t="s">
        <v>276</v>
      </c>
      <c r="P48" s="213" t="s">
        <v>276</v>
      </c>
      <c r="Q48" s="303" t="s">
        <v>276</v>
      </c>
      <c r="R48" s="216" t="s">
        <v>293</v>
      </c>
    </row>
    <row r="49" spans="1:18" s="14" customFormat="1" ht="146.25" customHeight="1">
      <c r="A49" s="181" t="s">
        <v>294</v>
      </c>
      <c r="B49" s="343" t="s">
        <v>295</v>
      </c>
      <c r="C49" s="343"/>
      <c r="D49" s="179">
        <v>1803380834</v>
      </c>
      <c r="E49" s="208">
        <v>2021</v>
      </c>
      <c r="F49" s="180">
        <f>D49/(VLOOKUP(E49,$D$929:$E$962,2,FALSE))</f>
        <v>1984.95236680073</v>
      </c>
      <c r="G49" s="215">
        <v>0.25</v>
      </c>
      <c r="H49" s="180"/>
      <c r="I49" s="210">
        <v>44341</v>
      </c>
      <c r="J49" s="211" t="s">
        <v>275</v>
      </c>
      <c r="K49" s="211" t="s">
        <v>276</v>
      </c>
      <c r="L49" s="212">
        <f>+H49</f>
        <v>0</v>
      </c>
      <c r="M49" s="213" t="s">
        <v>276</v>
      </c>
      <c r="N49" s="213" t="s">
        <v>276</v>
      </c>
      <c r="O49" s="303" t="s">
        <v>276</v>
      </c>
      <c r="P49" s="213" t="s">
        <v>276</v>
      </c>
      <c r="Q49" s="303" t="s">
        <v>276</v>
      </c>
      <c r="R49" s="216" t="s">
        <v>296</v>
      </c>
    </row>
    <row r="50" spans="1:18" s="14" customFormat="1" ht="48" customHeight="1" thickBot="1">
      <c r="A50" s="346" t="s">
        <v>284</v>
      </c>
      <c r="B50" s="346"/>
      <c r="C50" s="346"/>
      <c r="D50" s="346"/>
      <c r="E50" s="346"/>
      <c r="F50" s="45">
        <f>+SUM(F48:F49)</f>
        <v>18122.196560142474</v>
      </c>
      <c r="G50" s="45"/>
      <c r="H50" s="45">
        <f>+SUM(H48:H49)</f>
        <v>0</v>
      </c>
      <c r="I50" s="359"/>
      <c r="J50" s="360"/>
      <c r="K50" s="196"/>
      <c r="L50" s="196"/>
      <c r="M50" s="196"/>
      <c r="N50" s="196"/>
      <c r="O50" s="196"/>
      <c r="P50" s="304"/>
      <c r="Q50" s="304"/>
      <c r="R50" s="37" t="s">
        <v>276</v>
      </c>
    </row>
    <row r="51" spans="1:18" ht="16.5" thickBot="1">
      <c r="A51" s="3"/>
      <c r="B51" s="3"/>
      <c r="C51" s="3"/>
      <c r="D51" s="3"/>
      <c r="E51" s="3"/>
      <c r="F51" s="3"/>
      <c r="G51" s="3"/>
      <c r="H51" s="3"/>
      <c r="I51" s="3"/>
      <c r="J51" s="3"/>
      <c r="K51" s="3"/>
      <c r="L51" s="3"/>
      <c r="M51" s="3"/>
      <c r="N51" s="3"/>
      <c r="O51" s="4"/>
      <c r="P51" s="4"/>
      <c r="Q51" s="4"/>
      <c r="R51" s="4"/>
    </row>
    <row r="52" spans="1:18" ht="30.75" customHeight="1" thickBot="1">
      <c r="A52" s="347">
        <f>1+A40</f>
        <v>4</v>
      </c>
      <c r="B52" s="347"/>
      <c r="C52" s="347"/>
      <c r="D52" s="347"/>
      <c r="E52" s="361" t="str">
        <f>VLOOKUP(A52,'REQUISITOS HAB. TECNICOS'!$A$5:$B$66,2,FALSE)</f>
        <v>GRUPO METRO COLOMBIA SAS</v>
      </c>
      <c r="F52" s="361"/>
      <c r="G52" s="361"/>
      <c r="H52" s="361"/>
      <c r="I52" s="361"/>
      <c r="J52" s="361"/>
      <c r="K52" s="361"/>
      <c r="L52" s="361"/>
      <c r="M52" s="361"/>
      <c r="N52" s="361"/>
      <c r="O52" s="361"/>
      <c r="P52" s="361"/>
      <c r="Q52" s="361"/>
      <c r="R52" s="361"/>
    </row>
    <row r="53" spans="1:18" ht="50.25" customHeight="1" thickBot="1">
      <c r="A53" s="11" t="s">
        <v>247</v>
      </c>
      <c r="B53" s="76">
        <v>5</v>
      </c>
      <c r="C53" s="288" t="s">
        <v>248</v>
      </c>
      <c r="D53" s="344">
        <f>$D$899</f>
        <v>618.89671538461539</v>
      </c>
      <c r="E53" s="361"/>
      <c r="F53" s="361"/>
      <c r="G53" s="361"/>
      <c r="H53" s="361"/>
      <c r="I53" s="361"/>
      <c r="J53" s="361"/>
      <c r="K53" s="361"/>
      <c r="L53" s="361"/>
      <c r="M53" s="361"/>
      <c r="N53" s="361"/>
      <c r="O53" s="361"/>
      <c r="P53" s="361"/>
      <c r="Q53" s="361"/>
      <c r="R53" s="361"/>
    </row>
    <row r="54" spans="1:18" ht="23.25" customHeight="1" thickBot="1">
      <c r="A54" s="348" t="s">
        <v>249</v>
      </c>
      <c r="B54" s="348"/>
      <c r="C54" s="289">
        <f>+AVERAGE(H60:H64)</f>
        <v>2199.2607174990508</v>
      </c>
      <c r="D54" s="345"/>
      <c r="E54" s="361"/>
      <c r="F54" s="361"/>
      <c r="G54" s="361"/>
      <c r="H54" s="361"/>
      <c r="I54" s="361"/>
      <c r="J54" s="361"/>
      <c r="K54" s="361"/>
      <c r="L54" s="361"/>
      <c r="M54" s="361"/>
      <c r="N54" s="361"/>
      <c r="O54" s="361"/>
      <c r="P54" s="361"/>
      <c r="Q54" s="361"/>
      <c r="R54" s="361"/>
    </row>
    <row r="55" spans="1:18" ht="23.25" customHeight="1" thickBot="1">
      <c r="A55" s="349" t="s">
        <v>250</v>
      </c>
      <c r="B55" s="349"/>
      <c r="C55" s="350">
        <v>45631</v>
      </c>
      <c r="D55" s="350"/>
      <c r="E55" s="361"/>
      <c r="F55" s="361"/>
      <c r="G55" s="361"/>
      <c r="H55" s="361"/>
      <c r="I55" s="361"/>
      <c r="J55" s="361"/>
      <c r="K55" s="361"/>
      <c r="L55" s="361"/>
      <c r="M55" s="361"/>
      <c r="N55" s="361"/>
      <c r="O55" s="361"/>
      <c r="P55" s="361"/>
      <c r="Q55" s="361"/>
      <c r="R55" s="361"/>
    </row>
    <row r="56" spans="1:18" ht="38.25" customHeight="1" thickBot="1">
      <c r="A56" s="351" t="s">
        <v>251</v>
      </c>
      <c r="B56" s="351"/>
      <c r="C56" s="352" t="str">
        <f>+IF(H65&gt;D53,"CUMPLE","NO CUMPLE")</f>
        <v>CUMPLE</v>
      </c>
      <c r="D56" s="352"/>
      <c r="E56" s="361"/>
      <c r="F56" s="361"/>
      <c r="G56" s="361"/>
      <c r="H56" s="361"/>
      <c r="I56" s="361"/>
      <c r="J56" s="361"/>
      <c r="K56" s="361"/>
      <c r="L56" s="361"/>
      <c r="M56" s="361"/>
      <c r="N56" s="361"/>
      <c r="O56" s="361"/>
      <c r="P56" s="361"/>
      <c r="Q56" s="361"/>
      <c r="R56" s="361"/>
    </row>
    <row r="57" spans="1:18" ht="96" customHeight="1" thickBot="1">
      <c r="A57" s="353" t="s">
        <v>252</v>
      </c>
      <c r="B57" s="353"/>
      <c r="C57" s="353"/>
      <c r="D57" s="353"/>
      <c r="E57" s="353"/>
      <c r="F57" s="353"/>
      <c r="G57" s="311"/>
      <c r="H57" s="311"/>
      <c r="I57" s="143" t="s">
        <v>253</v>
      </c>
      <c r="J57" s="305" t="s">
        <v>254</v>
      </c>
      <c r="K57" s="363" t="s">
        <v>255</v>
      </c>
      <c r="L57" s="364"/>
      <c r="M57" s="357" t="s">
        <v>256</v>
      </c>
      <c r="N57" s="357" t="s">
        <v>257</v>
      </c>
      <c r="O57" s="357" t="s">
        <v>258</v>
      </c>
      <c r="P57" s="357" t="s">
        <v>259</v>
      </c>
      <c r="Q57" s="357" t="s">
        <v>260</v>
      </c>
      <c r="R57" s="362" t="s">
        <v>261</v>
      </c>
    </row>
    <row r="58" spans="1:18" ht="77.25" customHeight="1">
      <c r="A58" s="144" t="s">
        <v>262</v>
      </c>
      <c r="B58" s="354" t="s">
        <v>263</v>
      </c>
      <c r="C58" s="354"/>
      <c r="D58" s="145" t="s">
        <v>264</v>
      </c>
      <c r="E58" s="145" t="s">
        <v>265</v>
      </c>
      <c r="F58" s="145" t="s">
        <v>266</v>
      </c>
      <c r="G58" s="146" t="s">
        <v>267</v>
      </c>
      <c r="H58" s="146" t="s">
        <v>268</v>
      </c>
      <c r="I58" s="147" t="s">
        <v>269</v>
      </c>
      <c r="J58" s="147" t="s">
        <v>270</v>
      </c>
      <c r="K58" s="198" t="s">
        <v>271</v>
      </c>
      <c r="L58" s="198" t="s">
        <v>272</v>
      </c>
      <c r="M58" s="358"/>
      <c r="N58" s="358"/>
      <c r="O58" s="358"/>
      <c r="P58" s="358"/>
      <c r="Q58" s="358"/>
      <c r="R58" s="362"/>
    </row>
    <row r="59" spans="1:18">
      <c r="A59" s="34" t="str">
        <f>VLOOKUP(A52,'LISTA DE OFERENTES'!$A$4:$F$82,5,FALSE)</f>
        <v>GRUPO METRO COLOMBIA SAS (100%)</v>
      </c>
      <c r="B59" s="35"/>
      <c r="C59" s="35"/>
      <c r="D59" s="35"/>
      <c r="E59" s="35"/>
      <c r="F59" s="35"/>
      <c r="G59" s="35"/>
      <c r="H59" s="35"/>
      <c r="I59" s="35"/>
      <c r="J59" s="35"/>
      <c r="K59" s="35"/>
      <c r="L59" s="35"/>
      <c r="M59" s="35"/>
      <c r="N59" s="35"/>
      <c r="O59" s="35"/>
      <c r="P59" s="35"/>
      <c r="Q59" s="35"/>
      <c r="R59" s="36"/>
    </row>
    <row r="60" spans="1:18" s="14" customFormat="1" ht="60">
      <c r="A60" s="178" t="s">
        <v>297</v>
      </c>
      <c r="B60" s="343" t="s">
        <v>298</v>
      </c>
      <c r="C60" s="343"/>
      <c r="D60" s="179">
        <v>152549000</v>
      </c>
      <c r="E60" s="208">
        <v>2003</v>
      </c>
      <c r="F60" s="180">
        <f>D60/(VLOOKUP(E60,$D$929:$E$962,2,FALSE))</f>
        <v>459.48493975903614</v>
      </c>
      <c r="G60" s="209">
        <v>0.33</v>
      </c>
      <c r="H60" s="180">
        <f>F60*G60</f>
        <v>151.63003012048193</v>
      </c>
      <c r="I60" s="210">
        <v>37956</v>
      </c>
      <c r="J60" s="211" t="s">
        <v>275</v>
      </c>
      <c r="K60" s="211" t="s">
        <v>275</v>
      </c>
      <c r="L60" s="212">
        <f>IF(K60="CUMPLE",H60,0)</f>
        <v>151.63003012048193</v>
      </c>
      <c r="M60" s="213" t="s">
        <v>275</v>
      </c>
      <c r="N60" s="213" t="s">
        <v>275</v>
      </c>
      <c r="O60" s="303" t="s">
        <v>275</v>
      </c>
      <c r="P60" s="213" t="s">
        <v>275</v>
      </c>
      <c r="Q60" s="213" t="s">
        <v>275</v>
      </c>
      <c r="R60" s="141"/>
    </row>
    <row r="61" spans="1:18" s="14" customFormat="1" ht="73.5" customHeight="1">
      <c r="A61" s="181" t="s">
        <v>299</v>
      </c>
      <c r="B61" s="343" t="s">
        <v>298</v>
      </c>
      <c r="C61" s="343"/>
      <c r="D61" s="179">
        <v>394780082</v>
      </c>
      <c r="E61" s="208">
        <v>2005</v>
      </c>
      <c r="F61" s="180">
        <f>D61/(VLOOKUP(E61,$D$929:$E$962,2,FALSE))</f>
        <v>1034.8101756225426</v>
      </c>
      <c r="G61" s="215">
        <v>1</v>
      </c>
      <c r="H61" s="180">
        <f>F61*G61</f>
        <v>1034.8101756225426</v>
      </c>
      <c r="I61" s="210">
        <v>38415</v>
      </c>
      <c r="J61" s="211" t="s">
        <v>275</v>
      </c>
      <c r="K61" s="211" t="s">
        <v>275</v>
      </c>
      <c r="L61" s="212">
        <f t="shared" ref="L61:L64" si="7">IF(K61="CUMPLE",H61,0)</f>
        <v>1034.8101756225426</v>
      </c>
      <c r="M61" s="213" t="s">
        <v>275</v>
      </c>
      <c r="N61" s="213" t="s">
        <v>275</v>
      </c>
      <c r="O61" s="303" t="s">
        <v>275</v>
      </c>
      <c r="P61" s="303" t="s">
        <v>276</v>
      </c>
      <c r="Q61" s="303" t="s">
        <v>276</v>
      </c>
      <c r="R61" s="141"/>
    </row>
    <row r="62" spans="1:18" s="14" customFormat="1" ht="67.5" customHeight="1">
      <c r="A62" s="181" t="s">
        <v>300</v>
      </c>
      <c r="B62" s="343" t="s">
        <v>298</v>
      </c>
      <c r="C62" s="343"/>
      <c r="D62" s="179">
        <v>594372400</v>
      </c>
      <c r="E62" s="208">
        <v>2007</v>
      </c>
      <c r="F62" s="180">
        <f>D62/(VLOOKUP(E62,$D$929:$E$962,2,FALSE))</f>
        <v>1370.4689877795711</v>
      </c>
      <c r="G62" s="215">
        <v>1</v>
      </c>
      <c r="H62" s="180">
        <f>F62*G62</f>
        <v>1370.4689877795711</v>
      </c>
      <c r="I62" s="210">
        <v>39286</v>
      </c>
      <c r="J62" s="211" t="s">
        <v>275</v>
      </c>
      <c r="K62" s="211" t="s">
        <v>275</v>
      </c>
      <c r="L62" s="212">
        <f t="shared" si="7"/>
        <v>1370.4689877795711</v>
      </c>
      <c r="M62" s="213" t="s">
        <v>275</v>
      </c>
      <c r="N62" s="213" t="s">
        <v>275</v>
      </c>
      <c r="O62" s="303" t="s">
        <v>275</v>
      </c>
      <c r="P62" s="213" t="s">
        <v>275</v>
      </c>
      <c r="Q62" s="303" t="s">
        <v>276</v>
      </c>
      <c r="R62" s="141"/>
    </row>
    <row r="63" spans="1:18" ht="82.5" customHeight="1">
      <c r="A63" s="178" t="s">
        <v>301</v>
      </c>
      <c r="B63" s="343" t="s">
        <v>302</v>
      </c>
      <c r="C63" s="343"/>
      <c r="D63" s="179">
        <v>4737162370</v>
      </c>
      <c r="E63" s="208">
        <v>2015</v>
      </c>
      <c r="F63" s="180">
        <f>D63/(VLOOKUP(E63,$D$929:$E$962,2,FALSE))</f>
        <v>7351.8466206254361</v>
      </c>
      <c r="G63" s="209">
        <v>0.9</v>
      </c>
      <c r="H63" s="180">
        <f>F63*G63</f>
        <v>6616.6619585628923</v>
      </c>
      <c r="I63" s="210">
        <v>42094</v>
      </c>
      <c r="J63" s="211" t="s">
        <v>275</v>
      </c>
      <c r="K63" s="211" t="s">
        <v>275</v>
      </c>
      <c r="L63" s="212">
        <f t="shared" si="7"/>
        <v>6616.6619585628923</v>
      </c>
      <c r="M63" s="213" t="s">
        <v>275</v>
      </c>
      <c r="N63" s="213" t="s">
        <v>275</v>
      </c>
      <c r="O63" s="303" t="s">
        <v>276</v>
      </c>
      <c r="P63" s="213" t="s">
        <v>275</v>
      </c>
      <c r="Q63" s="303" t="s">
        <v>276</v>
      </c>
      <c r="R63" s="141"/>
    </row>
    <row r="64" spans="1:18" s="14" customFormat="1" ht="96" customHeight="1">
      <c r="A64" s="178" t="s">
        <v>303</v>
      </c>
      <c r="B64" s="343" t="s">
        <v>304</v>
      </c>
      <c r="C64" s="356"/>
      <c r="D64" s="179">
        <v>1600000000</v>
      </c>
      <c r="E64" s="208">
        <v>2020</v>
      </c>
      <c r="F64" s="180">
        <f>D64/(VLOOKUP(E64,$D$929:$E$962,2,FALSE))</f>
        <v>1822.7324354097673</v>
      </c>
      <c r="G64" s="209">
        <v>1</v>
      </c>
      <c r="H64" s="180">
        <f>F64*G64</f>
        <v>1822.7324354097673</v>
      </c>
      <c r="I64" s="210">
        <v>43875</v>
      </c>
      <c r="J64" s="211" t="s">
        <v>275</v>
      </c>
      <c r="K64" s="211" t="s">
        <v>275</v>
      </c>
      <c r="L64" s="212">
        <f t="shared" si="7"/>
        <v>1822.7324354097673</v>
      </c>
      <c r="M64" s="213" t="s">
        <v>275</v>
      </c>
      <c r="N64" s="213" t="s">
        <v>275</v>
      </c>
      <c r="O64" s="303" t="s">
        <v>275</v>
      </c>
      <c r="P64" s="213" t="s">
        <v>275</v>
      </c>
      <c r="Q64" s="303" t="s">
        <v>276</v>
      </c>
      <c r="R64" s="141"/>
    </row>
    <row r="65" spans="1:18" s="14" customFormat="1" ht="48" customHeight="1" thickBot="1">
      <c r="A65" s="346" t="s">
        <v>284</v>
      </c>
      <c r="B65" s="346"/>
      <c r="C65" s="346"/>
      <c r="D65" s="346"/>
      <c r="E65" s="346"/>
      <c r="F65" s="45">
        <f>+SUM(F60:F64)</f>
        <v>12039.343159196354</v>
      </c>
      <c r="G65" s="45"/>
      <c r="H65" s="45">
        <f>+SUM(H60:H64)</f>
        <v>10996.303587495255</v>
      </c>
      <c r="I65" s="359"/>
      <c r="J65" s="360"/>
      <c r="K65" s="196"/>
      <c r="L65" s="196"/>
      <c r="M65" s="196"/>
      <c r="N65" s="196"/>
      <c r="O65" s="196"/>
      <c r="P65" s="304"/>
      <c r="Q65" s="304"/>
      <c r="R65" s="37" t="s">
        <v>275</v>
      </c>
    </row>
    <row r="66" spans="1:18">
      <c r="A66" s="3"/>
      <c r="B66" s="3"/>
      <c r="C66" s="3"/>
      <c r="D66" s="3"/>
      <c r="E66" s="3"/>
      <c r="F66" s="3"/>
      <c r="G66" s="3"/>
      <c r="H66" s="3"/>
      <c r="I66" s="3"/>
      <c r="J66" s="3"/>
      <c r="K66" s="3"/>
      <c r="L66" s="3"/>
      <c r="M66" s="3"/>
      <c r="N66" s="3"/>
      <c r="O66" s="4"/>
      <c r="P66" s="4"/>
      <c r="Q66" s="4"/>
      <c r="R66" s="4"/>
    </row>
    <row r="67" spans="1:18" ht="30.75" customHeight="1">
      <c r="A67" s="396">
        <f>1+A52</f>
        <v>5</v>
      </c>
      <c r="B67" s="396"/>
      <c r="C67" s="396"/>
      <c r="D67" s="396"/>
      <c r="E67" s="400" t="str">
        <f>VLOOKUP(A67,'REQUISITOS HAB. TECNICOS'!$A$5:$B$66,2,FALSE)</f>
        <v>CONSORCIO INTER CGS F1</v>
      </c>
      <c r="F67" s="401"/>
      <c r="G67" s="401"/>
      <c r="H67" s="401"/>
      <c r="I67" s="401"/>
      <c r="J67" s="401"/>
      <c r="K67" s="401"/>
      <c r="L67" s="401"/>
      <c r="M67" s="401"/>
      <c r="N67" s="401"/>
      <c r="O67" s="401"/>
      <c r="P67" s="401"/>
      <c r="Q67" s="401"/>
      <c r="R67" s="402"/>
    </row>
    <row r="68" spans="1:18" ht="50.25" customHeight="1">
      <c r="A68" s="298" t="s">
        <v>247</v>
      </c>
      <c r="B68" s="299">
        <v>5</v>
      </c>
      <c r="C68" s="300" t="s">
        <v>248</v>
      </c>
      <c r="D68" s="366">
        <f>$D$899</f>
        <v>618.89671538461539</v>
      </c>
      <c r="E68" s="403"/>
      <c r="F68" s="361"/>
      <c r="G68" s="361"/>
      <c r="H68" s="361"/>
      <c r="I68" s="361"/>
      <c r="J68" s="361"/>
      <c r="K68" s="361"/>
      <c r="L68" s="361"/>
      <c r="M68" s="361"/>
      <c r="N68" s="361"/>
      <c r="O68" s="361"/>
      <c r="P68" s="361"/>
      <c r="Q68" s="361"/>
      <c r="R68" s="404"/>
    </row>
    <row r="69" spans="1:18" ht="23.25" customHeight="1">
      <c r="A69" s="397" t="s">
        <v>249</v>
      </c>
      <c r="B69" s="348"/>
      <c r="C69" s="289">
        <f>+AVERAGE(H75:H80)</f>
        <v>2283.3173471642058</v>
      </c>
      <c r="D69" s="367"/>
      <c r="E69" s="403"/>
      <c r="F69" s="361"/>
      <c r="G69" s="361"/>
      <c r="H69" s="361"/>
      <c r="I69" s="361"/>
      <c r="J69" s="361"/>
      <c r="K69" s="361"/>
      <c r="L69" s="361"/>
      <c r="M69" s="361"/>
      <c r="N69" s="361"/>
      <c r="O69" s="361"/>
      <c r="P69" s="361"/>
      <c r="Q69" s="361"/>
      <c r="R69" s="404"/>
    </row>
    <row r="70" spans="1:18" ht="23.25" customHeight="1">
      <c r="A70" s="408" t="s">
        <v>250</v>
      </c>
      <c r="B70" s="349"/>
      <c r="C70" s="350">
        <v>45631</v>
      </c>
      <c r="D70" s="374"/>
      <c r="E70" s="403"/>
      <c r="F70" s="361"/>
      <c r="G70" s="361"/>
      <c r="H70" s="361"/>
      <c r="I70" s="361"/>
      <c r="J70" s="361"/>
      <c r="K70" s="361"/>
      <c r="L70" s="361"/>
      <c r="M70" s="361"/>
      <c r="N70" s="361"/>
      <c r="O70" s="361"/>
      <c r="P70" s="361"/>
      <c r="Q70" s="361"/>
      <c r="R70" s="404"/>
    </row>
    <row r="71" spans="1:18" ht="38.25" customHeight="1">
      <c r="A71" s="375" t="s">
        <v>251</v>
      </c>
      <c r="B71" s="376"/>
      <c r="C71" s="377" t="str">
        <f>+IF(H81&gt;D68,"CUMPLE","NO CUMPLE")</f>
        <v>CUMPLE</v>
      </c>
      <c r="D71" s="378"/>
      <c r="E71" s="405"/>
      <c r="F71" s="406"/>
      <c r="G71" s="406"/>
      <c r="H71" s="406"/>
      <c r="I71" s="406"/>
      <c r="J71" s="406"/>
      <c r="K71" s="406"/>
      <c r="L71" s="406"/>
      <c r="M71" s="406"/>
      <c r="N71" s="406"/>
      <c r="O71" s="406"/>
      <c r="P71" s="406"/>
      <c r="Q71" s="406"/>
      <c r="R71" s="407"/>
    </row>
    <row r="72" spans="1:18" ht="97.5" customHeight="1">
      <c r="A72" s="395" t="s">
        <v>252</v>
      </c>
      <c r="B72" s="395"/>
      <c r="C72" s="395"/>
      <c r="D72" s="395"/>
      <c r="E72" s="395"/>
      <c r="F72" s="395"/>
      <c r="G72" s="296"/>
      <c r="H72" s="296"/>
      <c r="I72" s="297" t="s">
        <v>253</v>
      </c>
      <c r="J72" s="310" t="s">
        <v>254</v>
      </c>
      <c r="K72" s="398" t="s">
        <v>255</v>
      </c>
      <c r="L72" s="399"/>
      <c r="M72" s="379" t="s">
        <v>256</v>
      </c>
      <c r="N72" s="379" t="s">
        <v>257</v>
      </c>
      <c r="O72" s="379" t="s">
        <v>258</v>
      </c>
      <c r="P72" s="379" t="s">
        <v>259</v>
      </c>
      <c r="Q72" s="379" t="s">
        <v>260</v>
      </c>
      <c r="R72" s="380" t="s">
        <v>261</v>
      </c>
    </row>
    <row r="73" spans="1:18" ht="77.25" customHeight="1">
      <c r="A73" s="144" t="s">
        <v>262</v>
      </c>
      <c r="B73" s="354" t="s">
        <v>263</v>
      </c>
      <c r="C73" s="354"/>
      <c r="D73" s="145" t="s">
        <v>264</v>
      </c>
      <c r="E73" s="145" t="s">
        <v>265</v>
      </c>
      <c r="F73" s="145" t="s">
        <v>266</v>
      </c>
      <c r="G73" s="146" t="s">
        <v>267</v>
      </c>
      <c r="H73" s="146" t="s">
        <v>268</v>
      </c>
      <c r="I73" s="147" t="s">
        <v>269</v>
      </c>
      <c r="J73" s="147" t="s">
        <v>270</v>
      </c>
      <c r="K73" s="198" t="s">
        <v>271</v>
      </c>
      <c r="L73" s="198" t="s">
        <v>272</v>
      </c>
      <c r="M73" s="358"/>
      <c r="N73" s="358"/>
      <c r="O73" s="358"/>
      <c r="P73" s="358"/>
      <c r="Q73" s="358"/>
      <c r="R73" s="362"/>
    </row>
    <row r="74" spans="1:18">
      <c r="A74" s="34" t="str">
        <f>VLOOKUP(A67,'[1]LISTA DE OFERENTES'!$A$4:$F$82,5,FALSE)</f>
        <v>CONSULTORIA VIAL S.A.S 50%</v>
      </c>
      <c r="B74" s="35"/>
      <c r="C74" s="35"/>
      <c r="D74" s="35"/>
      <c r="E74" s="35"/>
      <c r="F74" s="35"/>
      <c r="G74" s="35"/>
      <c r="H74" s="35"/>
      <c r="I74" s="35"/>
      <c r="J74" s="35"/>
      <c r="K74" s="35"/>
      <c r="L74" s="35"/>
      <c r="M74" s="35"/>
      <c r="N74" s="35"/>
      <c r="O74" s="35"/>
      <c r="P74" s="35"/>
      <c r="Q74" s="35"/>
      <c r="R74" s="36"/>
    </row>
    <row r="75" spans="1:18" s="14" customFormat="1" ht="45">
      <c r="A75" s="178" t="s">
        <v>305</v>
      </c>
      <c r="B75" s="343" t="s">
        <v>306</v>
      </c>
      <c r="C75" s="343"/>
      <c r="D75" s="179">
        <v>2615214710</v>
      </c>
      <c r="E75" s="208">
        <v>2020</v>
      </c>
      <c r="F75" s="180">
        <f>D75/(VLOOKUP(E75,$D$929:$E$962,2,FALSE))</f>
        <v>2979.2729234235926</v>
      </c>
      <c r="G75" s="209">
        <v>0.9</v>
      </c>
      <c r="H75" s="180">
        <f>F75*G75</f>
        <v>2681.3456310812335</v>
      </c>
      <c r="I75" s="210">
        <v>44196</v>
      </c>
      <c r="J75" s="211" t="s">
        <v>275</v>
      </c>
      <c r="K75" s="211" t="s">
        <v>275</v>
      </c>
      <c r="L75" s="212">
        <f>IF(K75="CUMPLE",H75,0)</f>
        <v>2681.3456310812335</v>
      </c>
      <c r="M75" s="213" t="s">
        <v>275</v>
      </c>
      <c r="N75" s="213" t="s">
        <v>275</v>
      </c>
      <c r="O75" s="213" t="s">
        <v>276</v>
      </c>
      <c r="P75" s="213" t="s">
        <v>276</v>
      </c>
      <c r="Q75" s="303" t="s">
        <v>276</v>
      </c>
      <c r="R75" s="216"/>
    </row>
    <row r="76" spans="1:18" s="14" customFormat="1" ht="60">
      <c r="A76" s="181" t="s">
        <v>307</v>
      </c>
      <c r="B76" s="343" t="s">
        <v>306</v>
      </c>
      <c r="C76" s="343"/>
      <c r="D76" s="179">
        <v>1734708931</v>
      </c>
      <c r="E76" s="208">
        <v>2019</v>
      </c>
      <c r="F76" s="180">
        <f>D76/(VLOOKUP(E76,$D$929:$E$962,2,FALSE))</f>
        <v>2094.7656258301977</v>
      </c>
      <c r="G76" s="215">
        <v>0.9</v>
      </c>
      <c r="H76" s="180">
        <f>F76*G76</f>
        <v>1885.2890632471779</v>
      </c>
      <c r="I76" s="210">
        <v>43731</v>
      </c>
      <c r="J76" s="211" t="s">
        <v>275</v>
      </c>
      <c r="K76" s="211" t="s">
        <v>275</v>
      </c>
      <c r="L76" s="212">
        <f t="shared" ref="L76:L80" si="8">IF(K76="CUMPLE",H76,0)</f>
        <v>1885.2890632471779</v>
      </c>
      <c r="M76" s="213" t="s">
        <v>275</v>
      </c>
      <c r="N76" s="213" t="s">
        <v>275</v>
      </c>
      <c r="O76" s="213" t="s">
        <v>276</v>
      </c>
      <c r="P76" s="224" t="s">
        <v>276</v>
      </c>
      <c r="Q76" s="303" t="s">
        <v>276</v>
      </c>
      <c r="R76" s="216"/>
    </row>
    <row r="77" spans="1:18" s="14" customFormat="1">
      <c r="A77" s="258" t="str">
        <f>VLOOKUP(A67,'[1]LISTA DE OFERENTES'!$A$4:$F$82,6,FALSE)</f>
        <v>GRUPO INFRAESTRUCTURA COLOMBIA SAS 40%</v>
      </c>
      <c r="B77" s="226"/>
      <c r="C77" s="226"/>
      <c r="D77" s="226"/>
      <c r="E77" s="226"/>
      <c r="F77" s="228"/>
      <c r="G77" s="228"/>
      <c r="H77" s="226"/>
      <c r="I77" s="226"/>
      <c r="J77" s="226"/>
      <c r="K77" s="226"/>
      <c r="L77" s="226"/>
      <c r="M77" s="226"/>
      <c r="N77" s="226"/>
      <c r="O77" s="229"/>
      <c r="P77" s="226"/>
      <c r="Q77" s="226"/>
      <c r="R77" s="226"/>
    </row>
    <row r="78" spans="1:18" ht="165.75" customHeight="1">
      <c r="A78" s="178" t="s">
        <v>308</v>
      </c>
      <c r="B78" s="343" t="s">
        <v>274</v>
      </c>
      <c r="C78" s="343"/>
      <c r="D78" s="179">
        <v>7475633600</v>
      </c>
      <c r="E78" s="208">
        <v>2018</v>
      </c>
      <c r="F78" s="180">
        <f>D78/(VLOOKUP(E78,$D$929:$E$962,2,FALSE))</f>
        <v>9568.9089936280943</v>
      </c>
      <c r="G78" s="209">
        <v>0.3</v>
      </c>
      <c r="H78" s="180"/>
      <c r="I78" s="210">
        <v>43357</v>
      </c>
      <c r="J78" s="211" t="s">
        <v>275</v>
      </c>
      <c r="K78" s="303" t="s">
        <v>276</v>
      </c>
      <c r="L78" s="212">
        <f t="shared" si="8"/>
        <v>0</v>
      </c>
      <c r="M78" s="303" t="s">
        <v>276</v>
      </c>
      <c r="N78" s="303" t="s">
        <v>276</v>
      </c>
      <c r="O78" s="303" t="s">
        <v>276</v>
      </c>
      <c r="P78" s="303" t="s">
        <v>276</v>
      </c>
      <c r="Q78" s="303" t="s">
        <v>276</v>
      </c>
      <c r="R78" s="216" t="s">
        <v>309</v>
      </c>
    </row>
    <row r="79" spans="1:18" s="14" customFormat="1" ht="145.5" customHeight="1">
      <c r="A79" s="178" t="s">
        <v>310</v>
      </c>
      <c r="B79" s="343" t="s">
        <v>274</v>
      </c>
      <c r="C79" s="343"/>
      <c r="D79" s="179">
        <v>6114709815</v>
      </c>
      <c r="E79" s="208">
        <v>2019</v>
      </c>
      <c r="F79" s="180">
        <f>D79/(VLOOKUP(E79,$D$929:$E$962,2,FALSE))</f>
        <v>7383.8807787797841</v>
      </c>
      <c r="G79" s="209">
        <v>0.2</v>
      </c>
      <c r="H79" s="180"/>
      <c r="I79" s="210">
        <v>43629</v>
      </c>
      <c r="J79" s="211" t="s">
        <v>275</v>
      </c>
      <c r="K79" s="211" t="s">
        <v>276</v>
      </c>
      <c r="L79" s="212">
        <f t="shared" si="8"/>
        <v>0</v>
      </c>
      <c r="M79" s="213" t="s">
        <v>311</v>
      </c>
      <c r="N79" s="213" t="s">
        <v>311</v>
      </c>
      <c r="O79" s="303" t="s">
        <v>276</v>
      </c>
      <c r="P79" s="213" t="s">
        <v>311</v>
      </c>
      <c r="Q79" s="303" t="s">
        <v>276</v>
      </c>
      <c r="R79" s="216" t="s">
        <v>312</v>
      </c>
    </row>
    <row r="80" spans="1:18" s="14" customFormat="1" ht="90.75" customHeight="1">
      <c r="A80" s="178" t="s">
        <v>313</v>
      </c>
      <c r="B80" s="343" t="s">
        <v>274</v>
      </c>
      <c r="C80" s="343"/>
      <c r="D80" s="179">
        <v>11275841513</v>
      </c>
      <c r="E80" s="208">
        <v>2021</v>
      </c>
      <c r="F80" s="180">
        <f>D80/(VLOOKUP(E80,$D$929:$E$962,2,FALSE))</f>
        <v>12411.137945419283</v>
      </c>
      <c r="G80" s="209">
        <v>0.1</v>
      </c>
      <c r="H80" s="180"/>
      <c r="I80" s="210">
        <v>44347</v>
      </c>
      <c r="J80" s="211" t="s">
        <v>275</v>
      </c>
      <c r="K80" s="211" t="s">
        <v>276</v>
      </c>
      <c r="L80" s="212">
        <f t="shared" si="8"/>
        <v>0</v>
      </c>
      <c r="M80" s="213" t="s">
        <v>311</v>
      </c>
      <c r="N80" s="213" t="s">
        <v>275</v>
      </c>
      <c r="O80" s="303" t="s">
        <v>275</v>
      </c>
      <c r="P80" s="213" t="s">
        <v>275</v>
      </c>
      <c r="Q80" s="303" t="s">
        <v>275</v>
      </c>
      <c r="R80" s="216" t="s">
        <v>314</v>
      </c>
    </row>
    <row r="81" spans="1:18" s="14" customFormat="1" ht="48" customHeight="1" thickBot="1">
      <c r="A81" s="346" t="s">
        <v>284</v>
      </c>
      <c r="B81" s="346"/>
      <c r="C81" s="346"/>
      <c r="D81" s="346"/>
      <c r="E81" s="346"/>
      <c r="F81" s="45">
        <f>+SUM(F75:F80)</f>
        <v>34437.966267080948</v>
      </c>
      <c r="G81" s="45"/>
      <c r="H81" s="45">
        <f>+SUM(H75:H80)</f>
        <v>4566.6346943284116</v>
      </c>
      <c r="I81" s="359"/>
      <c r="J81" s="360"/>
      <c r="K81" s="196"/>
      <c r="L81" s="196"/>
      <c r="M81" s="196"/>
      <c r="N81" s="196"/>
      <c r="O81" s="196"/>
      <c r="P81" s="304"/>
      <c r="Q81" s="304"/>
      <c r="R81" s="37" t="s">
        <v>276</v>
      </c>
    </row>
    <row r="82" spans="1:18" ht="16.5" thickBot="1">
      <c r="A82" s="3"/>
      <c r="B82" s="3"/>
      <c r="C82" s="3"/>
      <c r="D82" s="3"/>
      <c r="E82" s="3"/>
      <c r="F82" s="3"/>
      <c r="G82" s="3"/>
      <c r="H82" s="3"/>
      <c r="I82" s="3"/>
      <c r="J82" s="3"/>
      <c r="K82" s="3"/>
      <c r="L82" s="3"/>
      <c r="M82" s="3"/>
      <c r="N82" s="3"/>
      <c r="O82" s="4"/>
      <c r="P82" s="4"/>
      <c r="Q82" s="4"/>
      <c r="R82" s="4"/>
    </row>
    <row r="83" spans="1:18" ht="30.75" customHeight="1" thickBot="1">
      <c r="A83" s="347">
        <f>1+A67</f>
        <v>6</v>
      </c>
      <c r="B83" s="347"/>
      <c r="C83" s="347"/>
      <c r="D83" s="347"/>
      <c r="E83" s="361" t="str">
        <f>VLOOKUP(A83,'REQUISITOS HAB. TECNICOS'!$A$5:$B$66,2,FALSE)</f>
        <v>INGENIEROS CONSTRUCTORES Y ASESORES SAS</v>
      </c>
      <c r="F83" s="361"/>
      <c r="G83" s="361"/>
      <c r="H83" s="361"/>
      <c r="I83" s="361"/>
      <c r="J83" s="361"/>
      <c r="K83" s="361"/>
      <c r="L83" s="361"/>
      <c r="M83" s="361"/>
      <c r="N83" s="361"/>
      <c r="O83" s="361"/>
      <c r="P83" s="361"/>
      <c r="Q83" s="361"/>
      <c r="R83" s="361"/>
    </row>
    <row r="84" spans="1:18" ht="50.25" customHeight="1" thickBot="1">
      <c r="A84" s="11" t="s">
        <v>247</v>
      </c>
      <c r="B84" s="76">
        <v>3</v>
      </c>
      <c r="C84" s="288" t="s">
        <v>248</v>
      </c>
      <c r="D84" s="344">
        <f>$D$899</f>
        <v>618.89671538461539</v>
      </c>
      <c r="E84" s="361"/>
      <c r="F84" s="361"/>
      <c r="G84" s="361"/>
      <c r="H84" s="361"/>
      <c r="I84" s="361"/>
      <c r="J84" s="361"/>
      <c r="K84" s="361"/>
      <c r="L84" s="361"/>
      <c r="M84" s="361"/>
      <c r="N84" s="361"/>
      <c r="O84" s="361"/>
      <c r="P84" s="361"/>
      <c r="Q84" s="361"/>
      <c r="R84" s="361"/>
    </row>
    <row r="85" spans="1:18" ht="23.25" customHeight="1" thickBot="1">
      <c r="A85" s="348" t="s">
        <v>249</v>
      </c>
      <c r="B85" s="348"/>
      <c r="C85" s="289">
        <f>+AVERAGE(H91:H93)</f>
        <v>911.90592269211936</v>
      </c>
      <c r="D85" s="345"/>
      <c r="E85" s="361"/>
      <c r="F85" s="361"/>
      <c r="G85" s="361"/>
      <c r="H85" s="361"/>
      <c r="I85" s="361"/>
      <c r="J85" s="361"/>
      <c r="K85" s="361"/>
      <c r="L85" s="361"/>
      <c r="M85" s="361"/>
      <c r="N85" s="361"/>
      <c r="O85" s="361"/>
      <c r="P85" s="361"/>
      <c r="Q85" s="361"/>
      <c r="R85" s="361"/>
    </row>
    <row r="86" spans="1:18" ht="23.25" customHeight="1" thickBot="1">
      <c r="A86" s="349" t="s">
        <v>250</v>
      </c>
      <c r="B86" s="349"/>
      <c r="C86" s="350">
        <v>45631</v>
      </c>
      <c r="D86" s="350"/>
      <c r="E86" s="361"/>
      <c r="F86" s="361"/>
      <c r="G86" s="361"/>
      <c r="H86" s="361"/>
      <c r="I86" s="361"/>
      <c r="J86" s="361"/>
      <c r="K86" s="361"/>
      <c r="L86" s="361"/>
      <c r="M86" s="361"/>
      <c r="N86" s="361"/>
      <c r="O86" s="361"/>
      <c r="P86" s="361"/>
      <c r="Q86" s="361"/>
      <c r="R86" s="361"/>
    </row>
    <row r="87" spans="1:18" ht="38.25" customHeight="1" thickBot="1">
      <c r="A87" s="351" t="s">
        <v>251</v>
      </c>
      <c r="B87" s="351"/>
      <c r="C87" s="352" t="str">
        <f>+IF(H94&gt;D84,"CUMPLE","NO CUMPLE")</f>
        <v>CUMPLE</v>
      </c>
      <c r="D87" s="352"/>
      <c r="E87" s="361"/>
      <c r="F87" s="361"/>
      <c r="G87" s="361"/>
      <c r="H87" s="361"/>
      <c r="I87" s="361"/>
      <c r="J87" s="361"/>
      <c r="K87" s="361"/>
      <c r="L87" s="361"/>
      <c r="M87" s="361"/>
      <c r="N87" s="361"/>
      <c r="O87" s="361"/>
      <c r="P87" s="361"/>
      <c r="Q87" s="361"/>
      <c r="R87" s="361"/>
    </row>
    <row r="88" spans="1:18" ht="87" customHeight="1" thickBot="1">
      <c r="A88" s="353" t="s">
        <v>252</v>
      </c>
      <c r="B88" s="353"/>
      <c r="C88" s="353"/>
      <c r="D88" s="353"/>
      <c r="E88" s="353"/>
      <c r="F88" s="353"/>
      <c r="G88" s="311"/>
      <c r="H88" s="311"/>
      <c r="I88" s="143" t="s">
        <v>253</v>
      </c>
      <c r="J88" s="305" t="s">
        <v>254</v>
      </c>
      <c r="K88" s="363" t="s">
        <v>255</v>
      </c>
      <c r="L88" s="364"/>
      <c r="M88" s="357" t="s">
        <v>315</v>
      </c>
      <c r="N88" s="357" t="s">
        <v>257</v>
      </c>
      <c r="O88" s="357" t="s">
        <v>258</v>
      </c>
      <c r="P88" s="357" t="s">
        <v>259</v>
      </c>
      <c r="Q88" s="357" t="s">
        <v>260</v>
      </c>
      <c r="R88" s="362" t="s">
        <v>261</v>
      </c>
    </row>
    <row r="89" spans="1:18" ht="77.25" customHeight="1">
      <c r="A89" s="144" t="s">
        <v>262</v>
      </c>
      <c r="B89" s="354" t="s">
        <v>263</v>
      </c>
      <c r="C89" s="354"/>
      <c r="D89" s="145" t="s">
        <v>264</v>
      </c>
      <c r="E89" s="145" t="s">
        <v>265</v>
      </c>
      <c r="F89" s="145" t="s">
        <v>266</v>
      </c>
      <c r="G89" s="146" t="s">
        <v>267</v>
      </c>
      <c r="H89" s="146" t="s">
        <v>268</v>
      </c>
      <c r="I89" s="147" t="s">
        <v>269</v>
      </c>
      <c r="J89" s="147" t="s">
        <v>270</v>
      </c>
      <c r="K89" s="198" t="s">
        <v>271</v>
      </c>
      <c r="L89" s="198" t="s">
        <v>272</v>
      </c>
      <c r="M89" s="358"/>
      <c r="N89" s="358"/>
      <c r="O89" s="358"/>
      <c r="P89" s="358"/>
      <c r="Q89" s="358"/>
      <c r="R89" s="362"/>
    </row>
    <row r="90" spans="1:18">
      <c r="A90" s="34" t="str">
        <f>VLOOKUP(A83,'LISTA DE OFERENTES'!$A$4:$F$82,5,FALSE)</f>
        <v>INGENIEROS CONSTRUCTORES Y ASESORES SAS (100%)</v>
      </c>
      <c r="B90" s="35"/>
      <c r="C90" s="35"/>
      <c r="D90" s="35"/>
      <c r="E90" s="35"/>
      <c r="F90" s="35"/>
      <c r="G90" s="35"/>
      <c r="H90" s="35"/>
      <c r="I90" s="35"/>
      <c r="J90" s="35"/>
      <c r="K90" s="35"/>
      <c r="L90" s="35"/>
      <c r="M90" s="35"/>
      <c r="N90" s="35"/>
      <c r="O90" s="35"/>
      <c r="P90" s="35"/>
      <c r="Q90" s="35"/>
      <c r="R90" s="36"/>
    </row>
    <row r="91" spans="1:18" s="14" customFormat="1" ht="50.25" customHeight="1">
      <c r="A91" s="178" t="s">
        <v>316</v>
      </c>
      <c r="B91" s="343" t="s">
        <v>317</v>
      </c>
      <c r="C91" s="343"/>
      <c r="D91" s="179">
        <v>847209044</v>
      </c>
      <c r="E91" s="208">
        <v>2021</v>
      </c>
      <c r="F91" s="180">
        <f>D91/(VLOOKUP(E91,$D$929:$E$962,2,FALSE))</f>
        <v>932.50940974721686</v>
      </c>
      <c r="G91" s="209">
        <v>1</v>
      </c>
      <c r="H91" s="180">
        <f>F91*G91</f>
        <v>932.50940974721686</v>
      </c>
      <c r="I91" s="210">
        <v>44393</v>
      </c>
      <c r="J91" s="211" t="s">
        <v>275</v>
      </c>
      <c r="K91" s="211" t="s">
        <v>275</v>
      </c>
      <c r="L91" s="212">
        <f>IF(K91="CUMPLE",H91,0)</f>
        <v>932.50940974721686</v>
      </c>
      <c r="M91" s="213" t="s">
        <v>275</v>
      </c>
      <c r="N91" s="213" t="s">
        <v>275</v>
      </c>
      <c r="O91" s="303" t="s">
        <v>276</v>
      </c>
      <c r="P91" s="213" t="s">
        <v>275</v>
      </c>
      <c r="Q91" s="230" t="s">
        <v>276</v>
      </c>
      <c r="R91" s="231" t="s">
        <v>318</v>
      </c>
    </row>
    <row r="92" spans="1:18" s="14" customFormat="1" ht="129" customHeight="1">
      <c r="A92" s="181" t="s">
        <v>319</v>
      </c>
      <c r="B92" s="343" t="s">
        <v>320</v>
      </c>
      <c r="C92" s="343"/>
      <c r="D92" s="179">
        <v>504558537</v>
      </c>
      <c r="E92" s="208">
        <v>2021</v>
      </c>
      <c r="F92" s="180">
        <f>D92/(VLOOKUP(E92,$D$929:$E$962,2,FALSE))</f>
        <v>555.35949108776197</v>
      </c>
      <c r="G92" s="215">
        <v>1</v>
      </c>
      <c r="H92" s="180">
        <f>F92*G92</f>
        <v>555.35949108776197</v>
      </c>
      <c r="I92" s="210">
        <v>44427</v>
      </c>
      <c r="J92" s="211" t="s">
        <v>275</v>
      </c>
      <c r="K92" s="211" t="s">
        <v>275</v>
      </c>
      <c r="L92" s="212">
        <f>IF(K92="CUMPLE",H92,0)</f>
        <v>555.35949108776197</v>
      </c>
      <c r="M92" s="213" t="s">
        <v>275</v>
      </c>
      <c r="N92" s="213" t="s">
        <v>275</v>
      </c>
      <c r="O92" s="303" t="s">
        <v>275</v>
      </c>
      <c r="P92" s="213" t="s">
        <v>275</v>
      </c>
      <c r="Q92" s="213" t="s">
        <v>276</v>
      </c>
      <c r="R92" s="231" t="s">
        <v>318</v>
      </c>
    </row>
    <row r="93" spans="1:18" s="14" customFormat="1" ht="57.75" customHeight="1">
      <c r="A93" s="181" t="s">
        <v>321</v>
      </c>
      <c r="B93" s="343" t="s">
        <v>322</v>
      </c>
      <c r="C93" s="343"/>
      <c r="D93" s="179">
        <v>1447504686</v>
      </c>
      <c r="E93" s="208">
        <v>2023</v>
      </c>
      <c r="F93" s="180">
        <f>D93/(VLOOKUP(E93,$D$929:$E$962,2,FALSE))</f>
        <v>1247.8488672413794</v>
      </c>
      <c r="G93" s="215">
        <v>1</v>
      </c>
      <c r="H93" s="232">
        <f>F93*G93</f>
        <v>1247.8488672413794</v>
      </c>
      <c r="I93" s="210">
        <v>45036</v>
      </c>
      <c r="J93" s="211" t="s">
        <v>275</v>
      </c>
      <c r="K93" s="211" t="s">
        <v>275</v>
      </c>
      <c r="L93" s="212">
        <f t="shared" ref="L93" si="9">IF(K93="CUMPLE",H93,0)</f>
        <v>1247.8488672413794</v>
      </c>
      <c r="M93" s="213" t="s">
        <v>275</v>
      </c>
      <c r="N93" s="213" t="s">
        <v>275</v>
      </c>
      <c r="O93" s="303" t="s">
        <v>276</v>
      </c>
      <c r="P93" s="213" t="s">
        <v>275</v>
      </c>
      <c r="Q93" s="303" t="s">
        <v>276</v>
      </c>
      <c r="R93" s="231" t="s">
        <v>318</v>
      </c>
    </row>
    <row r="94" spans="1:18" s="14" customFormat="1" ht="48" customHeight="1" thickBot="1">
      <c r="A94" s="346" t="s">
        <v>284</v>
      </c>
      <c r="B94" s="346"/>
      <c r="C94" s="346"/>
      <c r="D94" s="346"/>
      <c r="E94" s="346"/>
      <c r="F94" s="45">
        <f>+SUM(F91:F93)</f>
        <v>2735.717768076358</v>
      </c>
      <c r="G94" s="45"/>
      <c r="H94" s="45">
        <f>+SUM(H91:H93)</f>
        <v>2735.717768076358</v>
      </c>
      <c r="I94" s="359"/>
      <c r="J94" s="360"/>
      <c r="K94" s="196"/>
      <c r="L94" s="196"/>
      <c r="M94" s="196"/>
      <c r="N94" s="196"/>
      <c r="O94" s="196"/>
      <c r="P94" s="304"/>
      <c r="Q94" s="304"/>
      <c r="R94" s="37" t="s">
        <v>276</v>
      </c>
    </row>
    <row r="95" spans="1:18" ht="16.5" thickBot="1">
      <c r="A95" s="3"/>
      <c r="B95" s="3"/>
      <c r="C95" s="3"/>
      <c r="D95" s="3"/>
      <c r="E95" s="3"/>
      <c r="F95" s="3"/>
      <c r="G95" s="3"/>
      <c r="H95" s="3"/>
      <c r="I95" s="3"/>
      <c r="J95" s="3"/>
      <c r="K95" s="3"/>
      <c r="L95" s="3"/>
      <c r="M95" s="3"/>
      <c r="N95" s="3"/>
      <c r="O95" s="4"/>
      <c r="P95" s="4"/>
      <c r="Q95" s="4"/>
      <c r="R95" s="4"/>
    </row>
    <row r="96" spans="1:18" ht="30.75" customHeight="1" thickBot="1">
      <c r="A96" s="347">
        <f>1+A83</f>
        <v>7</v>
      </c>
      <c r="B96" s="347"/>
      <c r="C96" s="347"/>
      <c r="D96" s="347"/>
      <c r="E96" s="361" t="str">
        <f>VLOOKUP(A96,'REQUISITOS HAB. TECNICOS'!$A$5:$B$66,2,FALSE)</f>
        <v>GPM PROYECTOS DE INGENIERIA SAS</v>
      </c>
      <c r="F96" s="361"/>
      <c r="G96" s="361"/>
      <c r="H96" s="361"/>
      <c r="I96" s="361"/>
      <c r="J96" s="361"/>
      <c r="K96" s="361"/>
      <c r="L96" s="361"/>
      <c r="M96" s="361"/>
      <c r="N96" s="361"/>
      <c r="O96" s="361"/>
      <c r="P96" s="361"/>
      <c r="Q96" s="361"/>
      <c r="R96" s="361"/>
    </row>
    <row r="97" spans="1:18" ht="50.25" customHeight="1" thickBot="1">
      <c r="A97" s="11" t="s">
        <v>247</v>
      </c>
      <c r="B97" s="76">
        <v>3</v>
      </c>
      <c r="C97" s="288" t="s">
        <v>248</v>
      </c>
      <c r="D97" s="344">
        <f>$D$899</f>
        <v>618.89671538461539</v>
      </c>
      <c r="E97" s="361"/>
      <c r="F97" s="361"/>
      <c r="G97" s="361"/>
      <c r="H97" s="361"/>
      <c r="I97" s="361"/>
      <c r="J97" s="361"/>
      <c r="K97" s="361"/>
      <c r="L97" s="361"/>
      <c r="M97" s="361"/>
      <c r="N97" s="361"/>
      <c r="O97" s="361"/>
      <c r="P97" s="361"/>
      <c r="Q97" s="361"/>
      <c r="R97" s="361"/>
    </row>
    <row r="98" spans="1:18" ht="23.25" customHeight="1" thickBot="1">
      <c r="A98" s="348" t="s">
        <v>249</v>
      </c>
      <c r="B98" s="348"/>
      <c r="C98" s="289">
        <f>+AVERAGE(H104:H106)</f>
        <v>1427.7769798652837</v>
      </c>
      <c r="D98" s="345"/>
      <c r="E98" s="361"/>
      <c r="F98" s="361"/>
      <c r="G98" s="361"/>
      <c r="H98" s="361"/>
      <c r="I98" s="361"/>
      <c r="J98" s="361"/>
      <c r="K98" s="361"/>
      <c r="L98" s="361"/>
      <c r="M98" s="361"/>
      <c r="N98" s="361"/>
      <c r="O98" s="361"/>
      <c r="P98" s="361"/>
      <c r="Q98" s="361"/>
      <c r="R98" s="361"/>
    </row>
    <row r="99" spans="1:18" ht="23.25" customHeight="1" thickBot="1">
      <c r="A99" s="349" t="s">
        <v>250</v>
      </c>
      <c r="B99" s="349"/>
      <c r="C99" s="350">
        <v>45631</v>
      </c>
      <c r="D99" s="350"/>
      <c r="E99" s="361"/>
      <c r="F99" s="361"/>
      <c r="G99" s="361"/>
      <c r="H99" s="361"/>
      <c r="I99" s="361"/>
      <c r="J99" s="361"/>
      <c r="K99" s="361"/>
      <c r="L99" s="361"/>
      <c r="M99" s="361"/>
      <c r="N99" s="361"/>
      <c r="O99" s="361"/>
      <c r="P99" s="361"/>
      <c r="Q99" s="361"/>
      <c r="R99" s="361"/>
    </row>
    <row r="100" spans="1:18" ht="38.25" customHeight="1" thickBot="1">
      <c r="A100" s="351" t="s">
        <v>251</v>
      </c>
      <c r="B100" s="351"/>
      <c r="C100" s="352" t="str">
        <f>+IF(H107&gt;D97,"CUMPLE","NO CUMPLE")</f>
        <v>CUMPLE</v>
      </c>
      <c r="D100" s="352"/>
      <c r="E100" s="361"/>
      <c r="F100" s="361"/>
      <c r="G100" s="361"/>
      <c r="H100" s="361"/>
      <c r="I100" s="361"/>
      <c r="J100" s="361"/>
      <c r="K100" s="361"/>
      <c r="L100" s="361"/>
      <c r="M100" s="361"/>
      <c r="N100" s="361"/>
      <c r="O100" s="361"/>
      <c r="P100" s="361"/>
      <c r="Q100" s="361"/>
      <c r="R100" s="361"/>
    </row>
    <row r="101" spans="1:18" ht="86.25" customHeight="1" thickBot="1">
      <c r="A101" s="353" t="s">
        <v>252</v>
      </c>
      <c r="B101" s="353"/>
      <c r="C101" s="353"/>
      <c r="D101" s="353"/>
      <c r="E101" s="353"/>
      <c r="F101" s="353"/>
      <c r="G101" s="311"/>
      <c r="H101" s="311"/>
      <c r="I101" s="143" t="s">
        <v>253</v>
      </c>
      <c r="J101" s="305" t="s">
        <v>254</v>
      </c>
      <c r="K101" s="363" t="s">
        <v>255</v>
      </c>
      <c r="L101" s="364"/>
      <c r="M101" s="357" t="s">
        <v>256</v>
      </c>
      <c r="N101" s="357" t="s">
        <v>257</v>
      </c>
      <c r="O101" s="357" t="s">
        <v>258</v>
      </c>
      <c r="P101" s="357" t="s">
        <v>259</v>
      </c>
      <c r="Q101" s="357" t="s">
        <v>260</v>
      </c>
      <c r="R101" s="362" t="s">
        <v>261</v>
      </c>
    </row>
    <row r="102" spans="1:18" ht="77.25" customHeight="1">
      <c r="A102" s="144" t="s">
        <v>262</v>
      </c>
      <c r="B102" s="354" t="s">
        <v>263</v>
      </c>
      <c r="C102" s="354"/>
      <c r="D102" s="145" t="s">
        <v>264</v>
      </c>
      <c r="E102" s="145" t="s">
        <v>265</v>
      </c>
      <c r="F102" s="145" t="s">
        <v>266</v>
      </c>
      <c r="G102" s="146" t="s">
        <v>267</v>
      </c>
      <c r="H102" s="146" t="s">
        <v>268</v>
      </c>
      <c r="I102" s="147" t="s">
        <v>269</v>
      </c>
      <c r="J102" s="147" t="s">
        <v>270</v>
      </c>
      <c r="K102" s="198" t="s">
        <v>271</v>
      </c>
      <c r="L102" s="198" t="s">
        <v>272</v>
      </c>
      <c r="M102" s="358"/>
      <c r="N102" s="358"/>
      <c r="O102" s="358"/>
      <c r="P102" s="358"/>
      <c r="Q102" s="358"/>
      <c r="R102" s="362"/>
    </row>
    <row r="103" spans="1:18">
      <c r="A103" s="34">
        <f>VLOOKUP(A96,'[1]LISTA DE OFERENTES'!$A$4:$F$82,5,FALSE)</f>
        <v>0</v>
      </c>
      <c r="B103" s="35"/>
      <c r="C103" s="35"/>
      <c r="D103" s="35"/>
      <c r="E103" s="35"/>
      <c r="F103" s="35"/>
      <c r="G103" s="35"/>
      <c r="H103" s="35"/>
      <c r="I103" s="35"/>
      <c r="J103" s="35"/>
      <c r="K103" s="35"/>
      <c r="L103" s="35"/>
      <c r="M103" s="35"/>
      <c r="N103" s="35"/>
      <c r="O103" s="35"/>
      <c r="P103" s="35"/>
      <c r="Q103" s="35"/>
      <c r="R103" s="36"/>
    </row>
    <row r="104" spans="1:18" s="14" customFormat="1" ht="101.25" customHeight="1">
      <c r="A104" s="178" t="s">
        <v>323</v>
      </c>
      <c r="B104" s="343" t="s">
        <v>324</v>
      </c>
      <c r="C104" s="343"/>
      <c r="D104" s="179">
        <v>3832935940</v>
      </c>
      <c r="E104" s="208">
        <v>2020</v>
      </c>
      <c r="F104" s="180">
        <f>D104/(VLOOKUP(E104,$D$929:$E$962,2,FALSE))</f>
        <v>4366.510412928641</v>
      </c>
      <c r="G104" s="209">
        <v>0.5</v>
      </c>
      <c r="H104" s="180">
        <f t="shared" ref="H104:H106" si="10">F104*G104</f>
        <v>2183.2552064643205</v>
      </c>
      <c r="I104" s="210">
        <v>44153</v>
      </c>
      <c r="J104" s="211" t="s">
        <v>275</v>
      </c>
      <c r="K104" s="211" t="s">
        <v>275</v>
      </c>
      <c r="L104" s="212">
        <f>IF(K104="CUMPLE",H104,0)</f>
        <v>2183.2552064643205</v>
      </c>
      <c r="M104" s="213" t="s">
        <v>275</v>
      </c>
      <c r="N104" s="213" t="s">
        <v>275</v>
      </c>
      <c r="O104" s="303" t="s">
        <v>276</v>
      </c>
      <c r="P104" s="303" t="s">
        <v>276</v>
      </c>
      <c r="Q104" s="303" t="s">
        <v>276</v>
      </c>
      <c r="R104" s="216"/>
    </row>
    <row r="105" spans="1:18" s="14" customFormat="1" ht="76.5" customHeight="1">
      <c r="A105" s="181" t="s">
        <v>325</v>
      </c>
      <c r="B105" s="343" t="s">
        <v>326</v>
      </c>
      <c r="C105" s="343"/>
      <c r="D105" s="179">
        <v>1526717640</v>
      </c>
      <c r="E105" s="208">
        <v>2022</v>
      </c>
      <c r="F105" s="180">
        <f>D105/(VLOOKUP(E105,$D$929:$E$962,2,FALSE))</f>
        <v>1526.7176400000001</v>
      </c>
      <c r="G105" s="215">
        <v>1</v>
      </c>
      <c r="H105" s="180">
        <f t="shared" si="10"/>
        <v>1526.7176400000001</v>
      </c>
      <c r="I105" s="210">
        <v>44838</v>
      </c>
      <c r="J105" s="211" t="s">
        <v>275</v>
      </c>
      <c r="K105" s="211" t="s">
        <v>275</v>
      </c>
      <c r="L105" s="212">
        <f t="shared" ref="L105:L106" si="11">IF(K105="CUMPLE",H105,0)</f>
        <v>1526.7176400000001</v>
      </c>
      <c r="M105" s="213" t="s">
        <v>275</v>
      </c>
      <c r="N105" s="213" t="s">
        <v>275</v>
      </c>
      <c r="O105" s="213" t="s">
        <v>275</v>
      </c>
      <c r="P105" s="303" t="s">
        <v>275</v>
      </c>
      <c r="Q105" s="303" t="s">
        <v>275</v>
      </c>
      <c r="R105" s="216"/>
    </row>
    <row r="106" spans="1:18" s="14" customFormat="1" ht="138.75" customHeight="1">
      <c r="A106" s="181" t="s">
        <v>327</v>
      </c>
      <c r="B106" s="343" t="s">
        <v>324</v>
      </c>
      <c r="C106" s="343"/>
      <c r="D106" s="179">
        <v>1129441726</v>
      </c>
      <c r="E106" s="208">
        <v>2016</v>
      </c>
      <c r="F106" s="180">
        <f>D106/(VLOOKUP(E106,$D$929:$E$962,2,FALSE))</f>
        <v>1638.1659803758041</v>
      </c>
      <c r="G106" s="215">
        <v>0.35</v>
      </c>
      <c r="H106" s="180">
        <f t="shared" si="10"/>
        <v>573.3580931315314</v>
      </c>
      <c r="I106" s="210">
        <v>42395</v>
      </c>
      <c r="J106" s="211" t="s">
        <v>275</v>
      </c>
      <c r="K106" s="211" t="s">
        <v>275</v>
      </c>
      <c r="L106" s="212">
        <f t="shared" si="11"/>
        <v>573.3580931315314</v>
      </c>
      <c r="M106" s="213" t="s">
        <v>275</v>
      </c>
      <c r="N106" s="213" t="s">
        <v>275</v>
      </c>
      <c r="O106" s="303" t="s">
        <v>275</v>
      </c>
      <c r="P106" s="303" t="s">
        <v>275</v>
      </c>
      <c r="Q106" s="303" t="s">
        <v>276</v>
      </c>
      <c r="R106" s="216"/>
    </row>
    <row r="107" spans="1:18" s="14" customFormat="1" ht="48" customHeight="1" thickBot="1">
      <c r="A107" s="346" t="s">
        <v>284</v>
      </c>
      <c r="B107" s="346"/>
      <c r="C107" s="346"/>
      <c r="D107" s="346"/>
      <c r="E107" s="346"/>
      <c r="F107" s="45">
        <f>+SUM(F104:F106)</f>
        <v>7531.3940333044447</v>
      </c>
      <c r="G107" s="45"/>
      <c r="H107" s="45">
        <f>+SUM(H104:H106)</f>
        <v>4283.3309395958513</v>
      </c>
      <c r="I107" s="359"/>
      <c r="J107" s="360"/>
      <c r="K107" s="196"/>
      <c r="L107" s="196"/>
      <c r="M107" s="196"/>
      <c r="N107" s="196"/>
      <c r="O107" s="196"/>
      <c r="P107" s="304"/>
      <c r="Q107" s="304"/>
      <c r="R107" s="37" t="s">
        <v>275</v>
      </c>
    </row>
    <row r="108" spans="1:18" ht="16.5" thickBot="1">
      <c r="A108" s="3"/>
      <c r="B108" s="3"/>
      <c r="C108" s="3"/>
      <c r="D108" s="3"/>
      <c r="E108" s="3"/>
      <c r="F108" s="3"/>
      <c r="G108" s="3"/>
      <c r="H108" s="3"/>
      <c r="I108" s="3"/>
      <c r="J108" s="3"/>
      <c r="K108" s="3"/>
      <c r="L108" s="3"/>
      <c r="M108" s="3"/>
      <c r="N108" s="3"/>
      <c r="O108" s="4"/>
      <c r="P108" s="4"/>
      <c r="Q108" s="4"/>
      <c r="R108" s="4"/>
    </row>
    <row r="109" spans="1:18" ht="30.75" customHeight="1" thickBot="1">
      <c r="A109" s="347">
        <f>1+A96</f>
        <v>8</v>
      </c>
      <c r="B109" s="347"/>
      <c r="C109" s="347"/>
      <c r="D109" s="347"/>
      <c r="E109" s="361" t="str">
        <f>VLOOKUP(A109,'REQUISITOS HAB. TECNICOS'!$A$5:$B$66,2,FALSE)</f>
        <v>CONSORCIO MODELIA 24</v>
      </c>
      <c r="F109" s="361"/>
      <c r="G109" s="361"/>
      <c r="H109" s="361"/>
      <c r="I109" s="361"/>
      <c r="J109" s="361"/>
      <c r="K109" s="361"/>
      <c r="L109" s="361"/>
      <c r="M109" s="361"/>
      <c r="N109" s="361"/>
      <c r="O109" s="361"/>
      <c r="P109" s="361"/>
      <c r="Q109" s="361"/>
      <c r="R109" s="361"/>
    </row>
    <row r="110" spans="1:18" ht="50.25" customHeight="1" thickBot="1">
      <c r="A110" s="11" t="s">
        <v>247</v>
      </c>
      <c r="B110" s="76">
        <v>4</v>
      </c>
      <c r="C110" s="288" t="s">
        <v>248</v>
      </c>
      <c r="D110" s="344">
        <f>$D$899</f>
        <v>618.89671538461539</v>
      </c>
      <c r="E110" s="361"/>
      <c r="F110" s="361"/>
      <c r="G110" s="361"/>
      <c r="H110" s="361"/>
      <c r="I110" s="361"/>
      <c r="J110" s="361"/>
      <c r="K110" s="361"/>
      <c r="L110" s="361"/>
      <c r="M110" s="361"/>
      <c r="N110" s="361"/>
      <c r="O110" s="361"/>
      <c r="P110" s="361"/>
      <c r="Q110" s="361"/>
      <c r="R110" s="361"/>
    </row>
    <row r="111" spans="1:18" ht="23.25" customHeight="1" thickBot="1">
      <c r="A111" s="348" t="s">
        <v>249</v>
      </c>
      <c r="B111" s="348"/>
      <c r="C111" s="289">
        <f>+AVERAGE(H117:H121)</f>
        <v>1225.8885002714051</v>
      </c>
      <c r="D111" s="345"/>
      <c r="E111" s="361"/>
      <c r="F111" s="361"/>
      <c r="G111" s="361"/>
      <c r="H111" s="361"/>
      <c r="I111" s="361"/>
      <c r="J111" s="361"/>
      <c r="K111" s="361"/>
      <c r="L111" s="361"/>
      <c r="M111" s="361"/>
      <c r="N111" s="361"/>
      <c r="O111" s="361"/>
      <c r="P111" s="361"/>
      <c r="Q111" s="361"/>
      <c r="R111" s="361"/>
    </row>
    <row r="112" spans="1:18" ht="23.25" customHeight="1" thickBot="1">
      <c r="A112" s="349" t="s">
        <v>250</v>
      </c>
      <c r="B112" s="349"/>
      <c r="C112" s="350">
        <v>45631</v>
      </c>
      <c r="D112" s="350"/>
      <c r="E112" s="361"/>
      <c r="F112" s="361"/>
      <c r="G112" s="361"/>
      <c r="H112" s="361"/>
      <c r="I112" s="361"/>
      <c r="J112" s="361"/>
      <c r="K112" s="361"/>
      <c r="L112" s="361"/>
      <c r="M112" s="361"/>
      <c r="N112" s="361"/>
      <c r="O112" s="361"/>
      <c r="P112" s="361"/>
      <c r="Q112" s="361"/>
      <c r="R112" s="361"/>
    </row>
    <row r="113" spans="1:18" ht="38.25" customHeight="1" thickBot="1">
      <c r="A113" s="351" t="s">
        <v>251</v>
      </c>
      <c r="B113" s="351"/>
      <c r="C113" s="352" t="str">
        <f>+IF(H122&gt;D110,"CUMPLE","NO CUMPLE")</f>
        <v>CUMPLE</v>
      </c>
      <c r="D113" s="352"/>
      <c r="E113" s="361"/>
      <c r="F113" s="361"/>
      <c r="G113" s="361"/>
      <c r="H113" s="361"/>
      <c r="I113" s="361"/>
      <c r="J113" s="361"/>
      <c r="K113" s="361"/>
      <c r="L113" s="361"/>
      <c r="M113" s="361"/>
      <c r="N113" s="361"/>
      <c r="O113" s="361"/>
      <c r="P113" s="361"/>
      <c r="Q113" s="361"/>
      <c r="R113" s="361"/>
    </row>
    <row r="114" spans="1:18" ht="93" customHeight="1" thickBot="1">
      <c r="A114" s="353" t="s">
        <v>252</v>
      </c>
      <c r="B114" s="353"/>
      <c r="C114" s="353"/>
      <c r="D114" s="353"/>
      <c r="E114" s="353"/>
      <c r="F114" s="353"/>
      <c r="G114" s="311"/>
      <c r="H114" s="311"/>
      <c r="I114" s="143" t="s">
        <v>253</v>
      </c>
      <c r="J114" s="305" t="s">
        <v>254</v>
      </c>
      <c r="K114" s="363" t="s">
        <v>255</v>
      </c>
      <c r="L114" s="364"/>
      <c r="M114" s="357" t="s">
        <v>256</v>
      </c>
      <c r="N114" s="357" t="s">
        <v>257</v>
      </c>
      <c r="O114" s="357" t="s">
        <v>258</v>
      </c>
      <c r="P114" s="357" t="s">
        <v>259</v>
      </c>
      <c r="Q114" s="357" t="s">
        <v>260</v>
      </c>
      <c r="R114" s="362" t="s">
        <v>261</v>
      </c>
    </row>
    <row r="115" spans="1:18" ht="77.25" customHeight="1">
      <c r="A115" s="144" t="s">
        <v>262</v>
      </c>
      <c r="B115" s="354" t="s">
        <v>263</v>
      </c>
      <c r="C115" s="354"/>
      <c r="D115" s="145" t="s">
        <v>264</v>
      </c>
      <c r="E115" s="145" t="s">
        <v>265</v>
      </c>
      <c r="F115" s="145" t="s">
        <v>266</v>
      </c>
      <c r="G115" s="146" t="s">
        <v>267</v>
      </c>
      <c r="H115" s="146" t="s">
        <v>268</v>
      </c>
      <c r="I115" s="147" t="s">
        <v>269</v>
      </c>
      <c r="J115" s="147" t="s">
        <v>270</v>
      </c>
      <c r="K115" s="198" t="s">
        <v>271</v>
      </c>
      <c r="L115" s="198" t="s">
        <v>272</v>
      </c>
      <c r="M115" s="358"/>
      <c r="N115" s="358"/>
      <c r="O115" s="358"/>
      <c r="P115" s="358"/>
      <c r="Q115" s="358"/>
      <c r="R115" s="362"/>
    </row>
    <row r="116" spans="1:18">
      <c r="A116" s="34" t="str">
        <f>VLOOKUP(A109,'[1]LISTA DE OFERENTES'!$A$4:$F$82,5,FALSE)</f>
        <v>INGECO INGENIERIA DE CONSTRUCCIONES S.A.S 50%</v>
      </c>
      <c r="B116" s="35"/>
      <c r="C116" s="35"/>
      <c r="D116" s="35"/>
      <c r="E116" s="35"/>
      <c r="F116" s="35"/>
      <c r="G116" s="35"/>
      <c r="H116" s="35"/>
      <c r="I116" s="35"/>
      <c r="J116" s="35"/>
      <c r="K116" s="35"/>
      <c r="L116" s="35"/>
      <c r="M116" s="35"/>
      <c r="N116" s="35"/>
      <c r="O116" s="35"/>
      <c r="P116" s="35"/>
      <c r="Q116" s="35"/>
      <c r="R116" s="36"/>
    </row>
    <row r="117" spans="1:18" s="14" customFormat="1" ht="213" customHeight="1">
      <c r="A117" s="178" t="s">
        <v>328</v>
      </c>
      <c r="B117" s="343" t="s">
        <v>329</v>
      </c>
      <c r="C117" s="343"/>
      <c r="D117" s="179">
        <v>803567976</v>
      </c>
      <c r="E117" s="208">
        <v>2015</v>
      </c>
      <c r="F117" s="180">
        <f>D117/(VLOOKUP(E117,$D$929:$E$962,2,FALSE))</f>
        <v>1247.0985892760145</v>
      </c>
      <c r="G117" s="209">
        <v>0.5</v>
      </c>
      <c r="H117" s="180">
        <f t="shared" ref="H117:H121" si="12">F117*G117</f>
        <v>623.54929463800727</v>
      </c>
      <c r="I117" s="210">
        <v>42219</v>
      </c>
      <c r="J117" s="211" t="s">
        <v>275</v>
      </c>
      <c r="K117" s="211" t="s">
        <v>275</v>
      </c>
      <c r="L117" s="212">
        <f>IF(K117="CUMPLE",H117,0)</f>
        <v>623.54929463800727</v>
      </c>
      <c r="M117" s="213" t="s">
        <v>275</v>
      </c>
      <c r="N117" s="213" t="s">
        <v>275</v>
      </c>
      <c r="O117" s="303" t="s">
        <v>275</v>
      </c>
      <c r="P117" s="303" t="s">
        <v>276</v>
      </c>
      <c r="Q117" s="303" t="s">
        <v>276</v>
      </c>
      <c r="R117" s="216" t="s">
        <v>330</v>
      </c>
    </row>
    <row r="118" spans="1:18" s="14" customFormat="1" ht="129.75" customHeight="1">
      <c r="A118" s="181" t="s">
        <v>331</v>
      </c>
      <c r="B118" s="343" t="s">
        <v>332</v>
      </c>
      <c r="C118" s="343"/>
      <c r="D118" s="179">
        <v>928892580</v>
      </c>
      <c r="E118" s="208">
        <v>2019</v>
      </c>
      <c r="F118" s="180">
        <f>D118/(VLOOKUP(E118,$D$929:$E$962,2,FALSE))</f>
        <v>1121.6937965212603</v>
      </c>
      <c r="G118" s="215">
        <v>0.25</v>
      </c>
      <c r="H118" s="180">
        <f t="shared" si="12"/>
        <v>280.42344913031508</v>
      </c>
      <c r="I118" s="210">
        <v>43631</v>
      </c>
      <c r="J118" s="211" t="s">
        <v>275</v>
      </c>
      <c r="K118" s="211" t="s">
        <v>275</v>
      </c>
      <c r="L118" s="212">
        <f t="shared" ref="L118:L121" si="13">IF(K118="CUMPLE",H118,0)</f>
        <v>280.42344913031508</v>
      </c>
      <c r="M118" s="213" t="s">
        <v>275</v>
      </c>
      <c r="N118" s="213" t="s">
        <v>276</v>
      </c>
      <c r="O118" s="303" t="s">
        <v>275</v>
      </c>
      <c r="P118" s="303" t="s">
        <v>275</v>
      </c>
      <c r="Q118" s="303" t="s">
        <v>276</v>
      </c>
      <c r="R118" s="216" t="s">
        <v>330</v>
      </c>
    </row>
    <row r="119" spans="1:18" s="14" customFormat="1">
      <c r="A119" s="258" t="str">
        <f>VLOOKUP(A109,'LISTA DE OFERENTES'!$A$4:$F$82,6,FALSE)</f>
        <v>INGENIERIA DE PROYECTOS S.A.S. 50%</v>
      </c>
      <c r="B119" s="226"/>
      <c r="C119" s="226"/>
      <c r="D119" s="226"/>
      <c r="E119" s="226"/>
      <c r="F119" s="226"/>
      <c r="G119" s="226"/>
      <c r="H119" s="226"/>
      <c r="I119" s="226"/>
      <c r="J119" s="226"/>
      <c r="K119" s="226"/>
      <c r="L119" s="226"/>
      <c r="M119" s="226"/>
      <c r="N119" s="226"/>
      <c r="O119" s="226"/>
      <c r="P119" s="226"/>
      <c r="Q119" s="226"/>
      <c r="R119" s="227"/>
    </row>
    <row r="120" spans="1:18" s="14" customFormat="1" ht="117.75" customHeight="1">
      <c r="A120" s="178" t="s">
        <v>333</v>
      </c>
      <c r="B120" s="343" t="s">
        <v>302</v>
      </c>
      <c r="C120" s="343"/>
      <c r="D120" s="179">
        <v>1749995913</v>
      </c>
      <c r="E120" s="208">
        <v>2013</v>
      </c>
      <c r="F120" s="180">
        <f>D120/(VLOOKUP(E120,$D$929:$E$962,2,FALSE))</f>
        <v>2968.6105394402034</v>
      </c>
      <c r="G120" s="209">
        <v>1</v>
      </c>
      <c r="H120" s="180">
        <f t="shared" si="12"/>
        <v>2968.6105394402034</v>
      </c>
      <c r="I120" s="210">
        <v>41441</v>
      </c>
      <c r="J120" s="211" t="s">
        <v>275</v>
      </c>
      <c r="K120" s="211" t="s">
        <v>275</v>
      </c>
      <c r="L120" s="212">
        <f t="shared" si="13"/>
        <v>2968.6105394402034</v>
      </c>
      <c r="M120" s="213" t="s">
        <v>275</v>
      </c>
      <c r="N120" s="303" t="s">
        <v>275</v>
      </c>
      <c r="O120" s="303" t="s">
        <v>275</v>
      </c>
      <c r="P120" s="303" t="s">
        <v>275</v>
      </c>
      <c r="Q120" s="303" t="s">
        <v>276</v>
      </c>
      <c r="R120" s="216" t="s">
        <v>330</v>
      </c>
    </row>
    <row r="121" spans="1:18" s="14" customFormat="1" ht="73.5" customHeight="1">
      <c r="A121" s="178" t="s">
        <v>334</v>
      </c>
      <c r="B121" s="343" t="s">
        <v>335</v>
      </c>
      <c r="C121" s="343"/>
      <c r="D121" s="179">
        <v>738175034</v>
      </c>
      <c r="E121" s="208">
        <v>2004</v>
      </c>
      <c r="F121" s="180">
        <f>D121/(VLOOKUP(E121,$D$929:$E$962,2,FALSE))</f>
        <v>2061.94143575419</v>
      </c>
      <c r="G121" s="209">
        <v>0.5</v>
      </c>
      <c r="H121" s="180">
        <f t="shared" si="12"/>
        <v>1030.970717877095</v>
      </c>
      <c r="I121" s="210">
        <v>38173</v>
      </c>
      <c r="J121" s="233" t="s">
        <v>275</v>
      </c>
      <c r="K121" s="211" t="s">
        <v>275</v>
      </c>
      <c r="L121" s="212">
        <f t="shared" si="13"/>
        <v>1030.970717877095</v>
      </c>
      <c r="M121" s="213" t="s">
        <v>275</v>
      </c>
      <c r="N121" s="213" t="s">
        <v>275</v>
      </c>
      <c r="O121" s="303" t="s">
        <v>275</v>
      </c>
      <c r="P121" s="303" t="s">
        <v>275</v>
      </c>
      <c r="Q121" s="303" t="s">
        <v>276</v>
      </c>
      <c r="R121" s="216" t="s">
        <v>330</v>
      </c>
    </row>
    <row r="122" spans="1:18" s="14" customFormat="1" ht="30.6" customHeight="1" thickBot="1">
      <c r="A122" s="346" t="s">
        <v>284</v>
      </c>
      <c r="B122" s="346"/>
      <c r="C122" s="346"/>
      <c r="D122" s="346"/>
      <c r="E122" s="346"/>
      <c r="F122" s="45">
        <f>+SUM(F117:F121)</f>
        <v>7399.3443609916685</v>
      </c>
      <c r="G122" s="45"/>
      <c r="H122" s="45">
        <f>+SUM(H117:H121)</f>
        <v>4903.5540010856203</v>
      </c>
      <c r="I122" s="359"/>
      <c r="J122" s="360"/>
      <c r="K122" s="196"/>
      <c r="L122" s="196"/>
      <c r="M122" s="304"/>
      <c r="N122" s="304"/>
      <c r="O122" s="304"/>
      <c r="P122" s="304"/>
      <c r="Q122" s="304"/>
      <c r="R122" s="37" t="s">
        <v>276</v>
      </c>
    </row>
    <row r="123" spans="1:18" ht="16.5" thickBot="1">
      <c r="A123" s="3"/>
      <c r="B123" s="3"/>
      <c r="C123" s="3"/>
      <c r="D123" s="3"/>
      <c r="E123" s="3"/>
      <c r="F123" s="3"/>
      <c r="G123" s="3"/>
      <c r="H123" s="3"/>
      <c r="I123" s="3"/>
      <c r="J123" s="3"/>
      <c r="K123" s="3"/>
      <c r="L123" s="3"/>
      <c r="M123" s="3"/>
      <c r="N123" s="3"/>
      <c r="O123" s="4"/>
      <c r="P123" s="4"/>
      <c r="Q123" s="4"/>
      <c r="R123" s="4"/>
    </row>
    <row r="124" spans="1:18" ht="30.75" customHeight="1" thickBot="1">
      <c r="A124" s="347">
        <f>1+A109</f>
        <v>9</v>
      </c>
      <c r="B124" s="347"/>
      <c r="C124" s="347"/>
      <c r="D124" s="347"/>
      <c r="E124" s="361" t="str">
        <f>VLOOKUP(A124,'REQUISITOS HAB. TECNICOS'!$A$5:$B$66,2,FALSE)</f>
        <v>UNIÓN TEMPORAL ROADS 402</v>
      </c>
      <c r="F124" s="361"/>
      <c r="G124" s="361"/>
      <c r="H124" s="361"/>
      <c r="I124" s="361"/>
      <c r="J124" s="361"/>
      <c r="K124" s="361"/>
      <c r="L124" s="361"/>
      <c r="M124" s="361"/>
      <c r="N124" s="361"/>
      <c r="O124" s="361"/>
      <c r="P124" s="361"/>
      <c r="Q124" s="361"/>
      <c r="R124" s="361"/>
    </row>
    <row r="125" spans="1:18" ht="50.25" customHeight="1" thickBot="1">
      <c r="A125" s="11" t="s">
        <v>247</v>
      </c>
      <c r="B125" s="76">
        <v>3</v>
      </c>
      <c r="C125" s="288" t="s">
        <v>248</v>
      </c>
      <c r="D125" s="344">
        <f>$D$899</f>
        <v>618.89671538461539</v>
      </c>
      <c r="E125" s="361"/>
      <c r="F125" s="361"/>
      <c r="G125" s="361"/>
      <c r="H125" s="361"/>
      <c r="I125" s="361"/>
      <c r="J125" s="361"/>
      <c r="K125" s="361"/>
      <c r="L125" s="361"/>
      <c r="M125" s="361"/>
      <c r="N125" s="361"/>
      <c r="O125" s="361"/>
      <c r="P125" s="361"/>
      <c r="Q125" s="361"/>
      <c r="R125" s="361"/>
    </row>
    <row r="126" spans="1:18" ht="23.25" customHeight="1" thickBot="1">
      <c r="A126" s="348" t="s">
        <v>249</v>
      </c>
      <c r="B126" s="348"/>
      <c r="C126" s="289">
        <f>+AVERAGE(H132:H136)</f>
        <v>1123.8474525862071</v>
      </c>
      <c r="D126" s="345"/>
      <c r="E126" s="361"/>
      <c r="F126" s="361"/>
      <c r="G126" s="361"/>
      <c r="H126" s="361"/>
      <c r="I126" s="361"/>
      <c r="J126" s="361"/>
      <c r="K126" s="361"/>
      <c r="L126" s="361"/>
      <c r="M126" s="361"/>
      <c r="N126" s="361"/>
      <c r="O126" s="361"/>
      <c r="P126" s="361"/>
      <c r="Q126" s="361"/>
      <c r="R126" s="361"/>
    </row>
    <row r="127" spans="1:18" ht="23.25" customHeight="1" thickBot="1">
      <c r="A127" s="349" t="s">
        <v>250</v>
      </c>
      <c r="B127" s="349"/>
      <c r="C127" s="350">
        <v>45631</v>
      </c>
      <c r="D127" s="350"/>
      <c r="E127" s="361"/>
      <c r="F127" s="361"/>
      <c r="G127" s="361"/>
      <c r="H127" s="361"/>
      <c r="I127" s="361"/>
      <c r="J127" s="361"/>
      <c r="K127" s="361"/>
      <c r="L127" s="361"/>
      <c r="M127" s="361"/>
      <c r="N127" s="361"/>
      <c r="O127" s="361"/>
      <c r="P127" s="361"/>
      <c r="Q127" s="361"/>
      <c r="R127" s="361"/>
    </row>
    <row r="128" spans="1:18" ht="38.25" customHeight="1" thickBot="1">
      <c r="A128" s="351" t="s">
        <v>251</v>
      </c>
      <c r="B128" s="351"/>
      <c r="C128" s="352" t="str">
        <f>+IF(H136&gt;D125,"CUMPLE","NO CUMPLE")</f>
        <v>CUMPLE</v>
      </c>
      <c r="D128" s="352"/>
      <c r="E128" s="361"/>
      <c r="F128" s="361"/>
      <c r="G128" s="361"/>
      <c r="H128" s="361"/>
      <c r="I128" s="361"/>
      <c r="J128" s="361"/>
      <c r="K128" s="361"/>
      <c r="L128" s="361"/>
      <c r="M128" s="361"/>
      <c r="N128" s="361"/>
      <c r="O128" s="361"/>
      <c r="P128" s="361"/>
      <c r="Q128" s="361"/>
      <c r="R128" s="361"/>
    </row>
    <row r="129" spans="1:18" ht="82.5" customHeight="1" thickBot="1">
      <c r="A129" s="353" t="s">
        <v>252</v>
      </c>
      <c r="B129" s="353"/>
      <c r="C129" s="353"/>
      <c r="D129" s="353"/>
      <c r="E129" s="353"/>
      <c r="F129" s="353"/>
      <c r="G129" s="311"/>
      <c r="H129" s="311"/>
      <c r="I129" s="143" t="s">
        <v>253</v>
      </c>
      <c r="J129" s="305" t="s">
        <v>254</v>
      </c>
      <c r="K129" s="363" t="s">
        <v>255</v>
      </c>
      <c r="L129" s="364"/>
      <c r="M129" s="357" t="s">
        <v>256</v>
      </c>
      <c r="N129" s="357" t="s">
        <v>257</v>
      </c>
      <c r="O129" s="357" t="s">
        <v>258</v>
      </c>
      <c r="P129" s="357" t="s">
        <v>259</v>
      </c>
      <c r="Q129" s="357" t="s">
        <v>260</v>
      </c>
      <c r="R129" s="362" t="s">
        <v>261</v>
      </c>
    </row>
    <row r="130" spans="1:18" ht="77.25" customHeight="1">
      <c r="A130" s="144" t="s">
        <v>262</v>
      </c>
      <c r="B130" s="354" t="s">
        <v>263</v>
      </c>
      <c r="C130" s="354"/>
      <c r="D130" s="145" t="s">
        <v>264</v>
      </c>
      <c r="E130" s="145" t="s">
        <v>265</v>
      </c>
      <c r="F130" s="145" t="s">
        <v>266</v>
      </c>
      <c r="G130" s="146" t="s">
        <v>267</v>
      </c>
      <c r="H130" s="146" t="s">
        <v>268</v>
      </c>
      <c r="I130" s="147" t="s">
        <v>269</v>
      </c>
      <c r="J130" s="147" t="s">
        <v>270</v>
      </c>
      <c r="K130" s="198" t="s">
        <v>271</v>
      </c>
      <c r="L130" s="198" t="s">
        <v>272</v>
      </c>
      <c r="M130" s="358"/>
      <c r="N130" s="358"/>
      <c r="O130" s="358"/>
      <c r="P130" s="358"/>
      <c r="Q130" s="358"/>
      <c r="R130" s="362"/>
    </row>
    <row r="131" spans="1:18">
      <c r="A131" s="34" t="str">
        <f>VLOOKUP(A124,'[1]LISTA DE OFERENTES'!$A$4:$F$82,5,FALSE)</f>
        <v>ANTONIO JOSE PEDRAZA JIMENEZ 50%</v>
      </c>
      <c r="B131" s="35"/>
      <c r="C131" s="35"/>
      <c r="D131" s="35"/>
      <c r="E131" s="35"/>
      <c r="F131" s="35"/>
      <c r="G131" s="35"/>
      <c r="H131" s="35"/>
      <c r="I131" s="35"/>
      <c r="J131" s="35"/>
      <c r="K131" s="35"/>
      <c r="L131" s="35"/>
      <c r="M131" s="35"/>
      <c r="N131" s="35"/>
      <c r="O131" s="35"/>
      <c r="P131" s="35"/>
      <c r="Q131" s="35"/>
      <c r="R131" s="36"/>
    </row>
    <row r="132" spans="1:18" s="14" customFormat="1" ht="105">
      <c r="A132" s="178" t="s">
        <v>336</v>
      </c>
      <c r="B132" s="343" t="s">
        <v>274</v>
      </c>
      <c r="C132" s="343"/>
      <c r="D132" s="179">
        <v>11018138595</v>
      </c>
      <c r="E132" s="208">
        <v>2023</v>
      </c>
      <c r="F132" s="180">
        <f>D132/(VLOOKUP(E132,$D$929:$E$962,2,FALSE))</f>
        <v>9498.3953405172415</v>
      </c>
      <c r="G132" s="209">
        <v>0.2</v>
      </c>
      <c r="H132" s="180">
        <f t="shared" ref="H132:H135" si="14">F132*G132</f>
        <v>1899.6790681034483</v>
      </c>
      <c r="I132" s="210">
        <v>45281</v>
      </c>
      <c r="J132" s="211" t="s">
        <v>275</v>
      </c>
      <c r="K132" s="211" t="s">
        <v>275</v>
      </c>
      <c r="L132" s="212">
        <f>IF(K132="CUMPLE",H132,0)</f>
        <v>1899.6790681034483</v>
      </c>
      <c r="M132" s="213" t="s">
        <v>275</v>
      </c>
      <c r="N132" s="213" t="s">
        <v>275</v>
      </c>
      <c r="O132" s="213" t="s">
        <v>275</v>
      </c>
      <c r="P132" s="303" t="s">
        <v>275</v>
      </c>
      <c r="Q132" s="303" t="s">
        <v>276</v>
      </c>
      <c r="R132" s="216"/>
    </row>
    <row r="133" spans="1:18" s="14" customFormat="1">
      <c r="A133" s="258" t="str">
        <f>VLOOKUP(A124,'LISTA DE OFERENTES'!$A$4:$F$82,6,FALSE)</f>
        <v>CONTRERAS CORTES SERVICIOS DE INGENIERIA SAS 40%</v>
      </c>
      <c r="B133" s="226"/>
      <c r="C133" s="226"/>
      <c r="D133" s="226"/>
      <c r="E133" s="226"/>
      <c r="F133" s="226"/>
      <c r="G133" s="226"/>
      <c r="H133" s="226"/>
      <c r="I133" s="226"/>
      <c r="J133" s="226"/>
      <c r="K133" s="226"/>
      <c r="L133" s="226"/>
      <c r="M133" s="226"/>
      <c r="N133" s="226"/>
      <c r="O133" s="226"/>
      <c r="P133" s="226"/>
      <c r="Q133" s="226"/>
      <c r="R133" s="227"/>
    </row>
    <row r="134" spans="1:18" s="14" customFormat="1" ht="45">
      <c r="A134" s="181" t="s">
        <v>337</v>
      </c>
      <c r="B134" s="343" t="s">
        <v>338</v>
      </c>
      <c r="C134" s="343"/>
      <c r="D134" s="234">
        <v>67179252</v>
      </c>
      <c r="E134" s="208">
        <v>2023</v>
      </c>
      <c r="F134" s="180">
        <f>D134/(VLOOKUP(E134,$D$929:$E$962,2,FALSE))</f>
        <v>57.913148275862071</v>
      </c>
      <c r="G134" s="215">
        <v>1</v>
      </c>
      <c r="H134" s="232">
        <f t="shared" si="14"/>
        <v>57.913148275862071</v>
      </c>
      <c r="I134" s="210">
        <v>45076</v>
      </c>
      <c r="J134" s="211" t="s">
        <v>275</v>
      </c>
      <c r="K134" s="211" t="s">
        <v>275</v>
      </c>
      <c r="L134" s="212">
        <f t="shared" ref="L134:L135" si="15">IF(K134="CUMPLE",H134,0)</f>
        <v>57.913148275862071</v>
      </c>
      <c r="M134" s="213" t="s">
        <v>275</v>
      </c>
      <c r="N134" s="213" t="s">
        <v>275</v>
      </c>
      <c r="O134" s="213" t="s">
        <v>275</v>
      </c>
      <c r="P134" s="303" t="s">
        <v>275</v>
      </c>
      <c r="Q134" s="303" t="s">
        <v>275</v>
      </c>
      <c r="R134" s="216"/>
    </row>
    <row r="135" spans="1:18" s="14" customFormat="1" ht="100.5" customHeight="1">
      <c r="A135" s="178" t="s">
        <v>339</v>
      </c>
      <c r="B135" s="343" t="s">
        <v>340</v>
      </c>
      <c r="C135" s="343"/>
      <c r="D135" s="179">
        <v>336519119</v>
      </c>
      <c r="E135" s="208">
        <v>2023</v>
      </c>
      <c r="F135" s="180">
        <f>D135/(VLOOKUP(E135,$D$929:$E$962,2,FALSE))</f>
        <v>290.10268879310343</v>
      </c>
      <c r="G135" s="209">
        <v>1</v>
      </c>
      <c r="H135" s="180">
        <f t="shared" si="14"/>
        <v>290.10268879310343</v>
      </c>
      <c r="I135" s="210">
        <v>45260</v>
      </c>
      <c r="J135" s="211" t="s">
        <v>275</v>
      </c>
      <c r="K135" s="211" t="s">
        <v>275</v>
      </c>
      <c r="L135" s="212">
        <f t="shared" si="15"/>
        <v>290.10268879310343</v>
      </c>
      <c r="M135" s="213" t="s">
        <v>275</v>
      </c>
      <c r="N135" s="213" t="s">
        <v>275</v>
      </c>
      <c r="O135" s="213" t="s">
        <v>276</v>
      </c>
      <c r="P135" s="303" t="s">
        <v>275</v>
      </c>
      <c r="Q135" s="303" t="s">
        <v>276</v>
      </c>
      <c r="R135" s="216"/>
    </row>
    <row r="136" spans="1:18" s="14" customFormat="1" ht="48" customHeight="1" thickBot="1">
      <c r="A136" s="346" t="s">
        <v>284</v>
      </c>
      <c r="B136" s="346"/>
      <c r="C136" s="346"/>
      <c r="D136" s="346"/>
      <c r="E136" s="346"/>
      <c r="F136" s="45">
        <f>+SUM(F132:F135)</f>
        <v>9846.4111775862075</v>
      </c>
      <c r="G136" s="45"/>
      <c r="H136" s="45">
        <f>+SUM(H132:H135)</f>
        <v>2247.6949051724141</v>
      </c>
      <c r="I136" s="359"/>
      <c r="J136" s="360"/>
      <c r="K136" s="196"/>
      <c r="L136" s="200"/>
      <c r="M136" s="200"/>
      <c r="N136" s="200"/>
      <c r="O136" s="200"/>
      <c r="P136" s="200"/>
      <c r="Q136" s="201"/>
      <c r="R136" s="37" t="s">
        <v>275</v>
      </c>
    </row>
    <row r="137" spans="1:18" ht="16.5" thickBot="1">
      <c r="A137" s="3"/>
      <c r="B137" s="3"/>
      <c r="C137" s="3"/>
      <c r="D137" s="3"/>
      <c r="E137" s="3"/>
      <c r="F137" s="3"/>
      <c r="G137" s="3"/>
      <c r="H137" s="3"/>
      <c r="I137" s="3"/>
      <c r="J137" s="3"/>
      <c r="K137" s="3"/>
      <c r="L137" s="3"/>
      <c r="M137" s="3"/>
      <c r="N137" s="3"/>
      <c r="O137" s="4"/>
      <c r="P137" s="4"/>
      <c r="Q137" s="4"/>
      <c r="R137" s="4"/>
    </row>
    <row r="138" spans="1:18" ht="30.75" customHeight="1" thickBot="1">
      <c r="A138" s="347">
        <f>1+A124</f>
        <v>10</v>
      </c>
      <c r="B138" s="347"/>
      <c r="C138" s="347"/>
      <c r="D138" s="347"/>
      <c r="E138" s="361" t="str">
        <f>VLOOKUP(A138,'REQUISITOS HAB. TECNICOS'!$A$5:$B$66,2,FALSE)</f>
        <v>CONSORCIO MALLA VIAL 206</v>
      </c>
      <c r="F138" s="361"/>
      <c r="G138" s="361"/>
      <c r="H138" s="361"/>
      <c r="I138" s="361"/>
      <c r="J138" s="361"/>
      <c r="K138" s="361"/>
      <c r="L138" s="361"/>
      <c r="M138" s="361"/>
      <c r="N138" s="361"/>
      <c r="O138" s="361"/>
      <c r="P138" s="361"/>
      <c r="Q138" s="361"/>
      <c r="R138" s="361"/>
    </row>
    <row r="139" spans="1:18" ht="50.25" customHeight="1" thickBot="1">
      <c r="A139" s="11" t="s">
        <v>247</v>
      </c>
      <c r="B139" s="76">
        <v>2</v>
      </c>
      <c r="C139" s="288" t="s">
        <v>248</v>
      </c>
      <c r="D139" s="344">
        <f>$D$899</f>
        <v>618.89671538461539</v>
      </c>
      <c r="E139" s="361"/>
      <c r="F139" s="361"/>
      <c r="G139" s="361"/>
      <c r="H139" s="361"/>
      <c r="I139" s="361"/>
      <c r="J139" s="361"/>
      <c r="K139" s="361"/>
      <c r="L139" s="361"/>
      <c r="M139" s="361"/>
      <c r="N139" s="361"/>
      <c r="O139" s="361"/>
      <c r="P139" s="361"/>
      <c r="Q139" s="361"/>
      <c r="R139" s="361"/>
    </row>
    <row r="140" spans="1:18" ht="23.25" customHeight="1" thickBot="1">
      <c r="A140" s="348" t="s">
        <v>249</v>
      </c>
      <c r="B140" s="348"/>
      <c r="C140" s="289" t="e">
        <f>+AVERAGE(H146:H147)</f>
        <v>#DIV/0!</v>
      </c>
      <c r="D140" s="345"/>
      <c r="E140" s="361"/>
      <c r="F140" s="361"/>
      <c r="G140" s="361"/>
      <c r="H140" s="361"/>
      <c r="I140" s="361"/>
      <c r="J140" s="361"/>
      <c r="K140" s="361"/>
      <c r="L140" s="361"/>
      <c r="M140" s="361"/>
      <c r="N140" s="361"/>
      <c r="O140" s="361"/>
      <c r="P140" s="361"/>
      <c r="Q140" s="361"/>
      <c r="R140" s="361"/>
    </row>
    <row r="141" spans="1:18" ht="23.25" customHeight="1" thickBot="1">
      <c r="A141" s="349" t="s">
        <v>250</v>
      </c>
      <c r="B141" s="349"/>
      <c r="C141" s="350">
        <v>45631</v>
      </c>
      <c r="D141" s="350"/>
      <c r="E141" s="361"/>
      <c r="F141" s="361"/>
      <c r="G141" s="361"/>
      <c r="H141" s="361"/>
      <c r="I141" s="361"/>
      <c r="J141" s="361"/>
      <c r="K141" s="361"/>
      <c r="L141" s="361"/>
      <c r="M141" s="361"/>
      <c r="N141" s="361"/>
      <c r="O141" s="361"/>
      <c r="P141" s="361"/>
      <c r="Q141" s="361"/>
      <c r="R141" s="361"/>
    </row>
    <row r="142" spans="1:18" ht="38.25" customHeight="1" thickBot="1">
      <c r="A142" s="351" t="s">
        <v>251</v>
      </c>
      <c r="B142" s="351"/>
      <c r="C142" s="352" t="str">
        <f>+IF(H148&gt;D139,"CUMPLE","NO CUMPLE")</f>
        <v>NO CUMPLE</v>
      </c>
      <c r="D142" s="352"/>
      <c r="E142" s="361"/>
      <c r="F142" s="361"/>
      <c r="G142" s="361"/>
      <c r="H142" s="361"/>
      <c r="I142" s="361"/>
      <c r="J142" s="361"/>
      <c r="K142" s="361"/>
      <c r="L142" s="361"/>
      <c r="M142" s="361"/>
      <c r="N142" s="361"/>
      <c r="O142" s="361"/>
      <c r="P142" s="361"/>
      <c r="Q142" s="361"/>
      <c r="R142" s="361"/>
    </row>
    <row r="143" spans="1:18" ht="87.75" customHeight="1" thickBot="1">
      <c r="A143" s="353" t="s">
        <v>252</v>
      </c>
      <c r="B143" s="353"/>
      <c r="C143" s="353"/>
      <c r="D143" s="353"/>
      <c r="E143" s="353"/>
      <c r="F143" s="353"/>
      <c r="G143" s="311"/>
      <c r="H143" s="311"/>
      <c r="I143" s="143" t="s">
        <v>253</v>
      </c>
      <c r="J143" s="305" t="s">
        <v>254</v>
      </c>
      <c r="K143" s="363" t="s">
        <v>255</v>
      </c>
      <c r="L143" s="364"/>
      <c r="M143" s="357" t="s">
        <v>256</v>
      </c>
      <c r="N143" s="357" t="s">
        <v>257</v>
      </c>
      <c r="O143" s="357" t="s">
        <v>258</v>
      </c>
      <c r="P143" s="357" t="s">
        <v>259</v>
      </c>
      <c r="Q143" s="357" t="s">
        <v>260</v>
      </c>
      <c r="R143" s="362" t="s">
        <v>261</v>
      </c>
    </row>
    <row r="144" spans="1:18" ht="77.25" customHeight="1">
      <c r="A144" s="144" t="s">
        <v>262</v>
      </c>
      <c r="B144" s="354" t="s">
        <v>263</v>
      </c>
      <c r="C144" s="354"/>
      <c r="D144" s="145" t="s">
        <v>264</v>
      </c>
      <c r="E144" s="145" t="s">
        <v>265</v>
      </c>
      <c r="F144" s="145" t="s">
        <v>266</v>
      </c>
      <c r="G144" s="146" t="s">
        <v>267</v>
      </c>
      <c r="H144" s="146" t="s">
        <v>268</v>
      </c>
      <c r="I144" s="147" t="s">
        <v>269</v>
      </c>
      <c r="J144" s="147" t="s">
        <v>270</v>
      </c>
      <c r="K144" s="198" t="s">
        <v>271</v>
      </c>
      <c r="L144" s="198" t="s">
        <v>272</v>
      </c>
      <c r="M144" s="358"/>
      <c r="N144" s="358"/>
      <c r="O144" s="358"/>
      <c r="P144" s="358"/>
      <c r="Q144" s="358"/>
      <c r="R144" s="362"/>
    </row>
    <row r="145" spans="1:18">
      <c r="A145" s="34" t="str">
        <f>VLOOKUP(A138,'LISTA DE OFERENTES'!$A$4:$F$82,5,FALSE)</f>
        <v>LUPSA INGENIERIA Y CONSTRUCCIONES S.A.S. 70%</v>
      </c>
      <c r="B145" s="35"/>
      <c r="C145" s="35"/>
      <c r="D145" s="35"/>
      <c r="E145" s="35"/>
      <c r="F145" s="35"/>
      <c r="G145" s="35"/>
      <c r="H145" s="35"/>
      <c r="I145" s="35"/>
      <c r="J145" s="35"/>
      <c r="K145" s="35"/>
      <c r="L145" s="35"/>
      <c r="M145" s="35"/>
      <c r="N145" s="35"/>
      <c r="O145" s="35"/>
      <c r="P145" s="36"/>
      <c r="Q145" s="35"/>
      <c r="R145" s="36"/>
    </row>
    <row r="146" spans="1:18" s="14" customFormat="1" ht="139.5" customHeight="1">
      <c r="A146" s="178" t="s">
        <v>341</v>
      </c>
      <c r="B146" s="343" t="s">
        <v>342</v>
      </c>
      <c r="C146" s="343"/>
      <c r="D146" s="179">
        <v>1266661282</v>
      </c>
      <c r="E146" s="208">
        <v>2020</v>
      </c>
      <c r="F146" s="180">
        <f>D146/(VLOOKUP(E146,$D$929:$E$962,2,FALSE))</f>
        <v>1442.9903771119489</v>
      </c>
      <c r="G146" s="209">
        <v>0.8</v>
      </c>
      <c r="H146" s="180"/>
      <c r="I146" s="210">
        <v>43882</v>
      </c>
      <c r="J146" s="211" t="s">
        <v>275</v>
      </c>
      <c r="K146" s="211" t="s">
        <v>276</v>
      </c>
      <c r="L146" s="212">
        <f>IF(K146="CUMPLE",H146,0)</f>
        <v>0</v>
      </c>
      <c r="M146" s="211" t="s">
        <v>276</v>
      </c>
      <c r="N146" s="211" t="s">
        <v>276</v>
      </c>
      <c r="O146" s="211" t="s">
        <v>276</v>
      </c>
      <c r="P146" s="211" t="s">
        <v>276</v>
      </c>
      <c r="Q146" s="211" t="s">
        <v>276</v>
      </c>
      <c r="R146" s="216" t="s">
        <v>312</v>
      </c>
    </row>
    <row r="147" spans="1:18" s="14" customFormat="1" ht="66" customHeight="1">
      <c r="A147" s="325" t="s">
        <v>343</v>
      </c>
      <c r="B147" s="373" t="s">
        <v>344</v>
      </c>
      <c r="C147" s="373"/>
      <c r="D147" s="326">
        <v>551782685</v>
      </c>
      <c r="E147" s="327">
        <v>2015</v>
      </c>
      <c r="F147" s="328">
        <f>D147/(VLOOKUP(E147,$D$929:$E$962,2,FALSE))</f>
        <v>856.34000931170942</v>
      </c>
      <c r="G147" s="329">
        <v>0.7</v>
      </c>
      <c r="H147" s="328"/>
      <c r="I147" s="330">
        <v>42331</v>
      </c>
      <c r="J147" s="331" t="s">
        <v>275</v>
      </c>
      <c r="K147" s="331" t="s">
        <v>276</v>
      </c>
      <c r="L147" s="332">
        <f>IF(K147="CUMPLE",H147,0)</f>
        <v>0</v>
      </c>
      <c r="M147" s="331" t="s">
        <v>276</v>
      </c>
      <c r="N147" s="331" t="s">
        <v>276</v>
      </c>
      <c r="O147" s="331" t="s">
        <v>276</v>
      </c>
      <c r="P147" s="331" t="s">
        <v>276</v>
      </c>
      <c r="Q147" s="333" t="s">
        <v>276</v>
      </c>
      <c r="R147" s="334" t="s">
        <v>345</v>
      </c>
    </row>
    <row r="148" spans="1:18" s="14" customFormat="1" ht="48" customHeight="1" thickBot="1">
      <c r="A148" s="346" t="s">
        <v>284</v>
      </c>
      <c r="B148" s="346"/>
      <c r="C148" s="346"/>
      <c r="D148" s="346"/>
      <c r="E148" s="346"/>
      <c r="F148" s="45">
        <f>+SUM(F146:F147)</f>
        <v>2299.3303864236582</v>
      </c>
      <c r="G148" s="45"/>
      <c r="H148" s="45">
        <f>+SUM(H146:H147)</f>
        <v>0</v>
      </c>
      <c r="I148" s="359"/>
      <c r="J148" s="360"/>
      <c r="K148" s="196"/>
      <c r="L148" s="200"/>
      <c r="M148" s="200"/>
      <c r="N148" s="200"/>
      <c r="O148" s="200"/>
      <c r="P148" s="200"/>
      <c r="Q148" s="201"/>
      <c r="R148" s="37" t="s">
        <v>276</v>
      </c>
    </row>
    <row r="149" spans="1:18" ht="16.5" thickBot="1">
      <c r="A149" s="3"/>
      <c r="B149" s="3"/>
      <c r="C149" s="3"/>
      <c r="D149" s="3"/>
      <c r="E149" s="3"/>
      <c r="F149" s="3"/>
      <c r="G149" s="3"/>
      <c r="H149" s="3"/>
      <c r="I149" s="3"/>
      <c r="J149" s="3"/>
      <c r="K149" s="3"/>
      <c r="L149" s="3"/>
      <c r="M149" s="3"/>
      <c r="N149" s="3"/>
      <c r="O149" s="4"/>
      <c r="P149" s="4"/>
      <c r="Q149" s="4"/>
      <c r="R149" s="4"/>
    </row>
    <row r="150" spans="1:18" ht="30.75" customHeight="1" thickBot="1">
      <c r="A150" s="347">
        <f>1+A138</f>
        <v>11</v>
      </c>
      <c r="B150" s="347"/>
      <c r="C150" s="347"/>
      <c r="D150" s="347"/>
      <c r="E150" s="361" t="str">
        <f>VLOOKUP(A150,'REQUISITOS HAB. TECNICOS'!$A$5:$B$66,2,FALSE)</f>
        <v>INTERVENTORIA Y CONSTRUCIVILES SAS</v>
      </c>
      <c r="F150" s="361"/>
      <c r="G150" s="361"/>
      <c r="H150" s="361"/>
      <c r="I150" s="361"/>
      <c r="J150" s="361"/>
      <c r="K150" s="361"/>
      <c r="L150" s="361"/>
      <c r="M150" s="361"/>
      <c r="N150" s="361"/>
      <c r="O150" s="361"/>
      <c r="P150" s="361"/>
      <c r="Q150" s="361"/>
      <c r="R150" s="361"/>
    </row>
    <row r="151" spans="1:18" ht="50.25" customHeight="1" thickBot="1">
      <c r="A151" s="11" t="s">
        <v>247</v>
      </c>
      <c r="B151" s="76">
        <v>3</v>
      </c>
      <c r="C151" s="288" t="s">
        <v>248</v>
      </c>
      <c r="D151" s="344">
        <f>$D$899</f>
        <v>618.89671538461539</v>
      </c>
      <c r="E151" s="361"/>
      <c r="F151" s="361"/>
      <c r="G151" s="361"/>
      <c r="H151" s="361"/>
      <c r="I151" s="361"/>
      <c r="J151" s="361"/>
      <c r="K151" s="361"/>
      <c r="L151" s="361"/>
      <c r="M151" s="361"/>
      <c r="N151" s="361"/>
      <c r="O151" s="361"/>
      <c r="P151" s="361"/>
      <c r="Q151" s="361"/>
      <c r="R151" s="361"/>
    </row>
    <row r="152" spans="1:18" ht="23.25" customHeight="1" thickBot="1">
      <c r="A152" s="348" t="s">
        <v>249</v>
      </c>
      <c r="B152" s="348"/>
      <c r="C152" s="289">
        <f>+AVERAGE(H158:H160)</f>
        <v>1134.4386572964597</v>
      </c>
      <c r="D152" s="345"/>
      <c r="E152" s="361"/>
      <c r="F152" s="361"/>
      <c r="G152" s="361"/>
      <c r="H152" s="361"/>
      <c r="I152" s="361"/>
      <c r="J152" s="361"/>
      <c r="K152" s="361"/>
      <c r="L152" s="361"/>
      <c r="M152" s="361"/>
      <c r="N152" s="361"/>
      <c r="O152" s="361"/>
      <c r="P152" s="361"/>
      <c r="Q152" s="361"/>
      <c r="R152" s="361"/>
    </row>
    <row r="153" spans="1:18" ht="23.25" customHeight="1" thickBot="1">
      <c r="A153" s="349" t="s">
        <v>250</v>
      </c>
      <c r="B153" s="349"/>
      <c r="C153" s="350">
        <v>45631</v>
      </c>
      <c r="D153" s="350"/>
      <c r="E153" s="361"/>
      <c r="F153" s="361"/>
      <c r="G153" s="361"/>
      <c r="H153" s="361"/>
      <c r="I153" s="361"/>
      <c r="J153" s="361"/>
      <c r="K153" s="361"/>
      <c r="L153" s="361"/>
      <c r="M153" s="361"/>
      <c r="N153" s="361"/>
      <c r="O153" s="361"/>
      <c r="P153" s="361"/>
      <c r="Q153" s="361"/>
      <c r="R153" s="361"/>
    </row>
    <row r="154" spans="1:18" ht="38.25" customHeight="1" thickBot="1">
      <c r="A154" s="351" t="s">
        <v>251</v>
      </c>
      <c r="B154" s="351"/>
      <c r="C154" s="352" t="str">
        <f>+IF(H161&gt;D151,"CUMPLE","NO CUMPLE")</f>
        <v>CUMPLE</v>
      </c>
      <c r="D154" s="352"/>
      <c r="E154" s="361"/>
      <c r="F154" s="361"/>
      <c r="G154" s="361"/>
      <c r="H154" s="361"/>
      <c r="I154" s="361"/>
      <c r="J154" s="361"/>
      <c r="K154" s="361"/>
      <c r="L154" s="361"/>
      <c r="M154" s="361"/>
      <c r="N154" s="361"/>
      <c r="O154" s="361"/>
      <c r="P154" s="361"/>
      <c r="Q154" s="361"/>
      <c r="R154" s="361"/>
    </row>
    <row r="155" spans="1:18" ht="77.25" customHeight="1" thickBot="1">
      <c r="A155" s="353" t="s">
        <v>252</v>
      </c>
      <c r="B155" s="353"/>
      <c r="C155" s="353"/>
      <c r="D155" s="353"/>
      <c r="E155" s="353"/>
      <c r="F155" s="353"/>
      <c r="G155" s="311"/>
      <c r="H155" s="311"/>
      <c r="I155" s="143" t="s">
        <v>253</v>
      </c>
      <c r="J155" s="305" t="s">
        <v>254</v>
      </c>
      <c r="K155" s="363" t="s">
        <v>255</v>
      </c>
      <c r="L155" s="364"/>
      <c r="M155" s="357" t="s">
        <v>256</v>
      </c>
      <c r="N155" s="357" t="s">
        <v>257</v>
      </c>
      <c r="O155" s="357" t="s">
        <v>258</v>
      </c>
      <c r="P155" s="357" t="s">
        <v>259</v>
      </c>
      <c r="Q155" s="357" t="s">
        <v>260</v>
      </c>
      <c r="R155" s="362" t="s">
        <v>261</v>
      </c>
    </row>
    <row r="156" spans="1:18" ht="77.25" customHeight="1">
      <c r="A156" s="144" t="s">
        <v>262</v>
      </c>
      <c r="B156" s="354" t="s">
        <v>263</v>
      </c>
      <c r="C156" s="354"/>
      <c r="D156" s="145" t="s">
        <v>264</v>
      </c>
      <c r="E156" s="145" t="s">
        <v>265</v>
      </c>
      <c r="F156" s="145" t="s">
        <v>266</v>
      </c>
      <c r="G156" s="146" t="s">
        <v>267</v>
      </c>
      <c r="H156" s="146" t="s">
        <v>268</v>
      </c>
      <c r="I156" s="147" t="s">
        <v>269</v>
      </c>
      <c r="J156" s="147" t="s">
        <v>270</v>
      </c>
      <c r="K156" s="198" t="s">
        <v>271</v>
      </c>
      <c r="L156" s="198" t="s">
        <v>272</v>
      </c>
      <c r="M156" s="358"/>
      <c r="N156" s="358"/>
      <c r="O156" s="358"/>
      <c r="P156" s="358"/>
      <c r="Q156" s="358"/>
      <c r="R156" s="362"/>
    </row>
    <row r="157" spans="1:18">
      <c r="A157" s="34" t="str">
        <f>VLOOKUP(A150,'LISTA DE OFERENTES'!$A$4:$F$82,5,FALSE)</f>
        <v>INTERVENTORIA Y CONSTRUCIVILES SAS (100%)</v>
      </c>
      <c r="B157" s="35"/>
      <c r="C157" s="35"/>
      <c r="D157" s="35"/>
      <c r="E157" s="35"/>
      <c r="F157" s="35"/>
      <c r="G157" s="35"/>
      <c r="H157" s="35"/>
      <c r="I157" s="35"/>
      <c r="J157" s="35"/>
      <c r="K157" s="35"/>
      <c r="L157" s="35"/>
      <c r="M157" s="35"/>
      <c r="N157" s="35"/>
      <c r="O157" s="35"/>
      <c r="P157" s="35"/>
      <c r="Q157" s="35"/>
      <c r="R157" s="36"/>
    </row>
    <row r="158" spans="1:18" s="14" customFormat="1" ht="110.25">
      <c r="A158" s="240" t="s">
        <v>346</v>
      </c>
      <c r="B158" s="355" t="s">
        <v>347</v>
      </c>
      <c r="C158" s="355"/>
      <c r="D158" s="179">
        <v>785941819</v>
      </c>
      <c r="E158" s="208">
        <v>2015</v>
      </c>
      <c r="F158" s="180">
        <f>D158/(VLOOKUP(E158,$D$929:$E$962,2,FALSE))</f>
        <v>1219.743647086211</v>
      </c>
      <c r="G158" s="209">
        <v>0.5</v>
      </c>
      <c r="H158" s="180">
        <f>F158*G158</f>
        <v>609.87182354310551</v>
      </c>
      <c r="I158" s="210">
        <v>42326</v>
      </c>
      <c r="J158" s="211" t="s">
        <v>275</v>
      </c>
      <c r="K158" s="211" t="s">
        <v>275</v>
      </c>
      <c r="L158" s="212">
        <f>IF(K158="CUMPLE",H158,0)</f>
        <v>609.87182354310551</v>
      </c>
      <c r="M158" s="224" t="s">
        <v>275</v>
      </c>
      <c r="N158" s="224" t="s">
        <v>348</v>
      </c>
      <c r="O158" s="224" t="s">
        <v>275</v>
      </c>
      <c r="P158" s="224" t="s">
        <v>276</v>
      </c>
      <c r="Q158" s="318" t="s">
        <v>276</v>
      </c>
      <c r="R158" s="241" t="s">
        <v>349</v>
      </c>
    </row>
    <row r="159" spans="1:18" s="14" customFormat="1" ht="116.25" customHeight="1">
      <c r="A159" s="184" t="s">
        <v>350</v>
      </c>
      <c r="B159" s="355" t="s">
        <v>351</v>
      </c>
      <c r="C159" s="355"/>
      <c r="D159" s="179">
        <v>1169999970</v>
      </c>
      <c r="E159" s="208">
        <v>2019</v>
      </c>
      <c r="F159" s="180">
        <f>D159/(VLOOKUP(E159,$D$929:$E$962,2,FALSE))</f>
        <v>1412.8455071511721</v>
      </c>
      <c r="G159" s="209">
        <v>0.5</v>
      </c>
      <c r="H159" s="180"/>
      <c r="I159" s="210">
        <v>43549</v>
      </c>
      <c r="J159" s="211" t="s">
        <v>275</v>
      </c>
      <c r="K159" s="211" t="s">
        <v>276</v>
      </c>
      <c r="L159" s="212">
        <f>IF(K159="CUMPLE",H159,0)</f>
        <v>0</v>
      </c>
      <c r="M159" s="224" t="s">
        <v>276</v>
      </c>
      <c r="N159" s="224" t="s">
        <v>276</v>
      </c>
      <c r="O159" s="224" t="s">
        <v>276</v>
      </c>
      <c r="P159" s="224" t="s">
        <v>276</v>
      </c>
      <c r="Q159" s="303" t="s">
        <v>276</v>
      </c>
      <c r="R159" s="241" t="s">
        <v>352</v>
      </c>
    </row>
    <row r="160" spans="1:18" s="14" customFormat="1" ht="76.5" customHeight="1">
      <c r="A160" s="184" t="s">
        <v>353</v>
      </c>
      <c r="B160" s="355" t="s">
        <v>354</v>
      </c>
      <c r="C160" s="355"/>
      <c r="D160" s="179">
        <v>2971999994</v>
      </c>
      <c r="E160" s="208">
        <v>2020</v>
      </c>
      <c r="F160" s="180">
        <f>D160/(VLOOKUP(E160,$D$929:$E$962,2,FALSE))</f>
        <v>3385.7254919383963</v>
      </c>
      <c r="G160" s="209">
        <v>0.49</v>
      </c>
      <c r="H160" s="180">
        <f t="shared" ref="H160" si="16">F160*G160</f>
        <v>1659.0054910498141</v>
      </c>
      <c r="I160" s="210">
        <v>44080</v>
      </c>
      <c r="J160" s="211" t="s">
        <v>275</v>
      </c>
      <c r="K160" s="211" t="s">
        <v>275</v>
      </c>
      <c r="L160" s="212">
        <f t="shared" ref="L160" si="17">IF(K160="CUMPLE",H160,0)</f>
        <v>1659.0054910498141</v>
      </c>
      <c r="M160" s="224" t="s">
        <v>275</v>
      </c>
      <c r="N160" s="224" t="s">
        <v>275</v>
      </c>
      <c r="O160" s="224" t="s">
        <v>275</v>
      </c>
      <c r="P160" s="224" t="s">
        <v>275</v>
      </c>
      <c r="Q160" s="303" t="s">
        <v>276</v>
      </c>
      <c r="R160" s="241" t="s">
        <v>355</v>
      </c>
    </row>
    <row r="161" spans="1:18" s="14" customFormat="1" ht="48" customHeight="1" thickBot="1">
      <c r="A161" s="346" t="s">
        <v>284</v>
      </c>
      <c r="B161" s="346"/>
      <c r="C161" s="346"/>
      <c r="D161" s="346"/>
      <c r="E161" s="346"/>
      <c r="F161" s="45">
        <f>+SUM(F158:F160)</f>
        <v>6018.3146461757788</v>
      </c>
      <c r="G161" s="45"/>
      <c r="H161" s="45">
        <f>+SUM(H158:H160)</f>
        <v>2268.8773145929194</v>
      </c>
      <c r="I161" s="359"/>
      <c r="J161" s="360"/>
      <c r="K161" s="196"/>
      <c r="L161" s="196"/>
      <c r="M161" s="196"/>
      <c r="N161" s="196"/>
      <c r="O161" s="196"/>
      <c r="P161" s="304"/>
      <c r="Q161" s="304"/>
      <c r="R161" s="37" t="s">
        <v>276</v>
      </c>
    </row>
    <row r="162" spans="1:18" ht="16.5" thickBot="1">
      <c r="A162" s="3"/>
      <c r="B162" s="3"/>
      <c r="C162" s="3"/>
      <c r="D162" s="3"/>
      <c r="E162" s="3"/>
      <c r="F162" s="3"/>
      <c r="G162" s="3"/>
      <c r="H162" s="3"/>
      <c r="I162" s="3"/>
      <c r="J162" s="3"/>
      <c r="K162" s="3"/>
      <c r="L162" s="3"/>
      <c r="M162" s="3"/>
      <c r="N162" s="3"/>
      <c r="O162" s="4"/>
      <c r="P162" s="4"/>
      <c r="Q162" s="4"/>
      <c r="R162" s="4"/>
    </row>
    <row r="163" spans="1:18" ht="30.75" customHeight="1" thickBot="1">
      <c r="A163" s="347">
        <f>1+A150</f>
        <v>12</v>
      </c>
      <c r="B163" s="347"/>
      <c r="C163" s="347"/>
      <c r="D163" s="347"/>
      <c r="E163" s="361" t="str">
        <f>VLOOKUP(A163,'REQUISITOS HAB. TECNICOS'!$A$5:$B$66,2,FALSE)</f>
        <v>EMPROCIV SAS</v>
      </c>
      <c r="F163" s="361"/>
      <c r="G163" s="361"/>
      <c r="H163" s="361"/>
      <c r="I163" s="361"/>
      <c r="J163" s="361"/>
      <c r="K163" s="361"/>
      <c r="L163" s="361"/>
      <c r="M163" s="361"/>
      <c r="N163" s="361"/>
      <c r="O163" s="361"/>
      <c r="P163" s="361"/>
      <c r="Q163" s="361"/>
      <c r="R163" s="361"/>
    </row>
    <row r="164" spans="1:18" ht="50.25" customHeight="1" thickBot="1">
      <c r="A164" s="11" t="s">
        <v>247</v>
      </c>
      <c r="B164" s="76">
        <v>3</v>
      </c>
      <c r="C164" s="288" t="s">
        <v>248</v>
      </c>
      <c r="D164" s="344">
        <f>$D$899</f>
        <v>618.89671538461539</v>
      </c>
      <c r="E164" s="361"/>
      <c r="F164" s="361"/>
      <c r="G164" s="361"/>
      <c r="H164" s="361"/>
      <c r="I164" s="361"/>
      <c r="J164" s="361"/>
      <c r="K164" s="361"/>
      <c r="L164" s="361"/>
      <c r="M164" s="361"/>
      <c r="N164" s="361"/>
      <c r="O164" s="361"/>
      <c r="P164" s="361"/>
      <c r="Q164" s="361"/>
      <c r="R164" s="361"/>
    </row>
    <row r="165" spans="1:18" ht="23.25" customHeight="1" thickBot="1">
      <c r="A165" s="348" t="s">
        <v>249</v>
      </c>
      <c r="B165" s="348"/>
      <c r="C165" s="289">
        <f>+AVERAGE(H171:H173)</f>
        <v>1441.696613736575</v>
      </c>
      <c r="D165" s="345"/>
      <c r="E165" s="361"/>
      <c r="F165" s="361"/>
      <c r="G165" s="361"/>
      <c r="H165" s="361"/>
      <c r="I165" s="361"/>
      <c r="J165" s="361"/>
      <c r="K165" s="361"/>
      <c r="L165" s="361"/>
      <c r="M165" s="361"/>
      <c r="N165" s="361"/>
      <c r="O165" s="361"/>
      <c r="P165" s="361"/>
      <c r="Q165" s="361"/>
      <c r="R165" s="361"/>
    </row>
    <row r="166" spans="1:18" ht="23.25" customHeight="1" thickBot="1">
      <c r="A166" s="349" t="s">
        <v>250</v>
      </c>
      <c r="B166" s="349"/>
      <c r="C166" s="350">
        <v>45631</v>
      </c>
      <c r="D166" s="350"/>
      <c r="E166" s="361"/>
      <c r="F166" s="361"/>
      <c r="G166" s="361"/>
      <c r="H166" s="361"/>
      <c r="I166" s="361"/>
      <c r="J166" s="361"/>
      <c r="K166" s="361"/>
      <c r="L166" s="361"/>
      <c r="M166" s="361"/>
      <c r="N166" s="361"/>
      <c r="O166" s="361"/>
      <c r="P166" s="361"/>
      <c r="Q166" s="361"/>
      <c r="R166" s="361"/>
    </row>
    <row r="167" spans="1:18" ht="38.25" customHeight="1" thickBot="1">
      <c r="A167" s="351" t="s">
        <v>251</v>
      </c>
      <c r="B167" s="351"/>
      <c r="C167" s="352" t="str">
        <f>+IF(H174&gt;D164,"CUMPLE","NO CUMPLE")</f>
        <v>CUMPLE</v>
      </c>
      <c r="D167" s="352"/>
      <c r="E167" s="361"/>
      <c r="F167" s="361"/>
      <c r="G167" s="361"/>
      <c r="H167" s="361"/>
      <c r="I167" s="361"/>
      <c r="J167" s="361"/>
      <c r="K167" s="361"/>
      <c r="L167" s="361"/>
      <c r="M167" s="361"/>
      <c r="N167" s="361"/>
      <c r="O167" s="361"/>
      <c r="P167" s="361"/>
      <c r="Q167" s="361"/>
      <c r="R167" s="361"/>
    </row>
    <row r="168" spans="1:18" ht="84.75" customHeight="1" thickBot="1">
      <c r="A168" s="353" t="s">
        <v>252</v>
      </c>
      <c r="B168" s="353"/>
      <c r="C168" s="353"/>
      <c r="D168" s="353"/>
      <c r="E168" s="353"/>
      <c r="F168" s="353"/>
      <c r="G168" s="311"/>
      <c r="H168" s="311"/>
      <c r="I168" s="143" t="s">
        <v>253</v>
      </c>
      <c r="J168" s="305" t="s">
        <v>254</v>
      </c>
      <c r="K168" s="363" t="s">
        <v>255</v>
      </c>
      <c r="L168" s="364"/>
      <c r="M168" s="357" t="s">
        <v>256</v>
      </c>
      <c r="N168" s="357" t="s">
        <v>257</v>
      </c>
      <c r="O168" s="357" t="s">
        <v>258</v>
      </c>
      <c r="P168" s="357" t="s">
        <v>259</v>
      </c>
      <c r="Q168" s="357" t="s">
        <v>260</v>
      </c>
      <c r="R168" s="362" t="s">
        <v>261</v>
      </c>
    </row>
    <row r="169" spans="1:18" ht="77.25" customHeight="1">
      <c r="A169" s="144" t="s">
        <v>262</v>
      </c>
      <c r="B169" s="354" t="s">
        <v>263</v>
      </c>
      <c r="C169" s="354"/>
      <c r="D169" s="145" t="s">
        <v>264</v>
      </c>
      <c r="E169" s="145" t="s">
        <v>265</v>
      </c>
      <c r="F169" s="145" t="s">
        <v>266</v>
      </c>
      <c r="G169" s="146" t="s">
        <v>267</v>
      </c>
      <c r="H169" s="146" t="s">
        <v>268</v>
      </c>
      <c r="I169" s="147" t="s">
        <v>269</v>
      </c>
      <c r="J169" s="147" t="s">
        <v>270</v>
      </c>
      <c r="K169" s="198" t="s">
        <v>271</v>
      </c>
      <c r="L169" s="198" t="s">
        <v>272</v>
      </c>
      <c r="M169" s="358"/>
      <c r="N169" s="358"/>
      <c r="O169" s="358"/>
      <c r="P169" s="358"/>
      <c r="Q169" s="358"/>
      <c r="R169" s="362"/>
    </row>
    <row r="170" spans="1:18">
      <c r="A170" s="34" t="str">
        <f>VLOOKUP(A163,'LISTA DE OFERENTES'!$A$4:$F$82,5,FALSE)</f>
        <v>EMPROCIV SAS (100%)</v>
      </c>
      <c r="B170" s="35"/>
      <c r="C170" s="35"/>
      <c r="D170" s="35"/>
      <c r="E170" s="35"/>
      <c r="F170" s="35"/>
      <c r="G170" s="35"/>
      <c r="H170" s="35"/>
      <c r="I170" s="35"/>
      <c r="J170" s="35"/>
      <c r="K170" s="35"/>
      <c r="L170" s="35"/>
      <c r="M170" s="35"/>
      <c r="N170" s="35"/>
      <c r="O170" s="35"/>
      <c r="P170" s="35"/>
      <c r="Q170" s="35"/>
      <c r="R170" s="36"/>
    </row>
    <row r="171" spans="1:18" s="14" customFormat="1" ht="52.5" customHeight="1">
      <c r="A171" s="185" t="s">
        <v>356</v>
      </c>
      <c r="B171" s="365" t="s">
        <v>357</v>
      </c>
      <c r="C171" s="365"/>
      <c r="D171" s="6">
        <v>633648544</v>
      </c>
      <c r="E171" s="31">
        <v>2012</v>
      </c>
      <c r="F171" s="7">
        <f>D171/(VLOOKUP(E171,$D$929:$E$962,2,FALSE))</f>
        <v>1118.1375401446974</v>
      </c>
      <c r="G171" s="65">
        <v>1</v>
      </c>
      <c r="H171" s="7">
        <f t="shared" ref="H171:H173" si="18">F171*G171</f>
        <v>1118.1375401446974</v>
      </c>
      <c r="I171" s="5">
        <v>41228</v>
      </c>
      <c r="J171" s="69" t="s">
        <v>275</v>
      </c>
      <c r="K171" s="69" t="s">
        <v>275</v>
      </c>
      <c r="L171" s="199">
        <f>IF(K171="CUMPLE",H171,0)</f>
        <v>1118.1375401446974</v>
      </c>
      <c r="M171" s="13" t="s">
        <v>275</v>
      </c>
      <c r="N171" s="13" t="s">
        <v>275</v>
      </c>
      <c r="O171" s="13" t="s">
        <v>275</v>
      </c>
      <c r="P171" s="13" t="s">
        <v>276</v>
      </c>
      <c r="Q171" s="13" t="s">
        <v>275</v>
      </c>
      <c r="R171" s="141"/>
    </row>
    <row r="172" spans="1:18" s="14" customFormat="1" ht="60">
      <c r="A172" s="186" t="s">
        <v>358</v>
      </c>
      <c r="B172" s="365" t="s">
        <v>359</v>
      </c>
      <c r="C172" s="365"/>
      <c r="D172" s="6">
        <v>101434341</v>
      </c>
      <c r="E172" s="31">
        <v>2016</v>
      </c>
      <c r="F172" s="7">
        <f>D172/(VLOOKUP(E172,$D$929:$E$962,2,FALSE))</f>
        <v>147.12249675468306</v>
      </c>
      <c r="G172" s="68">
        <v>1</v>
      </c>
      <c r="H172" s="7">
        <f t="shared" si="18"/>
        <v>147.12249675468306</v>
      </c>
      <c r="I172" s="5">
        <v>42699</v>
      </c>
      <c r="J172" s="69" t="s">
        <v>275</v>
      </c>
      <c r="K172" s="69" t="s">
        <v>275</v>
      </c>
      <c r="L172" s="199">
        <f t="shared" ref="L172:L173" si="19">IF(K172="CUMPLE",H172,0)</f>
        <v>147.12249675468306</v>
      </c>
      <c r="M172" s="13" t="s">
        <v>275</v>
      </c>
      <c r="N172" s="13" t="s">
        <v>275</v>
      </c>
      <c r="O172" s="13" t="s">
        <v>275</v>
      </c>
      <c r="P172" s="13" t="s">
        <v>275</v>
      </c>
      <c r="Q172" s="13" t="s">
        <v>276</v>
      </c>
      <c r="R172" s="141"/>
    </row>
    <row r="173" spans="1:18" s="14" customFormat="1" ht="105">
      <c r="A173" s="186" t="s">
        <v>360</v>
      </c>
      <c r="B173" s="365" t="s">
        <v>361</v>
      </c>
      <c r="C173" s="365"/>
      <c r="D173" s="6">
        <v>7098805146</v>
      </c>
      <c r="E173" s="31">
        <v>2023</v>
      </c>
      <c r="F173" s="7">
        <f>D173/(VLOOKUP(E173,$D$929:$E$962,2,FALSE))</f>
        <v>6119.6596086206901</v>
      </c>
      <c r="G173" s="68">
        <v>0.5</v>
      </c>
      <c r="H173" s="7">
        <f t="shared" si="18"/>
        <v>3059.829804310345</v>
      </c>
      <c r="I173" s="5">
        <v>44998</v>
      </c>
      <c r="J173" s="69" t="s">
        <v>362</v>
      </c>
      <c r="K173" s="69" t="s">
        <v>275</v>
      </c>
      <c r="L173" s="199">
        <f t="shared" si="19"/>
        <v>3059.829804310345</v>
      </c>
      <c r="M173" s="13" t="s">
        <v>275</v>
      </c>
      <c r="N173" s="13" t="s">
        <v>275</v>
      </c>
      <c r="O173" s="13" t="s">
        <v>276</v>
      </c>
      <c r="P173" s="13" t="s">
        <v>275</v>
      </c>
      <c r="Q173" s="13" t="s">
        <v>276</v>
      </c>
      <c r="R173" s="141"/>
    </row>
    <row r="174" spans="1:18" s="14" customFormat="1" ht="48" customHeight="1" thickBot="1">
      <c r="A174" s="346" t="s">
        <v>284</v>
      </c>
      <c r="B174" s="346"/>
      <c r="C174" s="346"/>
      <c r="D174" s="346"/>
      <c r="E174" s="346"/>
      <c r="F174" s="45">
        <f>+SUM(F171:F173)</f>
        <v>7384.9196455200708</v>
      </c>
      <c r="G174" s="45"/>
      <c r="H174" s="45">
        <f>+SUM(H171:H173)</f>
        <v>4325.0898412097249</v>
      </c>
      <c r="I174" s="359"/>
      <c r="J174" s="360"/>
      <c r="K174" s="196"/>
      <c r="L174" s="196"/>
      <c r="M174" s="196"/>
      <c r="N174" s="196"/>
      <c r="O174" s="196"/>
      <c r="P174" s="304"/>
      <c r="Q174" s="304"/>
      <c r="R174" s="37" t="s">
        <v>275</v>
      </c>
    </row>
    <row r="175" spans="1:18" ht="16.5" thickBot="1">
      <c r="A175" s="3"/>
      <c r="B175" s="3"/>
      <c r="C175" s="3"/>
      <c r="D175" s="3"/>
      <c r="E175" s="3"/>
      <c r="F175" s="3"/>
      <c r="G175" s="3"/>
      <c r="H175" s="3"/>
      <c r="I175" s="3"/>
      <c r="J175" s="3"/>
      <c r="K175" s="3"/>
      <c r="L175" s="3"/>
      <c r="M175" s="3"/>
      <c r="N175" s="3"/>
      <c r="O175" s="4"/>
      <c r="P175" s="4"/>
      <c r="Q175" s="4"/>
      <c r="R175" s="4"/>
    </row>
    <row r="176" spans="1:18" ht="30.75" customHeight="1" thickBot="1">
      <c r="A176" s="347">
        <f>1+A163</f>
        <v>13</v>
      </c>
      <c r="B176" s="347"/>
      <c r="C176" s="347"/>
      <c r="D176" s="347"/>
      <c r="E176" s="361" t="str">
        <f>VLOOKUP(A176,'REQUISITOS HAB. TECNICOS'!$A$5:$B$66,2,FALSE)</f>
        <v>CONSORCIO NOGAALL-LITORAL</v>
      </c>
      <c r="F176" s="361"/>
      <c r="G176" s="361"/>
      <c r="H176" s="361"/>
      <c r="I176" s="361"/>
      <c r="J176" s="361"/>
      <c r="K176" s="361"/>
      <c r="L176" s="361"/>
      <c r="M176" s="361"/>
      <c r="N176" s="361"/>
      <c r="O176" s="361"/>
      <c r="P176" s="361"/>
      <c r="Q176" s="361"/>
      <c r="R176" s="361"/>
    </row>
    <row r="177" spans="1:18" ht="50.25" customHeight="1" thickBot="1">
      <c r="A177" s="11" t="s">
        <v>247</v>
      </c>
      <c r="B177" s="76">
        <v>4</v>
      </c>
      <c r="C177" s="288" t="s">
        <v>248</v>
      </c>
      <c r="D177" s="344">
        <f>$D$899</f>
        <v>618.89671538461539</v>
      </c>
      <c r="E177" s="361"/>
      <c r="F177" s="361"/>
      <c r="G177" s="361"/>
      <c r="H177" s="361"/>
      <c r="I177" s="361"/>
      <c r="J177" s="361"/>
      <c r="K177" s="361"/>
      <c r="L177" s="361"/>
      <c r="M177" s="361"/>
      <c r="N177" s="361"/>
      <c r="O177" s="361"/>
      <c r="P177" s="361"/>
      <c r="Q177" s="361"/>
      <c r="R177" s="361"/>
    </row>
    <row r="178" spans="1:18" ht="23.25" customHeight="1" thickBot="1">
      <c r="A178" s="348" t="s">
        <v>249</v>
      </c>
      <c r="B178" s="348"/>
      <c r="C178" s="289">
        <f>+AVERAGE(H184:H188)</f>
        <v>1153.4489804153102</v>
      </c>
      <c r="D178" s="345"/>
      <c r="E178" s="361"/>
      <c r="F178" s="361"/>
      <c r="G178" s="361"/>
      <c r="H178" s="361"/>
      <c r="I178" s="361"/>
      <c r="J178" s="361"/>
      <c r="K178" s="361"/>
      <c r="L178" s="361"/>
      <c r="M178" s="361"/>
      <c r="N178" s="361"/>
      <c r="O178" s="361"/>
      <c r="P178" s="361"/>
      <c r="Q178" s="361"/>
      <c r="R178" s="361"/>
    </row>
    <row r="179" spans="1:18" ht="23.25" customHeight="1" thickBot="1">
      <c r="A179" s="349" t="s">
        <v>250</v>
      </c>
      <c r="B179" s="349"/>
      <c r="C179" s="350">
        <v>45631</v>
      </c>
      <c r="D179" s="350"/>
      <c r="E179" s="361"/>
      <c r="F179" s="361"/>
      <c r="G179" s="361"/>
      <c r="H179" s="361"/>
      <c r="I179" s="361"/>
      <c r="J179" s="361"/>
      <c r="K179" s="361"/>
      <c r="L179" s="361"/>
      <c r="M179" s="361"/>
      <c r="N179" s="361"/>
      <c r="O179" s="361"/>
      <c r="P179" s="361"/>
      <c r="Q179" s="361"/>
      <c r="R179" s="361"/>
    </row>
    <row r="180" spans="1:18" ht="38.25" customHeight="1" thickBot="1">
      <c r="A180" s="351" t="s">
        <v>251</v>
      </c>
      <c r="B180" s="351"/>
      <c r="C180" s="352" t="str">
        <f>+IF(H189&gt;D177,"CUMPLE","NO CUMPLE")</f>
        <v>CUMPLE</v>
      </c>
      <c r="D180" s="352"/>
      <c r="E180" s="361"/>
      <c r="F180" s="361"/>
      <c r="G180" s="361"/>
      <c r="H180" s="361"/>
      <c r="I180" s="361"/>
      <c r="J180" s="361"/>
      <c r="K180" s="361"/>
      <c r="L180" s="361"/>
      <c r="M180" s="361"/>
      <c r="N180" s="361"/>
      <c r="O180" s="361"/>
      <c r="P180" s="361"/>
      <c r="Q180" s="361"/>
      <c r="R180" s="361"/>
    </row>
    <row r="181" spans="1:18" ht="86.25" customHeight="1" thickBot="1">
      <c r="A181" s="353" t="s">
        <v>252</v>
      </c>
      <c r="B181" s="353"/>
      <c r="C181" s="353"/>
      <c r="D181" s="353"/>
      <c r="E181" s="353"/>
      <c r="F181" s="353"/>
      <c r="G181" s="311"/>
      <c r="H181" s="311"/>
      <c r="I181" s="143" t="s">
        <v>253</v>
      </c>
      <c r="J181" s="305" t="s">
        <v>254</v>
      </c>
      <c r="K181" s="363" t="s">
        <v>255</v>
      </c>
      <c r="L181" s="364"/>
      <c r="M181" s="357" t="s">
        <v>256</v>
      </c>
      <c r="N181" s="357" t="s">
        <v>257</v>
      </c>
      <c r="O181" s="357" t="s">
        <v>258</v>
      </c>
      <c r="P181" s="357" t="s">
        <v>259</v>
      </c>
      <c r="Q181" s="357" t="s">
        <v>260</v>
      </c>
      <c r="R181" s="362" t="s">
        <v>261</v>
      </c>
    </row>
    <row r="182" spans="1:18" ht="77.25" customHeight="1">
      <c r="A182" s="144" t="s">
        <v>262</v>
      </c>
      <c r="B182" s="354" t="s">
        <v>263</v>
      </c>
      <c r="C182" s="354"/>
      <c r="D182" s="145" t="s">
        <v>264</v>
      </c>
      <c r="E182" s="145" t="s">
        <v>265</v>
      </c>
      <c r="F182" s="145" t="s">
        <v>266</v>
      </c>
      <c r="G182" s="146" t="s">
        <v>267</v>
      </c>
      <c r="H182" s="146" t="s">
        <v>268</v>
      </c>
      <c r="I182" s="147" t="s">
        <v>269</v>
      </c>
      <c r="J182" s="147" t="s">
        <v>270</v>
      </c>
      <c r="K182" s="198" t="s">
        <v>271</v>
      </c>
      <c r="L182" s="198" t="s">
        <v>272</v>
      </c>
      <c r="M182" s="358"/>
      <c r="N182" s="358"/>
      <c r="O182" s="358"/>
      <c r="P182" s="358"/>
      <c r="Q182" s="358"/>
      <c r="R182" s="362"/>
    </row>
    <row r="183" spans="1:18">
      <c r="A183" s="34" t="str">
        <f>VLOOKUP(A176,'LISTA DE OFERENTES'!$A$4:$F$82,5,FALSE)</f>
        <v>NOGALL SAS (60%)</v>
      </c>
      <c r="B183" s="35"/>
      <c r="C183" s="35"/>
      <c r="D183" s="35"/>
      <c r="E183" s="35"/>
      <c r="F183" s="35"/>
      <c r="G183" s="35"/>
      <c r="H183" s="35"/>
      <c r="I183" s="35"/>
      <c r="J183" s="35"/>
      <c r="K183" s="35"/>
      <c r="L183" s="35"/>
      <c r="M183" s="35"/>
      <c r="N183" s="35"/>
      <c r="O183" s="35"/>
      <c r="P183" s="35"/>
      <c r="Q183" s="35"/>
      <c r="R183" s="36"/>
    </row>
    <row r="184" spans="1:18" s="14" customFormat="1" ht="75">
      <c r="A184" s="178" t="s">
        <v>363</v>
      </c>
      <c r="B184" s="343" t="s">
        <v>364</v>
      </c>
      <c r="C184" s="343"/>
      <c r="D184" s="179">
        <v>1314528283</v>
      </c>
      <c r="E184" s="208">
        <v>2015</v>
      </c>
      <c r="F184" s="180">
        <f>D184/(VLOOKUP(E184,$D$929:$E$962,2,FALSE))</f>
        <v>2040.0842445875689</v>
      </c>
      <c r="G184" s="209">
        <v>1</v>
      </c>
      <c r="H184" s="180">
        <f>F184*G184</f>
        <v>2040.0842445875689</v>
      </c>
      <c r="I184" s="210">
        <v>42232</v>
      </c>
      <c r="J184" s="211" t="s">
        <v>362</v>
      </c>
      <c r="K184" s="211" t="s">
        <v>275</v>
      </c>
      <c r="L184" s="212">
        <f>IF(K184="CUMPLE",H184,0)</f>
        <v>2040.0842445875689</v>
      </c>
      <c r="M184" s="213" t="s">
        <v>275</v>
      </c>
      <c r="N184" s="213" t="s">
        <v>275</v>
      </c>
      <c r="O184" s="213" t="s">
        <v>275</v>
      </c>
      <c r="P184" s="213" t="s">
        <v>276</v>
      </c>
      <c r="Q184" s="213" t="s">
        <v>276</v>
      </c>
      <c r="R184" s="216"/>
    </row>
    <row r="185" spans="1:18" s="14" customFormat="1" ht="45">
      <c r="A185" s="181" t="s">
        <v>365</v>
      </c>
      <c r="B185" s="343" t="s">
        <v>364</v>
      </c>
      <c r="C185" s="343"/>
      <c r="D185" s="179">
        <v>914900000</v>
      </c>
      <c r="E185" s="208">
        <v>2008</v>
      </c>
      <c r="F185" s="180">
        <f>D185/(VLOOKUP(E185,$D$929:$E$962,2,FALSE))</f>
        <v>1982.4485373781149</v>
      </c>
      <c r="G185" s="215">
        <v>0.5</v>
      </c>
      <c r="H185" s="180">
        <f>F185*G185</f>
        <v>991.22426868905745</v>
      </c>
      <c r="I185" s="210">
        <v>39789</v>
      </c>
      <c r="J185" s="211" t="s">
        <v>362</v>
      </c>
      <c r="K185" s="211" t="s">
        <v>275</v>
      </c>
      <c r="L185" s="212">
        <f t="shared" ref="L185:L188" si="20">IF(K185="CUMPLE",H185,0)</f>
        <v>991.22426868905745</v>
      </c>
      <c r="M185" s="213" t="s">
        <v>275</v>
      </c>
      <c r="N185" s="213" t="s">
        <v>275</v>
      </c>
      <c r="O185" s="213" t="s">
        <v>276</v>
      </c>
      <c r="P185" s="213" t="s">
        <v>276</v>
      </c>
      <c r="Q185" s="213" t="s">
        <v>275</v>
      </c>
      <c r="R185" s="216"/>
    </row>
    <row r="186" spans="1:18" s="14" customFormat="1" ht="60">
      <c r="A186" s="181" t="s">
        <v>366</v>
      </c>
      <c r="B186" s="343" t="s">
        <v>367</v>
      </c>
      <c r="C186" s="343"/>
      <c r="D186" s="179">
        <v>2834326882</v>
      </c>
      <c r="E186" s="208">
        <v>2024</v>
      </c>
      <c r="F186" s="180">
        <f>D186/(VLOOKUP(E186,$D$929:$E$962,2,FALSE))</f>
        <v>2180.2514476923075</v>
      </c>
      <c r="G186" s="215">
        <v>0.7</v>
      </c>
      <c r="H186" s="180">
        <f>F186*G186</f>
        <v>1526.1760133846151</v>
      </c>
      <c r="I186" s="210">
        <v>45367</v>
      </c>
      <c r="J186" s="211" t="s">
        <v>362</v>
      </c>
      <c r="K186" s="242" t="s">
        <v>275</v>
      </c>
      <c r="L186" s="212">
        <f t="shared" si="20"/>
        <v>1526.1760133846151</v>
      </c>
      <c r="M186" s="213" t="s">
        <v>275</v>
      </c>
      <c r="N186" s="213" t="s">
        <v>275</v>
      </c>
      <c r="O186" s="213" t="s">
        <v>275</v>
      </c>
      <c r="P186" s="213" t="s">
        <v>276</v>
      </c>
      <c r="Q186" s="213" t="s">
        <v>276</v>
      </c>
      <c r="R186" s="216"/>
    </row>
    <row r="187" spans="1:18">
      <c r="A187" s="34" t="str">
        <f>VLOOKUP(A176,'LISTA DE OFERENTES'!A2:I65,6,FALSE)</f>
        <v>LITORAL CONSULTING SAS (40%)</v>
      </c>
      <c r="B187" s="35"/>
      <c r="C187" s="35"/>
      <c r="D187" s="35"/>
      <c r="E187" s="35"/>
      <c r="F187" s="35"/>
      <c r="G187" s="35"/>
      <c r="H187" s="35"/>
      <c r="I187" s="35"/>
      <c r="J187" s="35"/>
      <c r="K187" s="35"/>
      <c r="L187" s="35"/>
      <c r="M187" s="35"/>
      <c r="N187" s="35"/>
      <c r="O187" s="35"/>
      <c r="P187" s="35"/>
      <c r="Q187" s="35"/>
      <c r="R187" s="36"/>
    </row>
    <row r="188" spans="1:18" s="14" customFormat="1" ht="105">
      <c r="A188" s="178" t="s">
        <v>368</v>
      </c>
      <c r="B188" s="343" t="s">
        <v>369</v>
      </c>
      <c r="C188" s="343"/>
      <c r="D188" s="179">
        <v>56311395</v>
      </c>
      <c r="E188" s="208">
        <v>2022</v>
      </c>
      <c r="F188" s="180">
        <f>D188/(VLOOKUP(E188,$D$929:$E$962,2,FALSE))</f>
        <v>56.311394999999997</v>
      </c>
      <c r="G188" s="209">
        <v>1</v>
      </c>
      <c r="H188" s="180">
        <f>F188*G188</f>
        <v>56.311394999999997</v>
      </c>
      <c r="I188" s="210">
        <v>44865</v>
      </c>
      <c r="J188" s="211" t="s">
        <v>362</v>
      </c>
      <c r="K188" s="244" t="s">
        <v>275</v>
      </c>
      <c r="L188" s="212">
        <f t="shared" si="20"/>
        <v>56.311394999999997</v>
      </c>
      <c r="M188" s="213" t="s">
        <v>275</v>
      </c>
      <c r="N188" s="213" t="s">
        <v>275</v>
      </c>
      <c r="O188" s="213" t="s">
        <v>275</v>
      </c>
      <c r="P188" s="213" t="s">
        <v>275</v>
      </c>
      <c r="Q188" s="213" t="s">
        <v>276</v>
      </c>
      <c r="R188" s="216"/>
    </row>
    <row r="189" spans="1:18" s="14" customFormat="1" ht="48" customHeight="1" thickBot="1">
      <c r="A189" s="346" t="s">
        <v>284</v>
      </c>
      <c r="B189" s="346"/>
      <c r="C189" s="346"/>
      <c r="D189" s="346"/>
      <c r="E189" s="346"/>
      <c r="F189" s="45">
        <f>+SUM(F184:F188)</f>
        <v>6259.0956246579908</v>
      </c>
      <c r="G189" s="45"/>
      <c r="H189" s="45">
        <f>+SUM(H184:H188)</f>
        <v>4613.7959216612408</v>
      </c>
      <c r="I189" s="359"/>
      <c r="J189" s="360"/>
      <c r="K189" s="196"/>
      <c r="L189" s="196"/>
      <c r="M189" s="196"/>
      <c r="N189" s="196"/>
      <c r="O189" s="196"/>
      <c r="P189" s="304"/>
      <c r="Q189" s="304"/>
      <c r="R189" s="37" t="s">
        <v>275</v>
      </c>
    </row>
    <row r="190" spans="1:18" ht="16.5" thickBot="1">
      <c r="A190" s="3"/>
      <c r="B190" s="3"/>
      <c r="C190" s="3"/>
      <c r="D190" s="3"/>
      <c r="E190" s="3"/>
      <c r="F190" s="3"/>
      <c r="G190" s="3"/>
      <c r="H190" s="3"/>
      <c r="I190" s="3"/>
      <c r="J190" s="3"/>
      <c r="K190" s="3"/>
      <c r="L190" s="3"/>
      <c r="M190" s="3"/>
      <c r="N190" s="3"/>
      <c r="O190" s="4"/>
      <c r="P190" s="4"/>
      <c r="Q190" s="4"/>
      <c r="R190" s="4"/>
    </row>
    <row r="191" spans="1:18" ht="30.75" customHeight="1" thickBot="1">
      <c r="A191" s="347">
        <f>1+A176</f>
        <v>14</v>
      </c>
      <c r="B191" s="347"/>
      <c r="C191" s="347"/>
      <c r="D191" s="347"/>
      <c r="E191" s="361" t="str">
        <f>VLOOKUP(A191,'REQUISITOS HAB. TECNICOS'!$A$5:$B$66,2,FALSE)</f>
        <v>GRUCOING SAS</v>
      </c>
      <c r="F191" s="361"/>
      <c r="G191" s="361"/>
      <c r="H191" s="361"/>
      <c r="I191" s="361"/>
      <c r="J191" s="361"/>
      <c r="K191" s="361"/>
      <c r="L191" s="361"/>
      <c r="M191" s="361"/>
      <c r="N191" s="361"/>
      <c r="O191" s="361"/>
      <c r="P191" s="361"/>
      <c r="Q191" s="361"/>
      <c r="R191" s="361"/>
    </row>
    <row r="192" spans="1:18" ht="50.25" customHeight="1" thickBot="1">
      <c r="A192" s="11" t="s">
        <v>247</v>
      </c>
      <c r="B192" s="76">
        <v>4</v>
      </c>
      <c r="C192" s="288" t="s">
        <v>248</v>
      </c>
      <c r="D192" s="344">
        <f>$D$899</f>
        <v>618.89671538461539</v>
      </c>
      <c r="E192" s="361"/>
      <c r="F192" s="361"/>
      <c r="G192" s="361"/>
      <c r="H192" s="361"/>
      <c r="I192" s="361"/>
      <c r="J192" s="361"/>
      <c r="K192" s="361"/>
      <c r="L192" s="361"/>
      <c r="M192" s="361"/>
      <c r="N192" s="361"/>
      <c r="O192" s="361"/>
      <c r="P192" s="361"/>
      <c r="Q192" s="361"/>
      <c r="R192" s="361"/>
    </row>
    <row r="193" spans="1:18" ht="23.25" customHeight="1" thickBot="1">
      <c r="A193" s="348" t="s">
        <v>249</v>
      </c>
      <c r="B193" s="348"/>
      <c r="C193" s="289">
        <f>+AVERAGE(H199:H200)</f>
        <v>987.97050107387759</v>
      </c>
      <c r="D193" s="345"/>
      <c r="E193" s="361"/>
      <c r="F193" s="361"/>
      <c r="G193" s="361"/>
      <c r="H193" s="361"/>
      <c r="I193" s="361"/>
      <c r="J193" s="361"/>
      <c r="K193" s="361"/>
      <c r="L193" s="361"/>
      <c r="M193" s="361"/>
      <c r="N193" s="361"/>
      <c r="O193" s="361"/>
      <c r="P193" s="361"/>
      <c r="Q193" s="361"/>
      <c r="R193" s="361"/>
    </row>
    <row r="194" spans="1:18" ht="23.25" customHeight="1" thickBot="1">
      <c r="A194" s="349" t="s">
        <v>250</v>
      </c>
      <c r="B194" s="349"/>
      <c r="C194" s="350">
        <v>45631</v>
      </c>
      <c r="D194" s="350"/>
      <c r="E194" s="361"/>
      <c r="F194" s="361"/>
      <c r="G194" s="361"/>
      <c r="H194" s="361"/>
      <c r="I194" s="361"/>
      <c r="J194" s="361"/>
      <c r="K194" s="361"/>
      <c r="L194" s="361"/>
      <c r="M194" s="361"/>
      <c r="N194" s="361"/>
      <c r="O194" s="361"/>
      <c r="P194" s="361"/>
      <c r="Q194" s="361"/>
      <c r="R194" s="361"/>
    </row>
    <row r="195" spans="1:18" ht="38.25" customHeight="1" thickBot="1">
      <c r="A195" s="351" t="s">
        <v>251</v>
      </c>
      <c r="B195" s="351"/>
      <c r="C195" s="352" t="str">
        <f>+IF(H201&gt;D192,"CUMPLE","NO CUMPLE")</f>
        <v>CUMPLE</v>
      </c>
      <c r="D195" s="352"/>
      <c r="E195" s="361"/>
      <c r="F195" s="361"/>
      <c r="G195" s="361"/>
      <c r="H195" s="361"/>
      <c r="I195" s="361"/>
      <c r="J195" s="361"/>
      <c r="K195" s="361"/>
      <c r="L195" s="361"/>
      <c r="M195" s="361"/>
      <c r="N195" s="361"/>
      <c r="O195" s="361"/>
      <c r="P195" s="361"/>
      <c r="Q195" s="361"/>
      <c r="R195" s="361"/>
    </row>
    <row r="196" spans="1:18" ht="85.5" customHeight="1" thickBot="1">
      <c r="A196" s="353" t="s">
        <v>252</v>
      </c>
      <c r="B196" s="353"/>
      <c r="C196" s="353"/>
      <c r="D196" s="353"/>
      <c r="E196" s="353"/>
      <c r="F196" s="353"/>
      <c r="G196" s="311"/>
      <c r="H196" s="311"/>
      <c r="I196" s="143" t="s">
        <v>253</v>
      </c>
      <c r="J196" s="305" t="s">
        <v>254</v>
      </c>
      <c r="K196" s="363" t="s">
        <v>255</v>
      </c>
      <c r="L196" s="364"/>
      <c r="M196" s="357" t="s">
        <v>256</v>
      </c>
      <c r="N196" s="357" t="s">
        <v>257</v>
      </c>
      <c r="O196" s="357" t="s">
        <v>258</v>
      </c>
      <c r="P196" s="357" t="s">
        <v>259</v>
      </c>
      <c r="Q196" s="357" t="s">
        <v>260</v>
      </c>
      <c r="R196" s="362" t="s">
        <v>261</v>
      </c>
    </row>
    <row r="197" spans="1:18" ht="77.25" customHeight="1">
      <c r="A197" s="144" t="s">
        <v>262</v>
      </c>
      <c r="B197" s="354" t="s">
        <v>263</v>
      </c>
      <c r="C197" s="354"/>
      <c r="D197" s="145" t="s">
        <v>264</v>
      </c>
      <c r="E197" s="145" t="s">
        <v>265</v>
      </c>
      <c r="F197" s="145" t="s">
        <v>266</v>
      </c>
      <c r="G197" s="146" t="s">
        <v>267</v>
      </c>
      <c r="H197" s="146" t="s">
        <v>268</v>
      </c>
      <c r="I197" s="147" t="s">
        <v>269</v>
      </c>
      <c r="J197" s="147" t="s">
        <v>270</v>
      </c>
      <c r="K197" s="198" t="s">
        <v>271</v>
      </c>
      <c r="L197" s="198" t="s">
        <v>272</v>
      </c>
      <c r="M197" s="358"/>
      <c r="N197" s="358"/>
      <c r="O197" s="358"/>
      <c r="P197" s="358"/>
      <c r="Q197" s="358"/>
      <c r="R197" s="362"/>
    </row>
    <row r="198" spans="1:18">
      <c r="A198" s="34" t="str">
        <f>VLOOKUP(A191,'LISTA DE OFERENTES'!$A$4:$F$82,5,FALSE)</f>
        <v>GRUCOING SAS (100%)</v>
      </c>
      <c r="B198" s="35"/>
      <c r="C198" s="35"/>
      <c r="D198" s="35"/>
      <c r="E198" s="35"/>
      <c r="F198" s="35"/>
      <c r="G198" s="35"/>
      <c r="H198" s="35"/>
      <c r="I198" s="35"/>
      <c r="J198" s="35"/>
      <c r="K198" s="35"/>
      <c r="L198" s="35"/>
      <c r="M198" s="35"/>
      <c r="N198" s="35"/>
      <c r="O198" s="35"/>
      <c r="P198" s="35"/>
      <c r="Q198" s="35"/>
      <c r="R198" s="36"/>
    </row>
    <row r="199" spans="1:18" s="14" customFormat="1" ht="60">
      <c r="A199" s="184" t="s">
        <v>370</v>
      </c>
      <c r="B199" s="355" t="s">
        <v>371</v>
      </c>
      <c r="C199" s="355"/>
      <c r="D199" s="179">
        <v>3536591760</v>
      </c>
      <c r="E199" s="208">
        <v>2016</v>
      </c>
      <c r="F199" s="180">
        <f>D199/(VLOOKUP(E199,$D$929:$E$962,2,FALSE))</f>
        <v>5129.5469029885926</v>
      </c>
      <c r="G199" s="209">
        <v>0.3</v>
      </c>
      <c r="H199" s="180">
        <f>F199*G199</f>
        <v>1538.8640708965777</v>
      </c>
      <c r="I199" s="210">
        <v>42720</v>
      </c>
      <c r="J199" s="211" t="s">
        <v>362</v>
      </c>
      <c r="K199" s="211" t="s">
        <v>275</v>
      </c>
      <c r="L199" s="212">
        <f>IF(K199="CUMPLE",H199,0)</f>
        <v>1538.8640708965777</v>
      </c>
      <c r="M199" s="224" t="s">
        <v>275</v>
      </c>
      <c r="N199" s="224" t="s">
        <v>275</v>
      </c>
      <c r="O199" s="303" t="s">
        <v>275</v>
      </c>
      <c r="P199" s="303" t="s">
        <v>276</v>
      </c>
      <c r="Q199" s="303" t="s">
        <v>275</v>
      </c>
      <c r="R199" s="241"/>
    </row>
    <row r="200" spans="1:18" s="14" customFormat="1" ht="60">
      <c r="A200" s="184" t="s">
        <v>372</v>
      </c>
      <c r="B200" s="355" t="s">
        <v>373</v>
      </c>
      <c r="C200" s="355"/>
      <c r="D200" s="179">
        <v>1809752000</v>
      </c>
      <c r="E200" s="208">
        <v>2019</v>
      </c>
      <c r="F200" s="180">
        <f>D200/(VLOOKUP(E200,$D$929:$E$962,2,FALSE))</f>
        <v>2185.384656255887</v>
      </c>
      <c r="G200" s="209">
        <v>0.2</v>
      </c>
      <c r="H200" s="180">
        <f>F200*G200</f>
        <v>437.07693125117743</v>
      </c>
      <c r="I200" s="210">
        <v>43795</v>
      </c>
      <c r="J200" s="211" t="s">
        <v>362</v>
      </c>
      <c r="K200" s="211" t="s">
        <v>275</v>
      </c>
      <c r="L200" s="212">
        <f t="shared" ref="L200" si="21">IF(K200="CUMPLE",H200,0)</f>
        <v>437.07693125117743</v>
      </c>
      <c r="M200" s="224" t="s">
        <v>275</v>
      </c>
      <c r="N200" s="224" t="s">
        <v>275</v>
      </c>
      <c r="O200" s="224" t="s">
        <v>276</v>
      </c>
      <c r="P200" s="224" t="s">
        <v>275</v>
      </c>
      <c r="Q200" s="224" t="s">
        <v>276</v>
      </c>
      <c r="R200" s="241"/>
    </row>
    <row r="201" spans="1:18" s="14" customFormat="1" ht="48" customHeight="1" thickBot="1">
      <c r="A201" s="346" t="s">
        <v>284</v>
      </c>
      <c r="B201" s="346"/>
      <c r="C201" s="346"/>
      <c r="D201" s="346"/>
      <c r="E201" s="346"/>
      <c r="F201" s="45">
        <f>+SUM(F199:F200)</f>
        <v>7314.93155924448</v>
      </c>
      <c r="G201" s="45"/>
      <c r="H201" s="45">
        <f>+SUM(H199:H200)</f>
        <v>1975.9410021477552</v>
      </c>
      <c r="I201" s="359"/>
      <c r="J201" s="360"/>
      <c r="K201" s="196"/>
      <c r="L201" s="196"/>
      <c r="M201" s="196"/>
      <c r="N201" s="196"/>
      <c r="O201" s="196"/>
      <c r="P201" s="304"/>
      <c r="Q201" s="304"/>
      <c r="R201" s="37" t="s">
        <v>275</v>
      </c>
    </row>
    <row r="202" spans="1:18" ht="16.5" thickBot="1">
      <c r="A202" s="3"/>
      <c r="B202" s="3"/>
      <c r="C202" s="3"/>
      <c r="D202" s="3"/>
      <c r="E202" s="3"/>
      <c r="F202" s="3"/>
      <c r="G202" s="3"/>
      <c r="H202" s="3"/>
      <c r="I202" s="3"/>
      <c r="J202" s="3"/>
      <c r="K202" s="3"/>
      <c r="L202" s="3"/>
      <c r="M202" s="3"/>
      <c r="N202" s="3"/>
      <c r="O202" s="4"/>
      <c r="P202" s="4"/>
      <c r="Q202" s="4"/>
      <c r="R202" s="4"/>
    </row>
    <row r="203" spans="1:18" ht="30.75" customHeight="1" thickBot="1">
      <c r="A203" s="347">
        <f>1+A191</f>
        <v>15</v>
      </c>
      <c r="B203" s="347"/>
      <c r="C203" s="347"/>
      <c r="D203" s="347"/>
      <c r="E203" s="361" t="str">
        <f>VLOOKUP(A203,'REQUISITOS HAB. TECNICOS'!$A$5:$B$66,2,FALSE)</f>
        <v>CONSORCIO ESPACIOS TVH</v>
      </c>
      <c r="F203" s="361"/>
      <c r="G203" s="361"/>
      <c r="H203" s="361"/>
      <c r="I203" s="361"/>
      <c r="J203" s="361"/>
      <c r="K203" s="361"/>
      <c r="L203" s="361"/>
      <c r="M203" s="361"/>
      <c r="N203" s="361"/>
      <c r="O203" s="361"/>
      <c r="P203" s="361"/>
      <c r="Q203" s="361"/>
      <c r="R203" s="361"/>
    </row>
    <row r="204" spans="1:18" ht="50.25" customHeight="1" thickBot="1">
      <c r="A204" s="11" t="s">
        <v>247</v>
      </c>
      <c r="B204" s="76">
        <v>4</v>
      </c>
      <c r="C204" s="288" t="s">
        <v>248</v>
      </c>
      <c r="D204" s="344">
        <f>$D$899</f>
        <v>618.89671538461539</v>
      </c>
      <c r="E204" s="361"/>
      <c r="F204" s="361"/>
      <c r="G204" s="361"/>
      <c r="H204" s="361"/>
      <c r="I204" s="361"/>
      <c r="J204" s="361"/>
      <c r="K204" s="361"/>
      <c r="L204" s="361"/>
      <c r="M204" s="361"/>
      <c r="N204" s="361"/>
      <c r="O204" s="361"/>
      <c r="P204" s="361"/>
      <c r="Q204" s="361"/>
      <c r="R204" s="361"/>
    </row>
    <row r="205" spans="1:18" ht="23.25" customHeight="1" thickBot="1">
      <c r="A205" s="348" t="s">
        <v>249</v>
      </c>
      <c r="B205" s="348"/>
      <c r="C205" s="289">
        <f>+AVERAGE(H211:H215)</f>
        <v>1432.7822059984769</v>
      </c>
      <c r="D205" s="345"/>
      <c r="E205" s="361"/>
      <c r="F205" s="361"/>
      <c r="G205" s="361"/>
      <c r="H205" s="361"/>
      <c r="I205" s="361"/>
      <c r="J205" s="361"/>
      <c r="K205" s="361"/>
      <c r="L205" s="361"/>
      <c r="M205" s="361"/>
      <c r="N205" s="361"/>
      <c r="O205" s="361"/>
      <c r="P205" s="361"/>
      <c r="Q205" s="361"/>
      <c r="R205" s="361"/>
    </row>
    <row r="206" spans="1:18" ht="23.25" customHeight="1" thickBot="1">
      <c r="A206" s="349" t="s">
        <v>250</v>
      </c>
      <c r="B206" s="349"/>
      <c r="C206" s="350">
        <v>45631</v>
      </c>
      <c r="D206" s="350"/>
      <c r="E206" s="361"/>
      <c r="F206" s="361"/>
      <c r="G206" s="361"/>
      <c r="H206" s="361"/>
      <c r="I206" s="361"/>
      <c r="J206" s="361"/>
      <c r="K206" s="361"/>
      <c r="L206" s="361"/>
      <c r="M206" s="361"/>
      <c r="N206" s="361"/>
      <c r="O206" s="361"/>
      <c r="P206" s="361"/>
      <c r="Q206" s="361"/>
      <c r="R206" s="361"/>
    </row>
    <row r="207" spans="1:18" ht="38.25" customHeight="1" thickBot="1">
      <c r="A207" s="351" t="s">
        <v>251</v>
      </c>
      <c r="B207" s="351"/>
      <c r="C207" s="352" t="str">
        <f>+IF(H216&gt;D204,"CUMPLE","NO CUMPLE")</f>
        <v>CUMPLE</v>
      </c>
      <c r="D207" s="352"/>
      <c r="E207" s="361"/>
      <c r="F207" s="361"/>
      <c r="G207" s="361"/>
      <c r="H207" s="361"/>
      <c r="I207" s="361"/>
      <c r="J207" s="361"/>
      <c r="K207" s="361"/>
      <c r="L207" s="361"/>
      <c r="M207" s="361"/>
      <c r="N207" s="361"/>
      <c r="O207" s="361"/>
      <c r="P207" s="361"/>
      <c r="Q207" s="361"/>
      <c r="R207" s="361"/>
    </row>
    <row r="208" spans="1:18" ht="84.75" customHeight="1" thickBot="1">
      <c r="A208" s="353" t="s">
        <v>252</v>
      </c>
      <c r="B208" s="353"/>
      <c r="C208" s="353"/>
      <c r="D208" s="353"/>
      <c r="E208" s="353"/>
      <c r="F208" s="353"/>
      <c r="G208" s="311"/>
      <c r="H208" s="311"/>
      <c r="I208" s="143" t="s">
        <v>253</v>
      </c>
      <c r="J208" s="305" t="s">
        <v>254</v>
      </c>
      <c r="K208" s="363" t="s">
        <v>255</v>
      </c>
      <c r="L208" s="364"/>
      <c r="M208" s="357" t="s">
        <v>256</v>
      </c>
      <c r="N208" s="357" t="s">
        <v>257</v>
      </c>
      <c r="O208" s="357" t="s">
        <v>258</v>
      </c>
      <c r="P208" s="357" t="s">
        <v>259</v>
      </c>
      <c r="Q208" s="357" t="s">
        <v>260</v>
      </c>
      <c r="R208" s="362" t="s">
        <v>261</v>
      </c>
    </row>
    <row r="209" spans="1:18" ht="77.25" customHeight="1">
      <c r="A209" s="144" t="s">
        <v>262</v>
      </c>
      <c r="B209" s="354" t="s">
        <v>263</v>
      </c>
      <c r="C209" s="354"/>
      <c r="D209" s="145" t="s">
        <v>264</v>
      </c>
      <c r="E209" s="145" t="s">
        <v>265</v>
      </c>
      <c r="F209" s="145" t="s">
        <v>266</v>
      </c>
      <c r="G209" s="146" t="s">
        <v>267</v>
      </c>
      <c r="H209" s="146" t="s">
        <v>268</v>
      </c>
      <c r="I209" s="147" t="s">
        <v>269</v>
      </c>
      <c r="J209" s="147" t="s">
        <v>270</v>
      </c>
      <c r="K209" s="198" t="s">
        <v>271</v>
      </c>
      <c r="L209" s="198" t="s">
        <v>272</v>
      </c>
      <c r="M209" s="358"/>
      <c r="N209" s="358"/>
      <c r="O209" s="358"/>
      <c r="P209" s="358"/>
      <c r="Q209" s="358"/>
      <c r="R209" s="362"/>
    </row>
    <row r="210" spans="1:18">
      <c r="A210" s="34" t="str">
        <f>VLOOKUP(A203,'LISTA DE OFERENTES'!$A$4:$F$82,5,FALSE)</f>
        <v>COMPAÑÍA CONSULTORA COLOMBIANA TRIPLE C S.A.S BIC (50%)</v>
      </c>
      <c r="B210" s="35"/>
      <c r="C210" s="35"/>
      <c r="D210" s="35"/>
      <c r="E210" s="35"/>
      <c r="F210" s="35"/>
      <c r="G210" s="35"/>
      <c r="H210" s="35"/>
      <c r="I210" s="35"/>
      <c r="J210" s="35"/>
      <c r="K210" s="35"/>
      <c r="L210" s="35"/>
      <c r="M210" s="35"/>
      <c r="N210" s="35"/>
      <c r="O210" s="35"/>
      <c r="P210" s="35"/>
      <c r="Q210" s="35"/>
      <c r="R210" s="36"/>
    </row>
    <row r="211" spans="1:18" s="14" customFormat="1" ht="83.25" customHeight="1">
      <c r="A211" s="178" t="s">
        <v>374</v>
      </c>
      <c r="B211" s="343" t="s">
        <v>375</v>
      </c>
      <c r="C211" s="343"/>
      <c r="D211" s="179">
        <v>210494557</v>
      </c>
      <c r="E211" s="208">
        <v>2010</v>
      </c>
      <c r="F211" s="180">
        <f>D211/(VLOOKUP(E211,$D$929:$E$962,2,FALSE))</f>
        <v>408.72729514563105</v>
      </c>
      <c r="G211" s="209">
        <v>1</v>
      </c>
      <c r="H211" s="180">
        <f t="shared" ref="H211:H213" si="22">F211*G211</f>
        <v>408.72729514563105</v>
      </c>
      <c r="I211" s="210">
        <v>40509</v>
      </c>
      <c r="J211" s="211" t="s">
        <v>275</v>
      </c>
      <c r="K211" s="211" t="s">
        <v>275</v>
      </c>
      <c r="L211" s="212">
        <f>IF(K211="CUMPLE",H211,0)</f>
        <v>408.72729514563105</v>
      </c>
      <c r="M211" s="213" t="s">
        <v>275</v>
      </c>
      <c r="N211" s="213" t="s">
        <v>275</v>
      </c>
      <c r="O211" s="213" t="s">
        <v>275</v>
      </c>
      <c r="P211" s="213" t="s">
        <v>275</v>
      </c>
      <c r="Q211" s="213" t="s">
        <v>275</v>
      </c>
      <c r="R211" s="216"/>
    </row>
    <row r="212" spans="1:18" s="14" customFormat="1" ht="75.75" customHeight="1">
      <c r="A212" s="181" t="s">
        <v>376</v>
      </c>
      <c r="B212" s="343" t="s">
        <v>377</v>
      </c>
      <c r="C212" s="343"/>
      <c r="D212" s="179">
        <v>2471604676</v>
      </c>
      <c r="E212" s="208">
        <v>2015</v>
      </c>
      <c r="F212" s="180">
        <f>D212/(VLOOKUP(E212,$D$929:$E$962,2,FALSE))</f>
        <v>3835.8107798556684</v>
      </c>
      <c r="G212" s="215">
        <v>1</v>
      </c>
      <c r="H212" s="180">
        <f t="shared" si="22"/>
        <v>3835.8107798556684</v>
      </c>
      <c r="I212" s="210">
        <v>42337</v>
      </c>
      <c r="J212" s="211" t="s">
        <v>275</v>
      </c>
      <c r="K212" s="211" t="s">
        <v>275</v>
      </c>
      <c r="L212" s="212">
        <f t="shared" ref="L212:L215" si="23">IF(K212="CUMPLE",H212,0)</f>
        <v>3835.8107798556684</v>
      </c>
      <c r="M212" s="213" t="s">
        <v>275</v>
      </c>
      <c r="N212" s="213" t="s">
        <v>275</v>
      </c>
      <c r="O212" s="213" t="s">
        <v>275</v>
      </c>
      <c r="P212" s="213" t="s">
        <v>275</v>
      </c>
      <c r="Q212" s="213" t="s">
        <v>276</v>
      </c>
      <c r="R212" s="216"/>
    </row>
    <row r="213" spans="1:18" s="14" customFormat="1" ht="102" customHeight="1">
      <c r="A213" s="181" t="s">
        <v>378</v>
      </c>
      <c r="B213" s="343" t="s">
        <v>379</v>
      </c>
      <c r="C213" s="343"/>
      <c r="D213" s="179">
        <v>364783893</v>
      </c>
      <c r="E213" s="208">
        <v>2015</v>
      </c>
      <c r="F213" s="180">
        <f>D213/(VLOOKUP(E213,$D$929:$E$962,2,FALSE))</f>
        <v>566.12693877551021</v>
      </c>
      <c r="G213" s="215">
        <v>1</v>
      </c>
      <c r="H213" s="180">
        <f t="shared" si="22"/>
        <v>566.12693877551021</v>
      </c>
      <c r="I213" s="210">
        <v>42109</v>
      </c>
      <c r="J213" s="211" t="s">
        <v>275</v>
      </c>
      <c r="K213" s="211" t="s">
        <v>275</v>
      </c>
      <c r="L213" s="212">
        <f t="shared" si="23"/>
        <v>566.12693877551021</v>
      </c>
      <c r="M213" s="213" t="s">
        <v>275</v>
      </c>
      <c r="N213" s="213" t="s">
        <v>275</v>
      </c>
      <c r="O213" s="213" t="s">
        <v>275</v>
      </c>
      <c r="P213" s="213" t="s">
        <v>276</v>
      </c>
      <c r="Q213" s="213" t="s">
        <v>276</v>
      </c>
      <c r="R213" s="216"/>
    </row>
    <row r="214" spans="1:18" s="14" customFormat="1">
      <c r="A214" s="319" t="s">
        <v>380</v>
      </c>
      <c r="B214" s="226"/>
      <c r="C214" s="226"/>
      <c r="D214" s="226"/>
      <c r="E214" s="226"/>
      <c r="F214" s="226"/>
      <c r="G214" s="226"/>
      <c r="H214" s="226"/>
      <c r="I214" s="226"/>
      <c r="J214" s="226"/>
      <c r="K214" s="226"/>
      <c r="L214" s="226"/>
      <c r="M214" s="226"/>
      <c r="N214" s="226"/>
      <c r="O214" s="226"/>
      <c r="P214" s="226"/>
      <c r="Q214" s="226"/>
      <c r="R214" s="227"/>
    </row>
    <row r="215" spans="1:18" s="14" customFormat="1" ht="45">
      <c r="A215" s="178" t="s">
        <v>381</v>
      </c>
      <c r="B215" s="343" t="s">
        <v>382</v>
      </c>
      <c r="C215" s="343"/>
      <c r="D215" s="179">
        <v>807985894</v>
      </c>
      <c r="E215" s="208">
        <v>2020</v>
      </c>
      <c r="F215" s="180">
        <f>D215/(VLOOKUP(E215,$D$929:$E$962,2,FALSE))</f>
        <v>920.46381021709885</v>
      </c>
      <c r="G215" s="209">
        <v>1</v>
      </c>
      <c r="H215" s="180">
        <f t="shared" ref="H215" si="24">F215*G215</f>
        <v>920.46381021709885</v>
      </c>
      <c r="I215" s="210">
        <v>44028</v>
      </c>
      <c r="J215" s="211" t="s">
        <v>275</v>
      </c>
      <c r="K215" s="233" t="s">
        <v>275</v>
      </c>
      <c r="L215" s="212">
        <f t="shared" si="23"/>
        <v>920.46381021709885</v>
      </c>
      <c r="M215" s="213" t="s">
        <v>275</v>
      </c>
      <c r="N215" s="213" t="s">
        <v>275</v>
      </c>
      <c r="O215" s="213" t="s">
        <v>275</v>
      </c>
      <c r="P215" s="213" t="s">
        <v>276</v>
      </c>
      <c r="Q215" s="213" t="s">
        <v>276</v>
      </c>
      <c r="R215" s="216"/>
    </row>
    <row r="216" spans="1:18" s="14" customFormat="1" ht="48" customHeight="1" thickBot="1">
      <c r="A216" s="346" t="s">
        <v>284</v>
      </c>
      <c r="B216" s="346"/>
      <c r="C216" s="346"/>
      <c r="D216" s="346"/>
      <c r="E216" s="346"/>
      <c r="F216" s="45">
        <f>+SUM(F211:F215)</f>
        <v>5731.1288239939076</v>
      </c>
      <c r="G216" s="45"/>
      <c r="H216" s="45">
        <f>+SUM(H211:H215)</f>
        <v>5731.1288239939076</v>
      </c>
      <c r="I216" s="359" t="s">
        <v>383</v>
      </c>
      <c r="J216" s="360"/>
      <c r="K216" s="196" t="str">
        <f>IF(L216&gt;D206,"CUMPLE","NO CUMPLE")</f>
        <v>CUMPLE</v>
      </c>
      <c r="L216" s="196">
        <f>SUM(L211:L215)</f>
        <v>5731.1288239939076</v>
      </c>
      <c r="M216" s="196"/>
      <c r="N216" s="196"/>
      <c r="O216" s="196"/>
      <c r="P216" s="304"/>
      <c r="Q216" s="304"/>
      <c r="R216" s="37" t="s">
        <v>275</v>
      </c>
    </row>
    <row r="217" spans="1:18" ht="16.5" thickBot="1">
      <c r="A217" s="3"/>
      <c r="B217" s="3"/>
      <c r="C217" s="3"/>
      <c r="D217" s="3"/>
      <c r="E217" s="3"/>
      <c r="F217" s="3"/>
      <c r="G217" s="3"/>
      <c r="H217" s="3"/>
      <c r="I217" s="3"/>
      <c r="J217" s="3"/>
      <c r="K217" s="3"/>
      <c r="L217" s="3"/>
      <c r="M217" s="3"/>
      <c r="N217" s="3"/>
      <c r="O217" s="4"/>
      <c r="P217" s="4"/>
      <c r="Q217" s="4"/>
      <c r="R217" s="4"/>
    </row>
    <row r="218" spans="1:18" ht="30.75" customHeight="1" thickBot="1">
      <c r="A218" s="347">
        <f>1+A203</f>
        <v>16</v>
      </c>
      <c r="B218" s="347"/>
      <c r="C218" s="347"/>
      <c r="D218" s="347"/>
      <c r="E218" s="361" t="str">
        <f>VLOOKUP(A218,'REQUISITOS HAB. TECNICOS'!$A$5:$B$66,2,FALSE)</f>
        <v>CONSORCIO VIAS Y ESP</v>
      </c>
      <c r="F218" s="361"/>
      <c r="G218" s="361"/>
      <c r="H218" s="361"/>
      <c r="I218" s="361"/>
      <c r="J218" s="361"/>
      <c r="K218" s="361"/>
      <c r="L218" s="361"/>
      <c r="M218" s="361"/>
      <c r="N218" s="361"/>
      <c r="O218" s="361"/>
      <c r="P218" s="361"/>
      <c r="Q218" s="361"/>
      <c r="R218" s="361"/>
    </row>
    <row r="219" spans="1:18" ht="50.25" customHeight="1" thickBot="1">
      <c r="A219" s="11" t="s">
        <v>247</v>
      </c>
      <c r="B219" s="76">
        <v>2</v>
      </c>
      <c r="C219" s="288" t="s">
        <v>248</v>
      </c>
      <c r="D219" s="344">
        <f>$D$899</f>
        <v>618.89671538461539</v>
      </c>
      <c r="E219" s="361"/>
      <c r="F219" s="361"/>
      <c r="G219" s="361"/>
      <c r="H219" s="361"/>
      <c r="I219" s="361"/>
      <c r="J219" s="361"/>
      <c r="K219" s="361"/>
      <c r="L219" s="361"/>
      <c r="M219" s="361"/>
      <c r="N219" s="361"/>
      <c r="O219" s="361"/>
      <c r="P219" s="361"/>
      <c r="Q219" s="361"/>
      <c r="R219" s="361"/>
    </row>
    <row r="220" spans="1:18" ht="23.25" customHeight="1" thickBot="1">
      <c r="A220" s="348" t="s">
        <v>249</v>
      </c>
      <c r="B220" s="348"/>
      <c r="C220" s="289">
        <f>+AVERAGE(H226:H227)</f>
        <v>3390.2716479765654</v>
      </c>
      <c r="D220" s="345"/>
      <c r="E220" s="361"/>
      <c r="F220" s="361"/>
      <c r="G220" s="361"/>
      <c r="H220" s="361"/>
      <c r="I220" s="361"/>
      <c r="J220" s="361"/>
      <c r="K220" s="361"/>
      <c r="L220" s="361"/>
      <c r="M220" s="361"/>
      <c r="N220" s="361"/>
      <c r="O220" s="361"/>
      <c r="P220" s="361"/>
      <c r="Q220" s="361"/>
      <c r="R220" s="361"/>
    </row>
    <row r="221" spans="1:18" ht="23.25" customHeight="1" thickBot="1">
      <c r="A221" s="349" t="s">
        <v>250</v>
      </c>
      <c r="B221" s="349"/>
      <c r="C221" s="350">
        <v>45631</v>
      </c>
      <c r="D221" s="350"/>
      <c r="E221" s="361"/>
      <c r="F221" s="361"/>
      <c r="G221" s="361"/>
      <c r="H221" s="361"/>
      <c r="I221" s="361"/>
      <c r="J221" s="361"/>
      <c r="K221" s="361"/>
      <c r="L221" s="361"/>
      <c r="M221" s="361"/>
      <c r="N221" s="361"/>
      <c r="O221" s="361"/>
      <c r="P221" s="361"/>
      <c r="Q221" s="361"/>
      <c r="R221" s="361"/>
    </row>
    <row r="222" spans="1:18" ht="38.25" customHeight="1" thickBot="1">
      <c r="A222" s="351" t="s">
        <v>251</v>
      </c>
      <c r="B222" s="351"/>
      <c r="C222" s="352" t="str">
        <f>+IF(H228&gt;D219,"CUMPLE","NO CUMPLE")</f>
        <v>CUMPLE</v>
      </c>
      <c r="D222" s="352"/>
      <c r="E222" s="361"/>
      <c r="F222" s="361"/>
      <c r="G222" s="361"/>
      <c r="H222" s="361"/>
      <c r="I222" s="361"/>
      <c r="J222" s="361"/>
      <c r="K222" s="361"/>
      <c r="L222" s="361"/>
      <c r="M222" s="361"/>
      <c r="N222" s="361"/>
      <c r="O222" s="361"/>
      <c r="P222" s="361"/>
      <c r="Q222" s="361"/>
      <c r="R222" s="361"/>
    </row>
    <row r="223" spans="1:18" ht="87.75" customHeight="1" thickBot="1">
      <c r="A223" s="353" t="s">
        <v>252</v>
      </c>
      <c r="B223" s="353"/>
      <c r="C223" s="353"/>
      <c r="D223" s="353"/>
      <c r="E223" s="353"/>
      <c r="F223" s="353"/>
      <c r="G223" s="311"/>
      <c r="H223" s="311"/>
      <c r="I223" s="143" t="s">
        <v>253</v>
      </c>
      <c r="J223" s="305" t="s">
        <v>254</v>
      </c>
      <c r="K223" s="363" t="s">
        <v>255</v>
      </c>
      <c r="L223" s="364"/>
      <c r="M223" s="357" t="s">
        <v>256</v>
      </c>
      <c r="N223" s="357" t="s">
        <v>257</v>
      </c>
      <c r="O223" s="357" t="s">
        <v>258</v>
      </c>
      <c r="P223" s="357" t="s">
        <v>259</v>
      </c>
      <c r="Q223" s="357" t="s">
        <v>260</v>
      </c>
      <c r="R223" s="362" t="s">
        <v>261</v>
      </c>
    </row>
    <row r="224" spans="1:18" ht="77.25" customHeight="1">
      <c r="A224" s="144" t="s">
        <v>262</v>
      </c>
      <c r="B224" s="354" t="s">
        <v>263</v>
      </c>
      <c r="C224" s="354"/>
      <c r="D224" s="145" t="s">
        <v>264</v>
      </c>
      <c r="E224" s="145" t="s">
        <v>265</v>
      </c>
      <c r="F224" s="145" t="s">
        <v>266</v>
      </c>
      <c r="G224" s="146" t="s">
        <v>267</v>
      </c>
      <c r="H224" s="146" t="s">
        <v>268</v>
      </c>
      <c r="I224" s="147" t="s">
        <v>269</v>
      </c>
      <c r="J224" s="147" t="s">
        <v>270</v>
      </c>
      <c r="K224" s="198" t="s">
        <v>271</v>
      </c>
      <c r="L224" s="198" t="s">
        <v>272</v>
      </c>
      <c r="M224" s="358"/>
      <c r="N224" s="358"/>
      <c r="O224" s="358"/>
      <c r="P224" s="358"/>
      <c r="Q224" s="358"/>
      <c r="R224" s="362"/>
    </row>
    <row r="225" spans="1:18">
      <c r="A225" s="34" t="str">
        <f>VLOOKUP(A218,'LISTA DE OFERENTES'!$A$4:$F$82,5,FALSE)</f>
        <v>MIRS LATINOAMERICA S.A.S. (90%)</v>
      </c>
      <c r="B225" s="35"/>
      <c r="C225" s="35"/>
      <c r="D225" s="35"/>
      <c r="E225" s="35"/>
      <c r="F225" s="35"/>
      <c r="G225" s="35"/>
      <c r="H225" s="35"/>
      <c r="I225" s="35"/>
      <c r="J225" s="35"/>
      <c r="K225" s="35"/>
      <c r="L225" s="35"/>
      <c r="M225" s="35"/>
      <c r="N225" s="35"/>
      <c r="O225" s="35"/>
      <c r="P225" s="35"/>
      <c r="Q225" s="35"/>
      <c r="R225" s="36"/>
    </row>
    <row r="226" spans="1:18" s="14" customFormat="1" ht="112.5" customHeight="1">
      <c r="A226" s="178" t="s">
        <v>384</v>
      </c>
      <c r="B226" s="343" t="s">
        <v>385</v>
      </c>
      <c r="C226" s="343"/>
      <c r="D226" s="179">
        <v>4673966677</v>
      </c>
      <c r="E226" s="208">
        <v>2021</v>
      </c>
      <c r="F226" s="180">
        <f>D226/(VLOOKUP(E226,$D$929:$E$962,2,FALSE))</f>
        <v>5144.5601743923671</v>
      </c>
      <c r="G226" s="209">
        <v>0.9</v>
      </c>
      <c r="H226" s="180">
        <f>F226*G226</f>
        <v>4630.1041569531308</v>
      </c>
      <c r="I226" s="210">
        <v>44254</v>
      </c>
      <c r="J226" s="242">
        <v>811015</v>
      </c>
      <c r="K226" s="211" t="s">
        <v>275</v>
      </c>
      <c r="L226" s="212">
        <f>IF(K226="CUMPLE",H226,0)</f>
        <v>4630.1041569531308</v>
      </c>
      <c r="M226" s="213" t="s">
        <v>275</v>
      </c>
      <c r="N226" s="213" t="s">
        <v>275</v>
      </c>
      <c r="O226" s="213" t="s">
        <v>275</v>
      </c>
      <c r="P226" s="213" t="s">
        <v>275</v>
      </c>
      <c r="Q226" s="213" t="s">
        <v>276</v>
      </c>
      <c r="R226" s="216" t="s">
        <v>386</v>
      </c>
    </row>
    <row r="227" spans="1:18" s="14" customFormat="1" ht="120">
      <c r="A227" s="181" t="s">
        <v>387</v>
      </c>
      <c r="B227" s="343" t="s">
        <v>385</v>
      </c>
      <c r="C227" s="343"/>
      <c r="D227" s="179">
        <v>2150439139</v>
      </c>
      <c r="E227" s="208">
        <v>2022</v>
      </c>
      <c r="F227" s="180">
        <f>D227/(VLOOKUP(E227,$D$929:$E$962,2,FALSE))</f>
        <v>2150.4391390000001</v>
      </c>
      <c r="G227" s="215">
        <v>1</v>
      </c>
      <c r="H227" s="180">
        <f>F227*G227</f>
        <v>2150.4391390000001</v>
      </c>
      <c r="I227" s="210">
        <v>44635</v>
      </c>
      <c r="J227" s="242">
        <v>811016</v>
      </c>
      <c r="K227" s="242" t="s">
        <v>275</v>
      </c>
      <c r="L227" s="212">
        <f t="shared" ref="L227" si="25">IF(K227="CUMPLE",H227,0)</f>
        <v>2150.4391390000001</v>
      </c>
      <c r="M227" s="213" t="s">
        <v>275</v>
      </c>
      <c r="N227" s="213" t="s">
        <v>275</v>
      </c>
      <c r="O227" s="213" t="s">
        <v>275</v>
      </c>
      <c r="P227" s="213" t="s">
        <v>275</v>
      </c>
      <c r="Q227" s="213" t="s">
        <v>276</v>
      </c>
      <c r="R227" s="216" t="s">
        <v>386</v>
      </c>
    </row>
    <row r="228" spans="1:18" s="14" customFormat="1" ht="48" customHeight="1" thickBot="1">
      <c r="A228" s="346" t="s">
        <v>284</v>
      </c>
      <c r="B228" s="346"/>
      <c r="C228" s="346"/>
      <c r="D228" s="346"/>
      <c r="E228" s="346"/>
      <c r="F228" s="45">
        <f>+SUM(F226:F227)</f>
        <v>7294.9993133923672</v>
      </c>
      <c r="G228" s="45"/>
      <c r="H228" s="45">
        <f>+SUM(H226:H227)</f>
        <v>6780.5432959531308</v>
      </c>
      <c r="I228" s="359"/>
      <c r="J228" s="360"/>
      <c r="K228" s="196"/>
      <c r="L228" s="196"/>
      <c r="M228" s="196"/>
      <c r="N228" s="196"/>
      <c r="O228" s="196"/>
      <c r="P228" s="304"/>
      <c r="Q228" s="304"/>
      <c r="R228" s="37" t="s">
        <v>276</v>
      </c>
    </row>
    <row r="229" spans="1:18" ht="16.5" thickBot="1">
      <c r="A229" s="3"/>
      <c r="B229" s="3"/>
      <c r="C229" s="3"/>
      <c r="D229" s="3"/>
      <c r="E229" s="3"/>
      <c r="F229" s="3"/>
      <c r="G229" s="3"/>
      <c r="H229" s="3"/>
      <c r="I229" s="3"/>
      <c r="J229" s="3"/>
      <c r="K229" s="3"/>
      <c r="L229" s="3"/>
      <c r="M229" s="3"/>
      <c r="N229" s="3"/>
      <c r="O229" s="4"/>
      <c r="P229" s="4"/>
      <c r="Q229" s="4"/>
      <c r="R229" s="4"/>
    </row>
    <row r="230" spans="1:18" ht="30.75" customHeight="1" thickBot="1">
      <c r="A230" s="347">
        <f>1+A218</f>
        <v>17</v>
      </c>
      <c r="B230" s="347"/>
      <c r="C230" s="347"/>
      <c r="D230" s="347"/>
      <c r="E230" s="361" t="str">
        <f>VLOOKUP(A230,'REQUISITOS HAB. TECNICOS'!$A$5:$B$66,2,FALSE)</f>
        <v>CONSORCIO FONTIBON GM</v>
      </c>
      <c r="F230" s="361"/>
      <c r="G230" s="361"/>
      <c r="H230" s="361"/>
      <c r="I230" s="361"/>
      <c r="J230" s="361"/>
      <c r="K230" s="361"/>
      <c r="L230" s="361"/>
      <c r="M230" s="361"/>
      <c r="N230" s="361"/>
      <c r="O230" s="361"/>
      <c r="P230" s="361"/>
      <c r="Q230" s="361"/>
      <c r="R230" s="361"/>
    </row>
    <row r="231" spans="1:18" ht="50.25" customHeight="1" thickBot="1">
      <c r="A231" s="11" t="s">
        <v>247</v>
      </c>
      <c r="B231" s="76">
        <v>2</v>
      </c>
      <c r="C231" s="288" t="s">
        <v>248</v>
      </c>
      <c r="D231" s="344">
        <f>$D$899</f>
        <v>618.89671538461539</v>
      </c>
      <c r="E231" s="361"/>
      <c r="F231" s="361"/>
      <c r="G231" s="361"/>
      <c r="H231" s="361"/>
      <c r="I231" s="361"/>
      <c r="J231" s="361"/>
      <c r="K231" s="361"/>
      <c r="L231" s="361"/>
      <c r="M231" s="361"/>
      <c r="N231" s="361"/>
      <c r="O231" s="361"/>
      <c r="P231" s="361"/>
      <c r="Q231" s="361"/>
      <c r="R231" s="361"/>
    </row>
    <row r="232" spans="1:18" ht="23.25" customHeight="1" thickBot="1">
      <c r="A232" s="348" t="s">
        <v>249</v>
      </c>
      <c r="B232" s="348"/>
      <c r="C232" s="289" t="e">
        <f>+AVERAGE(H238:H239)</f>
        <v>#DIV/0!</v>
      </c>
      <c r="D232" s="345"/>
      <c r="E232" s="361"/>
      <c r="F232" s="361"/>
      <c r="G232" s="361"/>
      <c r="H232" s="361"/>
      <c r="I232" s="361"/>
      <c r="J232" s="361"/>
      <c r="K232" s="361"/>
      <c r="L232" s="361"/>
      <c r="M232" s="361"/>
      <c r="N232" s="361"/>
      <c r="O232" s="361"/>
      <c r="P232" s="361"/>
      <c r="Q232" s="361"/>
      <c r="R232" s="361"/>
    </row>
    <row r="233" spans="1:18" ht="23.25" customHeight="1" thickBot="1">
      <c r="A233" s="349" t="s">
        <v>250</v>
      </c>
      <c r="B233" s="349"/>
      <c r="C233" s="350">
        <v>45631</v>
      </c>
      <c r="D233" s="350"/>
      <c r="E233" s="361"/>
      <c r="F233" s="361"/>
      <c r="G233" s="361"/>
      <c r="H233" s="361"/>
      <c r="I233" s="361"/>
      <c r="J233" s="361"/>
      <c r="K233" s="361"/>
      <c r="L233" s="361"/>
      <c r="M233" s="361"/>
      <c r="N233" s="361"/>
      <c r="O233" s="361"/>
      <c r="P233" s="361"/>
      <c r="Q233" s="361"/>
      <c r="R233" s="361"/>
    </row>
    <row r="234" spans="1:18" ht="38.25" customHeight="1" thickBot="1">
      <c r="A234" s="351" t="s">
        <v>251</v>
      </c>
      <c r="B234" s="351"/>
      <c r="C234" s="352" t="str">
        <f>+IF(H240&gt;D231,"CUMPLE","NO CUMPLE")</f>
        <v>NO CUMPLE</v>
      </c>
      <c r="D234" s="352"/>
      <c r="E234" s="361"/>
      <c r="F234" s="361"/>
      <c r="G234" s="361"/>
      <c r="H234" s="361"/>
      <c r="I234" s="361"/>
      <c r="J234" s="361"/>
      <c r="K234" s="361"/>
      <c r="L234" s="361"/>
      <c r="M234" s="361"/>
      <c r="N234" s="361"/>
      <c r="O234" s="361"/>
      <c r="P234" s="361"/>
      <c r="Q234" s="361"/>
      <c r="R234" s="361"/>
    </row>
    <row r="235" spans="1:18" ht="86.25" customHeight="1" thickBot="1">
      <c r="A235" s="353" t="s">
        <v>252</v>
      </c>
      <c r="B235" s="353"/>
      <c r="C235" s="353"/>
      <c r="D235" s="353"/>
      <c r="E235" s="353"/>
      <c r="F235" s="353"/>
      <c r="G235" s="311"/>
      <c r="H235" s="311"/>
      <c r="I235" s="143" t="s">
        <v>253</v>
      </c>
      <c r="J235" s="305" t="s">
        <v>254</v>
      </c>
      <c r="K235" s="363" t="s">
        <v>255</v>
      </c>
      <c r="L235" s="364"/>
      <c r="M235" s="357" t="s">
        <v>256</v>
      </c>
      <c r="N235" s="357" t="s">
        <v>257</v>
      </c>
      <c r="O235" s="357" t="s">
        <v>258</v>
      </c>
      <c r="P235" s="357" t="s">
        <v>259</v>
      </c>
      <c r="Q235" s="357" t="s">
        <v>260</v>
      </c>
      <c r="R235" s="362" t="s">
        <v>261</v>
      </c>
    </row>
    <row r="236" spans="1:18" ht="77.25" customHeight="1">
      <c r="A236" s="144" t="s">
        <v>262</v>
      </c>
      <c r="B236" s="354" t="s">
        <v>263</v>
      </c>
      <c r="C236" s="354"/>
      <c r="D236" s="145" t="s">
        <v>264</v>
      </c>
      <c r="E236" s="145" t="s">
        <v>265</v>
      </c>
      <c r="F236" s="145" t="s">
        <v>266</v>
      </c>
      <c r="G236" s="146" t="s">
        <v>267</v>
      </c>
      <c r="H236" s="146" t="s">
        <v>268</v>
      </c>
      <c r="I236" s="147" t="s">
        <v>269</v>
      </c>
      <c r="J236" s="147" t="s">
        <v>270</v>
      </c>
      <c r="K236" s="198" t="s">
        <v>271</v>
      </c>
      <c r="L236" s="198" t="s">
        <v>272</v>
      </c>
      <c r="M236" s="358"/>
      <c r="N236" s="358"/>
      <c r="O236" s="358"/>
      <c r="P236" s="358"/>
      <c r="Q236" s="358"/>
      <c r="R236" s="362"/>
    </row>
    <row r="237" spans="1:18">
      <c r="A237" s="34" t="str">
        <f>VLOOKUP(A230,'LISTA DE OFERENTES'!$A$4:$F$82,5,FALSE)</f>
        <v>MSING SAS (90%)</v>
      </c>
      <c r="B237" s="35"/>
      <c r="C237" s="35"/>
      <c r="D237" s="35"/>
      <c r="E237" s="35"/>
      <c r="F237" s="35"/>
      <c r="G237" s="35"/>
      <c r="H237" s="35"/>
      <c r="I237" s="35"/>
      <c r="J237" s="35"/>
      <c r="K237" s="35"/>
      <c r="L237" s="35"/>
      <c r="M237" s="35"/>
      <c r="N237" s="35"/>
      <c r="O237" s="35"/>
      <c r="P237" s="35"/>
      <c r="Q237" s="35"/>
      <c r="R237" s="36"/>
    </row>
    <row r="238" spans="1:18" s="14" customFormat="1" ht="120" customHeight="1">
      <c r="A238" s="185" t="s">
        <v>388</v>
      </c>
      <c r="B238" s="365" t="s">
        <v>389</v>
      </c>
      <c r="C238" s="365"/>
      <c r="D238" s="6">
        <v>1373680488</v>
      </c>
      <c r="E238" s="31">
        <v>2018</v>
      </c>
      <c r="F238" s="7">
        <f>D238/(VLOOKUP(E238,$D$929:$E$962,2,FALSE))</f>
        <v>1758.3290299292664</v>
      </c>
      <c r="G238" s="65">
        <v>0.05</v>
      </c>
      <c r="H238" s="7"/>
      <c r="I238" s="5">
        <v>43359</v>
      </c>
      <c r="J238" s="197">
        <v>80101500</v>
      </c>
      <c r="K238" s="69" t="s">
        <v>276</v>
      </c>
      <c r="L238" s="199">
        <f>IF(K238="CUMPLE",H238,0)</f>
        <v>0</v>
      </c>
      <c r="M238" s="13" t="s">
        <v>311</v>
      </c>
      <c r="N238" s="13" t="s">
        <v>311</v>
      </c>
      <c r="O238" s="13" t="s">
        <v>311</v>
      </c>
      <c r="P238" s="13" t="s">
        <v>311</v>
      </c>
      <c r="Q238" s="13" t="s">
        <v>311</v>
      </c>
      <c r="R238" s="141" t="s">
        <v>352</v>
      </c>
    </row>
    <row r="239" spans="1:18" s="14" customFormat="1" ht="120" customHeight="1">
      <c r="A239" s="186" t="s">
        <v>390</v>
      </c>
      <c r="B239" s="365" t="s">
        <v>295</v>
      </c>
      <c r="C239" s="365"/>
      <c r="D239" s="6">
        <v>6000000000</v>
      </c>
      <c r="E239" s="31">
        <v>2018</v>
      </c>
      <c r="F239" s="7">
        <f>D239/(VLOOKUP(E239,$D$929:$E$962,2,FALSE))</f>
        <v>7680.0786440053143</v>
      </c>
      <c r="G239" s="68">
        <v>0.24</v>
      </c>
      <c r="H239" s="7"/>
      <c r="I239" s="5">
        <v>43464</v>
      </c>
      <c r="J239" s="197">
        <v>80101500</v>
      </c>
      <c r="K239" s="197" t="s">
        <v>276</v>
      </c>
      <c r="L239" s="199">
        <f t="shared" ref="L239" si="26">IF(K239="CUMPLE",H239,0)</f>
        <v>0</v>
      </c>
      <c r="M239" s="13" t="s">
        <v>311</v>
      </c>
      <c r="N239" s="13" t="s">
        <v>311</v>
      </c>
      <c r="O239" s="13" t="s">
        <v>276</v>
      </c>
      <c r="P239" s="13" t="s">
        <v>311</v>
      </c>
      <c r="Q239" s="13" t="s">
        <v>311</v>
      </c>
      <c r="R239" s="141" t="s">
        <v>352</v>
      </c>
    </row>
    <row r="240" spans="1:18" s="14" customFormat="1" ht="48" customHeight="1" thickBot="1">
      <c r="A240" s="346" t="s">
        <v>284</v>
      </c>
      <c r="B240" s="346"/>
      <c r="C240" s="346"/>
      <c r="D240" s="346"/>
      <c r="E240" s="346"/>
      <c r="F240" s="45">
        <f>+SUM(F238:F239)</f>
        <v>9438.4076739345801</v>
      </c>
      <c r="G240" s="45"/>
      <c r="H240" s="45">
        <f>+SUM(H238:H239)</f>
        <v>0</v>
      </c>
      <c r="I240" s="359"/>
      <c r="J240" s="360"/>
      <c r="K240" s="196"/>
      <c r="L240" s="196"/>
      <c r="M240" s="196"/>
      <c r="N240" s="196"/>
      <c r="O240" s="196"/>
      <c r="P240" s="304"/>
      <c r="Q240" s="304"/>
      <c r="R240" s="37" t="s">
        <v>276</v>
      </c>
    </row>
    <row r="241" spans="1:18" ht="16.5" thickBot="1">
      <c r="A241" s="3"/>
      <c r="B241" s="3"/>
      <c r="C241" s="3"/>
      <c r="D241" s="3"/>
      <c r="E241" s="3"/>
      <c r="F241" s="3"/>
      <c r="G241" s="3"/>
      <c r="H241" s="3"/>
      <c r="I241" s="3"/>
      <c r="J241" s="3"/>
      <c r="K241" s="3"/>
      <c r="L241" s="3"/>
      <c r="M241" s="3"/>
      <c r="N241" s="3"/>
      <c r="O241" s="4"/>
      <c r="P241" s="4"/>
      <c r="Q241" s="4"/>
      <c r="R241" s="4"/>
    </row>
    <row r="242" spans="1:18" ht="30.75" customHeight="1" thickBot="1">
      <c r="A242" s="347">
        <f>1+A230</f>
        <v>18</v>
      </c>
      <c r="B242" s="347"/>
      <c r="C242" s="347"/>
      <c r="D242" s="347"/>
      <c r="E242" s="361" t="str">
        <f>VLOOKUP(A242,'REQUISITOS HAB. TECNICOS'!$A$5:$B$66,2,FALSE)</f>
        <v>CONSORCIO I.D. FONTIBÓN</v>
      </c>
      <c r="F242" s="361"/>
      <c r="G242" s="361"/>
      <c r="H242" s="361"/>
      <c r="I242" s="361"/>
      <c r="J242" s="361"/>
      <c r="K242" s="361"/>
      <c r="L242" s="361"/>
      <c r="M242" s="361"/>
      <c r="N242" s="361"/>
      <c r="O242" s="361"/>
      <c r="P242" s="361"/>
      <c r="Q242" s="361"/>
      <c r="R242" s="361"/>
    </row>
    <row r="243" spans="1:18" ht="50.25" customHeight="1" thickBot="1">
      <c r="A243" s="11" t="s">
        <v>247</v>
      </c>
      <c r="B243" s="76">
        <v>3</v>
      </c>
      <c r="C243" s="288" t="s">
        <v>248</v>
      </c>
      <c r="D243" s="344">
        <f>$D$899</f>
        <v>618.89671538461539</v>
      </c>
      <c r="E243" s="361"/>
      <c r="F243" s="361"/>
      <c r="G243" s="361"/>
      <c r="H243" s="361"/>
      <c r="I243" s="361"/>
      <c r="J243" s="361"/>
      <c r="K243" s="361"/>
      <c r="L243" s="361"/>
      <c r="M243" s="361"/>
      <c r="N243" s="361"/>
      <c r="O243" s="361"/>
      <c r="P243" s="361"/>
      <c r="Q243" s="361"/>
      <c r="R243" s="361"/>
    </row>
    <row r="244" spans="1:18" ht="23.25" customHeight="1" thickBot="1">
      <c r="A244" s="348" t="s">
        <v>249</v>
      </c>
      <c r="B244" s="348"/>
      <c r="C244" s="289">
        <f>+AVERAGE(H250:H252)</f>
        <v>1553.5779529339707</v>
      </c>
      <c r="D244" s="345"/>
      <c r="E244" s="361"/>
      <c r="F244" s="361"/>
      <c r="G244" s="361"/>
      <c r="H244" s="361"/>
      <c r="I244" s="361"/>
      <c r="J244" s="361"/>
      <c r="K244" s="361"/>
      <c r="L244" s="361"/>
      <c r="M244" s="361"/>
      <c r="N244" s="361"/>
      <c r="O244" s="361"/>
      <c r="P244" s="361"/>
      <c r="Q244" s="361"/>
      <c r="R244" s="361"/>
    </row>
    <row r="245" spans="1:18" ht="23.25" customHeight="1" thickBot="1">
      <c r="A245" s="349" t="s">
        <v>250</v>
      </c>
      <c r="B245" s="349"/>
      <c r="C245" s="350">
        <v>45631</v>
      </c>
      <c r="D245" s="350"/>
      <c r="E245" s="361"/>
      <c r="F245" s="361"/>
      <c r="G245" s="361"/>
      <c r="H245" s="361"/>
      <c r="I245" s="361"/>
      <c r="J245" s="361"/>
      <c r="K245" s="361"/>
      <c r="L245" s="361"/>
      <c r="M245" s="361"/>
      <c r="N245" s="361"/>
      <c r="O245" s="361"/>
      <c r="P245" s="361"/>
      <c r="Q245" s="361"/>
      <c r="R245" s="361"/>
    </row>
    <row r="246" spans="1:18" ht="38.25" customHeight="1" thickBot="1">
      <c r="A246" s="351" t="s">
        <v>251</v>
      </c>
      <c r="B246" s="351"/>
      <c r="C246" s="352" t="str">
        <f>+IF(H253&gt;D243,"CUMPLE","NO CUMPLE")</f>
        <v>CUMPLE</v>
      </c>
      <c r="D246" s="352"/>
      <c r="E246" s="361"/>
      <c r="F246" s="361"/>
      <c r="G246" s="361"/>
      <c r="H246" s="361"/>
      <c r="I246" s="361"/>
      <c r="J246" s="361"/>
      <c r="K246" s="361"/>
      <c r="L246" s="361"/>
      <c r="M246" s="361"/>
      <c r="N246" s="361"/>
      <c r="O246" s="361"/>
      <c r="P246" s="361"/>
      <c r="Q246" s="361"/>
      <c r="R246" s="361"/>
    </row>
    <row r="247" spans="1:18" ht="83.25" customHeight="1" thickBot="1">
      <c r="A247" s="353" t="s">
        <v>252</v>
      </c>
      <c r="B247" s="353"/>
      <c r="C247" s="353"/>
      <c r="D247" s="353"/>
      <c r="E247" s="353"/>
      <c r="F247" s="353"/>
      <c r="G247" s="311"/>
      <c r="H247" s="311"/>
      <c r="I247" s="143" t="s">
        <v>253</v>
      </c>
      <c r="J247" s="305" t="s">
        <v>254</v>
      </c>
      <c r="K247" s="363" t="s">
        <v>255</v>
      </c>
      <c r="L247" s="364"/>
      <c r="M247" s="357" t="s">
        <v>256</v>
      </c>
      <c r="N247" s="357" t="s">
        <v>257</v>
      </c>
      <c r="O247" s="357" t="s">
        <v>258</v>
      </c>
      <c r="P247" s="357" t="s">
        <v>259</v>
      </c>
      <c r="Q247" s="357" t="s">
        <v>260</v>
      </c>
      <c r="R247" s="362" t="s">
        <v>261</v>
      </c>
    </row>
    <row r="248" spans="1:18" ht="77.25" customHeight="1">
      <c r="A248" s="144" t="s">
        <v>262</v>
      </c>
      <c r="B248" s="354" t="s">
        <v>263</v>
      </c>
      <c r="C248" s="354"/>
      <c r="D248" s="145" t="s">
        <v>264</v>
      </c>
      <c r="E248" s="145" t="s">
        <v>265</v>
      </c>
      <c r="F248" s="145" t="s">
        <v>266</v>
      </c>
      <c r="G248" s="146" t="s">
        <v>267</v>
      </c>
      <c r="H248" s="146" t="s">
        <v>268</v>
      </c>
      <c r="I248" s="147" t="s">
        <v>269</v>
      </c>
      <c r="J248" s="147" t="s">
        <v>270</v>
      </c>
      <c r="K248" s="198" t="s">
        <v>271</v>
      </c>
      <c r="L248" s="198" t="s">
        <v>272</v>
      </c>
      <c r="M248" s="358"/>
      <c r="N248" s="358"/>
      <c r="O248" s="358"/>
      <c r="P248" s="358"/>
      <c r="Q248" s="358"/>
      <c r="R248" s="362"/>
    </row>
    <row r="249" spans="1:18">
      <c r="A249" s="34" t="str">
        <f>VLOOKUP(A242,'LISTA DE OFERENTES'!$A$4:$F$82,5,FALSE)</f>
        <v>DISEÑOS INTERVENTORIAS Y SERVICIOS S.A.S. (90%)</v>
      </c>
      <c r="B249" s="35"/>
      <c r="C249" s="35"/>
      <c r="D249" s="35"/>
      <c r="E249" s="35"/>
      <c r="F249" s="35"/>
      <c r="G249" s="35"/>
      <c r="H249" s="35"/>
      <c r="I249" s="35"/>
      <c r="J249" s="35"/>
      <c r="K249" s="35"/>
      <c r="L249" s="35"/>
      <c r="M249" s="35"/>
      <c r="N249" s="35"/>
      <c r="O249" s="35"/>
      <c r="P249" s="35"/>
      <c r="Q249" s="35"/>
      <c r="R249" s="36"/>
    </row>
    <row r="250" spans="1:18" s="14" customFormat="1" ht="60">
      <c r="A250" s="178" t="s">
        <v>391</v>
      </c>
      <c r="B250" s="343" t="s">
        <v>392</v>
      </c>
      <c r="C250" s="343"/>
      <c r="D250" s="179">
        <v>1049930337</v>
      </c>
      <c r="E250" s="208">
        <v>2008</v>
      </c>
      <c r="F250" s="180">
        <f>D250/(VLOOKUP(E250,$D$929:$E$962,2,FALSE))</f>
        <v>2275.0386500541713</v>
      </c>
      <c r="G250" s="209">
        <v>0.6</v>
      </c>
      <c r="H250" s="180">
        <f>F250*G250</f>
        <v>1365.0231900325027</v>
      </c>
      <c r="I250" s="210">
        <v>39596</v>
      </c>
      <c r="J250" s="211" t="s">
        <v>275</v>
      </c>
      <c r="K250" s="211" t="s">
        <v>275</v>
      </c>
      <c r="L250" s="212">
        <f>IF(K250="CUMPLE",H250,0)</f>
        <v>1365.0231900325027</v>
      </c>
      <c r="M250" s="213" t="s">
        <v>275</v>
      </c>
      <c r="N250" s="213" t="s">
        <v>275</v>
      </c>
      <c r="O250" s="213" t="s">
        <v>275</v>
      </c>
      <c r="P250" s="213" t="s">
        <v>275</v>
      </c>
      <c r="Q250" s="239" t="s">
        <v>276</v>
      </c>
      <c r="R250" s="216" t="s">
        <v>393</v>
      </c>
    </row>
    <row r="251" spans="1:18" s="14" customFormat="1" ht="60">
      <c r="A251" s="181" t="s">
        <v>394</v>
      </c>
      <c r="B251" s="343" t="s">
        <v>395</v>
      </c>
      <c r="C251" s="343"/>
      <c r="D251" s="179">
        <v>557276180</v>
      </c>
      <c r="E251" s="208">
        <v>2007</v>
      </c>
      <c r="F251" s="180">
        <f>D251/(VLOOKUP(E251,$D$929:$E$962,2,FALSE))</f>
        <v>1284.9347014065022</v>
      </c>
      <c r="G251" s="215">
        <v>0.5</v>
      </c>
      <c r="H251" s="180">
        <f>F251*G251</f>
        <v>642.4673507032511</v>
      </c>
      <c r="I251" s="210">
        <v>39315</v>
      </c>
      <c r="J251" s="211" t="s">
        <v>275</v>
      </c>
      <c r="K251" s="211" t="s">
        <v>275</v>
      </c>
      <c r="L251" s="212">
        <f t="shared" ref="L251:L252" si="27">IF(K251="CUMPLE",H251,0)</f>
        <v>642.4673507032511</v>
      </c>
      <c r="M251" s="213" t="s">
        <v>275</v>
      </c>
      <c r="N251" s="213" t="s">
        <v>275</v>
      </c>
      <c r="O251" s="303" t="s">
        <v>275</v>
      </c>
      <c r="P251" s="239" t="s">
        <v>276</v>
      </c>
      <c r="Q251" s="239" t="s">
        <v>276</v>
      </c>
      <c r="R251" s="216" t="s">
        <v>393</v>
      </c>
    </row>
    <row r="252" spans="1:18" s="14" customFormat="1" ht="64.349999999999994" customHeight="1">
      <c r="A252" s="181" t="s">
        <v>396</v>
      </c>
      <c r="B252" s="343" t="s">
        <v>364</v>
      </c>
      <c r="C252" s="343"/>
      <c r="D252" s="179">
        <v>3128173872</v>
      </c>
      <c r="E252" s="208">
        <v>2013</v>
      </c>
      <c r="F252" s="180">
        <f>D252/(VLOOKUP(E252,$D$929:$E$962,2,FALSE))</f>
        <v>5306.4866361323157</v>
      </c>
      <c r="G252" s="215">
        <v>0.5</v>
      </c>
      <c r="H252" s="180">
        <f>F252*G252</f>
        <v>2653.2433180661578</v>
      </c>
      <c r="I252" s="210">
        <v>41475</v>
      </c>
      <c r="J252" s="211" t="s">
        <v>397</v>
      </c>
      <c r="K252" s="211" t="s">
        <v>275</v>
      </c>
      <c r="L252" s="212">
        <f t="shared" si="27"/>
        <v>2653.2433180661578</v>
      </c>
      <c r="M252" s="213" t="s">
        <v>275</v>
      </c>
      <c r="N252" s="213" t="s">
        <v>275</v>
      </c>
      <c r="O252" s="303" t="s">
        <v>275</v>
      </c>
      <c r="P252" s="239" t="s">
        <v>276</v>
      </c>
      <c r="Q252" s="239" t="s">
        <v>276</v>
      </c>
      <c r="R252" s="216" t="s">
        <v>393</v>
      </c>
    </row>
    <row r="253" spans="1:18" s="14" customFormat="1" ht="48" customHeight="1" thickBot="1">
      <c r="A253" s="346" t="s">
        <v>284</v>
      </c>
      <c r="B253" s="346"/>
      <c r="C253" s="346"/>
      <c r="D253" s="346"/>
      <c r="E253" s="346"/>
      <c r="F253" s="45">
        <f>+SUM(F250:F252)</f>
        <v>8866.4599875929889</v>
      </c>
      <c r="G253" s="45"/>
      <c r="H253" s="45">
        <f>+SUM(H250:H252)</f>
        <v>4660.733858801912</v>
      </c>
      <c r="I253" s="359" t="s">
        <v>383</v>
      </c>
      <c r="J253" s="360"/>
      <c r="K253" s="196" t="str">
        <f>IF(L253&gt;D243,"CUMPLE","NO CUMPLE")</f>
        <v>CUMPLE</v>
      </c>
      <c r="L253" s="196">
        <f>SUM(L250:L252)</f>
        <v>4660.733858801912</v>
      </c>
      <c r="M253" s="196"/>
      <c r="N253" s="196"/>
      <c r="O253" s="196"/>
      <c r="P253" s="304"/>
      <c r="Q253" s="304"/>
      <c r="R253" s="37" t="s">
        <v>276</v>
      </c>
    </row>
    <row r="254" spans="1:18" ht="16.5" thickBot="1">
      <c r="A254" s="3"/>
      <c r="B254" s="3"/>
      <c r="C254" s="3"/>
      <c r="D254" s="3"/>
      <c r="E254" s="3"/>
      <c r="F254" s="3"/>
      <c r="G254" s="3"/>
      <c r="H254" s="3"/>
      <c r="I254" s="3"/>
      <c r="J254" s="3"/>
      <c r="K254" s="3"/>
      <c r="L254" s="3"/>
      <c r="M254" s="3"/>
      <c r="N254" s="3"/>
      <c r="O254" s="4"/>
      <c r="P254" s="4"/>
      <c r="Q254" s="4"/>
      <c r="R254" s="4"/>
    </row>
    <row r="255" spans="1:18" ht="30.75" customHeight="1" thickBot="1">
      <c r="A255" s="347">
        <f>1+A242</f>
        <v>19</v>
      </c>
      <c r="B255" s="347"/>
      <c r="C255" s="347"/>
      <c r="D255" s="347"/>
      <c r="E255" s="361" t="str">
        <f>VLOOKUP(A255,'REQUISITOS HAB. TECNICOS'!$A$5:$B$66,2,FALSE)</f>
        <v>CONSORCIO LG FONTIBÓN</v>
      </c>
      <c r="F255" s="361"/>
      <c r="G255" s="361"/>
      <c r="H255" s="361"/>
      <c r="I255" s="361"/>
      <c r="J255" s="361"/>
      <c r="K255" s="361"/>
      <c r="L255" s="361"/>
      <c r="M255" s="361"/>
      <c r="N255" s="361"/>
      <c r="O255" s="361"/>
      <c r="P255" s="361"/>
      <c r="Q255" s="361"/>
      <c r="R255" s="361"/>
    </row>
    <row r="256" spans="1:18" ht="50.25" customHeight="1" thickBot="1">
      <c r="A256" s="11" t="s">
        <v>247</v>
      </c>
      <c r="B256" s="76">
        <v>4</v>
      </c>
      <c r="C256" s="288" t="s">
        <v>248</v>
      </c>
      <c r="D256" s="344">
        <f>$D$899</f>
        <v>618.89671538461539</v>
      </c>
      <c r="E256" s="361"/>
      <c r="F256" s="361"/>
      <c r="G256" s="361"/>
      <c r="H256" s="361"/>
      <c r="I256" s="361"/>
      <c r="J256" s="361"/>
      <c r="K256" s="361"/>
      <c r="L256" s="361"/>
      <c r="M256" s="361"/>
      <c r="N256" s="361"/>
      <c r="O256" s="361"/>
      <c r="P256" s="361"/>
      <c r="Q256" s="361"/>
      <c r="R256" s="361"/>
    </row>
    <row r="257" spans="1:18" ht="23.25" customHeight="1" thickBot="1">
      <c r="A257" s="348" t="s">
        <v>249</v>
      </c>
      <c r="B257" s="348"/>
      <c r="C257" s="289">
        <f>+AVERAGE(H263:H267)</f>
        <v>1211.9118480080276</v>
      </c>
      <c r="D257" s="345"/>
      <c r="E257" s="361"/>
      <c r="F257" s="361"/>
      <c r="G257" s="361"/>
      <c r="H257" s="361"/>
      <c r="I257" s="361"/>
      <c r="J257" s="361"/>
      <c r="K257" s="361"/>
      <c r="L257" s="361"/>
      <c r="M257" s="361"/>
      <c r="N257" s="361"/>
      <c r="O257" s="361"/>
      <c r="P257" s="361"/>
      <c r="Q257" s="361"/>
      <c r="R257" s="361"/>
    </row>
    <row r="258" spans="1:18" ht="23.25" customHeight="1" thickBot="1">
      <c r="A258" s="349" t="s">
        <v>250</v>
      </c>
      <c r="B258" s="349"/>
      <c r="C258" s="350">
        <v>45631</v>
      </c>
      <c r="D258" s="350"/>
      <c r="E258" s="361"/>
      <c r="F258" s="361"/>
      <c r="G258" s="361"/>
      <c r="H258" s="361"/>
      <c r="I258" s="361"/>
      <c r="J258" s="361"/>
      <c r="K258" s="361"/>
      <c r="L258" s="361"/>
      <c r="M258" s="361"/>
      <c r="N258" s="361"/>
      <c r="O258" s="361"/>
      <c r="P258" s="361"/>
      <c r="Q258" s="361"/>
      <c r="R258" s="361"/>
    </row>
    <row r="259" spans="1:18" ht="38.25" customHeight="1" thickBot="1">
      <c r="A259" s="351" t="s">
        <v>251</v>
      </c>
      <c r="B259" s="351"/>
      <c r="C259" s="352" t="str">
        <f>+IF(H268&gt;D256,"CUMPLE","NO CUMPLE")</f>
        <v>CUMPLE</v>
      </c>
      <c r="D259" s="352"/>
      <c r="E259" s="361"/>
      <c r="F259" s="361"/>
      <c r="G259" s="361"/>
      <c r="H259" s="361"/>
      <c r="I259" s="361"/>
      <c r="J259" s="361"/>
      <c r="K259" s="361"/>
      <c r="L259" s="361"/>
      <c r="M259" s="361"/>
      <c r="N259" s="361"/>
      <c r="O259" s="361"/>
      <c r="P259" s="361"/>
      <c r="Q259" s="361"/>
      <c r="R259" s="361"/>
    </row>
    <row r="260" spans="1:18" ht="86.25" customHeight="1" thickBot="1">
      <c r="A260" s="353" t="s">
        <v>252</v>
      </c>
      <c r="B260" s="353"/>
      <c r="C260" s="353"/>
      <c r="D260" s="353"/>
      <c r="E260" s="353"/>
      <c r="F260" s="353"/>
      <c r="G260" s="311"/>
      <c r="H260" s="311"/>
      <c r="I260" s="143" t="s">
        <v>253</v>
      </c>
      <c r="J260" s="305" t="s">
        <v>254</v>
      </c>
      <c r="K260" s="363" t="s">
        <v>255</v>
      </c>
      <c r="L260" s="364"/>
      <c r="M260" s="357" t="s">
        <v>256</v>
      </c>
      <c r="N260" s="357" t="s">
        <v>257</v>
      </c>
      <c r="O260" s="357" t="s">
        <v>258</v>
      </c>
      <c r="P260" s="357" t="s">
        <v>259</v>
      </c>
      <c r="Q260" s="357" t="s">
        <v>260</v>
      </c>
      <c r="R260" s="362" t="s">
        <v>261</v>
      </c>
    </row>
    <row r="261" spans="1:18" ht="77.25" customHeight="1">
      <c r="A261" s="144" t="s">
        <v>262</v>
      </c>
      <c r="B261" s="354" t="s">
        <v>263</v>
      </c>
      <c r="C261" s="354"/>
      <c r="D261" s="145" t="s">
        <v>264</v>
      </c>
      <c r="E261" s="145" t="s">
        <v>265</v>
      </c>
      <c r="F261" s="145" t="s">
        <v>266</v>
      </c>
      <c r="G261" s="146" t="s">
        <v>267</v>
      </c>
      <c r="H261" s="146" t="s">
        <v>268</v>
      </c>
      <c r="I261" s="147" t="s">
        <v>269</v>
      </c>
      <c r="J261" s="147" t="s">
        <v>270</v>
      </c>
      <c r="K261" s="198" t="s">
        <v>271</v>
      </c>
      <c r="L261" s="198" t="s">
        <v>272</v>
      </c>
      <c r="M261" s="358"/>
      <c r="N261" s="358"/>
      <c r="O261" s="358"/>
      <c r="P261" s="358"/>
      <c r="Q261" s="358"/>
      <c r="R261" s="362"/>
    </row>
    <row r="262" spans="1:18">
      <c r="A262" s="34" t="str">
        <f>VLOOKUP(A255,'LISTA DE OFERENTES'!$A$4:$F$82,5,FALSE)</f>
        <v>LÍNEA GLOBAL INGENIERÍA S. A. S. (50%)</v>
      </c>
      <c r="B262" s="35"/>
      <c r="C262" s="35"/>
      <c r="D262" s="35"/>
      <c r="E262" s="35"/>
      <c r="F262" s="35"/>
      <c r="G262" s="35"/>
      <c r="H262" s="35"/>
      <c r="I262" s="35"/>
      <c r="J262" s="35"/>
      <c r="K262" s="35"/>
      <c r="L262" s="35"/>
      <c r="M262" s="35"/>
      <c r="N262" s="35"/>
      <c r="O262" s="35"/>
      <c r="P262" s="35"/>
      <c r="Q262" s="35"/>
      <c r="R262" s="36"/>
    </row>
    <row r="263" spans="1:18" s="14" customFormat="1" ht="75">
      <c r="A263" s="178" t="s">
        <v>398</v>
      </c>
      <c r="B263" s="343" t="s">
        <v>399</v>
      </c>
      <c r="C263" s="343"/>
      <c r="D263" s="179">
        <v>3534049165</v>
      </c>
      <c r="E263" s="208">
        <v>2012</v>
      </c>
      <c r="F263" s="180">
        <f>D263/(VLOOKUP(E263,$D$929:$E$962,2,FALSE))</f>
        <v>6236.1905152638083</v>
      </c>
      <c r="G263" s="209">
        <v>0.4</v>
      </c>
      <c r="H263" s="180">
        <f>F263*G263</f>
        <v>2494.4762061055235</v>
      </c>
      <c r="I263" s="210">
        <v>41173</v>
      </c>
      <c r="J263" s="211" t="s">
        <v>275</v>
      </c>
      <c r="K263" s="213" t="s">
        <v>275</v>
      </c>
      <c r="L263" s="212">
        <f>IF(K263="CUMPLE",H263,0)</f>
        <v>2494.4762061055235</v>
      </c>
      <c r="M263" s="213" t="s">
        <v>275</v>
      </c>
      <c r="N263" s="213" t="s">
        <v>275</v>
      </c>
      <c r="O263" s="213" t="s">
        <v>275</v>
      </c>
      <c r="P263" s="213" t="s">
        <v>276</v>
      </c>
      <c r="Q263" s="213" t="s">
        <v>276</v>
      </c>
      <c r="R263" s="216"/>
    </row>
    <row r="264" spans="1:18" s="14" customFormat="1" ht="66" customHeight="1">
      <c r="A264" s="181" t="s">
        <v>400</v>
      </c>
      <c r="B264" s="343" t="s">
        <v>401</v>
      </c>
      <c r="C264" s="343"/>
      <c r="D264" s="179">
        <v>2885769640</v>
      </c>
      <c r="E264" s="208">
        <v>2019</v>
      </c>
      <c r="F264" s="180">
        <f>D264/(VLOOKUP(E264,$D$929:$E$962,2,FALSE))</f>
        <v>3484.7408334098122</v>
      </c>
      <c r="G264" s="215">
        <v>0.25</v>
      </c>
      <c r="H264" s="180">
        <f>F264*G264</f>
        <v>871.18520835245306</v>
      </c>
      <c r="I264" s="210">
        <v>43829</v>
      </c>
      <c r="J264" s="211" t="s">
        <v>275</v>
      </c>
      <c r="K264" s="213" t="s">
        <v>275</v>
      </c>
      <c r="L264" s="212">
        <f t="shared" ref="L264:L267" si="28">IF(K264="CUMPLE",H264,0)</f>
        <v>871.18520835245306</v>
      </c>
      <c r="M264" s="213" t="s">
        <v>275</v>
      </c>
      <c r="N264" s="213" t="s">
        <v>275</v>
      </c>
      <c r="O264" s="213" t="s">
        <v>275</v>
      </c>
      <c r="P264" s="213" t="s">
        <v>276</v>
      </c>
      <c r="Q264" s="213" t="s">
        <v>276</v>
      </c>
      <c r="R264" s="216"/>
    </row>
    <row r="265" spans="1:18" s="14" customFormat="1" ht="136.5" customHeight="1">
      <c r="A265" s="181" t="s">
        <v>402</v>
      </c>
      <c r="B265" s="343" t="s">
        <v>403</v>
      </c>
      <c r="C265" s="343"/>
      <c r="D265" s="179">
        <v>5033596286</v>
      </c>
      <c r="E265" s="208">
        <v>2019</v>
      </c>
      <c r="F265" s="180">
        <f>D265/(VLOOKUP(E265,$D$929:$E$962,2,FALSE))</f>
        <v>6078.37100840945</v>
      </c>
      <c r="G265" s="215">
        <v>0.34</v>
      </c>
      <c r="H265" s="180"/>
      <c r="I265" s="210">
        <v>43799</v>
      </c>
      <c r="J265" s="211" t="s">
        <v>275</v>
      </c>
      <c r="K265" s="213" t="s">
        <v>276</v>
      </c>
      <c r="L265" s="212">
        <f t="shared" si="28"/>
        <v>0</v>
      </c>
      <c r="M265" s="213" t="s">
        <v>276</v>
      </c>
      <c r="N265" s="213" t="s">
        <v>276</v>
      </c>
      <c r="O265" s="213" t="s">
        <v>276</v>
      </c>
      <c r="P265" s="213" t="s">
        <v>276</v>
      </c>
      <c r="Q265" s="213" t="s">
        <v>276</v>
      </c>
      <c r="R265" s="216" t="s">
        <v>312</v>
      </c>
    </row>
    <row r="266" spans="1:18">
      <c r="A266" s="320" t="str">
        <f>VLOOKUP(A255,'LISTA DE OFERENTES'!$A$4:$F$82,6,FALSE)</f>
        <v>GERARDO DÍAZ MANJARRÉS (50%)</v>
      </c>
      <c r="B266" s="226"/>
      <c r="C266" s="226"/>
      <c r="D266" s="226"/>
      <c r="E266" s="226"/>
      <c r="F266" s="228"/>
      <c r="G266" s="228"/>
      <c r="H266" s="226"/>
      <c r="I266" s="226"/>
      <c r="J266" s="226"/>
      <c r="K266" s="226"/>
      <c r="L266" s="226"/>
      <c r="M266" s="226"/>
      <c r="N266" s="226"/>
      <c r="O266" s="226"/>
      <c r="P266" s="226"/>
      <c r="Q266" s="226"/>
      <c r="R266" s="227"/>
    </row>
    <row r="267" spans="1:18" s="14" customFormat="1" ht="45">
      <c r="A267" s="178" t="s">
        <v>404</v>
      </c>
      <c r="B267" s="343" t="s">
        <v>405</v>
      </c>
      <c r="C267" s="343"/>
      <c r="D267" s="179">
        <v>186203959</v>
      </c>
      <c r="E267" s="208">
        <v>2016</v>
      </c>
      <c r="F267" s="180">
        <f>D267/(VLOOKUP(E267,$D$929:$E$962,2,FALSE))</f>
        <v>270.07412956610654</v>
      </c>
      <c r="G267" s="209">
        <v>1</v>
      </c>
      <c r="H267" s="180">
        <f>F267*G267</f>
        <v>270.07412956610654</v>
      </c>
      <c r="I267" s="210">
        <v>42390</v>
      </c>
      <c r="J267" s="211" t="s">
        <v>275</v>
      </c>
      <c r="K267" s="213" t="s">
        <v>275</v>
      </c>
      <c r="L267" s="212">
        <f t="shared" si="28"/>
        <v>270.07412956610654</v>
      </c>
      <c r="M267" s="213" t="s">
        <v>275</v>
      </c>
      <c r="N267" s="213" t="s">
        <v>275</v>
      </c>
      <c r="O267" s="213" t="s">
        <v>276</v>
      </c>
      <c r="P267" s="213" t="s">
        <v>275</v>
      </c>
      <c r="Q267" s="213" t="s">
        <v>275</v>
      </c>
      <c r="R267" s="216"/>
    </row>
    <row r="268" spans="1:18" s="14" customFormat="1" ht="48" customHeight="1" thickBot="1">
      <c r="A268" s="346" t="s">
        <v>284</v>
      </c>
      <c r="B268" s="346"/>
      <c r="C268" s="346"/>
      <c r="D268" s="346"/>
      <c r="E268" s="346"/>
      <c r="F268" s="45">
        <f>+SUM(F263:F267)</f>
        <v>16069.376486649177</v>
      </c>
      <c r="G268" s="45"/>
      <c r="H268" s="45">
        <f>+SUM(H263:H267)</f>
        <v>3635.7355440240831</v>
      </c>
      <c r="I268" s="359"/>
      <c r="J268" s="360"/>
      <c r="K268" s="196"/>
      <c r="L268" s="196"/>
      <c r="M268" s="196"/>
      <c r="N268" s="196"/>
      <c r="O268" s="196"/>
      <c r="P268" s="304"/>
      <c r="Q268" s="304"/>
      <c r="R268" s="37" t="s">
        <v>275</v>
      </c>
    </row>
    <row r="269" spans="1:18" ht="16.5" thickBot="1">
      <c r="A269" s="3"/>
      <c r="B269" s="3"/>
      <c r="C269" s="3"/>
      <c r="D269" s="3"/>
      <c r="E269" s="3"/>
      <c r="F269" s="3"/>
      <c r="G269" s="3"/>
      <c r="H269" s="3"/>
      <c r="I269" s="3"/>
      <c r="J269" s="3"/>
      <c r="K269" s="3"/>
      <c r="L269" s="3"/>
      <c r="M269" s="3"/>
      <c r="N269" s="3"/>
      <c r="O269" s="4"/>
      <c r="P269" s="4"/>
      <c r="Q269" s="4"/>
      <c r="R269" s="4"/>
    </row>
    <row r="270" spans="1:18" ht="30.75" customHeight="1" thickBot="1">
      <c r="A270" s="347">
        <f>1+A255</f>
        <v>20</v>
      </c>
      <c r="B270" s="347"/>
      <c r="C270" s="347"/>
      <c r="D270" s="347"/>
      <c r="E270" s="361" t="str">
        <f>VLOOKUP(A270,'REQUISITOS HAB. TECNICOS'!$A$5:$B$66,2,FALSE)</f>
        <v>INTERSA S.A</v>
      </c>
      <c r="F270" s="361"/>
      <c r="G270" s="361"/>
      <c r="H270" s="361"/>
      <c r="I270" s="361"/>
      <c r="J270" s="361"/>
      <c r="K270" s="361"/>
      <c r="L270" s="361"/>
      <c r="M270" s="361"/>
      <c r="N270" s="361"/>
      <c r="O270" s="361"/>
      <c r="P270" s="361"/>
      <c r="Q270" s="361"/>
      <c r="R270" s="361"/>
    </row>
    <row r="271" spans="1:18" ht="50.25" customHeight="1" thickBot="1">
      <c r="A271" s="11" t="s">
        <v>247</v>
      </c>
      <c r="B271" s="76">
        <v>5</v>
      </c>
      <c r="C271" s="288" t="s">
        <v>248</v>
      </c>
      <c r="D271" s="344">
        <f>$D$899</f>
        <v>618.89671538461539</v>
      </c>
      <c r="E271" s="361"/>
      <c r="F271" s="361"/>
      <c r="G271" s="361"/>
      <c r="H271" s="361"/>
      <c r="I271" s="361"/>
      <c r="J271" s="361"/>
      <c r="K271" s="361"/>
      <c r="L271" s="361"/>
      <c r="M271" s="361"/>
      <c r="N271" s="361"/>
      <c r="O271" s="361"/>
      <c r="P271" s="361"/>
      <c r="Q271" s="361"/>
      <c r="R271" s="361"/>
    </row>
    <row r="272" spans="1:18" ht="23.25" customHeight="1" thickBot="1">
      <c r="A272" s="348" t="s">
        <v>249</v>
      </c>
      <c r="B272" s="348"/>
      <c r="C272" s="289">
        <f>+AVERAGE(H278:H282)</f>
        <v>718.14649250915636</v>
      </c>
      <c r="D272" s="345"/>
      <c r="E272" s="361"/>
      <c r="F272" s="361"/>
      <c r="G272" s="361"/>
      <c r="H272" s="361"/>
      <c r="I272" s="361"/>
      <c r="J272" s="361"/>
      <c r="K272" s="361"/>
      <c r="L272" s="361"/>
      <c r="M272" s="361"/>
      <c r="N272" s="361"/>
      <c r="O272" s="361"/>
      <c r="P272" s="361"/>
      <c r="Q272" s="361"/>
      <c r="R272" s="361"/>
    </row>
    <row r="273" spans="1:18" ht="23.25" customHeight="1" thickBot="1">
      <c r="A273" s="349" t="s">
        <v>250</v>
      </c>
      <c r="B273" s="349"/>
      <c r="C273" s="350">
        <v>45631</v>
      </c>
      <c r="D273" s="350"/>
      <c r="E273" s="361"/>
      <c r="F273" s="361"/>
      <c r="G273" s="361"/>
      <c r="H273" s="361"/>
      <c r="I273" s="361"/>
      <c r="J273" s="361"/>
      <c r="K273" s="361"/>
      <c r="L273" s="361"/>
      <c r="M273" s="361"/>
      <c r="N273" s="361"/>
      <c r="O273" s="361"/>
      <c r="P273" s="361"/>
      <c r="Q273" s="361"/>
      <c r="R273" s="361"/>
    </row>
    <row r="274" spans="1:18" ht="38.25" customHeight="1" thickBot="1">
      <c r="A274" s="351" t="s">
        <v>251</v>
      </c>
      <c r="B274" s="351"/>
      <c r="C274" s="352" t="str">
        <f>+IF(H283&gt;D271,"CUMPLE","NO CUMPLE")</f>
        <v>CUMPLE</v>
      </c>
      <c r="D274" s="352"/>
      <c r="E274" s="361"/>
      <c r="F274" s="361"/>
      <c r="G274" s="361"/>
      <c r="H274" s="361"/>
      <c r="I274" s="361"/>
      <c r="J274" s="361"/>
      <c r="K274" s="361"/>
      <c r="L274" s="361"/>
      <c r="M274" s="361"/>
      <c r="N274" s="361"/>
      <c r="O274" s="361"/>
      <c r="P274" s="361"/>
      <c r="Q274" s="361"/>
      <c r="R274" s="361"/>
    </row>
    <row r="275" spans="1:18" ht="87.75" customHeight="1" thickBot="1">
      <c r="A275" s="353" t="s">
        <v>252</v>
      </c>
      <c r="B275" s="353"/>
      <c r="C275" s="353"/>
      <c r="D275" s="353"/>
      <c r="E275" s="353"/>
      <c r="F275" s="353"/>
      <c r="G275" s="311"/>
      <c r="H275" s="311"/>
      <c r="I275" s="143" t="s">
        <v>253</v>
      </c>
      <c r="J275" s="305" t="s">
        <v>254</v>
      </c>
      <c r="K275" s="363" t="s">
        <v>255</v>
      </c>
      <c r="L275" s="364"/>
      <c r="M275" s="357" t="s">
        <v>256</v>
      </c>
      <c r="N275" s="357" t="s">
        <v>257</v>
      </c>
      <c r="O275" s="357" t="s">
        <v>258</v>
      </c>
      <c r="P275" s="357" t="s">
        <v>259</v>
      </c>
      <c r="Q275" s="357" t="s">
        <v>260</v>
      </c>
      <c r="R275" s="362" t="s">
        <v>261</v>
      </c>
    </row>
    <row r="276" spans="1:18" ht="77.25" customHeight="1">
      <c r="A276" s="144" t="s">
        <v>262</v>
      </c>
      <c r="B276" s="354" t="s">
        <v>263</v>
      </c>
      <c r="C276" s="354"/>
      <c r="D276" s="145" t="s">
        <v>264</v>
      </c>
      <c r="E276" s="145" t="s">
        <v>265</v>
      </c>
      <c r="F276" s="145" t="s">
        <v>266</v>
      </c>
      <c r="G276" s="146" t="s">
        <v>267</v>
      </c>
      <c r="H276" s="146" t="s">
        <v>268</v>
      </c>
      <c r="I276" s="147" t="s">
        <v>269</v>
      </c>
      <c r="J276" s="147" t="s">
        <v>270</v>
      </c>
      <c r="K276" s="198" t="s">
        <v>271</v>
      </c>
      <c r="L276" s="198" t="s">
        <v>272</v>
      </c>
      <c r="M276" s="358"/>
      <c r="N276" s="358"/>
      <c r="O276" s="358"/>
      <c r="P276" s="358"/>
      <c r="Q276" s="358"/>
      <c r="R276" s="362"/>
    </row>
    <row r="277" spans="1:18">
      <c r="A277" s="34" t="str">
        <f>VLOOKUP(A270,'LISTA DE OFERENTES'!$A$4:$F$82,5,FALSE)</f>
        <v>INTERSA S.A (100%)</v>
      </c>
      <c r="B277" s="35"/>
      <c r="C277" s="35"/>
      <c r="D277" s="35"/>
      <c r="E277" s="35"/>
      <c r="F277" s="35"/>
      <c r="G277" s="35"/>
      <c r="H277" s="35"/>
      <c r="I277" s="35"/>
      <c r="J277" s="35"/>
      <c r="K277" s="35"/>
      <c r="L277" s="35"/>
      <c r="M277" s="35"/>
      <c r="N277" s="35"/>
      <c r="O277" s="35"/>
      <c r="P277" s="35"/>
      <c r="Q277" s="35"/>
      <c r="R277" s="36"/>
    </row>
    <row r="278" spans="1:18" s="14" customFormat="1" ht="60">
      <c r="A278" s="178" t="s">
        <v>406</v>
      </c>
      <c r="B278" s="343" t="s">
        <v>407</v>
      </c>
      <c r="C278" s="343"/>
      <c r="D278" s="179">
        <v>493410274</v>
      </c>
      <c r="E278" s="208">
        <v>2004</v>
      </c>
      <c r="F278" s="180">
        <f>D278/(VLOOKUP(E278,$D$929:$E$962,2,FALSE))</f>
        <v>1378.2409888268157</v>
      </c>
      <c r="G278" s="209">
        <v>1</v>
      </c>
      <c r="H278" s="180">
        <f t="shared" ref="H278:H280" si="29">F278*G278</f>
        <v>1378.2409888268157</v>
      </c>
      <c r="I278" s="210">
        <v>38242</v>
      </c>
      <c r="J278" s="242" t="s">
        <v>275</v>
      </c>
      <c r="K278" s="211" t="s">
        <v>275</v>
      </c>
      <c r="L278" s="212">
        <f>IF(K278="CUMPLE",H278,0)</f>
        <v>1378.2409888268157</v>
      </c>
      <c r="M278" s="303" t="s">
        <v>275</v>
      </c>
      <c r="N278" s="213" t="s">
        <v>275</v>
      </c>
      <c r="O278" s="303" t="s">
        <v>276</v>
      </c>
      <c r="P278" s="224" t="s">
        <v>276</v>
      </c>
      <c r="Q278" s="224" t="s">
        <v>275</v>
      </c>
      <c r="R278" s="241" t="s">
        <v>408</v>
      </c>
    </row>
    <row r="279" spans="1:18" s="14" customFormat="1" ht="45">
      <c r="A279" s="181" t="s">
        <v>409</v>
      </c>
      <c r="B279" s="343" t="s">
        <v>410</v>
      </c>
      <c r="C279" s="343"/>
      <c r="D279" s="179">
        <v>128076296</v>
      </c>
      <c r="E279" s="208">
        <v>2016</v>
      </c>
      <c r="F279" s="180">
        <f>D279/(VLOOKUP(E279,$D$929:$E$962,2,FALSE))</f>
        <v>185.76454735987122</v>
      </c>
      <c r="G279" s="215">
        <v>1</v>
      </c>
      <c r="H279" s="180">
        <f t="shared" si="29"/>
        <v>185.76454735987122</v>
      </c>
      <c r="I279" s="210">
        <v>42464</v>
      </c>
      <c r="J279" s="242" t="s">
        <v>275</v>
      </c>
      <c r="K279" s="211" t="s">
        <v>275</v>
      </c>
      <c r="L279" s="212">
        <f t="shared" ref="L279:L282" si="30">IF(K279="CUMPLE",H279,0)</f>
        <v>185.76454735987122</v>
      </c>
      <c r="M279" s="303" t="s">
        <v>275</v>
      </c>
      <c r="N279" s="213" t="s">
        <v>276</v>
      </c>
      <c r="O279" s="303" t="s">
        <v>275</v>
      </c>
      <c r="P279" s="224" t="s">
        <v>276</v>
      </c>
      <c r="Q279" s="224" t="s">
        <v>276</v>
      </c>
      <c r="R279" s="241"/>
    </row>
    <row r="280" spans="1:18" s="14" customFormat="1" ht="44.25" customHeight="1">
      <c r="A280" s="181" t="s">
        <v>411</v>
      </c>
      <c r="B280" s="343" t="s">
        <v>274</v>
      </c>
      <c r="C280" s="343"/>
      <c r="D280" s="179">
        <v>211375351</v>
      </c>
      <c r="E280" s="208">
        <v>2004</v>
      </c>
      <c r="F280" s="180">
        <f>D280/(VLOOKUP(E280,$D$929:$E$962,2,FALSE))</f>
        <v>590.4339413407821</v>
      </c>
      <c r="G280" s="215">
        <v>1</v>
      </c>
      <c r="H280" s="180">
        <f t="shared" si="29"/>
        <v>590.4339413407821</v>
      </c>
      <c r="I280" s="210">
        <v>38137</v>
      </c>
      <c r="J280" s="242" t="s">
        <v>275</v>
      </c>
      <c r="K280" s="211" t="s">
        <v>275</v>
      </c>
      <c r="L280" s="212">
        <f t="shared" si="30"/>
        <v>590.4339413407821</v>
      </c>
      <c r="M280" s="303" t="s">
        <v>275</v>
      </c>
      <c r="N280" s="213" t="s">
        <v>275</v>
      </c>
      <c r="O280" s="303" t="s">
        <v>276</v>
      </c>
      <c r="P280" s="303" t="s">
        <v>276</v>
      </c>
      <c r="Q280" s="303" t="s">
        <v>276</v>
      </c>
      <c r="R280" s="241"/>
    </row>
    <row r="281" spans="1:18" s="14" customFormat="1" ht="42" customHeight="1">
      <c r="A281" s="178" t="s">
        <v>411</v>
      </c>
      <c r="B281" s="343" t="s">
        <v>274</v>
      </c>
      <c r="C281" s="343"/>
      <c r="D281" s="179">
        <v>0</v>
      </c>
      <c r="E281" s="208">
        <v>2004</v>
      </c>
      <c r="F281" s="180">
        <f>D281/(VLOOKUP(E281,$D$929:$E$962,2,FALSE))</f>
        <v>0</v>
      </c>
      <c r="G281" s="209">
        <v>0.4</v>
      </c>
      <c r="H281" s="180"/>
      <c r="I281" s="210">
        <v>38137</v>
      </c>
      <c r="J281" s="242" t="s">
        <v>275</v>
      </c>
      <c r="K281" s="213" t="s">
        <v>276</v>
      </c>
      <c r="L281" s="212">
        <f t="shared" si="30"/>
        <v>0</v>
      </c>
      <c r="M281" s="213" t="s">
        <v>276</v>
      </c>
      <c r="N281" s="213" t="s">
        <v>276</v>
      </c>
      <c r="O281" s="213" t="s">
        <v>276</v>
      </c>
      <c r="P281" s="213" t="s">
        <v>276</v>
      </c>
      <c r="Q281" s="213" t="s">
        <v>276</v>
      </c>
      <c r="R281" s="216" t="s">
        <v>412</v>
      </c>
    </row>
    <row r="282" spans="1:18" s="14" customFormat="1" ht="45">
      <c r="A282" s="178" t="s">
        <v>413</v>
      </c>
      <c r="B282" s="343" t="s">
        <v>410</v>
      </c>
      <c r="C282" s="343"/>
      <c r="D282" s="179">
        <v>594049036</v>
      </c>
      <c r="E282" s="208">
        <v>2019</v>
      </c>
      <c r="F282" s="180">
        <f>D282/(VLOOKUP(E282,$D$929:$E$962,2,FALSE))</f>
        <v>717.35002825691083</v>
      </c>
      <c r="G282" s="209">
        <v>1</v>
      </c>
      <c r="H282" s="180"/>
      <c r="I282" s="210">
        <v>43555</v>
      </c>
      <c r="J282" s="242" t="s">
        <v>275</v>
      </c>
      <c r="K282" s="244" t="s">
        <v>276</v>
      </c>
      <c r="L282" s="212">
        <f t="shared" si="30"/>
        <v>0</v>
      </c>
      <c r="M282" s="303" t="s">
        <v>276</v>
      </c>
      <c r="N282" s="213" t="s">
        <v>276</v>
      </c>
      <c r="O282" s="213" t="s">
        <v>276</v>
      </c>
      <c r="P282" s="213" t="s">
        <v>276</v>
      </c>
      <c r="Q282" s="213" t="s">
        <v>276</v>
      </c>
      <c r="R282" s="216" t="s">
        <v>414</v>
      </c>
    </row>
    <row r="283" spans="1:18" s="14" customFormat="1" ht="48" customHeight="1" thickBot="1">
      <c r="A283" s="346" t="s">
        <v>284</v>
      </c>
      <c r="B283" s="346"/>
      <c r="C283" s="346"/>
      <c r="D283" s="346"/>
      <c r="E283" s="346"/>
      <c r="F283" s="45">
        <f>+SUM(F278:F282)</f>
        <v>2871.7895057843798</v>
      </c>
      <c r="G283" s="45"/>
      <c r="H283" s="45">
        <f>+SUM(H278:H282)</f>
        <v>2154.4394775274691</v>
      </c>
      <c r="I283" s="359"/>
      <c r="J283" s="360"/>
      <c r="K283" s="196"/>
      <c r="L283" s="196"/>
      <c r="M283" s="196"/>
      <c r="N283" s="196"/>
      <c r="O283" s="196"/>
      <c r="P283" s="304"/>
      <c r="Q283" s="304"/>
      <c r="R283" s="37" t="s">
        <v>276</v>
      </c>
    </row>
    <row r="284" spans="1:18" ht="16.5" thickBot="1">
      <c r="A284" s="3"/>
      <c r="B284" s="3"/>
      <c r="C284" s="3"/>
      <c r="D284" s="3"/>
      <c r="E284" s="3"/>
      <c r="F284" s="3"/>
      <c r="G284" s="3"/>
      <c r="H284" s="3"/>
      <c r="I284" s="3"/>
      <c r="J284" s="3"/>
      <c r="K284" s="3"/>
      <c r="L284" s="3"/>
      <c r="M284" s="3"/>
      <c r="N284" s="3"/>
      <c r="O284" s="4"/>
      <c r="P284" s="4"/>
      <c r="Q284" s="4"/>
      <c r="R284" s="4"/>
    </row>
    <row r="285" spans="1:18" ht="30.75" customHeight="1" thickBot="1">
      <c r="A285" s="347">
        <f>1+A270</f>
        <v>21</v>
      </c>
      <c r="B285" s="347"/>
      <c r="C285" s="347"/>
      <c r="D285" s="347"/>
      <c r="E285" s="361" t="str">
        <f>VLOOKUP(A285,'REQUISITOS HAB. TECNICOS'!$A$5:$B$66,2,FALSE)</f>
        <v>CODIPRO INGENIERIA Y ARQUITECTURA LTDA. CONSTRUCCIONES, DISEÑOS Y PROYECTOS</v>
      </c>
      <c r="F285" s="361"/>
      <c r="G285" s="361"/>
      <c r="H285" s="361"/>
      <c r="I285" s="361"/>
      <c r="J285" s="361"/>
      <c r="K285" s="361"/>
      <c r="L285" s="361"/>
      <c r="M285" s="361"/>
      <c r="N285" s="361"/>
      <c r="O285" s="361"/>
      <c r="P285" s="361"/>
      <c r="Q285" s="361"/>
      <c r="R285" s="361"/>
    </row>
    <row r="286" spans="1:18" ht="50.25" customHeight="1" thickBot="1">
      <c r="A286" s="11" t="s">
        <v>247</v>
      </c>
      <c r="B286" s="76">
        <v>4</v>
      </c>
      <c r="C286" s="288" t="s">
        <v>248</v>
      </c>
      <c r="D286" s="344">
        <f>$D$899</f>
        <v>618.89671538461539</v>
      </c>
      <c r="E286" s="361"/>
      <c r="F286" s="361"/>
      <c r="G286" s="361"/>
      <c r="H286" s="361"/>
      <c r="I286" s="361"/>
      <c r="J286" s="361"/>
      <c r="K286" s="361"/>
      <c r="L286" s="361"/>
      <c r="M286" s="361"/>
      <c r="N286" s="361"/>
      <c r="O286" s="361"/>
      <c r="P286" s="361"/>
      <c r="Q286" s="361"/>
      <c r="R286" s="361"/>
    </row>
    <row r="287" spans="1:18" ht="23.25" customHeight="1" thickBot="1">
      <c r="A287" s="348" t="s">
        <v>249</v>
      </c>
      <c r="B287" s="348"/>
      <c r="C287" s="289">
        <f>+AVERAGE(H293:H296)</f>
        <v>1562.3249185571269</v>
      </c>
      <c r="D287" s="345"/>
      <c r="E287" s="361"/>
      <c r="F287" s="361"/>
      <c r="G287" s="361"/>
      <c r="H287" s="361"/>
      <c r="I287" s="361"/>
      <c r="J287" s="361"/>
      <c r="K287" s="361"/>
      <c r="L287" s="361"/>
      <c r="M287" s="361"/>
      <c r="N287" s="361"/>
      <c r="O287" s="361"/>
      <c r="P287" s="361"/>
      <c r="Q287" s="361"/>
      <c r="R287" s="361"/>
    </row>
    <row r="288" spans="1:18" ht="23.25" customHeight="1" thickBot="1">
      <c r="A288" s="349" t="s">
        <v>250</v>
      </c>
      <c r="B288" s="349"/>
      <c r="C288" s="350">
        <v>45631</v>
      </c>
      <c r="D288" s="350"/>
      <c r="E288" s="361"/>
      <c r="F288" s="361"/>
      <c r="G288" s="361"/>
      <c r="H288" s="361"/>
      <c r="I288" s="361"/>
      <c r="J288" s="361"/>
      <c r="K288" s="361"/>
      <c r="L288" s="361"/>
      <c r="M288" s="361"/>
      <c r="N288" s="361"/>
      <c r="O288" s="361"/>
      <c r="P288" s="361"/>
      <c r="Q288" s="361"/>
      <c r="R288" s="361"/>
    </row>
    <row r="289" spans="1:18" ht="38.25" customHeight="1" thickBot="1">
      <c r="A289" s="351" t="s">
        <v>251</v>
      </c>
      <c r="B289" s="351"/>
      <c r="C289" s="352" t="str">
        <f>+IF(C287&gt;D286,"CUMPLE","NO CUMPLE")</f>
        <v>CUMPLE</v>
      </c>
      <c r="D289" s="352"/>
      <c r="E289" s="361"/>
      <c r="F289" s="361"/>
      <c r="G289" s="361"/>
      <c r="H289" s="361"/>
      <c r="I289" s="361"/>
      <c r="J289" s="361"/>
      <c r="K289" s="361"/>
      <c r="L289" s="361"/>
      <c r="M289" s="361"/>
      <c r="N289" s="361"/>
      <c r="O289" s="361"/>
      <c r="P289" s="361"/>
      <c r="Q289" s="361"/>
      <c r="R289" s="361"/>
    </row>
    <row r="290" spans="1:18" ht="84.75" customHeight="1" thickBot="1">
      <c r="A290" s="353" t="s">
        <v>252</v>
      </c>
      <c r="B290" s="353"/>
      <c r="C290" s="353"/>
      <c r="D290" s="353"/>
      <c r="E290" s="353"/>
      <c r="F290" s="353"/>
      <c r="G290" s="311"/>
      <c r="H290" s="311"/>
      <c r="I290" s="143" t="s">
        <v>253</v>
      </c>
      <c r="J290" s="305" t="s">
        <v>254</v>
      </c>
      <c r="K290" s="363" t="s">
        <v>255</v>
      </c>
      <c r="L290" s="364"/>
      <c r="M290" s="357" t="s">
        <v>256</v>
      </c>
      <c r="N290" s="357" t="s">
        <v>257</v>
      </c>
      <c r="O290" s="357" t="s">
        <v>258</v>
      </c>
      <c r="P290" s="357" t="s">
        <v>259</v>
      </c>
      <c r="Q290" s="357" t="s">
        <v>260</v>
      </c>
      <c r="R290" s="362" t="s">
        <v>261</v>
      </c>
    </row>
    <row r="291" spans="1:18" ht="77.25" customHeight="1">
      <c r="A291" s="144" t="s">
        <v>262</v>
      </c>
      <c r="B291" s="354" t="s">
        <v>263</v>
      </c>
      <c r="C291" s="354"/>
      <c r="D291" s="145" t="s">
        <v>264</v>
      </c>
      <c r="E291" s="145" t="s">
        <v>265</v>
      </c>
      <c r="F291" s="145" t="s">
        <v>266</v>
      </c>
      <c r="G291" s="146" t="s">
        <v>267</v>
      </c>
      <c r="H291" s="146" t="s">
        <v>268</v>
      </c>
      <c r="I291" s="147" t="s">
        <v>269</v>
      </c>
      <c r="J291" s="147" t="s">
        <v>270</v>
      </c>
      <c r="K291" s="198" t="s">
        <v>271</v>
      </c>
      <c r="L291" s="198" t="s">
        <v>272</v>
      </c>
      <c r="M291" s="358"/>
      <c r="N291" s="358"/>
      <c r="O291" s="358"/>
      <c r="P291" s="358"/>
      <c r="Q291" s="358"/>
      <c r="R291" s="362"/>
    </row>
    <row r="292" spans="1:18" ht="44.25" customHeight="1">
      <c r="A292" s="320" t="str">
        <f>VLOOKUP(A285,'LISTA DE OFERENTES'!$A$4:$F$82,5,FALSE)</f>
        <v>CODIPRO INGENIERIA Y ARQUITECTURA LTDA. CONSTRUCCIONES, DISEÑOS Y PROYECTOS (100%)</v>
      </c>
      <c r="B292" s="35"/>
      <c r="C292" s="35"/>
      <c r="D292" s="35"/>
      <c r="E292" s="35"/>
      <c r="F292" s="35"/>
      <c r="G292" s="35"/>
      <c r="H292" s="35"/>
      <c r="I292" s="35"/>
      <c r="J292" s="35"/>
      <c r="K292" s="35"/>
      <c r="L292" s="35"/>
      <c r="M292" s="35"/>
      <c r="N292" s="35"/>
      <c r="O292" s="35"/>
      <c r="P292" s="35"/>
      <c r="Q292" s="35"/>
      <c r="R292" s="36"/>
    </row>
    <row r="293" spans="1:18" s="14" customFormat="1" ht="60">
      <c r="A293" s="178" t="s">
        <v>415</v>
      </c>
      <c r="B293" s="343" t="s">
        <v>416</v>
      </c>
      <c r="C293" s="343"/>
      <c r="D293" s="179">
        <v>8396906456</v>
      </c>
      <c r="E293" s="208">
        <v>2014</v>
      </c>
      <c r="F293" s="180">
        <f>D293/(VLOOKUP(E293,$D$929:$E$962,2,FALSE))</f>
        <v>13631.34164935065</v>
      </c>
      <c r="G293" s="209">
        <v>0.17</v>
      </c>
      <c r="H293" s="180">
        <f>F293*G293</f>
        <v>2317.3280803896105</v>
      </c>
      <c r="I293" s="210">
        <v>45630</v>
      </c>
      <c r="J293" s="211" t="s">
        <v>275</v>
      </c>
      <c r="K293" s="211" t="s">
        <v>275</v>
      </c>
      <c r="L293" s="212">
        <f>IF(K293="CUMPLE",H293,0)</f>
        <v>2317.3280803896105</v>
      </c>
      <c r="M293" s="213" t="s">
        <v>275</v>
      </c>
      <c r="N293" s="213" t="s">
        <v>275</v>
      </c>
      <c r="O293" s="303" t="s">
        <v>276</v>
      </c>
      <c r="P293" s="303" t="s">
        <v>275</v>
      </c>
      <c r="Q293" s="303" t="s">
        <v>276</v>
      </c>
      <c r="R293" s="241" t="s">
        <v>417</v>
      </c>
    </row>
    <row r="294" spans="1:18" s="14" customFormat="1" ht="147.75" customHeight="1">
      <c r="A294" s="181" t="s">
        <v>418</v>
      </c>
      <c r="B294" s="343" t="s">
        <v>419</v>
      </c>
      <c r="C294" s="343"/>
      <c r="D294" s="179">
        <v>78157257</v>
      </c>
      <c r="E294" s="208">
        <v>2006</v>
      </c>
      <c r="F294" s="180">
        <f>D294/(VLOOKUP(E294,$D$929:$E$962,2,FALSE))</f>
        <v>191.56190441176471</v>
      </c>
      <c r="G294" s="215">
        <v>1</v>
      </c>
      <c r="H294" s="180"/>
      <c r="I294" s="210">
        <v>39076</v>
      </c>
      <c r="J294" s="211" t="s">
        <v>275</v>
      </c>
      <c r="K294" s="211" t="s">
        <v>276</v>
      </c>
      <c r="L294" s="212">
        <f t="shared" ref="L294:L296" si="31">IF(K294="CUMPLE",H294,0)</f>
        <v>0</v>
      </c>
      <c r="M294" s="213" t="s">
        <v>276</v>
      </c>
      <c r="N294" s="213" t="s">
        <v>276</v>
      </c>
      <c r="O294" s="303" t="s">
        <v>276</v>
      </c>
      <c r="P294" s="213" t="s">
        <v>276</v>
      </c>
      <c r="Q294" s="213" t="s">
        <v>276</v>
      </c>
      <c r="R294" s="241" t="s">
        <v>420</v>
      </c>
    </row>
    <row r="295" spans="1:18" s="14" customFormat="1" ht="135">
      <c r="A295" s="182" t="s">
        <v>421</v>
      </c>
      <c r="B295" s="409" t="s">
        <v>422</v>
      </c>
      <c r="C295" s="409"/>
      <c r="D295" s="183">
        <v>1275982307</v>
      </c>
      <c r="E295" s="235">
        <v>2014</v>
      </c>
      <c r="F295" s="180">
        <f>D295/(VLOOKUP(E295,$D$929:$E$962,2,FALSE))</f>
        <v>2071.3998490259742</v>
      </c>
      <c r="G295" s="245">
        <v>0.3</v>
      </c>
      <c r="H295" s="236">
        <f>F295*G295</f>
        <v>621.41995470779227</v>
      </c>
      <c r="I295" s="237">
        <v>41845</v>
      </c>
      <c r="J295" s="238" t="s">
        <v>275</v>
      </c>
      <c r="K295" s="238" t="s">
        <v>275</v>
      </c>
      <c r="L295" s="212">
        <f t="shared" si="31"/>
        <v>621.41995470779227</v>
      </c>
      <c r="M295" s="246" t="s">
        <v>275</v>
      </c>
      <c r="N295" s="246" t="s">
        <v>275</v>
      </c>
      <c r="O295" s="247" t="s">
        <v>275</v>
      </c>
      <c r="P295" s="303" t="s">
        <v>275</v>
      </c>
      <c r="Q295" s="303" t="s">
        <v>276</v>
      </c>
      <c r="R295" s="241" t="s">
        <v>417</v>
      </c>
    </row>
    <row r="296" spans="1:18" ht="66.599999999999994" customHeight="1">
      <c r="A296" s="184" t="s">
        <v>423</v>
      </c>
      <c r="B296" s="355" t="s">
        <v>416</v>
      </c>
      <c r="C296" s="355"/>
      <c r="D296" s="179">
        <v>1534598660</v>
      </c>
      <c r="E296" s="208">
        <v>2020</v>
      </c>
      <c r="F296" s="180">
        <f>D296/(VLOOKUP(E296,$D$929:$E$962,2,FALSE))</f>
        <v>1748.2267205739784</v>
      </c>
      <c r="G296" s="245">
        <v>1</v>
      </c>
      <c r="H296" s="236">
        <f>F296*G296</f>
        <v>1748.2267205739784</v>
      </c>
      <c r="I296" s="210">
        <v>44002</v>
      </c>
      <c r="J296" s="211" t="s">
        <v>275</v>
      </c>
      <c r="K296" s="211" t="s">
        <v>275</v>
      </c>
      <c r="L296" s="212">
        <f t="shared" si="31"/>
        <v>1748.2267205739784</v>
      </c>
      <c r="M296" s="224" t="s">
        <v>275</v>
      </c>
      <c r="N296" s="224" t="s">
        <v>275</v>
      </c>
      <c r="O296" s="303" t="s">
        <v>276</v>
      </c>
      <c r="P296" s="303" t="s">
        <v>275</v>
      </c>
      <c r="Q296" s="303" t="s">
        <v>276</v>
      </c>
      <c r="R296" s="241" t="s">
        <v>417</v>
      </c>
    </row>
    <row r="297" spans="1:18" s="14" customFormat="1" ht="30.6" customHeight="1" thickBot="1">
      <c r="A297" s="346" t="s">
        <v>284</v>
      </c>
      <c r="B297" s="346"/>
      <c r="C297" s="346"/>
      <c r="D297" s="346"/>
      <c r="E297" s="346"/>
      <c r="F297" s="45">
        <f>+SUM(F293:F296)</f>
        <v>17642.530123362369</v>
      </c>
      <c r="G297" s="45"/>
      <c r="H297" s="45">
        <f>+SUM(H293:H296)</f>
        <v>4686.974755671381</v>
      </c>
      <c r="I297" s="359"/>
      <c r="J297" s="360"/>
      <c r="K297" s="196"/>
      <c r="L297" s="196"/>
      <c r="M297" s="196"/>
      <c r="N297" s="196"/>
      <c r="O297" s="196"/>
      <c r="P297" s="304"/>
      <c r="Q297" s="304"/>
      <c r="R297" s="37" t="s">
        <v>276</v>
      </c>
    </row>
    <row r="298" spans="1:18" s="14" customFormat="1" ht="16.5" thickBot="1">
      <c r="A298" s="3"/>
      <c r="B298" s="3"/>
      <c r="C298" s="3"/>
      <c r="D298" s="3"/>
      <c r="E298" s="3"/>
      <c r="F298" s="3"/>
      <c r="G298" s="3"/>
      <c r="H298" s="3"/>
      <c r="I298" s="3"/>
      <c r="J298" s="3"/>
      <c r="K298" s="3"/>
      <c r="L298" s="3"/>
      <c r="M298" s="3"/>
      <c r="N298" s="3"/>
      <c r="O298" s="4"/>
      <c r="P298" s="4"/>
      <c r="Q298" s="4"/>
      <c r="R298" s="4"/>
    </row>
    <row r="299" spans="1:18" ht="30.75" customHeight="1" thickBot="1">
      <c r="A299" s="347">
        <f>1+A285</f>
        <v>22</v>
      </c>
      <c r="B299" s="347"/>
      <c r="C299" s="347"/>
      <c r="D299" s="347"/>
      <c r="E299" s="361" t="str">
        <f>VLOOKUP(A299,'REQUISITOS HAB. TECNICOS'!$A$5:$B$66,2,FALSE)</f>
        <v>CONSORCIO INGESCOR R 2024</v>
      </c>
      <c r="F299" s="361"/>
      <c r="G299" s="361"/>
      <c r="H299" s="361"/>
      <c r="I299" s="361"/>
      <c r="J299" s="361"/>
      <c r="K299" s="361"/>
      <c r="L299" s="361"/>
      <c r="M299" s="361"/>
      <c r="N299" s="361"/>
      <c r="O299" s="361"/>
      <c r="P299" s="361"/>
      <c r="Q299" s="361"/>
      <c r="R299" s="361"/>
    </row>
    <row r="300" spans="1:18" ht="50.25" customHeight="1" thickBot="1">
      <c r="A300" s="11" t="s">
        <v>247</v>
      </c>
      <c r="B300" s="76">
        <v>5</v>
      </c>
      <c r="C300" s="288" t="s">
        <v>248</v>
      </c>
      <c r="D300" s="344">
        <f>$D$899</f>
        <v>618.89671538461539</v>
      </c>
      <c r="E300" s="361"/>
      <c r="F300" s="361"/>
      <c r="G300" s="361"/>
      <c r="H300" s="361"/>
      <c r="I300" s="361"/>
      <c r="J300" s="361"/>
      <c r="K300" s="361"/>
      <c r="L300" s="361"/>
      <c r="M300" s="361"/>
      <c r="N300" s="361"/>
      <c r="O300" s="361"/>
      <c r="P300" s="361"/>
      <c r="Q300" s="361"/>
      <c r="R300" s="361"/>
    </row>
    <row r="301" spans="1:18" ht="23.25" customHeight="1" thickBot="1">
      <c r="A301" s="348" t="s">
        <v>249</v>
      </c>
      <c r="B301" s="348"/>
      <c r="C301" s="289" t="e">
        <f>+AVERAGE(H307:H312)</f>
        <v>#DIV/0!</v>
      </c>
      <c r="D301" s="345"/>
      <c r="E301" s="361"/>
      <c r="F301" s="361"/>
      <c r="G301" s="361"/>
      <c r="H301" s="361"/>
      <c r="I301" s="361"/>
      <c r="J301" s="361"/>
      <c r="K301" s="361"/>
      <c r="L301" s="361"/>
      <c r="M301" s="361"/>
      <c r="N301" s="361"/>
      <c r="O301" s="361"/>
      <c r="P301" s="361"/>
      <c r="Q301" s="361"/>
      <c r="R301" s="361"/>
    </row>
    <row r="302" spans="1:18" ht="23.25" customHeight="1" thickBot="1">
      <c r="A302" s="349" t="s">
        <v>250</v>
      </c>
      <c r="B302" s="349"/>
      <c r="C302" s="350">
        <v>45631</v>
      </c>
      <c r="D302" s="350"/>
      <c r="E302" s="361"/>
      <c r="F302" s="361"/>
      <c r="G302" s="361"/>
      <c r="H302" s="361"/>
      <c r="I302" s="361"/>
      <c r="J302" s="361"/>
      <c r="K302" s="361"/>
      <c r="L302" s="361"/>
      <c r="M302" s="361"/>
      <c r="N302" s="361"/>
      <c r="O302" s="361"/>
      <c r="P302" s="361"/>
      <c r="Q302" s="361"/>
      <c r="R302" s="361"/>
    </row>
    <row r="303" spans="1:18" ht="38.25" customHeight="1" thickBot="1">
      <c r="A303" s="351" t="s">
        <v>251</v>
      </c>
      <c r="B303" s="351"/>
      <c r="C303" s="352" t="str">
        <f>+IF(H313&gt;D300,"CUMPLE","NO CUMPLE")</f>
        <v>NO CUMPLE</v>
      </c>
      <c r="D303" s="352"/>
      <c r="E303" s="361"/>
      <c r="F303" s="361"/>
      <c r="G303" s="361"/>
      <c r="H303" s="361"/>
      <c r="I303" s="361"/>
      <c r="J303" s="361"/>
      <c r="K303" s="361"/>
      <c r="L303" s="361"/>
      <c r="M303" s="361"/>
      <c r="N303" s="361"/>
      <c r="O303" s="361"/>
      <c r="P303" s="361"/>
      <c r="Q303" s="361"/>
      <c r="R303" s="361"/>
    </row>
    <row r="304" spans="1:18" ht="90" customHeight="1" thickBot="1">
      <c r="A304" s="353" t="s">
        <v>252</v>
      </c>
      <c r="B304" s="353"/>
      <c r="C304" s="353"/>
      <c r="D304" s="353"/>
      <c r="E304" s="353"/>
      <c r="F304" s="353"/>
      <c r="G304" s="311"/>
      <c r="H304" s="311"/>
      <c r="I304" s="143" t="s">
        <v>253</v>
      </c>
      <c r="J304" s="305" t="s">
        <v>254</v>
      </c>
      <c r="K304" s="363" t="s">
        <v>255</v>
      </c>
      <c r="L304" s="364"/>
      <c r="M304" s="357" t="s">
        <v>256</v>
      </c>
      <c r="N304" s="357" t="s">
        <v>257</v>
      </c>
      <c r="O304" s="357" t="s">
        <v>258</v>
      </c>
      <c r="P304" s="357" t="s">
        <v>259</v>
      </c>
      <c r="Q304" s="357" t="s">
        <v>260</v>
      </c>
      <c r="R304" s="362" t="s">
        <v>261</v>
      </c>
    </row>
    <row r="305" spans="1:18" ht="77.25" customHeight="1">
      <c r="A305" s="144" t="s">
        <v>262</v>
      </c>
      <c r="B305" s="354" t="s">
        <v>263</v>
      </c>
      <c r="C305" s="354"/>
      <c r="D305" s="145" t="s">
        <v>264</v>
      </c>
      <c r="E305" s="145" t="s">
        <v>265</v>
      </c>
      <c r="F305" s="145" t="s">
        <v>266</v>
      </c>
      <c r="G305" s="146" t="s">
        <v>267</v>
      </c>
      <c r="H305" s="146" t="s">
        <v>268</v>
      </c>
      <c r="I305" s="147" t="s">
        <v>269</v>
      </c>
      <c r="J305" s="147" t="s">
        <v>270</v>
      </c>
      <c r="K305" s="198" t="s">
        <v>271</v>
      </c>
      <c r="L305" s="198" t="s">
        <v>272</v>
      </c>
      <c r="M305" s="358"/>
      <c r="N305" s="358"/>
      <c r="O305" s="358"/>
      <c r="P305" s="358"/>
      <c r="Q305" s="358"/>
      <c r="R305" s="362"/>
    </row>
    <row r="306" spans="1:18">
      <c r="A306" s="34">
        <f>VLOOKUP(A299,'LISTA DE OFERENTES'!$A$4:$F$82,5,FALSE)</f>
        <v>0</v>
      </c>
      <c r="B306" s="35"/>
      <c r="C306" s="35"/>
      <c r="D306" s="35"/>
      <c r="E306" s="35"/>
      <c r="F306" s="35"/>
      <c r="G306" s="35"/>
      <c r="H306" s="35"/>
      <c r="I306" s="35"/>
      <c r="J306" s="35"/>
      <c r="K306" s="35"/>
      <c r="L306" s="35"/>
      <c r="M306" s="35"/>
      <c r="N306" s="35"/>
      <c r="O306" s="35"/>
      <c r="P306" s="35"/>
      <c r="Q306" s="35"/>
      <c r="R306" s="36"/>
    </row>
    <row r="307" spans="1:18" s="14" customFormat="1" ht="105" customHeight="1">
      <c r="A307" s="178" t="s">
        <v>424</v>
      </c>
      <c r="B307" s="343" t="s">
        <v>425</v>
      </c>
      <c r="C307" s="343"/>
      <c r="D307" s="179">
        <v>3728469682</v>
      </c>
      <c r="E307" s="208">
        <v>2022</v>
      </c>
      <c r="F307" s="180">
        <f>D307/(VLOOKUP(E307,$D$929:$E$962,2,FALSE))</f>
        <v>3728.4696819999999</v>
      </c>
      <c r="G307" s="209">
        <v>0.5</v>
      </c>
      <c r="H307" s="180"/>
      <c r="I307" s="210">
        <v>44922</v>
      </c>
      <c r="J307" s="211" t="s">
        <v>275</v>
      </c>
      <c r="K307" s="211" t="s">
        <v>275</v>
      </c>
      <c r="L307" s="212">
        <f>IF(K307="CUMPLE",H307,0)</f>
        <v>0</v>
      </c>
      <c r="M307" s="213" t="s">
        <v>275</v>
      </c>
      <c r="N307" s="213" t="s">
        <v>275</v>
      </c>
      <c r="O307" s="303" t="s">
        <v>276</v>
      </c>
      <c r="P307" s="303" t="s">
        <v>276</v>
      </c>
      <c r="Q307" s="303" t="s">
        <v>276</v>
      </c>
      <c r="R307" s="216" t="s">
        <v>426</v>
      </c>
    </row>
    <row r="308" spans="1:18" s="14" customFormat="1" ht="409.5">
      <c r="A308" s="181" t="s">
        <v>427</v>
      </c>
      <c r="B308" s="343" t="s">
        <v>306</v>
      </c>
      <c r="C308" s="343"/>
      <c r="D308" s="179">
        <v>196739237.69999999</v>
      </c>
      <c r="E308" s="208">
        <v>2002</v>
      </c>
      <c r="F308" s="180">
        <f>D308/(VLOOKUP(E308,$D$929:$E$962,2,FALSE))</f>
        <v>636.69656213592225</v>
      </c>
      <c r="G308" s="215">
        <v>1</v>
      </c>
      <c r="H308" s="180"/>
      <c r="I308" s="210">
        <v>37324</v>
      </c>
      <c r="J308" s="211" t="s">
        <v>275</v>
      </c>
      <c r="K308" s="211" t="s">
        <v>275</v>
      </c>
      <c r="L308" s="212">
        <f t="shared" ref="L308:L312" si="32">IF(K308="CUMPLE",H308,0)</f>
        <v>0</v>
      </c>
      <c r="M308" s="213" t="s">
        <v>275</v>
      </c>
      <c r="N308" s="213" t="s">
        <v>275</v>
      </c>
      <c r="O308" s="303" t="s">
        <v>275</v>
      </c>
      <c r="P308" s="239" t="s">
        <v>275</v>
      </c>
      <c r="Q308" s="303" t="s">
        <v>276</v>
      </c>
      <c r="R308" s="216" t="s">
        <v>426</v>
      </c>
    </row>
    <row r="309" spans="1:18" s="14" customFormat="1" ht="168" customHeight="1">
      <c r="A309" s="181" t="s">
        <v>428</v>
      </c>
      <c r="B309" s="343" t="s">
        <v>429</v>
      </c>
      <c r="C309" s="343"/>
      <c r="D309" s="179">
        <v>553502885</v>
      </c>
      <c r="E309" s="208">
        <v>2018</v>
      </c>
      <c r="F309" s="180">
        <f>D309/(VLOOKUP(E309,$D$929:$E$962,2,FALSE))</f>
        <v>708.49094774730497</v>
      </c>
      <c r="G309" s="215">
        <v>0.7</v>
      </c>
      <c r="H309" s="180"/>
      <c r="I309" s="210">
        <v>43247</v>
      </c>
      <c r="J309" s="211" t="s">
        <v>275</v>
      </c>
      <c r="K309" s="211" t="s">
        <v>275</v>
      </c>
      <c r="L309" s="212">
        <f>IF(K309="CUMPLE",H309,0)</f>
        <v>0</v>
      </c>
      <c r="M309" s="213" t="s">
        <v>275</v>
      </c>
      <c r="N309" s="213" t="s">
        <v>275</v>
      </c>
      <c r="O309" s="303" t="s">
        <v>276</v>
      </c>
      <c r="P309" s="303" t="s">
        <v>276</v>
      </c>
      <c r="Q309" s="303" t="s">
        <v>276</v>
      </c>
      <c r="R309" s="216" t="s">
        <v>426</v>
      </c>
    </row>
    <row r="310" spans="1:18" s="14" customFormat="1">
      <c r="A310" s="320">
        <f>VLOOKUP(A299,'LISTA DE OFERENTES'!$A$4:$F$82,5,FALSE)</f>
        <v>0</v>
      </c>
      <c r="B310" s="226"/>
      <c r="C310" s="226"/>
      <c r="D310" s="226"/>
      <c r="E310" s="226"/>
      <c r="F310" s="226"/>
      <c r="G310" s="226"/>
      <c r="H310" s="226"/>
      <c r="I310" s="226"/>
      <c r="J310" s="226"/>
      <c r="K310" s="226"/>
      <c r="L310" s="226"/>
      <c r="M310" s="226"/>
      <c r="N310" s="226"/>
      <c r="O310" s="226"/>
      <c r="P310" s="226"/>
      <c r="Q310" s="226"/>
      <c r="R310" s="227"/>
    </row>
    <row r="311" spans="1:18" s="14" customFormat="1" ht="75">
      <c r="A311" s="178" t="s">
        <v>430</v>
      </c>
      <c r="B311" s="343" t="s">
        <v>425</v>
      </c>
      <c r="C311" s="343"/>
      <c r="D311" s="179">
        <v>3728469682</v>
      </c>
      <c r="E311" s="208">
        <v>2022</v>
      </c>
      <c r="F311" s="180">
        <f>D311/(VLOOKUP(E311,$D$929:$E$962,2,FALSE))</f>
        <v>3728.4696819999999</v>
      </c>
      <c r="G311" s="209">
        <v>0.2</v>
      </c>
      <c r="H311" s="180"/>
      <c r="I311" s="210">
        <v>44922</v>
      </c>
      <c r="J311" s="211" t="s">
        <v>275</v>
      </c>
      <c r="K311" s="211" t="s">
        <v>275</v>
      </c>
      <c r="L311" s="212">
        <f t="shared" si="32"/>
        <v>0</v>
      </c>
      <c r="M311" s="213" t="s">
        <v>275</v>
      </c>
      <c r="N311" s="213" t="s">
        <v>275</v>
      </c>
      <c r="O311" s="303" t="s">
        <v>276</v>
      </c>
      <c r="P311" s="303" t="s">
        <v>276</v>
      </c>
      <c r="Q311" s="303" t="s">
        <v>276</v>
      </c>
      <c r="R311" s="216" t="s">
        <v>426</v>
      </c>
    </row>
    <row r="312" spans="1:18" s="14" customFormat="1" ht="150">
      <c r="A312" s="178" t="s">
        <v>428</v>
      </c>
      <c r="B312" s="343" t="s">
        <v>429</v>
      </c>
      <c r="C312" s="343"/>
      <c r="D312" s="179">
        <v>553502885</v>
      </c>
      <c r="E312" s="208">
        <v>2018</v>
      </c>
      <c r="F312" s="180">
        <f>D312/(VLOOKUP(E312,$D$929:$E$962,2,FALSE))</f>
        <v>708.49094774730497</v>
      </c>
      <c r="G312" s="209">
        <v>0.01</v>
      </c>
      <c r="H312" s="180"/>
      <c r="I312" s="210">
        <v>43247</v>
      </c>
      <c r="J312" s="211" t="s">
        <v>275</v>
      </c>
      <c r="K312" s="211" t="s">
        <v>275</v>
      </c>
      <c r="L312" s="212">
        <f t="shared" si="32"/>
        <v>0</v>
      </c>
      <c r="M312" s="213" t="s">
        <v>275</v>
      </c>
      <c r="N312" s="213" t="s">
        <v>275</v>
      </c>
      <c r="O312" s="303" t="s">
        <v>276</v>
      </c>
      <c r="P312" s="303" t="s">
        <v>276</v>
      </c>
      <c r="Q312" s="303" t="s">
        <v>276</v>
      </c>
      <c r="R312" s="216" t="s">
        <v>426</v>
      </c>
    </row>
    <row r="313" spans="1:18" s="14" customFormat="1" ht="48" customHeight="1" thickBot="1">
      <c r="A313" s="346" t="s">
        <v>284</v>
      </c>
      <c r="B313" s="346"/>
      <c r="C313" s="346"/>
      <c r="D313" s="346"/>
      <c r="E313" s="346"/>
      <c r="F313" s="45">
        <f>+SUM(F307:F312)</f>
        <v>9510.6178216305307</v>
      </c>
      <c r="G313" s="45"/>
      <c r="H313" s="45">
        <f>+SUM(H307:H312)</f>
        <v>0</v>
      </c>
      <c r="I313" s="359"/>
      <c r="J313" s="360"/>
      <c r="K313" s="196"/>
      <c r="L313" s="196"/>
      <c r="M313" s="196"/>
      <c r="N313" s="196"/>
      <c r="O313" s="196"/>
      <c r="P313" s="304"/>
      <c r="Q313" s="304"/>
      <c r="R313" s="37" t="s">
        <v>276</v>
      </c>
    </row>
    <row r="314" spans="1:18" ht="16.5" thickBot="1">
      <c r="A314" s="3"/>
      <c r="B314" s="3"/>
      <c r="C314" s="3"/>
      <c r="D314" s="3"/>
      <c r="E314" s="3"/>
      <c r="F314" s="3"/>
      <c r="G314" s="3"/>
      <c r="H314" s="3"/>
      <c r="I314" s="3"/>
      <c r="J314" s="3"/>
      <c r="K314" s="3"/>
      <c r="L314" s="3"/>
      <c r="M314" s="3"/>
      <c r="N314" s="3"/>
      <c r="O314" s="4"/>
      <c r="P314" s="4"/>
      <c r="Q314" s="4"/>
      <c r="R314" s="4"/>
    </row>
    <row r="315" spans="1:18" ht="30.75" customHeight="1" thickBot="1">
      <c r="A315" s="347">
        <f>1+A299</f>
        <v>23</v>
      </c>
      <c r="B315" s="347"/>
      <c r="C315" s="347"/>
      <c r="D315" s="347"/>
      <c r="E315" s="361" t="str">
        <f>VLOOKUP(A315,'REQUISITOS HAB. TECNICOS'!$A$5:$B$66,2,FALSE)</f>
        <v>CONSORCIO INTERVIAL URBANO</v>
      </c>
      <c r="F315" s="361"/>
      <c r="G315" s="361"/>
      <c r="H315" s="361"/>
      <c r="I315" s="361"/>
      <c r="J315" s="361"/>
      <c r="K315" s="361"/>
      <c r="L315" s="361"/>
      <c r="M315" s="361"/>
      <c r="N315" s="361"/>
      <c r="O315" s="361"/>
      <c r="P315" s="361"/>
      <c r="Q315" s="361"/>
      <c r="R315" s="361"/>
    </row>
    <row r="316" spans="1:18" ht="50.25" customHeight="1" thickBot="1">
      <c r="A316" s="11" t="s">
        <v>247</v>
      </c>
      <c r="B316" s="76">
        <v>3</v>
      </c>
      <c r="C316" s="288" t="s">
        <v>248</v>
      </c>
      <c r="D316" s="344">
        <f>$D$899</f>
        <v>618.89671538461539</v>
      </c>
      <c r="E316" s="361"/>
      <c r="F316" s="361"/>
      <c r="G316" s="361"/>
      <c r="H316" s="361"/>
      <c r="I316" s="361"/>
      <c r="J316" s="361"/>
      <c r="K316" s="361"/>
      <c r="L316" s="361"/>
      <c r="M316" s="361"/>
      <c r="N316" s="361"/>
      <c r="O316" s="361"/>
      <c r="P316" s="361"/>
      <c r="Q316" s="361"/>
      <c r="R316" s="361"/>
    </row>
    <row r="317" spans="1:18" ht="23.25" customHeight="1" thickBot="1">
      <c r="A317" s="348" t="s">
        <v>249</v>
      </c>
      <c r="B317" s="348"/>
      <c r="C317" s="289">
        <f>+AVERAGE(H323:H326)</f>
        <v>1972.5971762377237</v>
      </c>
      <c r="D317" s="345"/>
      <c r="E317" s="361"/>
      <c r="F317" s="361"/>
      <c r="G317" s="361"/>
      <c r="H317" s="361"/>
      <c r="I317" s="361"/>
      <c r="J317" s="361"/>
      <c r="K317" s="361"/>
      <c r="L317" s="361"/>
      <c r="M317" s="361"/>
      <c r="N317" s="361"/>
      <c r="O317" s="361"/>
      <c r="P317" s="361"/>
      <c r="Q317" s="361"/>
      <c r="R317" s="361"/>
    </row>
    <row r="318" spans="1:18" ht="23.25" customHeight="1" thickBot="1">
      <c r="A318" s="349" t="s">
        <v>250</v>
      </c>
      <c r="B318" s="349"/>
      <c r="C318" s="350">
        <v>45631</v>
      </c>
      <c r="D318" s="350"/>
      <c r="E318" s="361"/>
      <c r="F318" s="361"/>
      <c r="G318" s="361"/>
      <c r="H318" s="361"/>
      <c r="I318" s="361"/>
      <c r="J318" s="361"/>
      <c r="K318" s="361"/>
      <c r="L318" s="361"/>
      <c r="M318" s="361"/>
      <c r="N318" s="361"/>
      <c r="O318" s="361"/>
      <c r="P318" s="361"/>
      <c r="Q318" s="361"/>
      <c r="R318" s="361"/>
    </row>
    <row r="319" spans="1:18" ht="38.25" customHeight="1" thickBot="1">
      <c r="A319" s="351" t="s">
        <v>251</v>
      </c>
      <c r="B319" s="351"/>
      <c r="C319" s="352" t="str">
        <f>+IF(H326&gt;D316,"CUMPLE","NO CUMPLE")</f>
        <v>CUMPLE</v>
      </c>
      <c r="D319" s="352"/>
      <c r="E319" s="361"/>
      <c r="F319" s="361"/>
      <c r="G319" s="361"/>
      <c r="H319" s="361"/>
      <c r="I319" s="361"/>
      <c r="J319" s="361"/>
      <c r="K319" s="361"/>
      <c r="L319" s="361"/>
      <c r="M319" s="361"/>
      <c r="N319" s="361"/>
      <c r="O319" s="361"/>
      <c r="P319" s="361"/>
      <c r="Q319" s="361"/>
      <c r="R319" s="361"/>
    </row>
    <row r="320" spans="1:18" ht="86.25" customHeight="1" thickBot="1">
      <c r="A320" s="353" t="s">
        <v>252</v>
      </c>
      <c r="B320" s="353"/>
      <c r="C320" s="353"/>
      <c r="D320" s="353"/>
      <c r="E320" s="353"/>
      <c r="F320" s="353"/>
      <c r="G320" s="311"/>
      <c r="H320" s="311"/>
      <c r="I320" s="143" t="s">
        <v>253</v>
      </c>
      <c r="J320" s="305" t="s">
        <v>254</v>
      </c>
      <c r="K320" s="363" t="s">
        <v>255</v>
      </c>
      <c r="L320" s="364"/>
      <c r="M320" s="357" t="s">
        <v>256</v>
      </c>
      <c r="N320" s="357" t="s">
        <v>257</v>
      </c>
      <c r="O320" s="357" t="s">
        <v>258</v>
      </c>
      <c r="P320" s="357" t="s">
        <v>259</v>
      </c>
      <c r="Q320" s="357" t="s">
        <v>260</v>
      </c>
      <c r="R320" s="362" t="s">
        <v>261</v>
      </c>
    </row>
    <row r="321" spans="1:18" ht="77.25" customHeight="1">
      <c r="A321" s="144" t="s">
        <v>262</v>
      </c>
      <c r="B321" s="354" t="s">
        <v>263</v>
      </c>
      <c r="C321" s="354"/>
      <c r="D321" s="145" t="s">
        <v>264</v>
      </c>
      <c r="E321" s="145" t="s">
        <v>265</v>
      </c>
      <c r="F321" s="145" t="s">
        <v>266</v>
      </c>
      <c r="G321" s="146" t="s">
        <v>267</v>
      </c>
      <c r="H321" s="146" t="s">
        <v>268</v>
      </c>
      <c r="I321" s="147" t="s">
        <v>269</v>
      </c>
      <c r="J321" s="147" t="s">
        <v>270</v>
      </c>
      <c r="K321" s="198" t="s">
        <v>271</v>
      </c>
      <c r="L321" s="198" t="s">
        <v>272</v>
      </c>
      <c r="M321" s="358"/>
      <c r="N321" s="358"/>
      <c r="O321" s="358"/>
      <c r="P321" s="358"/>
      <c r="Q321" s="358"/>
      <c r="R321" s="362"/>
    </row>
    <row r="322" spans="1:18">
      <c r="A322" s="34" t="str">
        <f>VLOOKUP(A315,'LISTA DE OFERENTES'!$A$4:$F$82,5,FALSE)</f>
        <v>IAR PROYECTOS SAS (50%)</v>
      </c>
      <c r="B322" s="35"/>
      <c r="C322" s="35"/>
      <c r="D322" s="35"/>
      <c r="E322" s="35"/>
      <c r="F322" s="35"/>
      <c r="G322" s="35"/>
      <c r="H322" s="35"/>
      <c r="I322" s="35"/>
      <c r="J322" s="35"/>
      <c r="K322" s="35"/>
      <c r="L322" s="35"/>
      <c r="M322" s="35"/>
      <c r="N322" s="35"/>
      <c r="O322" s="35"/>
      <c r="P322" s="35"/>
      <c r="Q322" s="35"/>
      <c r="R322" s="36"/>
    </row>
    <row r="323" spans="1:18" s="14" customFormat="1" ht="75">
      <c r="A323" s="185" t="s">
        <v>431</v>
      </c>
      <c r="B323" s="343" t="s">
        <v>432</v>
      </c>
      <c r="C323" s="343"/>
      <c r="D323" s="179">
        <v>1896765500</v>
      </c>
      <c r="E323" s="208">
        <v>2013</v>
      </c>
      <c r="F323" s="180">
        <f>D323/(VLOOKUP(E323,$D$929:$E$962,2,FALSE))</f>
        <v>3217.5835453774384</v>
      </c>
      <c r="G323" s="209">
        <v>0.4</v>
      </c>
      <c r="H323" s="180">
        <f>F323*G323</f>
        <v>1287.0334181509754</v>
      </c>
      <c r="I323" s="210">
        <v>41583</v>
      </c>
      <c r="J323" s="211" t="s">
        <v>275</v>
      </c>
      <c r="K323" s="211" t="s">
        <v>275</v>
      </c>
      <c r="L323" s="212">
        <f>IF(K323="CUMPLE",H323,0)</f>
        <v>1287.0334181509754</v>
      </c>
      <c r="M323" s="213" t="s">
        <v>275</v>
      </c>
      <c r="N323" s="213" t="s">
        <v>275</v>
      </c>
      <c r="O323" s="303" t="s">
        <v>275</v>
      </c>
      <c r="P323" s="239" t="s">
        <v>275</v>
      </c>
      <c r="Q323" s="239" t="s">
        <v>276</v>
      </c>
      <c r="R323" s="141"/>
    </row>
    <row r="324" spans="1:18" s="14" customFormat="1" ht="75">
      <c r="A324" s="186" t="s">
        <v>433</v>
      </c>
      <c r="B324" s="343" t="s">
        <v>432</v>
      </c>
      <c r="C324" s="343"/>
      <c r="D324" s="179">
        <v>2099703530</v>
      </c>
      <c r="E324" s="208">
        <v>2016</v>
      </c>
      <c r="F324" s="180">
        <f>D324/(VLOOKUP(E324,$D$929:$E$962,2,FALSE))</f>
        <v>3045.4540615413625</v>
      </c>
      <c r="G324" s="215">
        <v>0.95</v>
      </c>
      <c r="H324" s="180">
        <f>F324*G324</f>
        <v>2893.1813584642941</v>
      </c>
      <c r="I324" s="210">
        <v>42452</v>
      </c>
      <c r="J324" s="211" t="s">
        <v>275</v>
      </c>
      <c r="K324" s="211" t="s">
        <v>275</v>
      </c>
      <c r="L324" s="212">
        <f t="shared" ref="L324:L326" si="33">IF(K324="CUMPLE",H324,0)</f>
        <v>2893.1813584642941</v>
      </c>
      <c r="M324" s="213" t="s">
        <v>275</v>
      </c>
      <c r="N324" s="213" t="s">
        <v>275</v>
      </c>
      <c r="O324" s="303" t="s">
        <v>275</v>
      </c>
      <c r="P324" s="213" t="s">
        <v>275</v>
      </c>
      <c r="Q324" s="239" t="s">
        <v>275</v>
      </c>
      <c r="R324" s="141"/>
    </row>
    <row r="325" spans="1:18" s="14" customFormat="1">
      <c r="A325" s="34" t="str">
        <f>VLOOKUP(A315,'LISTA DE OFERENTES'!$A$4:$F$82,6,FALSE)</f>
        <v>BATEMAN INGENIERIA SAS (50%)</v>
      </c>
      <c r="B325" s="226"/>
      <c r="C325" s="226"/>
      <c r="D325" s="226"/>
      <c r="E325" s="226"/>
      <c r="F325" s="228"/>
      <c r="G325" s="228"/>
      <c r="H325" s="226"/>
      <c r="I325" s="226"/>
      <c r="J325" s="226"/>
      <c r="K325" s="226"/>
      <c r="L325" s="226"/>
      <c r="M325" s="226"/>
      <c r="N325" s="226"/>
      <c r="O325" s="226"/>
      <c r="P325" s="226"/>
      <c r="Q325" s="226"/>
      <c r="R325" s="36"/>
    </row>
    <row r="326" spans="1:18" s="14" customFormat="1" ht="60">
      <c r="A326" s="185" t="s">
        <v>434</v>
      </c>
      <c r="B326" s="343" t="s">
        <v>298</v>
      </c>
      <c r="C326" s="343"/>
      <c r="D326" s="179">
        <v>1656489837</v>
      </c>
      <c r="E326" s="208">
        <v>2001</v>
      </c>
      <c r="F326" s="180">
        <f>D326/(VLOOKUP(E326,$D$929:$E$962,2,FALSE))</f>
        <v>5791.9225069930071</v>
      </c>
      <c r="G326" s="209">
        <v>0.3</v>
      </c>
      <c r="H326" s="180">
        <f>F326*G326</f>
        <v>1737.576752097902</v>
      </c>
      <c r="I326" s="210">
        <v>37179</v>
      </c>
      <c r="J326" s="233" t="s">
        <v>275</v>
      </c>
      <c r="K326" s="211" t="s">
        <v>275</v>
      </c>
      <c r="L326" s="212">
        <f t="shared" si="33"/>
        <v>1737.576752097902</v>
      </c>
      <c r="M326" s="213" t="s">
        <v>275</v>
      </c>
      <c r="N326" s="213" t="s">
        <v>275</v>
      </c>
      <c r="O326" s="303" t="s">
        <v>275</v>
      </c>
      <c r="P326" s="239" t="s">
        <v>276</v>
      </c>
      <c r="Q326" s="239" t="s">
        <v>276</v>
      </c>
      <c r="R326" s="141"/>
    </row>
    <row r="327" spans="1:18" ht="30.6" customHeight="1" thickBot="1">
      <c r="A327" s="346" t="s">
        <v>284</v>
      </c>
      <c r="B327" s="346"/>
      <c r="C327" s="346"/>
      <c r="D327" s="346"/>
      <c r="E327" s="346"/>
      <c r="F327" s="45">
        <f>+SUM(F323:F326)</f>
        <v>12054.960113911808</v>
      </c>
      <c r="G327" s="45"/>
      <c r="H327" s="45">
        <f>+SUM(H323:H326)</f>
        <v>5917.7915287131709</v>
      </c>
      <c r="I327" s="359"/>
      <c r="J327" s="360"/>
      <c r="K327" s="196"/>
      <c r="L327" s="196"/>
      <c r="M327" s="196"/>
      <c r="N327" s="196"/>
      <c r="O327" s="196"/>
      <c r="P327" s="304"/>
      <c r="Q327" s="304"/>
      <c r="R327" s="37" t="s">
        <v>275</v>
      </c>
    </row>
    <row r="328" spans="1:18" ht="16.5" thickBot="1">
      <c r="A328" s="3"/>
      <c r="B328" s="3"/>
      <c r="C328" s="3"/>
      <c r="D328" s="3"/>
      <c r="E328" s="3"/>
      <c r="F328" s="3"/>
      <c r="G328" s="3"/>
      <c r="H328" s="3"/>
      <c r="I328" s="3"/>
      <c r="J328" s="3"/>
      <c r="K328" s="3"/>
      <c r="L328" s="3"/>
      <c r="M328" s="3"/>
      <c r="N328" s="3"/>
      <c r="O328" s="4"/>
      <c r="P328" s="4"/>
      <c r="Q328" s="4"/>
      <c r="R328" s="4"/>
    </row>
    <row r="329" spans="1:18" ht="30.75" customHeight="1" thickBot="1">
      <c r="A329" s="347">
        <f>1+A315</f>
        <v>24</v>
      </c>
      <c r="B329" s="410"/>
      <c r="C329" s="410"/>
      <c r="D329" s="411"/>
      <c r="E329" s="361" t="str">
        <f>VLOOKUP(A329,'REQUISITOS HAB. TECNICOS'!$A$5:$B$66,2,FALSE)</f>
        <v>VELNEC SA</v>
      </c>
      <c r="F329" s="403"/>
      <c r="G329" s="403"/>
      <c r="H329" s="403"/>
      <c r="I329" s="403"/>
      <c r="J329" s="403"/>
      <c r="K329" s="403"/>
      <c r="L329" s="403"/>
      <c r="M329" s="403"/>
      <c r="N329" s="403"/>
      <c r="O329" s="403"/>
      <c r="P329" s="403"/>
      <c r="Q329" s="403"/>
      <c r="R329" s="403"/>
    </row>
    <row r="330" spans="1:18" ht="50.25" customHeight="1">
      <c r="A330" s="11" t="s">
        <v>247</v>
      </c>
      <c r="B330" s="76">
        <v>5</v>
      </c>
      <c r="C330" s="288" t="s">
        <v>248</v>
      </c>
      <c r="D330" s="344">
        <f>$D$899</f>
        <v>618.89671538461539</v>
      </c>
      <c r="E330" s="418"/>
      <c r="F330" s="419"/>
      <c r="G330" s="419"/>
      <c r="H330" s="419"/>
      <c r="I330" s="419"/>
      <c r="J330" s="419"/>
      <c r="K330" s="419"/>
      <c r="L330" s="419"/>
      <c r="M330" s="419"/>
      <c r="N330" s="419"/>
      <c r="O330" s="419"/>
      <c r="P330" s="419"/>
      <c r="Q330" s="419"/>
      <c r="R330" s="419"/>
    </row>
    <row r="331" spans="1:18" ht="23.25" customHeight="1">
      <c r="A331" s="348" t="s">
        <v>249</v>
      </c>
      <c r="B331" s="348"/>
      <c r="C331" s="289">
        <f>+AVERAGE(H337:H341)</f>
        <v>1092.2884960851466</v>
      </c>
      <c r="D331" s="345"/>
      <c r="E331" s="418"/>
      <c r="F331" s="419"/>
      <c r="G331" s="419"/>
      <c r="H331" s="419"/>
      <c r="I331" s="419"/>
      <c r="J331" s="419"/>
      <c r="K331" s="419"/>
      <c r="L331" s="419"/>
      <c r="M331" s="419"/>
      <c r="N331" s="419"/>
      <c r="O331" s="419"/>
      <c r="P331" s="419"/>
      <c r="Q331" s="419"/>
      <c r="R331" s="419"/>
    </row>
    <row r="332" spans="1:18" ht="23.25" customHeight="1">
      <c r="A332" s="349" t="s">
        <v>250</v>
      </c>
      <c r="B332" s="349"/>
      <c r="C332" s="350">
        <v>45631</v>
      </c>
      <c r="D332" s="350"/>
      <c r="E332" s="418"/>
      <c r="F332" s="419"/>
      <c r="G332" s="419"/>
      <c r="H332" s="419"/>
      <c r="I332" s="419"/>
      <c r="J332" s="419"/>
      <c r="K332" s="419"/>
      <c r="L332" s="419"/>
      <c r="M332" s="419"/>
      <c r="N332" s="419"/>
      <c r="O332" s="419"/>
      <c r="P332" s="419"/>
      <c r="Q332" s="419"/>
      <c r="R332" s="419"/>
    </row>
    <row r="333" spans="1:18" ht="38.25" customHeight="1" thickBot="1">
      <c r="A333" s="412" t="s">
        <v>251</v>
      </c>
      <c r="B333" s="413"/>
      <c r="C333" s="414" t="str">
        <f>+IF(H342&gt;D330,"CUMPLE","NO CUMPLE")</f>
        <v>CUMPLE</v>
      </c>
      <c r="D333" s="415"/>
      <c r="E333" s="420"/>
      <c r="F333" s="421"/>
      <c r="G333" s="421"/>
      <c r="H333" s="421"/>
      <c r="I333" s="421"/>
      <c r="J333" s="421"/>
      <c r="K333" s="421"/>
      <c r="L333" s="421"/>
      <c r="M333" s="421"/>
      <c r="N333" s="421"/>
      <c r="O333" s="421"/>
      <c r="P333" s="421"/>
      <c r="Q333" s="421"/>
      <c r="R333" s="421"/>
    </row>
    <row r="334" spans="1:18" ht="87.75" customHeight="1">
      <c r="A334" s="353" t="s">
        <v>252</v>
      </c>
      <c r="B334" s="416"/>
      <c r="C334" s="416"/>
      <c r="D334" s="416"/>
      <c r="E334" s="416"/>
      <c r="F334" s="416"/>
      <c r="G334" s="311"/>
      <c r="H334" s="311"/>
      <c r="I334" s="143" t="s">
        <v>253</v>
      </c>
      <c r="J334" s="305" t="s">
        <v>254</v>
      </c>
      <c r="K334" s="363" t="s">
        <v>255</v>
      </c>
      <c r="L334" s="364"/>
      <c r="M334" s="357" t="s">
        <v>256</v>
      </c>
      <c r="N334" s="357" t="s">
        <v>257</v>
      </c>
      <c r="O334" s="357" t="s">
        <v>258</v>
      </c>
      <c r="P334" s="357" t="s">
        <v>259</v>
      </c>
      <c r="Q334" s="357" t="s">
        <v>260</v>
      </c>
      <c r="R334" s="362" t="s">
        <v>261</v>
      </c>
    </row>
    <row r="335" spans="1:18" ht="77.25" customHeight="1">
      <c r="A335" s="144" t="s">
        <v>262</v>
      </c>
      <c r="B335" s="354" t="s">
        <v>263</v>
      </c>
      <c r="C335" s="417"/>
      <c r="D335" s="145" t="s">
        <v>264</v>
      </c>
      <c r="E335" s="145" t="s">
        <v>265</v>
      </c>
      <c r="F335" s="145" t="s">
        <v>266</v>
      </c>
      <c r="G335" s="146" t="s">
        <v>267</v>
      </c>
      <c r="H335" s="146" t="s">
        <v>268</v>
      </c>
      <c r="I335" s="147" t="s">
        <v>269</v>
      </c>
      <c r="J335" s="147" t="s">
        <v>270</v>
      </c>
      <c r="K335" s="198" t="s">
        <v>271</v>
      </c>
      <c r="L335" s="198" t="s">
        <v>272</v>
      </c>
      <c r="M335" s="358"/>
      <c r="N335" s="358"/>
      <c r="O335" s="358"/>
      <c r="P335" s="358"/>
      <c r="Q335" s="358"/>
      <c r="R335" s="422"/>
    </row>
    <row r="336" spans="1:18">
      <c r="A336" s="34" t="str">
        <f>VLOOKUP(A329,'LISTA DE OFERENTES'!$A$4:$F$82,5,FALSE)</f>
        <v>VELNEC SA (100%)</v>
      </c>
      <c r="B336" s="35"/>
      <c r="C336" s="35"/>
      <c r="D336" s="35"/>
      <c r="E336" s="35"/>
      <c r="F336" s="35"/>
      <c r="G336" s="35"/>
      <c r="H336" s="35"/>
      <c r="I336" s="35"/>
      <c r="J336" s="35"/>
      <c r="K336" s="35"/>
      <c r="L336" s="35"/>
      <c r="M336" s="35"/>
      <c r="N336" s="35"/>
      <c r="O336" s="35"/>
      <c r="P336" s="35"/>
      <c r="Q336" s="35"/>
      <c r="R336" s="36"/>
    </row>
    <row r="337" spans="1:18" s="14" customFormat="1" ht="87.6" customHeight="1">
      <c r="A337" s="184" t="s">
        <v>435</v>
      </c>
      <c r="B337" s="343" t="s">
        <v>436</v>
      </c>
      <c r="C337" s="356"/>
      <c r="D337" s="179">
        <v>777002566</v>
      </c>
      <c r="E337" s="208">
        <v>2008</v>
      </c>
      <c r="F337" s="180">
        <f>D337/(VLOOKUP(E337,$D$929:$E$962,2,FALSE))</f>
        <v>1683.6458634886239</v>
      </c>
      <c r="G337" s="209">
        <v>1</v>
      </c>
      <c r="H337" s="180">
        <f>F337*G337</f>
        <v>1683.6458634886239</v>
      </c>
      <c r="I337" s="210">
        <v>39675</v>
      </c>
      <c r="J337" s="211" t="s">
        <v>275</v>
      </c>
      <c r="K337" s="211" t="s">
        <v>275</v>
      </c>
      <c r="L337" s="212">
        <f>IF(K337="CUMPLE",H337,0)</f>
        <v>1683.6458634886239</v>
      </c>
      <c r="M337" s="213" t="s">
        <v>275</v>
      </c>
      <c r="N337" s="213" t="s">
        <v>275</v>
      </c>
      <c r="O337" s="303" t="s">
        <v>275</v>
      </c>
      <c r="P337" s="303" t="s">
        <v>276</v>
      </c>
      <c r="Q337" s="303" t="s">
        <v>275</v>
      </c>
      <c r="R337" s="172"/>
    </row>
    <row r="338" spans="1:18" s="14" customFormat="1" ht="75.599999999999994" customHeight="1">
      <c r="A338" s="184" t="s">
        <v>437</v>
      </c>
      <c r="B338" s="343" t="s">
        <v>438</v>
      </c>
      <c r="C338" s="356" t="s">
        <v>438</v>
      </c>
      <c r="D338" s="179">
        <v>721517405</v>
      </c>
      <c r="E338" s="208">
        <v>2015</v>
      </c>
      <c r="F338" s="180">
        <f>D338/(VLOOKUP(E338,$D$929:$E$962,2,FALSE))</f>
        <v>1119.7600760456273</v>
      </c>
      <c r="G338" s="215">
        <v>1</v>
      </c>
      <c r="H338" s="180">
        <f>F338*G338</f>
        <v>1119.7600760456273</v>
      </c>
      <c r="I338" s="210">
        <v>42035</v>
      </c>
      <c r="J338" s="211" t="s">
        <v>275</v>
      </c>
      <c r="K338" s="211" t="s">
        <v>275</v>
      </c>
      <c r="L338" s="212">
        <f t="shared" ref="L338:L341" si="34">IF(K338="CUMPLE",H338,0)</f>
        <v>1119.7600760456273</v>
      </c>
      <c r="M338" s="213" t="s">
        <v>275</v>
      </c>
      <c r="N338" s="213" t="s">
        <v>275</v>
      </c>
      <c r="O338" s="303" t="s">
        <v>276</v>
      </c>
      <c r="P338" s="303" t="s">
        <v>276</v>
      </c>
      <c r="Q338" s="303" t="s">
        <v>276</v>
      </c>
      <c r="R338" s="172"/>
    </row>
    <row r="339" spans="1:18" s="14" customFormat="1" ht="45.6" customHeight="1">
      <c r="A339" s="184" t="s">
        <v>439</v>
      </c>
      <c r="B339" s="343" t="s">
        <v>436</v>
      </c>
      <c r="C339" s="356" t="s">
        <v>436</v>
      </c>
      <c r="D339" s="179">
        <v>103292110</v>
      </c>
      <c r="E339" s="208">
        <v>2000</v>
      </c>
      <c r="F339" s="180">
        <f>D339/(VLOOKUP(E339,$D$929:$E$962,2,FALSE))</f>
        <v>397.1246059207997</v>
      </c>
      <c r="G339" s="215">
        <v>1</v>
      </c>
      <c r="H339" s="180">
        <f>F339*G339</f>
        <v>397.1246059207997</v>
      </c>
      <c r="I339" s="210">
        <v>36555</v>
      </c>
      <c r="J339" s="211" t="s">
        <v>275</v>
      </c>
      <c r="K339" s="211" t="s">
        <v>275</v>
      </c>
      <c r="L339" s="212">
        <f t="shared" si="34"/>
        <v>397.1246059207997</v>
      </c>
      <c r="M339" s="213" t="s">
        <v>275</v>
      </c>
      <c r="N339" s="213" t="s">
        <v>275</v>
      </c>
      <c r="O339" s="303" t="s">
        <v>275</v>
      </c>
      <c r="P339" s="303" t="s">
        <v>275</v>
      </c>
      <c r="Q339" s="303" t="s">
        <v>276</v>
      </c>
      <c r="R339" s="172"/>
    </row>
    <row r="340" spans="1:18" s="14" customFormat="1" ht="75.599999999999994" customHeight="1">
      <c r="A340" s="184" t="s">
        <v>440</v>
      </c>
      <c r="B340" s="343" t="s">
        <v>438</v>
      </c>
      <c r="C340" s="356" t="s">
        <v>438</v>
      </c>
      <c r="D340" s="179">
        <v>1124912946</v>
      </c>
      <c r="E340" s="208">
        <v>2015</v>
      </c>
      <c r="F340" s="180">
        <f>D340/(VLOOKUP(E340,$D$929:$E$962,2,FALSE))</f>
        <v>1745.8104229068053</v>
      </c>
      <c r="G340" s="209">
        <v>1</v>
      </c>
      <c r="H340" s="180">
        <f>F340*G340</f>
        <v>1745.8104229068053</v>
      </c>
      <c r="I340" s="210">
        <v>42185</v>
      </c>
      <c r="J340" s="233" t="s">
        <v>275</v>
      </c>
      <c r="K340" s="211" t="s">
        <v>275</v>
      </c>
      <c r="L340" s="212">
        <f t="shared" si="34"/>
        <v>1745.8104229068053</v>
      </c>
      <c r="M340" s="213" t="s">
        <v>275</v>
      </c>
      <c r="N340" s="213" t="s">
        <v>275</v>
      </c>
      <c r="O340" s="303" t="s">
        <v>276</v>
      </c>
      <c r="P340" s="303" t="s">
        <v>276</v>
      </c>
      <c r="Q340" s="303" t="s">
        <v>276</v>
      </c>
      <c r="R340" s="172"/>
    </row>
    <row r="341" spans="1:18" s="14" customFormat="1" ht="90" customHeight="1">
      <c r="A341" s="184" t="s">
        <v>441</v>
      </c>
      <c r="B341" s="343" t="s">
        <v>438</v>
      </c>
      <c r="C341" s="356" t="s">
        <v>438</v>
      </c>
      <c r="D341" s="179">
        <v>355139313</v>
      </c>
      <c r="E341" s="208">
        <v>2016</v>
      </c>
      <c r="F341" s="180">
        <f>D341/(VLOOKUP(E341,$D$929:$E$962,2,FALSE))</f>
        <v>515.1015120638765</v>
      </c>
      <c r="G341" s="209">
        <v>1</v>
      </c>
      <c r="H341" s="180">
        <f>F341*G341</f>
        <v>515.1015120638765</v>
      </c>
      <c r="I341" s="210">
        <v>42459</v>
      </c>
      <c r="J341" s="233" t="s">
        <v>275</v>
      </c>
      <c r="K341" s="211" t="s">
        <v>275</v>
      </c>
      <c r="L341" s="212">
        <f t="shared" si="34"/>
        <v>515.1015120638765</v>
      </c>
      <c r="M341" s="213" t="s">
        <v>275</v>
      </c>
      <c r="N341" s="213" t="s">
        <v>275</v>
      </c>
      <c r="O341" s="303" t="s">
        <v>276</v>
      </c>
      <c r="P341" s="303" t="s">
        <v>276</v>
      </c>
      <c r="Q341" s="303" t="s">
        <v>276</v>
      </c>
      <c r="R341" s="172"/>
    </row>
    <row r="342" spans="1:18" s="14" customFormat="1" ht="48" customHeight="1" thickBot="1">
      <c r="A342" s="346" t="s">
        <v>284</v>
      </c>
      <c r="B342" s="346"/>
      <c r="C342" s="346"/>
      <c r="D342" s="346"/>
      <c r="E342" s="346"/>
      <c r="F342" s="45">
        <f>+SUM(F337:F341)</f>
        <v>5461.4424804257324</v>
      </c>
      <c r="G342" s="45"/>
      <c r="H342" s="45">
        <f>+SUM(H337:H341)</f>
        <v>5461.4424804257324</v>
      </c>
      <c r="I342" s="359"/>
      <c r="J342" s="360"/>
      <c r="K342" s="196"/>
      <c r="L342" s="196"/>
      <c r="M342" s="196"/>
      <c r="N342" s="196"/>
      <c r="O342" s="196"/>
      <c r="P342" s="304"/>
      <c r="Q342" s="304"/>
      <c r="R342" s="37" t="s">
        <v>275</v>
      </c>
    </row>
    <row r="343" spans="1:18" ht="16.5" thickBot="1">
      <c r="A343" s="3"/>
      <c r="B343" s="3"/>
      <c r="C343" s="3"/>
      <c r="D343" s="3"/>
      <c r="E343" s="3"/>
      <c r="F343" s="3"/>
      <c r="G343" s="3"/>
      <c r="H343" s="3"/>
      <c r="I343" s="3"/>
      <c r="J343" s="3"/>
      <c r="K343" s="3"/>
      <c r="L343" s="3"/>
      <c r="M343" s="3"/>
      <c r="N343" s="3"/>
      <c r="O343" s="4"/>
      <c r="P343" s="4"/>
      <c r="Q343" s="4"/>
      <c r="R343" s="4"/>
    </row>
    <row r="344" spans="1:18" ht="30.75" customHeight="1" thickBot="1">
      <c r="A344" s="347">
        <f>1+A329</f>
        <v>25</v>
      </c>
      <c r="B344" s="347"/>
      <c r="C344" s="347"/>
      <c r="D344" s="347"/>
      <c r="E344" s="361" t="str">
        <f>VLOOKUP(A344,'REQUISITOS HAB. TECNICOS'!$A$5:$B$66,2,FALSE)</f>
        <v>CONSORCIO INTERFONTIBON 2024</v>
      </c>
      <c r="F344" s="361"/>
      <c r="G344" s="361"/>
      <c r="H344" s="361"/>
      <c r="I344" s="361"/>
      <c r="J344" s="361"/>
      <c r="K344" s="361"/>
      <c r="L344" s="361"/>
      <c r="M344" s="361"/>
      <c r="N344" s="361"/>
      <c r="O344" s="361"/>
      <c r="P344" s="361"/>
      <c r="Q344" s="361"/>
      <c r="R344" s="361"/>
    </row>
    <row r="345" spans="1:18" ht="50.25" customHeight="1" thickBot="1">
      <c r="A345" s="11" t="s">
        <v>247</v>
      </c>
      <c r="B345" s="76">
        <v>5</v>
      </c>
      <c r="C345" s="288" t="s">
        <v>248</v>
      </c>
      <c r="D345" s="344">
        <f>$D$899</f>
        <v>618.89671538461539</v>
      </c>
      <c r="E345" s="361"/>
      <c r="F345" s="361"/>
      <c r="G345" s="361"/>
      <c r="H345" s="361"/>
      <c r="I345" s="361"/>
      <c r="J345" s="361"/>
      <c r="K345" s="361"/>
      <c r="L345" s="361"/>
      <c r="M345" s="361"/>
      <c r="N345" s="361"/>
      <c r="O345" s="361"/>
      <c r="P345" s="361"/>
      <c r="Q345" s="361"/>
      <c r="R345" s="361"/>
    </row>
    <row r="346" spans="1:18" ht="23.25" customHeight="1" thickBot="1">
      <c r="A346" s="348" t="s">
        <v>249</v>
      </c>
      <c r="B346" s="348"/>
      <c r="C346" s="289">
        <f>+AVERAGE(H352:H356)</f>
        <v>1681.46364219714</v>
      </c>
      <c r="D346" s="345"/>
      <c r="E346" s="361"/>
      <c r="F346" s="361"/>
      <c r="G346" s="361"/>
      <c r="H346" s="361"/>
      <c r="I346" s="361"/>
      <c r="J346" s="361"/>
      <c r="K346" s="361"/>
      <c r="L346" s="361"/>
      <c r="M346" s="361"/>
      <c r="N346" s="361"/>
      <c r="O346" s="361"/>
      <c r="P346" s="361"/>
      <c r="Q346" s="361"/>
      <c r="R346" s="361"/>
    </row>
    <row r="347" spans="1:18" ht="23.25" customHeight="1" thickBot="1">
      <c r="A347" s="349" t="s">
        <v>250</v>
      </c>
      <c r="B347" s="349"/>
      <c r="C347" s="350">
        <v>45631</v>
      </c>
      <c r="D347" s="350"/>
      <c r="E347" s="361"/>
      <c r="F347" s="361"/>
      <c r="G347" s="361"/>
      <c r="H347" s="361"/>
      <c r="I347" s="361"/>
      <c r="J347" s="361"/>
      <c r="K347" s="361"/>
      <c r="L347" s="361"/>
      <c r="M347" s="361"/>
      <c r="N347" s="361"/>
      <c r="O347" s="361"/>
      <c r="P347" s="361"/>
      <c r="Q347" s="361"/>
      <c r="R347" s="361"/>
    </row>
    <row r="348" spans="1:18" ht="38.25" customHeight="1" thickBot="1">
      <c r="A348" s="351" t="s">
        <v>251</v>
      </c>
      <c r="B348" s="351"/>
      <c r="C348" s="352" t="str">
        <f>+IF(H357&gt;D345,"CUMPLE","NO CUMPLE")</f>
        <v>CUMPLE</v>
      </c>
      <c r="D348" s="352"/>
      <c r="E348" s="361"/>
      <c r="F348" s="361"/>
      <c r="G348" s="361"/>
      <c r="H348" s="361"/>
      <c r="I348" s="361"/>
      <c r="J348" s="361"/>
      <c r="K348" s="361"/>
      <c r="L348" s="361"/>
      <c r="M348" s="361"/>
      <c r="N348" s="361"/>
      <c r="O348" s="361"/>
      <c r="P348" s="361"/>
      <c r="Q348" s="361"/>
      <c r="R348" s="361"/>
    </row>
    <row r="349" spans="1:18" ht="87.75" customHeight="1" thickBot="1">
      <c r="A349" s="353" t="s">
        <v>252</v>
      </c>
      <c r="B349" s="353"/>
      <c r="C349" s="353"/>
      <c r="D349" s="353"/>
      <c r="E349" s="353"/>
      <c r="F349" s="353"/>
      <c r="G349" s="311"/>
      <c r="H349" s="311"/>
      <c r="I349" s="143" t="s">
        <v>253</v>
      </c>
      <c r="J349" s="305" t="s">
        <v>254</v>
      </c>
      <c r="K349" s="363" t="s">
        <v>255</v>
      </c>
      <c r="L349" s="364"/>
      <c r="M349" s="357" t="s">
        <v>256</v>
      </c>
      <c r="N349" s="357" t="s">
        <v>257</v>
      </c>
      <c r="O349" s="357" t="s">
        <v>258</v>
      </c>
      <c r="P349" s="357" t="s">
        <v>259</v>
      </c>
      <c r="Q349" s="357" t="s">
        <v>260</v>
      </c>
      <c r="R349" s="362" t="s">
        <v>261</v>
      </c>
    </row>
    <row r="350" spans="1:18" ht="77.25" customHeight="1">
      <c r="A350" s="144" t="s">
        <v>262</v>
      </c>
      <c r="B350" s="354" t="s">
        <v>263</v>
      </c>
      <c r="C350" s="354"/>
      <c r="D350" s="145" t="s">
        <v>264</v>
      </c>
      <c r="E350" s="145" t="s">
        <v>265</v>
      </c>
      <c r="F350" s="145" t="s">
        <v>266</v>
      </c>
      <c r="G350" s="146" t="s">
        <v>267</v>
      </c>
      <c r="H350" s="146" t="s">
        <v>268</v>
      </c>
      <c r="I350" s="147" t="s">
        <v>269</v>
      </c>
      <c r="J350" s="147" t="s">
        <v>270</v>
      </c>
      <c r="K350" s="198" t="s">
        <v>271</v>
      </c>
      <c r="L350" s="198" t="s">
        <v>272</v>
      </c>
      <c r="M350" s="358"/>
      <c r="N350" s="358"/>
      <c r="O350" s="358"/>
      <c r="P350" s="358"/>
      <c r="Q350" s="358"/>
      <c r="R350" s="362"/>
    </row>
    <row r="351" spans="1:18">
      <c r="A351" s="34" t="str">
        <f>VLOOKUP(A344,'LISTA DE OFERENTES'!$A$4:$F$82,5,FALSE)</f>
        <v>AESA PROYECTOS SAS (50%)</v>
      </c>
      <c r="B351" s="35"/>
      <c r="C351" s="35"/>
      <c r="D351" s="35"/>
      <c r="E351" s="35"/>
      <c r="F351" s="35"/>
      <c r="G351" s="35"/>
      <c r="H351" s="35"/>
      <c r="I351" s="35"/>
      <c r="J351" s="35"/>
      <c r="K351" s="35"/>
      <c r="L351" s="35"/>
      <c r="M351" s="35"/>
      <c r="N351" s="35"/>
      <c r="O351" s="35"/>
      <c r="P351" s="35"/>
      <c r="Q351" s="35"/>
      <c r="R351" s="36"/>
    </row>
    <row r="352" spans="1:18" s="14" customFormat="1" ht="90">
      <c r="A352" s="185" t="s">
        <v>442</v>
      </c>
      <c r="B352" s="365" t="s">
        <v>443</v>
      </c>
      <c r="C352" s="365"/>
      <c r="D352" s="6">
        <v>4770979861</v>
      </c>
      <c r="E352" s="31">
        <v>2016</v>
      </c>
      <c r="F352" s="7">
        <f>D352/(VLOOKUP(E352,$D$929:$E$962,2,FALSE))</f>
        <v>6919.9293079316276</v>
      </c>
      <c r="G352" s="65">
        <v>0.4</v>
      </c>
      <c r="H352" s="7">
        <f t="shared" ref="H352:H356" si="35">F352*G352</f>
        <v>2767.9717231726513</v>
      </c>
      <c r="I352" s="5">
        <v>42572</v>
      </c>
      <c r="J352" s="69" t="s">
        <v>275</v>
      </c>
      <c r="K352" s="69" t="s">
        <v>275</v>
      </c>
      <c r="L352" s="199">
        <f>IF(K352="CUMPLE",H352,0)</f>
        <v>2767.9717231726513</v>
      </c>
      <c r="M352" s="13" t="s">
        <v>275</v>
      </c>
      <c r="N352" s="13" t="s">
        <v>275</v>
      </c>
      <c r="O352" s="312" t="s">
        <v>276</v>
      </c>
      <c r="P352" s="312" t="s">
        <v>276</v>
      </c>
      <c r="Q352" s="312" t="s">
        <v>276</v>
      </c>
      <c r="R352" s="172" t="s">
        <v>417</v>
      </c>
    </row>
    <row r="353" spans="1:18" s="14" customFormat="1" ht="75">
      <c r="A353" s="186" t="s">
        <v>444</v>
      </c>
      <c r="B353" s="365" t="s">
        <v>436</v>
      </c>
      <c r="C353" s="365"/>
      <c r="D353" s="6">
        <v>3263327284</v>
      </c>
      <c r="E353" s="31">
        <v>2009</v>
      </c>
      <c r="F353" s="7">
        <f>D353/(VLOOKUP(E353,$D$929:$E$962,2,FALSE))</f>
        <v>6567.3722761118934</v>
      </c>
      <c r="G353" s="68">
        <v>0.34</v>
      </c>
      <c r="H353" s="7">
        <f t="shared" si="35"/>
        <v>2232.9065738780441</v>
      </c>
      <c r="I353" s="5">
        <v>40008</v>
      </c>
      <c r="J353" s="69" t="s">
        <v>275</v>
      </c>
      <c r="K353" s="69" t="s">
        <v>275</v>
      </c>
      <c r="L353" s="199">
        <f t="shared" ref="L353:L356" si="36">IF(K353="CUMPLE",H353,0)</f>
        <v>2232.9065738780441</v>
      </c>
      <c r="M353" s="13" t="s">
        <v>275</v>
      </c>
      <c r="N353" s="13" t="s">
        <v>275</v>
      </c>
      <c r="O353" s="312" t="s">
        <v>275</v>
      </c>
      <c r="P353" s="312" t="s">
        <v>275</v>
      </c>
      <c r="Q353" s="312" t="s">
        <v>276</v>
      </c>
      <c r="R353" s="172" t="s">
        <v>417</v>
      </c>
    </row>
    <row r="354" spans="1:18" s="14" customFormat="1" ht="90">
      <c r="A354" s="186" t="s">
        <v>445</v>
      </c>
      <c r="B354" s="365" t="s">
        <v>443</v>
      </c>
      <c r="C354" s="365"/>
      <c r="D354" s="6">
        <v>4494753500</v>
      </c>
      <c r="E354" s="31">
        <v>2018</v>
      </c>
      <c r="F354" s="7">
        <f>D354/(VLOOKUP(E354,$D$929:$E$962,2,FALSE))</f>
        <v>5753.3433942363572</v>
      </c>
      <c r="G354" s="68">
        <v>0.4</v>
      </c>
      <c r="H354" s="7"/>
      <c r="I354" s="5">
        <v>43312</v>
      </c>
      <c r="J354" s="69" t="s">
        <v>275</v>
      </c>
      <c r="K354" s="69" t="s">
        <v>275</v>
      </c>
      <c r="L354" s="199">
        <f t="shared" si="36"/>
        <v>0</v>
      </c>
      <c r="M354" s="13" t="s">
        <v>276</v>
      </c>
      <c r="N354" s="13" t="s">
        <v>276</v>
      </c>
      <c r="O354" s="13" t="s">
        <v>276</v>
      </c>
      <c r="P354" s="13" t="s">
        <v>276</v>
      </c>
      <c r="Q354" s="13" t="s">
        <v>276</v>
      </c>
      <c r="R354" s="172" t="s">
        <v>446</v>
      </c>
    </row>
    <row r="355" spans="1:18" s="14" customFormat="1">
      <c r="A355" s="34" t="str">
        <f>VLOOKUP(A344,'LISTA DE OFERENTES'!$A$4:$F$82,6,FALSE)</f>
        <v>BALER INGENIERIA SAS BIC (50%)</v>
      </c>
      <c r="B355" s="35"/>
      <c r="C355" s="35"/>
      <c r="D355" s="35"/>
      <c r="E355" s="35"/>
      <c r="F355" s="35"/>
      <c r="G355" s="35"/>
      <c r="H355" s="35"/>
      <c r="I355" s="35"/>
      <c r="J355" s="35"/>
      <c r="K355" s="35"/>
      <c r="L355" s="35"/>
      <c r="M355" s="35"/>
      <c r="N355" s="35"/>
      <c r="O355" s="35"/>
      <c r="P355" s="35"/>
      <c r="Q355" s="35"/>
      <c r="R355" s="36"/>
    </row>
    <row r="356" spans="1:18" s="14" customFormat="1" ht="75">
      <c r="A356" s="185" t="s">
        <v>447</v>
      </c>
      <c r="B356" s="365" t="s">
        <v>448</v>
      </c>
      <c r="C356" s="365"/>
      <c r="D356" s="6">
        <v>60000000</v>
      </c>
      <c r="E356" s="31">
        <v>2016</v>
      </c>
      <c r="F356" s="7">
        <f>D356/(VLOOKUP(E356,$D$929:$E$962,2,FALSE))</f>
        <v>87.025259081448397</v>
      </c>
      <c r="G356" s="65">
        <v>0.5</v>
      </c>
      <c r="H356" s="7">
        <f t="shared" si="35"/>
        <v>43.512629540724198</v>
      </c>
      <c r="I356" s="5">
        <v>42520</v>
      </c>
      <c r="J356" s="12" t="s">
        <v>275</v>
      </c>
      <c r="K356" s="12" t="s">
        <v>275</v>
      </c>
      <c r="L356" s="199">
        <f t="shared" si="36"/>
        <v>43.512629540724198</v>
      </c>
      <c r="M356" s="13" t="s">
        <v>275</v>
      </c>
      <c r="N356" s="13" t="s">
        <v>275</v>
      </c>
      <c r="O356" s="312" t="s">
        <v>275</v>
      </c>
      <c r="P356" s="171" t="s">
        <v>275</v>
      </c>
      <c r="Q356" s="13" t="s">
        <v>276</v>
      </c>
      <c r="R356" s="172" t="s">
        <v>449</v>
      </c>
    </row>
    <row r="357" spans="1:18" s="14" customFormat="1" ht="48" customHeight="1" thickBot="1">
      <c r="A357" s="346" t="s">
        <v>284</v>
      </c>
      <c r="B357" s="346"/>
      <c r="C357" s="346"/>
      <c r="D357" s="346"/>
      <c r="E357" s="346"/>
      <c r="F357" s="45">
        <f>+SUM(F352:F356)</f>
        <v>19327.67023736133</v>
      </c>
      <c r="G357" s="45"/>
      <c r="H357" s="45">
        <f>+SUM(H352:H356)</f>
        <v>5044.3909265914199</v>
      </c>
      <c r="I357" s="359"/>
      <c r="J357" s="360"/>
      <c r="K357" s="196"/>
      <c r="L357" s="196"/>
      <c r="M357" s="196"/>
      <c r="N357" s="196"/>
      <c r="O357" s="196"/>
      <c r="P357" s="304"/>
      <c r="Q357" s="304"/>
      <c r="R357" s="37" t="s">
        <v>276</v>
      </c>
    </row>
    <row r="358" spans="1:18" ht="16.5" thickBot="1">
      <c r="A358" s="3"/>
      <c r="B358" s="3"/>
      <c r="C358" s="3"/>
      <c r="D358" s="3"/>
      <c r="E358" s="3"/>
      <c r="F358" s="3"/>
      <c r="G358" s="3"/>
      <c r="H358" s="3"/>
      <c r="I358" s="3"/>
      <c r="J358" s="3"/>
      <c r="K358" s="3"/>
      <c r="L358" s="3"/>
      <c r="M358" s="3"/>
      <c r="N358" s="3"/>
      <c r="O358" s="4"/>
      <c r="P358" s="4"/>
      <c r="Q358" s="4"/>
      <c r="R358" s="4"/>
    </row>
    <row r="359" spans="1:18" ht="30.75" customHeight="1" thickBot="1">
      <c r="A359" s="347">
        <f>1+A344</f>
        <v>26</v>
      </c>
      <c r="B359" s="347"/>
      <c r="C359" s="347"/>
      <c r="D359" s="347"/>
      <c r="E359" s="361" t="str">
        <f>VLOOKUP(A359,'REQUISITOS HAB. TECNICOS'!$A$5:$B$66,2,FALSE)</f>
        <v>ING INGENIERIA S.A.S</v>
      </c>
      <c r="F359" s="361"/>
      <c r="G359" s="361"/>
      <c r="H359" s="361"/>
      <c r="I359" s="361"/>
      <c r="J359" s="361"/>
      <c r="K359" s="361"/>
      <c r="L359" s="361"/>
      <c r="M359" s="361"/>
      <c r="N359" s="361"/>
      <c r="O359" s="361"/>
      <c r="P359" s="361"/>
      <c r="Q359" s="361"/>
      <c r="R359" s="361"/>
    </row>
    <row r="360" spans="1:18" ht="50.25" customHeight="1" thickBot="1">
      <c r="A360" s="11" t="s">
        <v>247</v>
      </c>
      <c r="B360" s="76">
        <v>2</v>
      </c>
      <c r="C360" s="288" t="s">
        <v>248</v>
      </c>
      <c r="D360" s="344">
        <f>$D$899</f>
        <v>618.89671538461539</v>
      </c>
      <c r="E360" s="361"/>
      <c r="F360" s="361"/>
      <c r="G360" s="361"/>
      <c r="H360" s="361"/>
      <c r="I360" s="361"/>
      <c r="J360" s="361"/>
      <c r="K360" s="361"/>
      <c r="L360" s="361"/>
      <c r="M360" s="361"/>
      <c r="N360" s="361"/>
      <c r="O360" s="361"/>
      <c r="P360" s="361"/>
      <c r="Q360" s="361"/>
      <c r="R360" s="361"/>
    </row>
    <row r="361" spans="1:18" ht="23.25" customHeight="1" thickBot="1">
      <c r="A361" s="348" t="s">
        <v>249</v>
      </c>
      <c r="B361" s="348"/>
      <c r="C361" s="289">
        <f>+AVERAGE(H367:H368)</f>
        <v>1167.9761316828019</v>
      </c>
      <c r="D361" s="345"/>
      <c r="E361" s="361"/>
      <c r="F361" s="361"/>
      <c r="G361" s="361"/>
      <c r="H361" s="361"/>
      <c r="I361" s="361"/>
      <c r="J361" s="361"/>
      <c r="K361" s="361"/>
      <c r="L361" s="361"/>
      <c r="M361" s="361"/>
      <c r="N361" s="361"/>
      <c r="O361" s="361"/>
      <c r="P361" s="361"/>
      <c r="Q361" s="361"/>
      <c r="R361" s="361"/>
    </row>
    <row r="362" spans="1:18" ht="23.25" customHeight="1" thickBot="1">
      <c r="A362" s="349" t="s">
        <v>250</v>
      </c>
      <c r="B362" s="349"/>
      <c r="C362" s="350">
        <v>45631</v>
      </c>
      <c r="D362" s="350"/>
      <c r="E362" s="361"/>
      <c r="F362" s="361"/>
      <c r="G362" s="361"/>
      <c r="H362" s="361"/>
      <c r="I362" s="361"/>
      <c r="J362" s="361"/>
      <c r="K362" s="361"/>
      <c r="L362" s="361"/>
      <c r="M362" s="361"/>
      <c r="N362" s="361"/>
      <c r="O362" s="361"/>
      <c r="P362" s="361"/>
      <c r="Q362" s="361"/>
      <c r="R362" s="361"/>
    </row>
    <row r="363" spans="1:18" ht="38.25" customHeight="1" thickBot="1">
      <c r="A363" s="351" t="s">
        <v>251</v>
      </c>
      <c r="B363" s="351"/>
      <c r="C363" s="352" t="str">
        <f>+IF(C361&gt;D360,"CUMPLE","NO CUMPLE")</f>
        <v>CUMPLE</v>
      </c>
      <c r="D363" s="352"/>
      <c r="E363" s="361"/>
      <c r="F363" s="361"/>
      <c r="G363" s="361"/>
      <c r="H363" s="361"/>
      <c r="I363" s="361"/>
      <c r="J363" s="361"/>
      <c r="K363" s="361"/>
      <c r="L363" s="361"/>
      <c r="M363" s="361"/>
      <c r="N363" s="361"/>
      <c r="O363" s="361"/>
      <c r="P363" s="361"/>
      <c r="Q363" s="361"/>
      <c r="R363" s="361"/>
    </row>
    <row r="364" spans="1:18" ht="86.25" customHeight="1" thickBot="1">
      <c r="A364" s="353" t="s">
        <v>252</v>
      </c>
      <c r="B364" s="353"/>
      <c r="C364" s="353"/>
      <c r="D364" s="353"/>
      <c r="E364" s="353"/>
      <c r="F364" s="353"/>
      <c r="G364" s="311"/>
      <c r="H364" s="311"/>
      <c r="I364" s="143" t="s">
        <v>253</v>
      </c>
      <c r="J364" s="305" t="s">
        <v>254</v>
      </c>
      <c r="K364" s="363" t="s">
        <v>255</v>
      </c>
      <c r="L364" s="364"/>
      <c r="M364" s="357" t="s">
        <v>256</v>
      </c>
      <c r="N364" s="357" t="s">
        <v>257</v>
      </c>
      <c r="O364" s="357" t="s">
        <v>258</v>
      </c>
      <c r="P364" s="357" t="s">
        <v>259</v>
      </c>
      <c r="Q364" s="357" t="s">
        <v>260</v>
      </c>
      <c r="R364" s="362" t="s">
        <v>261</v>
      </c>
    </row>
    <row r="365" spans="1:18" ht="77.25" customHeight="1">
      <c r="A365" s="144" t="s">
        <v>262</v>
      </c>
      <c r="B365" s="354" t="s">
        <v>263</v>
      </c>
      <c r="C365" s="354"/>
      <c r="D365" s="145" t="s">
        <v>264</v>
      </c>
      <c r="E365" s="145" t="s">
        <v>265</v>
      </c>
      <c r="F365" s="145" t="s">
        <v>266</v>
      </c>
      <c r="G365" s="146" t="s">
        <v>267</v>
      </c>
      <c r="H365" s="146" t="s">
        <v>268</v>
      </c>
      <c r="I365" s="147" t="s">
        <v>269</v>
      </c>
      <c r="J365" s="147" t="s">
        <v>270</v>
      </c>
      <c r="K365" s="198" t="s">
        <v>271</v>
      </c>
      <c r="L365" s="198" t="s">
        <v>272</v>
      </c>
      <c r="M365" s="358"/>
      <c r="N365" s="358"/>
      <c r="O365" s="358"/>
      <c r="P365" s="358"/>
      <c r="Q365" s="358"/>
      <c r="R365" s="362"/>
    </row>
    <row r="366" spans="1:18">
      <c r="A366" s="34" t="str">
        <f>VLOOKUP(A359,'LISTA DE OFERENTES'!$A$4:$F$82,5,FALSE)</f>
        <v>ING INGENIERIA S.A.S (100%)</v>
      </c>
      <c r="B366" s="35"/>
      <c r="C366" s="35"/>
      <c r="D366" s="35"/>
      <c r="E366" s="35"/>
      <c r="F366" s="35"/>
      <c r="G366" s="35"/>
      <c r="H366" s="35"/>
      <c r="I366" s="35"/>
      <c r="J366" s="35"/>
      <c r="K366" s="35"/>
      <c r="L366" s="35"/>
      <c r="M366" s="35"/>
      <c r="N366" s="35"/>
      <c r="O366" s="35"/>
      <c r="P366" s="35"/>
      <c r="Q366" s="35"/>
      <c r="R366" s="36"/>
    </row>
    <row r="367" spans="1:18" s="14" customFormat="1" ht="60" customHeight="1">
      <c r="A367" s="178" t="s">
        <v>450</v>
      </c>
      <c r="B367" s="343" t="s">
        <v>451</v>
      </c>
      <c r="C367" s="343"/>
      <c r="D367" s="179">
        <v>894141740</v>
      </c>
      <c r="E367" s="208">
        <v>2008</v>
      </c>
      <c r="F367" s="180">
        <f>D367/(VLOOKUP(E367,$D$929:$E$962,2,FALSE))</f>
        <v>1937.4685590465872</v>
      </c>
      <c r="G367" s="209">
        <v>0.5</v>
      </c>
      <c r="H367" s="180">
        <f>F367*G367</f>
        <v>968.73427952329359</v>
      </c>
      <c r="I367" s="210">
        <v>39654</v>
      </c>
      <c r="J367" s="211" t="s">
        <v>275</v>
      </c>
      <c r="K367" s="211" t="s">
        <v>275</v>
      </c>
      <c r="L367" s="212">
        <f>IF(K367="CUMPLE",H367,0)</f>
        <v>968.73427952329359</v>
      </c>
      <c r="M367" s="213" t="s">
        <v>275</v>
      </c>
      <c r="N367" s="213" t="s">
        <v>275</v>
      </c>
      <c r="O367" s="303" t="s">
        <v>275</v>
      </c>
      <c r="P367" s="239" t="s">
        <v>276</v>
      </c>
      <c r="Q367" s="239" t="s">
        <v>276</v>
      </c>
      <c r="R367" s="216" t="s">
        <v>417</v>
      </c>
    </row>
    <row r="368" spans="1:18" s="14" customFormat="1" ht="105" customHeight="1">
      <c r="A368" s="181" t="s">
        <v>452</v>
      </c>
      <c r="B368" s="343" t="s">
        <v>453</v>
      </c>
      <c r="C368" s="343"/>
      <c r="D368" s="179">
        <v>2693243643</v>
      </c>
      <c r="E368" s="208">
        <v>2016</v>
      </c>
      <c r="F368" s="180">
        <f>D368/(VLOOKUP(E368,$D$929:$E$962,2,FALSE))</f>
        <v>3906.3370966923148</v>
      </c>
      <c r="G368" s="215">
        <v>0.35</v>
      </c>
      <c r="H368" s="180">
        <f>F368*G368</f>
        <v>1367.2179838423101</v>
      </c>
      <c r="I368" s="210">
        <v>42667</v>
      </c>
      <c r="J368" s="211" t="s">
        <v>275</v>
      </c>
      <c r="K368" s="211" t="s">
        <v>275</v>
      </c>
      <c r="L368" s="212">
        <f t="shared" ref="L368" si="37">IF(K368="CUMPLE",H368,0)</f>
        <v>1367.2179838423101</v>
      </c>
      <c r="M368" s="213" t="s">
        <v>275</v>
      </c>
      <c r="N368" s="213" t="s">
        <v>275</v>
      </c>
      <c r="O368" s="303" t="s">
        <v>275</v>
      </c>
      <c r="P368" s="239" t="s">
        <v>275</v>
      </c>
      <c r="Q368" s="239" t="s">
        <v>276</v>
      </c>
      <c r="R368" s="216" t="s">
        <v>417</v>
      </c>
    </row>
    <row r="369" spans="1:18" ht="30.6" customHeight="1" thickBot="1">
      <c r="A369" s="346" t="s">
        <v>284</v>
      </c>
      <c r="B369" s="346"/>
      <c r="C369" s="346"/>
      <c r="D369" s="346"/>
      <c r="E369" s="346"/>
      <c r="F369" s="45">
        <f>+SUM(F367:F368)</f>
        <v>5843.8056557389018</v>
      </c>
      <c r="G369" s="45"/>
      <c r="H369" s="45">
        <f>+SUM(H367:H368)</f>
        <v>2335.9522633656038</v>
      </c>
      <c r="I369" s="359"/>
      <c r="J369" s="360"/>
      <c r="K369" s="196"/>
      <c r="L369" s="196"/>
      <c r="M369" s="196"/>
      <c r="N369" s="196"/>
      <c r="O369" s="196"/>
      <c r="P369" s="304"/>
      <c r="Q369" s="304"/>
      <c r="R369" s="37" t="s">
        <v>276</v>
      </c>
    </row>
    <row r="370" spans="1:18" ht="16.5" thickBot="1">
      <c r="A370" s="3"/>
      <c r="B370" s="3"/>
      <c r="C370" s="3"/>
      <c r="D370" s="3"/>
      <c r="E370" s="3"/>
      <c r="F370" s="3"/>
      <c r="G370" s="3"/>
      <c r="H370" s="3"/>
      <c r="I370" s="3"/>
      <c r="J370" s="3"/>
      <c r="K370" s="3"/>
      <c r="L370" s="3"/>
      <c r="M370" s="3"/>
      <c r="N370" s="3"/>
      <c r="O370" s="4"/>
      <c r="P370" s="4"/>
      <c r="Q370" s="4"/>
      <c r="R370" s="4"/>
    </row>
    <row r="371" spans="1:18" ht="30.75" customHeight="1" thickBot="1">
      <c r="A371" s="347">
        <f>1+A359</f>
        <v>27</v>
      </c>
      <c r="B371" s="347"/>
      <c r="C371" s="347"/>
      <c r="D371" s="347"/>
      <c r="E371" s="361" t="str">
        <f>VLOOKUP(A371,'REQUISITOS HAB. TECNICOS'!$A$5:$B$66,2,FALSE)</f>
        <v>CONSORCIO FATIMA</v>
      </c>
      <c r="F371" s="361"/>
      <c r="G371" s="361"/>
      <c r="H371" s="361"/>
      <c r="I371" s="361"/>
      <c r="J371" s="361"/>
      <c r="K371" s="361"/>
      <c r="L371" s="361"/>
      <c r="M371" s="361"/>
      <c r="N371" s="361"/>
      <c r="O371" s="361"/>
      <c r="P371" s="361"/>
      <c r="Q371" s="361"/>
      <c r="R371" s="361"/>
    </row>
    <row r="372" spans="1:18" ht="50.25" customHeight="1" thickBot="1">
      <c r="A372" s="11" t="s">
        <v>247</v>
      </c>
      <c r="B372" s="76">
        <v>3</v>
      </c>
      <c r="C372" s="288" t="s">
        <v>248</v>
      </c>
      <c r="D372" s="344">
        <f>$D$899</f>
        <v>618.89671538461539</v>
      </c>
      <c r="E372" s="361"/>
      <c r="F372" s="361"/>
      <c r="G372" s="361"/>
      <c r="H372" s="361"/>
      <c r="I372" s="361"/>
      <c r="J372" s="361"/>
      <c r="K372" s="361"/>
      <c r="L372" s="361"/>
      <c r="M372" s="361"/>
      <c r="N372" s="361"/>
      <c r="O372" s="361"/>
      <c r="P372" s="361"/>
      <c r="Q372" s="361"/>
      <c r="R372" s="361"/>
    </row>
    <row r="373" spans="1:18" ht="23.25" customHeight="1" thickBot="1">
      <c r="A373" s="348" t="s">
        <v>249</v>
      </c>
      <c r="B373" s="348"/>
      <c r="C373" s="289">
        <f>+AVERAGE(H379:H382)</f>
        <v>1704.8474563740526</v>
      </c>
      <c r="D373" s="345"/>
      <c r="E373" s="361"/>
      <c r="F373" s="361"/>
      <c r="G373" s="361"/>
      <c r="H373" s="361"/>
      <c r="I373" s="361"/>
      <c r="J373" s="361"/>
      <c r="K373" s="361"/>
      <c r="L373" s="361"/>
      <c r="M373" s="361"/>
      <c r="N373" s="361"/>
      <c r="O373" s="361"/>
      <c r="P373" s="361"/>
      <c r="Q373" s="361"/>
      <c r="R373" s="361"/>
    </row>
    <row r="374" spans="1:18" ht="23.25" customHeight="1" thickBot="1">
      <c r="A374" s="349" t="s">
        <v>250</v>
      </c>
      <c r="B374" s="349"/>
      <c r="C374" s="350">
        <v>45631</v>
      </c>
      <c r="D374" s="350"/>
      <c r="E374" s="361"/>
      <c r="F374" s="361"/>
      <c r="G374" s="361"/>
      <c r="H374" s="361"/>
      <c r="I374" s="361"/>
      <c r="J374" s="361"/>
      <c r="K374" s="361"/>
      <c r="L374" s="361"/>
      <c r="M374" s="361"/>
      <c r="N374" s="361"/>
      <c r="O374" s="361"/>
      <c r="P374" s="361"/>
      <c r="Q374" s="361"/>
      <c r="R374" s="361"/>
    </row>
    <row r="375" spans="1:18" ht="38.25" customHeight="1" thickBot="1">
      <c r="A375" s="351" t="s">
        <v>251</v>
      </c>
      <c r="B375" s="351"/>
      <c r="C375" s="352" t="str">
        <f>+IF(H383&gt;D372,"CUMPLE","NO CUMPLE")</f>
        <v>CUMPLE</v>
      </c>
      <c r="D375" s="352"/>
      <c r="E375" s="361"/>
      <c r="F375" s="361"/>
      <c r="G375" s="361"/>
      <c r="H375" s="361"/>
      <c r="I375" s="361"/>
      <c r="J375" s="361"/>
      <c r="K375" s="361"/>
      <c r="L375" s="361"/>
      <c r="M375" s="361"/>
      <c r="N375" s="361"/>
      <c r="O375" s="361"/>
      <c r="P375" s="361"/>
      <c r="Q375" s="361"/>
      <c r="R375" s="361"/>
    </row>
    <row r="376" spans="1:18" ht="87.75" customHeight="1" thickBot="1">
      <c r="A376" s="353" t="s">
        <v>252</v>
      </c>
      <c r="B376" s="353"/>
      <c r="C376" s="353"/>
      <c r="D376" s="353"/>
      <c r="E376" s="353"/>
      <c r="F376" s="353"/>
      <c r="G376" s="311"/>
      <c r="H376" s="311"/>
      <c r="I376" s="143" t="s">
        <v>253</v>
      </c>
      <c r="J376" s="305" t="s">
        <v>254</v>
      </c>
      <c r="K376" s="363" t="s">
        <v>255</v>
      </c>
      <c r="L376" s="364"/>
      <c r="M376" s="357" t="s">
        <v>256</v>
      </c>
      <c r="N376" s="357" t="s">
        <v>257</v>
      </c>
      <c r="O376" s="357" t="s">
        <v>258</v>
      </c>
      <c r="P376" s="357" t="s">
        <v>259</v>
      </c>
      <c r="Q376" s="357" t="s">
        <v>260</v>
      </c>
      <c r="R376" s="362" t="s">
        <v>261</v>
      </c>
    </row>
    <row r="377" spans="1:18" ht="77.25" customHeight="1">
      <c r="A377" s="144" t="s">
        <v>262</v>
      </c>
      <c r="B377" s="354" t="s">
        <v>263</v>
      </c>
      <c r="C377" s="354"/>
      <c r="D377" s="145" t="s">
        <v>264</v>
      </c>
      <c r="E377" s="145" t="s">
        <v>265</v>
      </c>
      <c r="F377" s="145" t="s">
        <v>266</v>
      </c>
      <c r="G377" s="146" t="s">
        <v>267</v>
      </c>
      <c r="H377" s="146" t="s">
        <v>268</v>
      </c>
      <c r="I377" s="147" t="s">
        <v>269</v>
      </c>
      <c r="J377" s="147" t="s">
        <v>270</v>
      </c>
      <c r="K377" s="198" t="s">
        <v>271</v>
      </c>
      <c r="L377" s="198" t="s">
        <v>272</v>
      </c>
      <c r="M377" s="358"/>
      <c r="N377" s="358"/>
      <c r="O377" s="358"/>
      <c r="P377" s="358"/>
      <c r="Q377" s="358"/>
      <c r="R377" s="362"/>
    </row>
    <row r="378" spans="1:18">
      <c r="A378" s="34" t="str">
        <f>VLOOKUP(A371,'LISTA DE OFERENTES'!$A$4:$F$82,5,FALSE)</f>
        <v>ARA INGENIERIA SAS (90%)</v>
      </c>
      <c r="B378" s="35"/>
      <c r="C378" s="35"/>
      <c r="D378" s="35"/>
      <c r="E378" s="35"/>
      <c r="F378" s="35"/>
      <c r="G378" s="35"/>
      <c r="H378" s="35"/>
      <c r="I378" s="35"/>
      <c r="J378" s="35"/>
      <c r="K378" s="35"/>
      <c r="L378" s="35"/>
      <c r="M378" s="35"/>
      <c r="N378" s="35"/>
      <c r="O378" s="35"/>
      <c r="P378" s="35"/>
      <c r="Q378" s="35"/>
      <c r="R378" s="36"/>
    </row>
    <row r="379" spans="1:18" s="14" customFormat="1" ht="75" customHeight="1">
      <c r="A379" s="178" t="s">
        <v>454</v>
      </c>
      <c r="B379" s="343" t="s">
        <v>455</v>
      </c>
      <c r="C379" s="343"/>
      <c r="D379" s="179">
        <v>1385178929</v>
      </c>
      <c r="E379" s="208">
        <v>2020</v>
      </c>
      <c r="F379" s="180">
        <f>D379/(VLOOKUP(E379,$D$929:$E$962,2,FALSE))</f>
        <v>1578.0066017090394</v>
      </c>
      <c r="G379" s="209">
        <v>0.6</v>
      </c>
      <c r="H379" s="180">
        <f>F379*G379</f>
        <v>946.80396102542363</v>
      </c>
      <c r="I379" s="210">
        <v>44189</v>
      </c>
      <c r="J379" s="211" t="s">
        <v>275</v>
      </c>
      <c r="K379" s="211" t="s">
        <v>275</v>
      </c>
      <c r="L379" s="212">
        <f>IF(K379="CUMPLE",H379,0)</f>
        <v>946.80396102542363</v>
      </c>
      <c r="M379" s="213" t="s">
        <v>275</v>
      </c>
      <c r="N379" s="213" t="s">
        <v>275</v>
      </c>
      <c r="O379" s="303" t="s">
        <v>275</v>
      </c>
      <c r="P379" s="239" t="s">
        <v>276</v>
      </c>
      <c r="Q379" s="303" t="s">
        <v>276</v>
      </c>
      <c r="R379" s="216" t="s">
        <v>417</v>
      </c>
    </row>
    <row r="380" spans="1:18" s="14" customFormat="1" ht="45" customHeight="1">
      <c r="A380" s="181" t="s">
        <v>456</v>
      </c>
      <c r="B380" s="343" t="s">
        <v>455</v>
      </c>
      <c r="C380" s="343"/>
      <c r="D380" s="179">
        <v>1116188486</v>
      </c>
      <c r="E380" s="208">
        <v>2007</v>
      </c>
      <c r="F380" s="180">
        <f>D380/(VLOOKUP(E380,$D$929:$E$962,2,FALSE))</f>
        <v>2573.6418860963799</v>
      </c>
      <c r="G380" s="215">
        <v>0.5</v>
      </c>
      <c r="H380" s="180">
        <f>F380*G380</f>
        <v>1286.82094304819</v>
      </c>
      <c r="I380" s="210">
        <v>39444</v>
      </c>
      <c r="J380" s="211" t="s">
        <v>275</v>
      </c>
      <c r="K380" s="211" t="s">
        <v>275</v>
      </c>
      <c r="L380" s="212">
        <f t="shared" ref="L380:L382" si="38">IF(K380="CUMPLE",H380,0)</f>
        <v>1286.82094304819</v>
      </c>
      <c r="M380" s="213" t="s">
        <v>275</v>
      </c>
      <c r="N380" s="213" t="s">
        <v>275</v>
      </c>
      <c r="O380" s="303" t="s">
        <v>276</v>
      </c>
      <c r="P380" s="239" t="s">
        <v>275</v>
      </c>
      <c r="Q380" s="303" t="s">
        <v>276</v>
      </c>
      <c r="R380" s="216" t="s">
        <v>417</v>
      </c>
    </row>
    <row r="381" spans="1:18" s="14" customFormat="1">
      <c r="A381" s="320" t="str">
        <f>VLOOKUP(A371,'LISTA DE OFERENTES'!$A$4:$F$82,6,FALSE)</f>
        <v>JOSE ALBERTO ROJAS PRIETO (10%)</v>
      </c>
      <c r="B381" s="226"/>
      <c r="C381" s="226"/>
      <c r="D381" s="226"/>
      <c r="E381" s="226"/>
      <c r="F381" s="228"/>
      <c r="G381" s="228"/>
      <c r="H381" s="226"/>
      <c r="I381" s="226"/>
      <c r="J381" s="226"/>
      <c r="K381" s="226"/>
      <c r="L381" s="226"/>
      <c r="M381" s="226"/>
      <c r="N381" s="226"/>
      <c r="O381" s="226"/>
      <c r="P381" s="226"/>
      <c r="Q381" s="226"/>
      <c r="R381" s="227"/>
    </row>
    <row r="382" spans="1:18" ht="45">
      <c r="A382" s="178" t="s">
        <v>457</v>
      </c>
      <c r="B382" s="343" t="s">
        <v>455</v>
      </c>
      <c r="C382" s="343"/>
      <c r="D382" s="179">
        <v>5934689978</v>
      </c>
      <c r="E382" s="208">
        <v>2010</v>
      </c>
      <c r="F382" s="180">
        <f>D382/(VLOOKUP(E382,$D$929:$E$962,2,FALSE))</f>
        <v>11523.669860194175</v>
      </c>
      <c r="G382" s="209">
        <v>0.25</v>
      </c>
      <c r="H382" s="180">
        <f>F382*G382</f>
        <v>2880.9174650485438</v>
      </c>
      <c r="I382" s="210">
        <v>40451</v>
      </c>
      <c r="J382" s="233" t="s">
        <v>275</v>
      </c>
      <c r="K382" s="233" t="s">
        <v>275</v>
      </c>
      <c r="L382" s="212">
        <f t="shared" si="38"/>
        <v>2880.9174650485438</v>
      </c>
      <c r="M382" s="213" t="s">
        <v>275</v>
      </c>
      <c r="N382" s="213" t="s">
        <v>275</v>
      </c>
      <c r="O382" s="303" t="s">
        <v>276</v>
      </c>
      <c r="P382" s="303" t="s">
        <v>276</v>
      </c>
      <c r="Q382" s="303" t="s">
        <v>276</v>
      </c>
      <c r="R382" s="216" t="s">
        <v>417</v>
      </c>
    </row>
    <row r="383" spans="1:18" s="14" customFormat="1" ht="48" customHeight="1" thickBot="1">
      <c r="A383" s="346" t="s">
        <v>284</v>
      </c>
      <c r="B383" s="346"/>
      <c r="C383" s="346"/>
      <c r="D383" s="346"/>
      <c r="E383" s="346"/>
      <c r="F383" s="45">
        <f>+SUM(F379:F382)</f>
        <v>15675.318347999595</v>
      </c>
      <c r="G383" s="45"/>
      <c r="H383" s="45">
        <f>+SUM(H379:H382)</f>
        <v>5114.5423691221577</v>
      </c>
      <c r="I383" s="359"/>
      <c r="J383" s="360"/>
      <c r="K383" s="196"/>
      <c r="L383" s="196"/>
      <c r="M383" s="196"/>
      <c r="N383" s="196"/>
      <c r="O383" s="196"/>
      <c r="P383" s="304"/>
      <c r="Q383" s="304"/>
      <c r="R383" s="37" t="s">
        <v>276</v>
      </c>
    </row>
    <row r="384" spans="1:18" ht="16.5" thickBot="1">
      <c r="A384" s="3"/>
      <c r="B384" s="3"/>
      <c r="C384" s="3"/>
      <c r="D384" s="3"/>
      <c r="E384" s="3"/>
      <c r="F384" s="3"/>
      <c r="G384" s="3"/>
      <c r="H384" s="3"/>
      <c r="I384" s="3"/>
      <c r="J384" s="3"/>
      <c r="K384" s="3"/>
      <c r="L384" s="3"/>
      <c r="M384" s="3"/>
      <c r="N384" s="3"/>
      <c r="O384" s="4"/>
      <c r="P384" s="4"/>
      <c r="Q384" s="4"/>
      <c r="R384" s="4"/>
    </row>
    <row r="385" spans="1:18" ht="30.75" customHeight="1" thickBot="1">
      <c r="A385" s="347">
        <f>1+A371</f>
        <v>28</v>
      </c>
      <c r="B385" s="347"/>
      <c r="C385" s="347"/>
      <c r="D385" s="347"/>
      <c r="E385" s="361" t="str">
        <f>VLOOKUP(A385,'REQUISITOS HAB. TECNICOS'!$A$5:$B$66,2,FALSE)</f>
        <v>GEOTECNIA Y CIMIENTOS INGEOCIM S.A.S.</v>
      </c>
      <c r="F385" s="361"/>
      <c r="G385" s="361"/>
      <c r="H385" s="361"/>
      <c r="I385" s="361"/>
      <c r="J385" s="361"/>
      <c r="K385" s="361"/>
      <c r="L385" s="361"/>
      <c r="M385" s="361"/>
      <c r="N385" s="361"/>
      <c r="O385" s="361"/>
      <c r="P385" s="361"/>
      <c r="Q385" s="361"/>
      <c r="R385" s="361"/>
    </row>
    <row r="386" spans="1:18" ht="50.25" customHeight="1" thickBot="1">
      <c r="A386" s="11" t="s">
        <v>247</v>
      </c>
      <c r="B386" s="76">
        <v>5</v>
      </c>
      <c r="C386" s="288" t="s">
        <v>248</v>
      </c>
      <c r="D386" s="344">
        <f>$D$899</f>
        <v>618.89671538461539</v>
      </c>
      <c r="E386" s="361"/>
      <c r="F386" s="361"/>
      <c r="G386" s="361"/>
      <c r="H386" s="361"/>
      <c r="I386" s="361"/>
      <c r="J386" s="361"/>
      <c r="K386" s="361"/>
      <c r="L386" s="361"/>
      <c r="M386" s="361"/>
      <c r="N386" s="361"/>
      <c r="O386" s="361"/>
      <c r="P386" s="361"/>
      <c r="Q386" s="361"/>
      <c r="R386" s="361"/>
    </row>
    <row r="387" spans="1:18" ht="23.25" customHeight="1" thickBot="1">
      <c r="A387" s="348" t="s">
        <v>249</v>
      </c>
      <c r="B387" s="348"/>
      <c r="C387" s="289">
        <f>+AVERAGE(H393:H397)</f>
        <v>1421.7056995378007</v>
      </c>
      <c r="D387" s="345"/>
      <c r="E387" s="361"/>
      <c r="F387" s="361"/>
      <c r="G387" s="361"/>
      <c r="H387" s="361"/>
      <c r="I387" s="361"/>
      <c r="J387" s="361"/>
      <c r="K387" s="361"/>
      <c r="L387" s="361"/>
      <c r="M387" s="361"/>
      <c r="N387" s="361"/>
      <c r="O387" s="361"/>
      <c r="P387" s="361"/>
      <c r="Q387" s="361"/>
      <c r="R387" s="361"/>
    </row>
    <row r="388" spans="1:18" ht="23.25" customHeight="1" thickBot="1">
      <c r="A388" s="349" t="s">
        <v>250</v>
      </c>
      <c r="B388" s="349"/>
      <c r="C388" s="350">
        <v>45631</v>
      </c>
      <c r="D388" s="350"/>
      <c r="E388" s="361"/>
      <c r="F388" s="361"/>
      <c r="G388" s="361"/>
      <c r="H388" s="361"/>
      <c r="I388" s="361"/>
      <c r="J388" s="361"/>
      <c r="K388" s="361"/>
      <c r="L388" s="361"/>
      <c r="M388" s="361"/>
      <c r="N388" s="361"/>
      <c r="O388" s="361"/>
      <c r="P388" s="361"/>
      <c r="Q388" s="361"/>
      <c r="R388" s="361"/>
    </row>
    <row r="389" spans="1:18" ht="38.25" customHeight="1" thickBot="1">
      <c r="A389" s="351" t="s">
        <v>251</v>
      </c>
      <c r="B389" s="351"/>
      <c r="C389" s="352" t="str">
        <f>+IF(H398&gt;D386,"CUMPLE","NO CUMPLE")</f>
        <v>CUMPLE</v>
      </c>
      <c r="D389" s="352"/>
      <c r="E389" s="361"/>
      <c r="F389" s="361"/>
      <c r="G389" s="361"/>
      <c r="H389" s="361"/>
      <c r="I389" s="361"/>
      <c r="J389" s="361"/>
      <c r="K389" s="361"/>
      <c r="L389" s="361"/>
      <c r="M389" s="361"/>
      <c r="N389" s="361"/>
      <c r="O389" s="361"/>
      <c r="P389" s="361"/>
      <c r="Q389" s="361"/>
      <c r="R389" s="361"/>
    </row>
    <row r="390" spans="1:18" ht="85.5" customHeight="1" thickBot="1">
      <c r="A390" s="353" t="s">
        <v>252</v>
      </c>
      <c r="B390" s="353"/>
      <c r="C390" s="353"/>
      <c r="D390" s="353"/>
      <c r="E390" s="353"/>
      <c r="F390" s="353"/>
      <c r="G390" s="311"/>
      <c r="H390" s="311"/>
      <c r="I390" s="143" t="s">
        <v>253</v>
      </c>
      <c r="J390" s="305" t="s">
        <v>254</v>
      </c>
      <c r="K390" s="363" t="s">
        <v>255</v>
      </c>
      <c r="L390" s="364"/>
      <c r="M390" s="357" t="s">
        <v>256</v>
      </c>
      <c r="N390" s="357" t="s">
        <v>257</v>
      </c>
      <c r="O390" s="357" t="s">
        <v>258</v>
      </c>
      <c r="P390" s="357" t="s">
        <v>259</v>
      </c>
      <c r="Q390" s="357" t="s">
        <v>260</v>
      </c>
      <c r="R390" s="362" t="s">
        <v>261</v>
      </c>
    </row>
    <row r="391" spans="1:18" ht="77.25" customHeight="1">
      <c r="A391" s="144" t="s">
        <v>262</v>
      </c>
      <c r="B391" s="354" t="s">
        <v>263</v>
      </c>
      <c r="C391" s="354"/>
      <c r="D391" s="145" t="s">
        <v>264</v>
      </c>
      <c r="E391" s="145" t="s">
        <v>265</v>
      </c>
      <c r="F391" s="145" t="s">
        <v>266</v>
      </c>
      <c r="G391" s="146" t="s">
        <v>267</v>
      </c>
      <c r="H391" s="146" t="s">
        <v>268</v>
      </c>
      <c r="I391" s="147" t="s">
        <v>269</v>
      </c>
      <c r="J391" s="147" t="s">
        <v>270</v>
      </c>
      <c r="K391" s="198" t="s">
        <v>271</v>
      </c>
      <c r="L391" s="198" t="s">
        <v>272</v>
      </c>
      <c r="M391" s="358"/>
      <c r="N391" s="358"/>
      <c r="O391" s="358"/>
      <c r="P391" s="358"/>
      <c r="Q391" s="358"/>
      <c r="R391" s="362"/>
    </row>
    <row r="392" spans="1:18">
      <c r="A392" s="34" t="str">
        <f>VLOOKUP(A385,'LISTA DE OFERENTES'!$A$4:$F$82,5,FALSE)</f>
        <v>GEOTECNIA Y CIMIENTOS INGEOCIM S.A.S.(100%)</v>
      </c>
      <c r="B392" s="35"/>
      <c r="C392" s="35"/>
      <c r="D392" s="35"/>
      <c r="E392" s="35"/>
      <c r="F392" s="35"/>
      <c r="G392" s="35"/>
      <c r="H392" s="35"/>
      <c r="I392" s="35"/>
      <c r="J392" s="35"/>
      <c r="K392" s="35"/>
      <c r="L392" s="35"/>
      <c r="M392" s="35"/>
      <c r="N392" s="35"/>
      <c r="O392" s="35"/>
      <c r="P392" s="35"/>
      <c r="Q392" s="35"/>
      <c r="R392" s="36"/>
    </row>
    <row r="393" spans="1:18" s="14" customFormat="1" ht="45">
      <c r="A393" s="178" t="s">
        <v>458</v>
      </c>
      <c r="B393" s="343" t="s">
        <v>451</v>
      </c>
      <c r="C393" s="343" t="s">
        <v>451</v>
      </c>
      <c r="D393" s="179">
        <v>412692027</v>
      </c>
      <c r="E393" s="208">
        <v>2001</v>
      </c>
      <c r="F393" s="180">
        <f>D393/(VLOOKUP(E393,$D$929:$E$962,2,FALSE))</f>
        <v>1442.9791153846154</v>
      </c>
      <c r="G393" s="209">
        <v>0.5</v>
      </c>
      <c r="H393" s="180">
        <f t="shared" ref="H393:H397" si="39">F393*G393</f>
        <v>721.4895576923077</v>
      </c>
      <c r="I393" s="210">
        <v>37603</v>
      </c>
      <c r="J393" s="211" t="s">
        <v>275</v>
      </c>
      <c r="K393" s="211" t="s">
        <v>275</v>
      </c>
      <c r="L393" s="212">
        <f>IF(K393="CUMPLE",H393,0)</f>
        <v>721.4895576923077</v>
      </c>
      <c r="M393" s="213" t="s">
        <v>275</v>
      </c>
      <c r="N393" s="213" t="s">
        <v>275</v>
      </c>
      <c r="O393" s="303" t="s">
        <v>275</v>
      </c>
      <c r="P393" s="303" t="s">
        <v>275</v>
      </c>
      <c r="Q393" s="303" t="s">
        <v>276</v>
      </c>
      <c r="R393" s="241" t="s">
        <v>459</v>
      </c>
    </row>
    <row r="394" spans="1:18" s="14" customFormat="1" ht="45">
      <c r="A394" s="178" t="s">
        <v>460</v>
      </c>
      <c r="B394" s="343" t="s">
        <v>416</v>
      </c>
      <c r="C394" s="343" t="s">
        <v>416</v>
      </c>
      <c r="D394" s="179">
        <v>257966484</v>
      </c>
      <c r="E394" s="208">
        <v>2005</v>
      </c>
      <c r="F394" s="180">
        <f>D394/(VLOOKUP(E394,$D$929:$E$962,2,FALSE))</f>
        <v>676.189997378768</v>
      </c>
      <c r="G394" s="215">
        <v>1</v>
      </c>
      <c r="H394" s="180">
        <f t="shared" si="39"/>
        <v>676.189997378768</v>
      </c>
      <c r="I394" s="210">
        <v>38594</v>
      </c>
      <c r="J394" s="211" t="s">
        <v>275</v>
      </c>
      <c r="K394" s="211" t="s">
        <v>275</v>
      </c>
      <c r="L394" s="212">
        <f t="shared" ref="L394:L397" si="40">IF(K394="CUMPLE",H394,0)</f>
        <v>676.189997378768</v>
      </c>
      <c r="M394" s="213" t="s">
        <v>275</v>
      </c>
      <c r="N394" s="213" t="s">
        <v>275</v>
      </c>
      <c r="O394" s="303" t="s">
        <v>276</v>
      </c>
      <c r="P394" s="303" t="s">
        <v>276</v>
      </c>
      <c r="Q394" s="303" t="s">
        <v>276</v>
      </c>
      <c r="R394" s="241" t="s">
        <v>417</v>
      </c>
    </row>
    <row r="395" spans="1:18" s="14" customFormat="1" ht="90" customHeight="1">
      <c r="A395" s="178" t="s">
        <v>461</v>
      </c>
      <c r="B395" s="343" t="s">
        <v>416</v>
      </c>
      <c r="C395" s="343" t="s">
        <v>416</v>
      </c>
      <c r="D395" s="179">
        <v>4141534016.5799999</v>
      </c>
      <c r="E395" s="208">
        <v>2015</v>
      </c>
      <c r="F395" s="180">
        <f>D395/(VLOOKUP(E395,$D$929:$E$962,2,FALSE))</f>
        <v>6427.4602569721419</v>
      </c>
      <c r="G395" s="215">
        <v>0.5</v>
      </c>
      <c r="H395" s="180">
        <f t="shared" si="39"/>
        <v>3213.730128486071</v>
      </c>
      <c r="I395" s="210">
        <v>42368</v>
      </c>
      <c r="J395" s="211" t="s">
        <v>275</v>
      </c>
      <c r="K395" s="211" t="s">
        <v>275</v>
      </c>
      <c r="L395" s="212">
        <f t="shared" si="40"/>
        <v>3213.730128486071</v>
      </c>
      <c r="M395" s="213" t="s">
        <v>275</v>
      </c>
      <c r="N395" s="213" t="s">
        <v>275</v>
      </c>
      <c r="O395" s="303" t="s">
        <v>276</v>
      </c>
      <c r="P395" s="303" t="s">
        <v>275</v>
      </c>
      <c r="Q395" s="303" t="s">
        <v>276</v>
      </c>
      <c r="R395" s="241" t="s">
        <v>417</v>
      </c>
    </row>
    <row r="396" spans="1:18" s="14" customFormat="1" ht="60">
      <c r="A396" s="178" t="s">
        <v>462</v>
      </c>
      <c r="B396" s="343" t="s">
        <v>463</v>
      </c>
      <c r="C396" s="343" t="s">
        <v>463</v>
      </c>
      <c r="D396" s="179">
        <v>4136215083</v>
      </c>
      <c r="E396" s="208">
        <v>2018</v>
      </c>
      <c r="F396" s="180">
        <f>D396/(VLOOKUP(E396,$D$929:$E$962,2,FALSE))</f>
        <v>5294.4095209934949</v>
      </c>
      <c r="G396" s="209">
        <v>0.33</v>
      </c>
      <c r="H396" s="180">
        <f t="shared" si="39"/>
        <v>1747.1551419278535</v>
      </c>
      <c r="I396" s="210">
        <v>43444</v>
      </c>
      <c r="J396" s="233" t="s">
        <v>275</v>
      </c>
      <c r="K396" s="211" t="s">
        <v>275</v>
      </c>
      <c r="L396" s="212">
        <f t="shared" si="40"/>
        <v>1747.1551419278535</v>
      </c>
      <c r="M396" s="213" t="s">
        <v>275</v>
      </c>
      <c r="N396" s="213" t="s">
        <v>275</v>
      </c>
      <c r="O396" s="303" t="s">
        <v>275</v>
      </c>
      <c r="P396" s="303" t="s">
        <v>276</v>
      </c>
      <c r="Q396" s="303" t="s">
        <v>276</v>
      </c>
      <c r="R396" s="241" t="s">
        <v>417</v>
      </c>
    </row>
    <row r="397" spans="1:18" s="14" customFormat="1" ht="45">
      <c r="A397" s="178" t="s">
        <v>464</v>
      </c>
      <c r="B397" s="343" t="s">
        <v>416</v>
      </c>
      <c r="C397" s="343" t="s">
        <v>416</v>
      </c>
      <c r="D397" s="179">
        <v>2929515596</v>
      </c>
      <c r="E397" s="208">
        <v>2018</v>
      </c>
      <c r="F397" s="180">
        <f>D397/(VLOOKUP(E397,$D$929:$E$962,2,FALSE))</f>
        <v>3749.8183610200167</v>
      </c>
      <c r="G397" s="209">
        <v>0.2</v>
      </c>
      <c r="H397" s="180">
        <f t="shared" si="39"/>
        <v>749.96367220400339</v>
      </c>
      <c r="I397" s="210">
        <v>43305</v>
      </c>
      <c r="J397" s="233" t="s">
        <v>275</v>
      </c>
      <c r="K397" s="211" t="s">
        <v>275</v>
      </c>
      <c r="L397" s="212">
        <f t="shared" si="40"/>
        <v>749.96367220400339</v>
      </c>
      <c r="M397" s="213" t="s">
        <v>275</v>
      </c>
      <c r="N397" s="213" t="s">
        <v>275</v>
      </c>
      <c r="O397" s="303"/>
      <c r="P397" s="303" t="s">
        <v>275</v>
      </c>
      <c r="Q397" s="303" t="s">
        <v>276</v>
      </c>
      <c r="R397" s="241" t="s">
        <v>417</v>
      </c>
    </row>
    <row r="398" spans="1:18" s="14" customFormat="1" ht="48" customHeight="1" thickBot="1">
      <c r="A398" s="346" t="s">
        <v>284</v>
      </c>
      <c r="B398" s="346"/>
      <c r="C398" s="346"/>
      <c r="D398" s="346"/>
      <c r="E398" s="346"/>
      <c r="F398" s="45">
        <f>+SUM(F393:F397)</f>
        <v>17590.857251749036</v>
      </c>
      <c r="G398" s="45"/>
      <c r="H398" s="45">
        <f>+SUM(H393:H397)</f>
        <v>7108.5284976890034</v>
      </c>
      <c r="I398" s="359"/>
      <c r="J398" s="360"/>
      <c r="K398" s="196"/>
      <c r="L398" s="196"/>
      <c r="M398" s="196"/>
      <c r="N398" s="196"/>
      <c r="O398" s="196"/>
      <c r="P398" s="304"/>
      <c r="Q398" s="304"/>
      <c r="R398" s="37" t="s">
        <v>276</v>
      </c>
    </row>
    <row r="399" spans="1:18" ht="16.5" thickBot="1">
      <c r="A399" s="3"/>
      <c r="B399" s="3"/>
      <c r="C399" s="3"/>
      <c r="D399" s="3"/>
      <c r="E399" s="3"/>
      <c r="F399" s="3"/>
      <c r="G399" s="3"/>
      <c r="H399" s="3"/>
      <c r="I399" s="3"/>
      <c r="J399" s="3"/>
      <c r="K399" s="3"/>
      <c r="L399" s="3"/>
      <c r="M399" s="3"/>
      <c r="N399" s="3"/>
      <c r="O399" s="4"/>
      <c r="P399" s="4"/>
      <c r="Q399" s="4"/>
      <c r="R399" s="4"/>
    </row>
    <row r="400" spans="1:18" ht="30.75" customHeight="1" thickBot="1">
      <c r="A400" s="347">
        <f>1+A385</f>
        <v>29</v>
      </c>
      <c r="B400" s="347"/>
      <c r="C400" s="347"/>
      <c r="D400" s="347"/>
      <c r="E400" s="361" t="str">
        <f>VLOOKUP(A400,'REQUISITOS HAB. TECNICOS'!$A$5:$B$66,2,FALSE)</f>
        <v>CONSORCIO FONTIBON JINT 001</v>
      </c>
      <c r="F400" s="361"/>
      <c r="G400" s="361"/>
      <c r="H400" s="361"/>
      <c r="I400" s="361"/>
      <c r="J400" s="361"/>
      <c r="K400" s="361"/>
      <c r="L400" s="361"/>
      <c r="M400" s="361"/>
      <c r="N400" s="361"/>
      <c r="O400" s="361"/>
      <c r="P400" s="361"/>
      <c r="Q400" s="361"/>
      <c r="R400" s="361"/>
    </row>
    <row r="401" spans="1:18" ht="50.25" customHeight="1" thickBot="1">
      <c r="A401" s="11" t="s">
        <v>247</v>
      </c>
      <c r="B401" s="76">
        <v>6</v>
      </c>
      <c r="C401" s="288" t="s">
        <v>248</v>
      </c>
      <c r="D401" s="344">
        <f>$D$899</f>
        <v>618.89671538461539</v>
      </c>
      <c r="E401" s="361"/>
      <c r="F401" s="361"/>
      <c r="G401" s="361"/>
      <c r="H401" s="361"/>
      <c r="I401" s="361"/>
      <c r="J401" s="361"/>
      <c r="K401" s="361"/>
      <c r="L401" s="361"/>
      <c r="M401" s="361"/>
      <c r="N401" s="361"/>
      <c r="O401" s="361"/>
      <c r="P401" s="361"/>
      <c r="Q401" s="361"/>
      <c r="R401" s="361"/>
    </row>
    <row r="402" spans="1:18" ht="23.25" customHeight="1" thickBot="1">
      <c r="A402" s="348" t="s">
        <v>249</v>
      </c>
      <c r="B402" s="348"/>
      <c r="C402" s="289">
        <f>+AVERAGE(H408:H414)</f>
        <v>3703.025087542765</v>
      </c>
      <c r="D402" s="345"/>
      <c r="E402" s="361"/>
      <c r="F402" s="361"/>
      <c r="G402" s="361"/>
      <c r="H402" s="361"/>
      <c r="I402" s="361"/>
      <c r="J402" s="361"/>
      <c r="K402" s="361"/>
      <c r="L402" s="361"/>
      <c r="M402" s="361"/>
      <c r="N402" s="361"/>
      <c r="O402" s="361"/>
      <c r="P402" s="361"/>
      <c r="Q402" s="361"/>
      <c r="R402" s="361"/>
    </row>
    <row r="403" spans="1:18" ht="23.25" customHeight="1" thickBot="1">
      <c r="A403" s="349" t="s">
        <v>250</v>
      </c>
      <c r="B403" s="349"/>
      <c r="C403" s="350">
        <v>45631</v>
      </c>
      <c r="D403" s="350"/>
      <c r="E403" s="361"/>
      <c r="F403" s="361"/>
      <c r="G403" s="361"/>
      <c r="H403" s="361"/>
      <c r="I403" s="361"/>
      <c r="J403" s="361"/>
      <c r="K403" s="361"/>
      <c r="L403" s="361"/>
      <c r="M403" s="361"/>
      <c r="N403" s="361"/>
      <c r="O403" s="361"/>
      <c r="P403" s="361"/>
      <c r="Q403" s="361"/>
      <c r="R403" s="361"/>
    </row>
    <row r="404" spans="1:18" ht="38.25" customHeight="1" thickBot="1">
      <c r="A404" s="351" t="s">
        <v>251</v>
      </c>
      <c r="B404" s="351"/>
      <c r="C404" s="352" t="str">
        <f>+IF(H415&gt;D401,"CUMPLE","NO CUMPLE")</f>
        <v>CUMPLE</v>
      </c>
      <c r="D404" s="352"/>
      <c r="E404" s="361"/>
      <c r="F404" s="361"/>
      <c r="G404" s="361"/>
      <c r="H404" s="361"/>
      <c r="I404" s="361"/>
      <c r="J404" s="361"/>
      <c r="K404" s="361"/>
      <c r="L404" s="361"/>
      <c r="M404" s="361"/>
      <c r="N404" s="361"/>
      <c r="O404" s="361"/>
      <c r="P404" s="361"/>
      <c r="Q404" s="361"/>
      <c r="R404" s="361"/>
    </row>
    <row r="405" spans="1:18" ht="84.75" customHeight="1" thickBot="1">
      <c r="A405" s="353" t="s">
        <v>252</v>
      </c>
      <c r="B405" s="353"/>
      <c r="C405" s="353"/>
      <c r="D405" s="353"/>
      <c r="E405" s="353"/>
      <c r="F405" s="353"/>
      <c r="G405" s="311"/>
      <c r="H405" s="311"/>
      <c r="I405" s="143" t="s">
        <v>253</v>
      </c>
      <c r="J405" s="305" t="s">
        <v>254</v>
      </c>
      <c r="K405" s="363" t="s">
        <v>255</v>
      </c>
      <c r="L405" s="364"/>
      <c r="M405" s="357" t="s">
        <v>256</v>
      </c>
      <c r="N405" s="357" t="s">
        <v>257</v>
      </c>
      <c r="O405" s="357" t="s">
        <v>258</v>
      </c>
      <c r="P405" s="357" t="s">
        <v>259</v>
      </c>
      <c r="Q405" s="357" t="s">
        <v>260</v>
      </c>
      <c r="R405" s="362" t="s">
        <v>261</v>
      </c>
    </row>
    <row r="406" spans="1:18" ht="77.25" customHeight="1">
      <c r="A406" s="144" t="s">
        <v>262</v>
      </c>
      <c r="B406" s="354" t="s">
        <v>263</v>
      </c>
      <c r="C406" s="354"/>
      <c r="D406" s="145" t="s">
        <v>264</v>
      </c>
      <c r="E406" s="145" t="s">
        <v>265</v>
      </c>
      <c r="F406" s="145" t="s">
        <v>266</v>
      </c>
      <c r="G406" s="146" t="s">
        <v>267</v>
      </c>
      <c r="H406" s="146" t="s">
        <v>268</v>
      </c>
      <c r="I406" s="147" t="s">
        <v>269</v>
      </c>
      <c r="J406" s="147" t="s">
        <v>270</v>
      </c>
      <c r="K406" s="198" t="s">
        <v>271</v>
      </c>
      <c r="L406" s="198" t="s">
        <v>272</v>
      </c>
      <c r="M406" s="358"/>
      <c r="N406" s="358"/>
      <c r="O406" s="358"/>
      <c r="P406" s="358"/>
      <c r="Q406" s="358"/>
      <c r="R406" s="362"/>
    </row>
    <row r="407" spans="1:18">
      <c r="A407" s="34" t="str">
        <f>VLOOKUP(A400,'LISTA DE OFERENTES'!$A$4:$F$82,5,FALSE)</f>
        <v>JPS INGENIERIA S.A.S.(90%)</v>
      </c>
      <c r="B407" s="35"/>
      <c r="C407" s="35"/>
      <c r="D407" s="35"/>
      <c r="E407" s="35"/>
      <c r="F407" s="35"/>
      <c r="G407" s="35"/>
      <c r="H407" s="35"/>
      <c r="I407" s="35"/>
      <c r="J407" s="35"/>
      <c r="K407" s="35"/>
      <c r="L407" s="35"/>
      <c r="M407" s="35"/>
      <c r="N407" s="35"/>
      <c r="O407" s="35"/>
      <c r="P407" s="35"/>
      <c r="Q407" s="35"/>
      <c r="R407" s="36"/>
    </row>
    <row r="408" spans="1:18" s="14" customFormat="1" ht="45">
      <c r="A408" s="178" t="s">
        <v>465</v>
      </c>
      <c r="B408" s="343" t="s">
        <v>451</v>
      </c>
      <c r="C408" s="343" t="s">
        <v>451</v>
      </c>
      <c r="D408" s="179">
        <v>289901083</v>
      </c>
      <c r="E408" s="208">
        <v>2000</v>
      </c>
      <c r="F408" s="180">
        <f>D408/(VLOOKUP(E408,$D$929:$E$962,2,FALSE))</f>
        <v>1114.5754825067281</v>
      </c>
      <c r="G408" s="209">
        <v>0.5</v>
      </c>
      <c r="H408" s="180"/>
      <c r="I408" s="210" t="s">
        <v>466</v>
      </c>
      <c r="J408" s="211" t="s">
        <v>275</v>
      </c>
      <c r="K408" s="211" t="s">
        <v>275</v>
      </c>
      <c r="L408" s="212">
        <f>IF(K408="CUMPLE",H408,0)</f>
        <v>0</v>
      </c>
      <c r="M408" s="224" t="s">
        <v>275</v>
      </c>
      <c r="N408" s="224" t="s">
        <v>275</v>
      </c>
      <c r="O408" s="224" t="s">
        <v>275</v>
      </c>
      <c r="P408" s="224" t="s">
        <v>276</v>
      </c>
      <c r="Q408" s="224" t="s">
        <v>276</v>
      </c>
      <c r="R408" s="248"/>
    </row>
    <row r="409" spans="1:18" s="14" customFormat="1" ht="75">
      <c r="A409" s="178" t="s">
        <v>467</v>
      </c>
      <c r="B409" s="343" t="s">
        <v>468</v>
      </c>
      <c r="C409" s="343" t="s">
        <v>468</v>
      </c>
      <c r="D409" s="179">
        <v>659982407</v>
      </c>
      <c r="E409" s="208">
        <v>2007</v>
      </c>
      <c r="F409" s="180">
        <f>D409/(VLOOKUP(E409,$D$929:$E$962,2,FALSE))</f>
        <v>1521.748690338944</v>
      </c>
      <c r="G409" s="215">
        <v>0.85</v>
      </c>
      <c r="H409" s="180"/>
      <c r="I409" s="210">
        <v>39417</v>
      </c>
      <c r="J409" s="211" t="s">
        <v>275</v>
      </c>
      <c r="K409" s="211" t="s">
        <v>276</v>
      </c>
      <c r="L409" s="212">
        <f t="shared" ref="L409:L414" si="41">IF(K409="CUMPLE",H409,0)</f>
        <v>0</v>
      </c>
      <c r="M409" s="224" t="s">
        <v>276</v>
      </c>
      <c r="N409" s="224" t="s">
        <v>276</v>
      </c>
      <c r="O409" s="224" t="s">
        <v>276</v>
      </c>
      <c r="P409" s="224" t="s">
        <v>276</v>
      </c>
      <c r="Q409" s="224" t="s">
        <v>276</v>
      </c>
      <c r="R409" s="248" t="s">
        <v>469</v>
      </c>
    </row>
    <row r="410" spans="1:18" s="14" customFormat="1" ht="75">
      <c r="A410" s="178" t="s">
        <v>470</v>
      </c>
      <c r="B410" s="343" t="s">
        <v>471</v>
      </c>
      <c r="C410" s="343" t="s">
        <v>471</v>
      </c>
      <c r="D410" s="179">
        <v>567779405</v>
      </c>
      <c r="E410" s="208">
        <v>2009</v>
      </c>
      <c r="F410" s="180">
        <f>D410/(VLOOKUP(E410,$D$929:$E$962,2,FALSE))</f>
        <v>1142.6431978265246</v>
      </c>
      <c r="G410" s="215">
        <v>1</v>
      </c>
      <c r="H410" s="180"/>
      <c r="I410" s="210">
        <v>40029</v>
      </c>
      <c r="J410" s="211" t="s">
        <v>275</v>
      </c>
      <c r="K410" s="211" t="s">
        <v>276</v>
      </c>
      <c r="L410" s="212">
        <f t="shared" si="41"/>
        <v>0</v>
      </c>
      <c r="M410" s="224" t="s">
        <v>276</v>
      </c>
      <c r="N410" s="224" t="s">
        <v>276</v>
      </c>
      <c r="O410" s="224" t="s">
        <v>276</v>
      </c>
      <c r="P410" s="224" t="s">
        <v>276</v>
      </c>
      <c r="Q410" s="224" t="s">
        <v>276</v>
      </c>
      <c r="R410" s="248" t="s">
        <v>472</v>
      </c>
    </row>
    <row r="411" spans="1:18" s="14" customFormat="1" ht="75">
      <c r="A411" s="178" t="s">
        <v>473</v>
      </c>
      <c r="B411" s="343" t="s">
        <v>451</v>
      </c>
      <c r="C411" s="343" t="s">
        <v>451</v>
      </c>
      <c r="D411" s="179">
        <v>1163677237</v>
      </c>
      <c r="E411" s="208">
        <v>2008</v>
      </c>
      <c r="F411" s="180">
        <f>D411/(VLOOKUP(E411,$D$929:$E$962,2,FALSE))</f>
        <v>2521.5108060671723</v>
      </c>
      <c r="G411" s="209">
        <v>0.4</v>
      </c>
      <c r="H411" s="180"/>
      <c r="I411" s="210">
        <v>39507</v>
      </c>
      <c r="J411" s="211" t="s">
        <v>275</v>
      </c>
      <c r="K411" s="211" t="s">
        <v>276</v>
      </c>
      <c r="L411" s="212">
        <f t="shared" si="41"/>
        <v>0</v>
      </c>
      <c r="M411" s="224" t="s">
        <v>276</v>
      </c>
      <c r="N411" s="224" t="s">
        <v>276</v>
      </c>
      <c r="O411" s="224" t="s">
        <v>276</v>
      </c>
      <c r="P411" s="224" t="s">
        <v>276</v>
      </c>
      <c r="Q411" s="224" t="s">
        <v>276</v>
      </c>
      <c r="R411" s="248" t="s">
        <v>474</v>
      </c>
    </row>
    <row r="412" spans="1:18" s="14" customFormat="1" ht="90">
      <c r="A412" s="178" t="s">
        <v>475</v>
      </c>
      <c r="B412" s="343" t="s">
        <v>476</v>
      </c>
      <c r="C412" s="356"/>
      <c r="D412" s="179">
        <v>1858514195</v>
      </c>
      <c r="E412" s="208">
        <v>2021</v>
      </c>
      <c r="F412" s="180">
        <f>D412/(VLOOKUP(E412,$D$929:$E$962,2,FALSE))</f>
        <v>2045.6367731908608</v>
      </c>
      <c r="G412" s="209">
        <v>0.5</v>
      </c>
      <c r="H412" s="180"/>
      <c r="I412" s="210">
        <v>44241</v>
      </c>
      <c r="J412" s="233" t="s">
        <v>275</v>
      </c>
      <c r="K412" s="211" t="s">
        <v>276</v>
      </c>
      <c r="L412" s="212">
        <f t="shared" si="41"/>
        <v>0</v>
      </c>
      <c r="M412" s="224" t="s">
        <v>276</v>
      </c>
      <c r="N412" s="224" t="s">
        <v>276</v>
      </c>
      <c r="O412" s="224" t="s">
        <v>276</v>
      </c>
      <c r="P412" s="224" t="s">
        <v>276</v>
      </c>
      <c r="Q412" s="224" t="s">
        <v>276</v>
      </c>
      <c r="R412" s="248" t="s">
        <v>469</v>
      </c>
    </row>
    <row r="413" spans="1:18" s="14" customFormat="1">
      <c r="A413" s="320" t="str">
        <f>VLOOKUP(A400,'LISTA DE OFERENTES'!$A$4:$F$82,6,FALSE)</f>
        <v>INTING S.A.S. (10%)</v>
      </c>
      <c r="B413" s="226"/>
      <c r="C413" s="226"/>
      <c r="D413" s="226"/>
      <c r="E413" s="226"/>
      <c r="F413" s="228"/>
      <c r="G413" s="228"/>
      <c r="H413" s="226"/>
      <c r="I413" s="226"/>
      <c r="J413" s="226"/>
      <c r="K413" s="226"/>
      <c r="L413" s="226"/>
      <c r="M413" s="226"/>
      <c r="N413" s="226"/>
      <c r="O413" s="226"/>
      <c r="P413" s="226"/>
      <c r="Q413" s="226"/>
      <c r="R413" s="227"/>
    </row>
    <row r="414" spans="1:18" s="14" customFormat="1" ht="90" customHeight="1">
      <c r="A414" s="178" t="s">
        <v>477</v>
      </c>
      <c r="B414" s="343" t="s">
        <v>416</v>
      </c>
      <c r="C414" s="343" t="s">
        <v>416</v>
      </c>
      <c r="D414" s="179">
        <v>1840033166</v>
      </c>
      <c r="E414" s="208">
        <v>2009</v>
      </c>
      <c r="F414" s="180">
        <f>D414/(VLOOKUP(E414,$D$929:$E$962,2,FALSE))</f>
        <v>3703.025087542765</v>
      </c>
      <c r="G414" s="209">
        <v>1</v>
      </c>
      <c r="H414" s="180">
        <f>F414*G414</f>
        <v>3703.025087542765</v>
      </c>
      <c r="I414" s="210">
        <v>39902</v>
      </c>
      <c r="J414" s="233" t="s">
        <v>275</v>
      </c>
      <c r="K414" s="211" t="s">
        <v>275</v>
      </c>
      <c r="L414" s="212">
        <f t="shared" si="41"/>
        <v>3703.025087542765</v>
      </c>
      <c r="M414" s="213" t="s">
        <v>275</v>
      </c>
      <c r="N414" s="213" t="s">
        <v>275</v>
      </c>
      <c r="O414" s="224" t="s">
        <v>276</v>
      </c>
      <c r="P414" s="224" t="s">
        <v>276</v>
      </c>
      <c r="Q414" s="224" t="s">
        <v>276</v>
      </c>
      <c r="R414" s="216"/>
    </row>
    <row r="415" spans="1:18" s="14" customFormat="1" ht="48" customHeight="1" thickBot="1">
      <c r="A415" s="346" t="s">
        <v>284</v>
      </c>
      <c r="B415" s="346"/>
      <c r="C415" s="346"/>
      <c r="D415" s="346"/>
      <c r="E415" s="346"/>
      <c r="F415" s="45">
        <f>+F408+F414</f>
        <v>4817.6005700494934</v>
      </c>
      <c r="G415" s="45"/>
      <c r="H415" s="45">
        <f>+SUM(H408:H414)</f>
        <v>3703.025087542765</v>
      </c>
      <c r="I415" s="359"/>
      <c r="J415" s="360"/>
      <c r="K415" s="196"/>
      <c r="L415" s="196"/>
      <c r="M415" s="196"/>
      <c r="N415" s="196"/>
      <c r="O415" s="196"/>
      <c r="P415" s="304"/>
      <c r="Q415" s="304"/>
      <c r="R415" s="37" t="s">
        <v>276</v>
      </c>
    </row>
    <row r="416" spans="1:18" ht="16.5" thickBot="1">
      <c r="A416" s="3"/>
      <c r="B416" s="3"/>
      <c r="C416" s="3"/>
      <c r="D416" s="3"/>
      <c r="E416" s="3"/>
      <c r="F416" s="3"/>
      <c r="G416" s="3"/>
      <c r="H416" s="3"/>
      <c r="I416" s="3"/>
      <c r="J416" s="3"/>
      <c r="K416" s="3"/>
      <c r="L416" s="3"/>
      <c r="M416" s="3"/>
      <c r="N416" s="3"/>
      <c r="O416" s="4"/>
      <c r="P416" s="4"/>
      <c r="Q416" s="4"/>
      <c r="R416" s="4"/>
    </row>
    <row r="417" spans="1:18" ht="30.75" customHeight="1" thickBot="1">
      <c r="A417" s="347">
        <f>1+A400</f>
        <v>30</v>
      </c>
      <c r="B417" s="347"/>
      <c r="C417" s="347"/>
      <c r="D417" s="347"/>
      <c r="E417" s="361" t="str">
        <f>VLOOKUP(A417,'REQUISITOS HAB. TECNICOS'!$A$5:$B$66,2,FALSE)</f>
        <v>CONSORCIO ALIANZA BOGOTA</v>
      </c>
      <c r="F417" s="361"/>
      <c r="G417" s="361"/>
      <c r="H417" s="361"/>
      <c r="I417" s="361"/>
      <c r="J417" s="361"/>
      <c r="K417" s="361"/>
      <c r="L417" s="361"/>
      <c r="M417" s="361"/>
      <c r="N417" s="361"/>
      <c r="O417" s="361"/>
      <c r="P417" s="361"/>
      <c r="Q417" s="361"/>
      <c r="R417" s="361"/>
    </row>
    <row r="418" spans="1:18" ht="50.25" customHeight="1" thickBot="1">
      <c r="A418" s="11" t="s">
        <v>247</v>
      </c>
      <c r="B418" s="76">
        <v>2</v>
      </c>
      <c r="C418" s="288" t="s">
        <v>248</v>
      </c>
      <c r="D418" s="344">
        <f>$D$899</f>
        <v>618.89671538461539</v>
      </c>
      <c r="E418" s="361"/>
      <c r="F418" s="361"/>
      <c r="G418" s="361"/>
      <c r="H418" s="361"/>
      <c r="I418" s="361"/>
      <c r="J418" s="361"/>
      <c r="K418" s="361"/>
      <c r="L418" s="361"/>
      <c r="M418" s="361"/>
      <c r="N418" s="361"/>
      <c r="O418" s="361"/>
      <c r="P418" s="361"/>
      <c r="Q418" s="361"/>
      <c r="R418" s="361"/>
    </row>
    <row r="419" spans="1:18" ht="23.25" customHeight="1" thickBot="1">
      <c r="A419" s="348" t="s">
        <v>249</v>
      </c>
      <c r="B419" s="348"/>
      <c r="C419" s="289">
        <f>+AVERAGE(H425:H426)</f>
        <v>1176.9489936998389</v>
      </c>
      <c r="D419" s="345"/>
      <c r="E419" s="361"/>
      <c r="F419" s="361"/>
      <c r="G419" s="361"/>
      <c r="H419" s="361"/>
      <c r="I419" s="361"/>
      <c r="J419" s="361"/>
      <c r="K419" s="361"/>
      <c r="L419" s="361"/>
      <c r="M419" s="361"/>
      <c r="N419" s="361"/>
      <c r="O419" s="361"/>
      <c r="P419" s="361"/>
      <c r="Q419" s="361"/>
      <c r="R419" s="361"/>
    </row>
    <row r="420" spans="1:18" ht="23.25" customHeight="1" thickBot="1">
      <c r="A420" s="349" t="s">
        <v>250</v>
      </c>
      <c r="B420" s="349"/>
      <c r="C420" s="350">
        <v>45631</v>
      </c>
      <c r="D420" s="350"/>
      <c r="E420" s="361"/>
      <c r="F420" s="361"/>
      <c r="G420" s="361"/>
      <c r="H420" s="361"/>
      <c r="I420" s="361"/>
      <c r="J420" s="361"/>
      <c r="K420" s="361"/>
      <c r="L420" s="361"/>
      <c r="M420" s="361"/>
      <c r="N420" s="361"/>
      <c r="O420" s="361"/>
      <c r="P420" s="361"/>
      <c r="Q420" s="361"/>
      <c r="R420" s="361"/>
    </row>
    <row r="421" spans="1:18" ht="38.25" customHeight="1" thickBot="1">
      <c r="A421" s="351" t="s">
        <v>251</v>
      </c>
      <c r="B421" s="351"/>
      <c r="C421" s="352" t="str">
        <f>+IF(H427&gt;D418,"CUMPLE","NO CUMPLE")</f>
        <v>CUMPLE</v>
      </c>
      <c r="D421" s="352"/>
      <c r="E421" s="361"/>
      <c r="F421" s="361"/>
      <c r="G421" s="361"/>
      <c r="H421" s="361"/>
      <c r="I421" s="361"/>
      <c r="J421" s="361"/>
      <c r="K421" s="361"/>
      <c r="L421" s="361"/>
      <c r="M421" s="361"/>
      <c r="N421" s="361"/>
      <c r="O421" s="361"/>
      <c r="P421" s="361"/>
      <c r="Q421" s="361"/>
      <c r="R421" s="361"/>
    </row>
    <row r="422" spans="1:18" ht="88.5" customHeight="1" thickBot="1">
      <c r="A422" s="353" t="s">
        <v>252</v>
      </c>
      <c r="B422" s="353"/>
      <c r="C422" s="353"/>
      <c r="D422" s="353"/>
      <c r="E422" s="353"/>
      <c r="F422" s="353"/>
      <c r="G422" s="311"/>
      <c r="H422" s="311"/>
      <c r="I422" s="143" t="s">
        <v>253</v>
      </c>
      <c r="J422" s="305" t="s">
        <v>254</v>
      </c>
      <c r="K422" s="363" t="s">
        <v>255</v>
      </c>
      <c r="L422" s="364"/>
      <c r="M422" s="357" t="s">
        <v>256</v>
      </c>
      <c r="N422" s="357" t="s">
        <v>257</v>
      </c>
      <c r="O422" s="357" t="s">
        <v>258</v>
      </c>
      <c r="P422" s="357" t="s">
        <v>259</v>
      </c>
      <c r="Q422" s="357" t="s">
        <v>260</v>
      </c>
      <c r="R422" s="362" t="s">
        <v>261</v>
      </c>
    </row>
    <row r="423" spans="1:18" ht="77.25" customHeight="1">
      <c r="A423" s="144" t="s">
        <v>262</v>
      </c>
      <c r="B423" s="354" t="s">
        <v>263</v>
      </c>
      <c r="C423" s="354"/>
      <c r="D423" s="145" t="s">
        <v>264</v>
      </c>
      <c r="E423" s="145" t="s">
        <v>265</v>
      </c>
      <c r="F423" s="145" t="s">
        <v>266</v>
      </c>
      <c r="G423" s="146" t="s">
        <v>267</v>
      </c>
      <c r="H423" s="146" t="s">
        <v>268</v>
      </c>
      <c r="I423" s="147" t="s">
        <v>269</v>
      </c>
      <c r="J423" s="147" t="s">
        <v>270</v>
      </c>
      <c r="K423" s="198" t="s">
        <v>271</v>
      </c>
      <c r="L423" s="198" t="s">
        <v>272</v>
      </c>
      <c r="M423" s="358"/>
      <c r="N423" s="358"/>
      <c r="O423" s="358"/>
      <c r="P423" s="358"/>
      <c r="Q423" s="358"/>
      <c r="R423" s="362"/>
    </row>
    <row r="424" spans="1:18">
      <c r="A424" s="34" t="str">
        <f>VLOOKUP(A417,'LISTA DE OFERENTES'!$A$4:$F$82,5,FALSE)</f>
        <v>MSC INGENIERIA SAS (90%)</v>
      </c>
      <c r="B424" s="35"/>
      <c r="C424" s="35"/>
      <c r="D424" s="35"/>
      <c r="E424" s="35"/>
      <c r="F424" s="35"/>
      <c r="G424" s="35"/>
      <c r="H424" s="35"/>
      <c r="I424" s="35"/>
      <c r="J424" s="35"/>
      <c r="K424" s="35"/>
      <c r="L424" s="35"/>
      <c r="M424" s="35"/>
      <c r="N424" s="35"/>
      <c r="O424" s="35"/>
      <c r="P424" s="35"/>
      <c r="Q424" s="35"/>
      <c r="R424" s="36"/>
    </row>
    <row r="425" spans="1:18" s="14" customFormat="1" ht="75">
      <c r="A425" s="178" t="s">
        <v>478</v>
      </c>
      <c r="B425" s="343" t="s">
        <v>451</v>
      </c>
      <c r="C425" s="343" t="s">
        <v>451</v>
      </c>
      <c r="D425" s="179">
        <v>580469395</v>
      </c>
      <c r="E425" s="208">
        <v>2008</v>
      </c>
      <c r="F425" s="180">
        <f>D425/(VLOOKUP(E425,$D$929:$E$962,2,FALSE))</f>
        <v>1257.7885048754063</v>
      </c>
      <c r="G425" s="209">
        <v>1</v>
      </c>
      <c r="H425" s="180">
        <f t="shared" ref="H425:H426" si="42">F425*G425</f>
        <v>1257.7885048754063</v>
      </c>
      <c r="I425" s="210">
        <v>39741</v>
      </c>
      <c r="J425" s="211" t="s">
        <v>275</v>
      </c>
      <c r="K425" s="211" t="s">
        <v>275</v>
      </c>
      <c r="L425" s="212">
        <f>IF(K425="CUMPLE",H425,0)</f>
        <v>1257.7885048754063</v>
      </c>
      <c r="M425" s="213" t="s">
        <v>275</v>
      </c>
      <c r="N425" s="213" t="s">
        <v>275</v>
      </c>
      <c r="O425" s="303" t="s">
        <v>275</v>
      </c>
      <c r="P425" s="303" t="s">
        <v>276</v>
      </c>
      <c r="Q425" s="303" t="s">
        <v>276</v>
      </c>
      <c r="R425" s="241"/>
    </row>
    <row r="426" spans="1:18" s="14" customFormat="1" ht="174" customHeight="1">
      <c r="A426" s="181" t="s">
        <v>479</v>
      </c>
      <c r="B426" s="343" t="s">
        <v>451</v>
      </c>
      <c r="C426" s="343" t="s">
        <v>451</v>
      </c>
      <c r="D426" s="179">
        <v>806423405</v>
      </c>
      <c r="E426" s="208">
        <v>2010</v>
      </c>
      <c r="F426" s="180">
        <f>D426/(VLOOKUP(E426,$D$929:$E$962,2,FALSE))</f>
        <v>1565.8706893203882</v>
      </c>
      <c r="G426" s="215">
        <v>0.7</v>
      </c>
      <c r="H426" s="180">
        <f t="shared" si="42"/>
        <v>1096.1094825242717</v>
      </c>
      <c r="I426" s="210">
        <v>40459</v>
      </c>
      <c r="J426" s="211" t="s">
        <v>275</v>
      </c>
      <c r="K426" s="211" t="s">
        <v>275</v>
      </c>
      <c r="L426" s="212">
        <f t="shared" ref="L426" si="43">IF(K426="CUMPLE",H426,0)</f>
        <v>1096.1094825242717</v>
      </c>
      <c r="M426" s="213" t="s">
        <v>275</v>
      </c>
      <c r="N426" s="213" t="s">
        <v>275</v>
      </c>
      <c r="O426" s="303" t="s">
        <v>275</v>
      </c>
      <c r="P426" s="303" t="s">
        <v>275</v>
      </c>
      <c r="Q426" s="303" t="s">
        <v>275</v>
      </c>
      <c r="R426" s="241"/>
    </row>
    <row r="427" spans="1:18" s="14" customFormat="1" ht="30.6" customHeight="1" thickBot="1">
      <c r="A427" s="346" t="s">
        <v>284</v>
      </c>
      <c r="B427" s="346"/>
      <c r="C427" s="346"/>
      <c r="D427" s="346"/>
      <c r="E427" s="346"/>
      <c r="F427" s="45">
        <f>+SUM(F425:F426)</f>
        <v>2823.6591941957945</v>
      </c>
      <c r="G427" s="45"/>
      <c r="H427" s="45">
        <f>+SUM(H425:H426)</f>
        <v>2353.8979873996777</v>
      </c>
      <c r="I427" s="359"/>
      <c r="J427" s="360"/>
      <c r="K427" s="196"/>
      <c r="L427" s="196"/>
      <c r="M427" s="196"/>
      <c r="N427" s="196"/>
      <c r="O427" s="196"/>
      <c r="P427" s="304"/>
      <c r="Q427" s="304"/>
      <c r="R427" s="37" t="s">
        <v>275</v>
      </c>
    </row>
    <row r="428" spans="1:18" ht="16.5" thickBot="1">
      <c r="A428" s="3"/>
      <c r="B428" s="3"/>
      <c r="C428" s="3"/>
      <c r="D428" s="3"/>
      <c r="E428" s="3"/>
      <c r="F428" s="3"/>
      <c r="G428" s="3"/>
      <c r="H428" s="3"/>
      <c r="I428" s="3"/>
      <c r="J428" s="3"/>
      <c r="K428" s="3"/>
      <c r="L428" s="3"/>
      <c r="M428" s="3"/>
      <c r="N428" s="3"/>
      <c r="O428" s="4"/>
      <c r="P428" s="4"/>
      <c r="Q428" s="4"/>
      <c r="R428" s="4"/>
    </row>
    <row r="429" spans="1:18" ht="30.75" customHeight="1" thickBot="1">
      <c r="A429" s="347">
        <f>1+A417</f>
        <v>31</v>
      </c>
      <c r="B429" s="347"/>
      <c r="C429" s="347"/>
      <c r="D429" s="347"/>
      <c r="E429" s="361" t="str">
        <f>VLOOKUP(A429,'REQUISITOS HAB. TECNICOS'!$A$5:$B$66,2,FALSE)</f>
        <v>CONSORCIO FEM – 34</v>
      </c>
      <c r="F429" s="361"/>
      <c r="G429" s="361"/>
      <c r="H429" s="361"/>
      <c r="I429" s="361"/>
      <c r="J429" s="361"/>
      <c r="K429" s="361"/>
      <c r="L429" s="361"/>
      <c r="M429" s="361"/>
      <c r="N429" s="361"/>
      <c r="O429" s="361"/>
      <c r="P429" s="361"/>
      <c r="Q429" s="361"/>
      <c r="R429" s="361"/>
    </row>
    <row r="430" spans="1:18" ht="50.25" customHeight="1" thickBot="1">
      <c r="A430" s="11" t="s">
        <v>247</v>
      </c>
      <c r="B430" s="76">
        <v>4</v>
      </c>
      <c r="C430" s="288" t="s">
        <v>248</v>
      </c>
      <c r="D430" s="344">
        <f>$D$899</f>
        <v>618.89671538461539</v>
      </c>
      <c r="E430" s="361"/>
      <c r="F430" s="361"/>
      <c r="G430" s="361"/>
      <c r="H430" s="361"/>
      <c r="I430" s="361"/>
      <c r="J430" s="361"/>
      <c r="K430" s="361"/>
      <c r="L430" s="361"/>
      <c r="M430" s="361"/>
      <c r="N430" s="361"/>
      <c r="O430" s="361"/>
      <c r="P430" s="361"/>
      <c r="Q430" s="361"/>
      <c r="R430" s="361"/>
    </row>
    <row r="431" spans="1:18" ht="23.25" customHeight="1" thickBot="1">
      <c r="A431" s="348" t="s">
        <v>249</v>
      </c>
      <c r="B431" s="348"/>
      <c r="C431" s="289">
        <f>+AVERAGE(H437:H441)</f>
        <v>1646.9470944338202</v>
      </c>
      <c r="D431" s="345"/>
      <c r="E431" s="361"/>
      <c r="F431" s="361"/>
      <c r="G431" s="361"/>
      <c r="H431" s="361"/>
      <c r="I431" s="361"/>
      <c r="J431" s="361"/>
      <c r="K431" s="361"/>
      <c r="L431" s="361"/>
      <c r="M431" s="361"/>
      <c r="N431" s="361"/>
      <c r="O431" s="361"/>
      <c r="P431" s="361"/>
      <c r="Q431" s="361"/>
      <c r="R431" s="361"/>
    </row>
    <row r="432" spans="1:18" ht="23.25" customHeight="1" thickBot="1">
      <c r="A432" s="349" t="s">
        <v>250</v>
      </c>
      <c r="B432" s="349"/>
      <c r="C432" s="350">
        <v>45631</v>
      </c>
      <c r="D432" s="350"/>
      <c r="E432" s="361"/>
      <c r="F432" s="361"/>
      <c r="G432" s="361"/>
      <c r="H432" s="361"/>
      <c r="I432" s="361"/>
      <c r="J432" s="361"/>
      <c r="K432" s="361"/>
      <c r="L432" s="361"/>
      <c r="M432" s="361"/>
      <c r="N432" s="361"/>
      <c r="O432" s="361"/>
      <c r="P432" s="361"/>
      <c r="Q432" s="361"/>
      <c r="R432" s="361"/>
    </row>
    <row r="433" spans="1:18" ht="38.25" customHeight="1" thickBot="1">
      <c r="A433" s="351" t="s">
        <v>251</v>
      </c>
      <c r="B433" s="351"/>
      <c r="C433" s="352" t="str">
        <f>+IF(H439&gt;D430,"CUMPLE","NO CUMPLE")</f>
        <v>NO CUMPLE</v>
      </c>
      <c r="D433" s="352"/>
      <c r="E433" s="361"/>
      <c r="F433" s="361"/>
      <c r="G433" s="361"/>
      <c r="H433" s="361"/>
      <c r="I433" s="361"/>
      <c r="J433" s="361"/>
      <c r="K433" s="361"/>
      <c r="L433" s="361"/>
      <c r="M433" s="361"/>
      <c r="N433" s="361"/>
      <c r="O433" s="361"/>
      <c r="P433" s="361"/>
      <c r="Q433" s="361"/>
      <c r="R433" s="361"/>
    </row>
    <row r="434" spans="1:18" ht="86.25" customHeight="1" thickBot="1">
      <c r="A434" s="353" t="s">
        <v>252</v>
      </c>
      <c r="B434" s="353"/>
      <c r="C434" s="353"/>
      <c r="D434" s="353"/>
      <c r="E434" s="353"/>
      <c r="F434" s="353"/>
      <c r="G434" s="311"/>
      <c r="H434" s="311"/>
      <c r="I434" s="143" t="s">
        <v>253</v>
      </c>
      <c r="J434" s="305" t="s">
        <v>254</v>
      </c>
      <c r="K434" s="363" t="s">
        <v>255</v>
      </c>
      <c r="L434" s="364"/>
      <c r="M434" s="357" t="s">
        <v>256</v>
      </c>
      <c r="N434" s="357" t="s">
        <v>257</v>
      </c>
      <c r="O434" s="357" t="s">
        <v>258</v>
      </c>
      <c r="P434" s="357" t="s">
        <v>259</v>
      </c>
      <c r="Q434" s="357" t="s">
        <v>260</v>
      </c>
      <c r="R434" s="362" t="s">
        <v>261</v>
      </c>
    </row>
    <row r="435" spans="1:18" ht="77.25" customHeight="1">
      <c r="A435" s="144" t="s">
        <v>262</v>
      </c>
      <c r="B435" s="354" t="s">
        <v>263</v>
      </c>
      <c r="C435" s="354"/>
      <c r="D435" s="145" t="s">
        <v>264</v>
      </c>
      <c r="E435" s="145" t="s">
        <v>265</v>
      </c>
      <c r="F435" s="145" t="s">
        <v>266</v>
      </c>
      <c r="G435" s="146" t="s">
        <v>267</v>
      </c>
      <c r="H435" s="146" t="s">
        <v>268</v>
      </c>
      <c r="I435" s="147" t="s">
        <v>269</v>
      </c>
      <c r="J435" s="147" t="s">
        <v>270</v>
      </c>
      <c r="K435" s="198" t="s">
        <v>271</v>
      </c>
      <c r="L435" s="198" t="s">
        <v>272</v>
      </c>
      <c r="M435" s="358"/>
      <c r="N435" s="358"/>
      <c r="O435" s="358"/>
      <c r="P435" s="358"/>
      <c r="Q435" s="358"/>
      <c r="R435" s="362"/>
    </row>
    <row r="436" spans="1:18">
      <c r="A436" s="34" t="str">
        <f>'LISTA DE OFERENTES'!F34</f>
        <v>FLAVIO RICARDO JIMÉNEZ MEJÍA 30%</v>
      </c>
      <c r="B436" s="423"/>
      <c r="C436" s="424"/>
      <c r="D436" s="187"/>
      <c r="E436" s="187"/>
      <c r="F436" s="187"/>
      <c r="G436" s="187"/>
      <c r="H436" s="187"/>
      <c r="I436" s="187"/>
      <c r="J436" s="187"/>
      <c r="K436" s="187"/>
      <c r="L436" s="187"/>
      <c r="M436" s="187"/>
      <c r="N436" s="187"/>
      <c r="O436" s="187"/>
      <c r="P436" s="187"/>
      <c r="Q436" s="187"/>
      <c r="R436" s="187"/>
    </row>
    <row r="437" spans="1:18" s="14" customFormat="1" ht="69.599999999999994" customHeight="1">
      <c r="A437" s="321" t="s">
        <v>480</v>
      </c>
      <c r="B437" s="355" t="s">
        <v>481</v>
      </c>
      <c r="C437" s="355"/>
      <c r="D437" s="249">
        <v>5647291081</v>
      </c>
      <c r="E437" s="208">
        <v>2011</v>
      </c>
      <c r="F437" s="249">
        <f>D437/(VLOOKUP(E437,$D$929:$E$962,2,FALSE))</f>
        <v>10543.859374533235</v>
      </c>
      <c r="G437" s="250">
        <v>0.33</v>
      </c>
      <c r="H437" s="251">
        <f>F437*G437</f>
        <v>3479.4735935959675</v>
      </c>
      <c r="I437" s="252" t="s">
        <v>482</v>
      </c>
      <c r="J437" s="249" t="s">
        <v>275</v>
      </c>
      <c r="K437" s="211" t="s">
        <v>275</v>
      </c>
      <c r="L437" s="212">
        <f>IF(K437="CUMPLE",H437,0)</f>
        <v>3479.4735935959675</v>
      </c>
      <c r="M437" s="249" t="s">
        <v>275</v>
      </c>
      <c r="N437" s="249" t="s">
        <v>275</v>
      </c>
      <c r="O437" s="249" t="s">
        <v>311</v>
      </c>
      <c r="P437" s="249" t="s">
        <v>275</v>
      </c>
      <c r="Q437" s="249" t="s">
        <v>275</v>
      </c>
      <c r="R437" s="241"/>
    </row>
    <row r="438" spans="1:18" s="14" customFormat="1" ht="84.6" customHeight="1">
      <c r="A438" s="321" t="s">
        <v>483</v>
      </c>
      <c r="B438" s="355" t="s">
        <v>481</v>
      </c>
      <c r="C438" s="355"/>
      <c r="D438" s="253">
        <v>1289974756</v>
      </c>
      <c r="E438" s="208">
        <v>2019</v>
      </c>
      <c r="F438" s="249">
        <f>D438/(VLOOKUP(E438,$D$929:$E$962,2,FALSE))</f>
        <v>1557.7222949441866</v>
      </c>
      <c r="G438" s="250">
        <v>0.6</v>
      </c>
      <c r="H438" s="249">
        <f t="shared" ref="H438:H440" si="44">F438*G438</f>
        <v>934.63337696651195</v>
      </c>
      <c r="I438" s="252">
        <v>43723</v>
      </c>
      <c r="J438" s="249" t="s">
        <v>275</v>
      </c>
      <c r="K438" s="211" t="s">
        <v>275</v>
      </c>
      <c r="L438" s="212">
        <f t="shared" ref="L438:L441" si="45">IF(K438="CUMPLE",H438,0)</f>
        <v>934.63337696651195</v>
      </c>
      <c r="M438" s="249" t="s">
        <v>275</v>
      </c>
      <c r="N438" s="249" t="s">
        <v>275</v>
      </c>
      <c r="O438" s="249" t="s">
        <v>311</v>
      </c>
      <c r="P438" s="249" t="s">
        <v>275</v>
      </c>
      <c r="Q438" s="249" t="s">
        <v>275</v>
      </c>
      <c r="R438" s="241"/>
    </row>
    <row r="439" spans="1:18" s="14" customFormat="1">
      <c r="A439" s="319" t="str">
        <f>'LISTA DE OFERENTES'!E34</f>
        <v xml:space="preserve"> MONTENEGRO Y COMPAÑIA S.A.S. 60%</v>
      </c>
      <c r="B439" s="369"/>
      <c r="C439" s="370"/>
      <c r="D439" s="254"/>
      <c r="E439" s="254"/>
      <c r="F439" s="254"/>
      <c r="G439" s="254"/>
      <c r="H439" s="254"/>
      <c r="I439" s="254"/>
      <c r="J439" s="254"/>
      <c r="K439" s="254"/>
      <c r="L439" s="254"/>
      <c r="M439" s="254"/>
      <c r="N439" s="254"/>
      <c r="O439" s="254"/>
      <c r="P439" s="254"/>
      <c r="Q439" s="254"/>
      <c r="R439" s="254"/>
    </row>
    <row r="440" spans="1:18" s="14" customFormat="1" ht="135">
      <c r="A440" s="184" t="s">
        <v>484</v>
      </c>
      <c r="B440" s="355" t="s">
        <v>485</v>
      </c>
      <c r="C440" s="355"/>
      <c r="D440" s="253">
        <v>261734280</v>
      </c>
      <c r="E440" s="208">
        <v>2009</v>
      </c>
      <c r="F440" s="249">
        <f>D440/(VLOOKUP(E440,$D$929:$E$962,2,FALSE))</f>
        <v>526.73431273898166</v>
      </c>
      <c r="G440" s="250">
        <v>1</v>
      </c>
      <c r="H440" s="249">
        <f t="shared" si="44"/>
        <v>526.73431273898166</v>
      </c>
      <c r="I440" s="252">
        <v>40092</v>
      </c>
      <c r="J440" s="249" t="s">
        <v>275</v>
      </c>
      <c r="K440" s="211" t="s">
        <v>275</v>
      </c>
      <c r="L440" s="212">
        <f t="shared" si="45"/>
        <v>526.73431273898166</v>
      </c>
      <c r="M440" s="249" t="s">
        <v>275</v>
      </c>
      <c r="N440" s="249" t="s">
        <v>275</v>
      </c>
      <c r="O440" s="249" t="s">
        <v>275</v>
      </c>
      <c r="P440" s="249" t="s">
        <v>275</v>
      </c>
      <c r="Q440" s="249" t="s">
        <v>275</v>
      </c>
      <c r="R440" s="241"/>
    </row>
    <row r="441" spans="1:18" ht="60">
      <c r="A441" s="184" t="s">
        <v>486</v>
      </c>
      <c r="B441" s="355" t="s">
        <v>487</v>
      </c>
      <c r="C441" s="355"/>
      <c r="D441" s="253">
        <v>17250000</v>
      </c>
      <c r="E441" s="208">
        <v>2018</v>
      </c>
      <c r="F441" s="249">
        <f>D441/(VLOOKUP(E441,$D$929:$E$962,2,FALSE))</f>
        <v>22.080226101515279</v>
      </c>
      <c r="G441" s="250">
        <v>1</v>
      </c>
      <c r="H441" s="249"/>
      <c r="I441" s="252">
        <v>43462</v>
      </c>
      <c r="J441" s="249" t="s">
        <v>275</v>
      </c>
      <c r="K441" s="255" t="s">
        <v>276</v>
      </c>
      <c r="L441" s="212">
        <f t="shared" si="45"/>
        <v>0</v>
      </c>
      <c r="M441" s="249" t="s">
        <v>276</v>
      </c>
      <c r="N441" s="249" t="s">
        <v>276</v>
      </c>
      <c r="O441" s="249" t="s">
        <v>311</v>
      </c>
      <c r="P441" s="249" t="s">
        <v>276</v>
      </c>
      <c r="Q441" s="249" t="s">
        <v>276</v>
      </c>
      <c r="R441" s="241" t="s">
        <v>488</v>
      </c>
    </row>
    <row r="442" spans="1:18" s="14" customFormat="1" ht="48" customHeight="1" thickBot="1">
      <c r="A442" s="346" t="s">
        <v>284</v>
      </c>
      <c r="B442" s="346"/>
      <c r="C442" s="346"/>
      <c r="D442" s="346"/>
      <c r="E442" s="346"/>
      <c r="F442" s="45">
        <f>+SUM(F437:F438)</f>
        <v>12101.581669477422</v>
      </c>
      <c r="G442" s="45"/>
      <c r="H442" s="45">
        <f>+SUM(H437:H441)</f>
        <v>4940.8412833014609</v>
      </c>
      <c r="I442" s="359"/>
      <c r="J442" s="360"/>
      <c r="K442" s="196"/>
      <c r="L442" s="196"/>
      <c r="M442" s="196"/>
      <c r="N442" s="196"/>
      <c r="O442" s="196"/>
      <c r="P442" s="304"/>
      <c r="Q442" s="304"/>
      <c r="R442" s="37" t="s">
        <v>275</v>
      </c>
    </row>
    <row r="443" spans="1:18" ht="16.5" thickBot="1">
      <c r="A443" s="3"/>
      <c r="B443" s="3"/>
      <c r="C443" s="3"/>
      <c r="D443" s="3"/>
      <c r="E443" s="3"/>
      <c r="F443" s="3"/>
      <c r="G443" s="3"/>
      <c r="H443" s="3"/>
      <c r="I443" s="3"/>
      <c r="J443" s="3"/>
      <c r="K443" s="3"/>
      <c r="L443" s="3"/>
      <c r="M443" s="3"/>
      <c r="N443" s="3"/>
      <c r="O443" s="4"/>
      <c r="P443" s="4"/>
      <c r="Q443" s="4"/>
      <c r="R443" s="4"/>
    </row>
    <row r="444" spans="1:18" ht="30.75" customHeight="1" thickBot="1">
      <c r="A444" s="347">
        <f>1+A429</f>
        <v>32</v>
      </c>
      <c r="B444" s="347"/>
      <c r="C444" s="347"/>
      <c r="D444" s="347"/>
      <c r="E444" s="361" t="str">
        <f>VLOOKUP(A444,'REQUISITOS HAB. TECNICOS'!$A$5:$B$66,2,FALSE)</f>
        <v>CONSORCIO INTER FONTIBON</v>
      </c>
      <c r="F444" s="361"/>
      <c r="G444" s="361"/>
      <c r="H444" s="361"/>
      <c r="I444" s="361"/>
      <c r="J444" s="361"/>
      <c r="K444" s="361"/>
      <c r="L444" s="361"/>
      <c r="M444" s="361"/>
      <c r="N444" s="361"/>
      <c r="O444" s="361"/>
      <c r="P444" s="361"/>
      <c r="Q444" s="361"/>
      <c r="R444" s="361"/>
    </row>
    <row r="445" spans="1:18" ht="50.25" customHeight="1" thickBot="1">
      <c r="A445" s="11" t="s">
        <v>247</v>
      </c>
      <c r="B445" s="76">
        <v>3</v>
      </c>
      <c r="C445" s="288" t="s">
        <v>248</v>
      </c>
      <c r="D445" s="344">
        <f>$D$899</f>
        <v>618.89671538461539</v>
      </c>
      <c r="E445" s="361"/>
      <c r="F445" s="361"/>
      <c r="G445" s="361"/>
      <c r="H445" s="361"/>
      <c r="I445" s="361"/>
      <c r="J445" s="361"/>
      <c r="K445" s="361"/>
      <c r="L445" s="361"/>
      <c r="M445" s="361"/>
      <c r="N445" s="361"/>
      <c r="O445" s="361"/>
      <c r="P445" s="361"/>
      <c r="Q445" s="361"/>
      <c r="R445" s="361"/>
    </row>
    <row r="446" spans="1:18" ht="23.25" customHeight="1" thickBot="1">
      <c r="A446" s="348" t="s">
        <v>249</v>
      </c>
      <c r="B446" s="348"/>
      <c r="C446" s="289">
        <f>+AVERAGE(H451:H453)</f>
        <v>285.38324375775068</v>
      </c>
      <c r="D446" s="345"/>
      <c r="E446" s="361"/>
      <c r="F446" s="361"/>
      <c r="G446" s="361"/>
      <c r="H446" s="361"/>
      <c r="I446" s="361"/>
      <c r="J446" s="361"/>
      <c r="K446" s="361"/>
      <c r="L446" s="361"/>
      <c r="M446" s="361"/>
      <c r="N446" s="361"/>
      <c r="O446" s="361"/>
      <c r="P446" s="361"/>
      <c r="Q446" s="361"/>
      <c r="R446" s="361"/>
    </row>
    <row r="447" spans="1:18" ht="23.25" customHeight="1" thickBot="1">
      <c r="A447" s="349" t="s">
        <v>250</v>
      </c>
      <c r="B447" s="349"/>
      <c r="C447" s="350">
        <v>45631</v>
      </c>
      <c r="D447" s="350"/>
      <c r="E447" s="361"/>
      <c r="F447" s="361"/>
      <c r="G447" s="361"/>
      <c r="H447" s="361"/>
      <c r="I447" s="361"/>
      <c r="J447" s="361"/>
      <c r="K447" s="361"/>
      <c r="L447" s="361"/>
      <c r="M447" s="361"/>
      <c r="N447" s="361"/>
      <c r="O447" s="361"/>
      <c r="P447" s="361"/>
      <c r="Q447" s="361"/>
      <c r="R447" s="361"/>
    </row>
    <row r="448" spans="1:18" ht="38.25" customHeight="1" thickBot="1">
      <c r="A448" s="351" t="s">
        <v>251</v>
      </c>
      <c r="B448" s="351"/>
      <c r="C448" s="352" t="str">
        <f>+IF(H454&gt;D445,"CUMPLE","NO CUMPLE")</f>
        <v>NO CUMPLE</v>
      </c>
      <c r="D448" s="352"/>
      <c r="E448" s="361"/>
      <c r="F448" s="361"/>
      <c r="G448" s="361"/>
      <c r="H448" s="361"/>
      <c r="I448" s="361"/>
      <c r="J448" s="361"/>
      <c r="K448" s="361"/>
      <c r="L448" s="361"/>
      <c r="M448" s="361"/>
      <c r="N448" s="361"/>
      <c r="O448" s="361"/>
      <c r="P448" s="361"/>
      <c r="Q448" s="361"/>
      <c r="R448" s="361"/>
    </row>
    <row r="449" spans="1:18" ht="86.25" customHeight="1" thickBot="1">
      <c r="A449" s="353" t="s">
        <v>252</v>
      </c>
      <c r="B449" s="353"/>
      <c r="C449" s="353"/>
      <c r="D449" s="353"/>
      <c r="E449" s="353"/>
      <c r="F449" s="353"/>
      <c r="G449" s="311"/>
      <c r="H449" s="311"/>
      <c r="I449" s="143" t="s">
        <v>253</v>
      </c>
      <c r="J449" s="305" t="s">
        <v>254</v>
      </c>
      <c r="K449" s="363" t="s">
        <v>255</v>
      </c>
      <c r="L449" s="364"/>
      <c r="M449" s="357" t="s">
        <v>256</v>
      </c>
      <c r="N449" s="357" t="s">
        <v>257</v>
      </c>
      <c r="O449" s="357" t="s">
        <v>258</v>
      </c>
      <c r="P449" s="357" t="s">
        <v>259</v>
      </c>
      <c r="Q449" s="357" t="s">
        <v>260</v>
      </c>
      <c r="R449" s="362" t="s">
        <v>261</v>
      </c>
    </row>
    <row r="450" spans="1:18" ht="77.25" customHeight="1">
      <c r="A450" s="144" t="s">
        <v>262</v>
      </c>
      <c r="B450" s="354" t="s">
        <v>263</v>
      </c>
      <c r="C450" s="354"/>
      <c r="D450" s="145" t="s">
        <v>264</v>
      </c>
      <c r="E450" s="145" t="s">
        <v>265</v>
      </c>
      <c r="F450" s="145" t="s">
        <v>266</v>
      </c>
      <c r="G450" s="146" t="s">
        <v>267</v>
      </c>
      <c r="H450" s="146" t="s">
        <v>268</v>
      </c>
      <c r="I450" s="147" t="s">
        <v>269</v>
      </c>
      <c r="J450" s="147" t="s">
        <v>270</v>
      </c>
      <c r="K450" s="198" t="s">
        <v>271</v>
      </c>
      <c r="L450" s="198" t="s">
        <v>272</v>
      </c>
      <c r="M450" s="358"/>
      <c r="N450" s="358"/>
      <c r="O450" s="358"/>
      <c r="P450" s="358"/>
      <c r="Q450" s="358"/>
      <c r="R450" s="362"/>
    </row>
    <row r="451" spans="1:18" ht="120">
      <c r="A451" s="256" t="s">
        <v>489</v>
      </c>
      <c r="B451" s="343" t="s">
        <v>490</v>
      </c>
      <c r="C451" s="343"/>
      <c r="D451" s="179">
        <v>9205754</v>
      </c>
      <c r="E451" s="208">
        <v>2009</v>
      </c>
      <c r="F451" s="180">
        <f>D451/(VLOOKUP(E451,$D$929:$E$962,2,FALSE))</f>
        <v>18.526371503320586</v>
      </c>
      <c r="G451" s="209">
        <v>1</v>
      </c>
      <c r="H451" s="180"/>
      <c r="I451" s="210">
        <v>40083</v>
      </c>
      <c r="J451" s="211" t="s">
        <v>275</v>
      </c>
      <c r="K451" s="211" t="s">
        <v>276</v>
      </c>
      <c r="L451" s="212">
        <f>IF(K451="CUMPLE",H451,0)</f>
        <v>0</v>
      </c>
      <c r="M451" s="213" t="s">
        <v>276</v>
      </c>
      <c r="N451" s="213" t="s">
        <v>276</v>
      </c>
      <c r="O451" s="213" t="s">
        <v>276</v>
      </c>
      <c r="P451" s="213" t="s">
        <v>276</v>
      </c>
      <c r="Q451" s="213" t="s">
        <v>276</v>
      </c>
      <c r="R451" s="243" t="s">
        <v>312</v>
      </c>
    </row>
    <row r="452" spans="1:18" s="14" customFormat="1" ht="69" customHeight="1">
      <c r="A452" s="256" t="s">
        <v>491</v>
      </c>
      <c r="B452" s="343" t="s">
        <v>492</v>
      </c>
      <c r="C452" s="343"/>
      <c r="D452" s="179">
        <v>745465764</v>
      </c>
      <c r="E452" s="208">
        <v>2021</v>
      </c>
      <c r="F452" s="180">
        <f>D452/(VLOOKUP(E452,$D$929:$E$962,2,FALSE))</f>
        <v>820.52221290309797</v>
      </c>
      <c r="G452" s="209">
        <v>0.25</v>
      </c>
      <c r="H452" s="180">
        <v>205.13</v>
      </c>
      <c r="I452" s="210">
        <v>44269</v>
      </c>
      <c r="J452" s="211" t="s">
        <v>275</v>
      </c>
      <c r="K452" s="211" t="s">
        <v>275</v>
      </c>
      <c r="L452" s="212">
        <f t="shared" ref="L452" si="46">IF(K452="CUMPLE",H452,0)</f>
        <v>205.13</v>
      </c>
      <c r="M452" s="213" t="s">
        <v>275</v>
      </c>
      <c r="N452" s="213" t="s">
        <v>275</v>
      </c>
      <c r="O452" s="303" t="s">
        <v>276</v>
      </c>
      <c r="P452" s="239" t="s">
        <v>276</v>
      </c>
      <c r="Q452" s="239" t="s">
        <v>276</v>
      </c>
      <c r="R452" s="216" t="s">
        <v>393</v>
      </c>
    </row>
    <row r="453" spans="1:18" s="14" customFormat="1" ht="89.25">
      <c r="A453" s="257" t="s">
        <v>493</v>
      </c>
      <c r="B453" s="343" t="s">
        <v>494</v>
      </c>
      <c r="C453" s="343"/>
      <c r="D453" s="179">
        <v>504179809</v>
      </c>
      <c r="E453" s="208">
        <v>2016</v>
      </c>
      <c r="F453" s="180">
        <f>D453/(VLOOKUP(E453,$D$929:$E$962,2,FALSE))</f>
        <v>731.27297503100272</v>
      </c>
      <c r="G453" s="215">
        <v>0.5</v>
      </c>
      <c r="H453" s="180">
        <f t="shared" ref="H453" si="47">F453*G453</f>
        <v>365.63648751550136</v>
      </c>
      <c r="I453" s="210">
        <v>42665</v>
      </c>
      <c r="J453" s="211" t="s">
        <v>275</v>
      </c>
      <c r="K453" s="211" t="s">
        <v>275</v>
      </c>
      <c r="L453" s="212">
        <f>IF(K453="CUMPLE",H453,0)</f>
        <v>365.63648751550136</v>
      </c>
      <c r="M453" s="213" t="s">
        <v>275</v>
      </c>
      <c r="N453" s="213" t="s">
        <v>275</v>
      </c>
      <c r="O453" s="303" t="s">
        <v>275</v>
      </c>
      <c r="P453" s="239" t="s">
        <v>275</v>
      </c>
      <c r="Q453" s="239" t="s">
        <v>276</v>
      </c>
      <c r="R453" s="216" t="s">
        <v>393</v>
      </c>
    </row>
    <row r="454" spans="1:18" s="14" customFormat="1" ht="48" customHeight="1" thickBot="1">
      <c r="A454" s="346" t="s">
        <v>284</v>
      </c>
      <c r="B454" s="346"/>
      <c r="C454" s="346"/>
      <c r="D454" s="346"/>
      <c r="E454" s="346"/>
      <c r="F454" s="45">
        <f>+SUM(F451:F453)</f>
        <v>1570.3215594374212</v>
      </c>
      <c r="G454" s="45"/>
      <c r="H454" s="45">
        <f>+SUM(H451:H453)</f>
        <v>570.76648751550135</v>
      </c>
      <c r="I454" s="359"/>
      <c r="J454" s="360"/>
      <c r="K454" s="196"/>
      <c r="L454" s="196"/>
      <c r="M454" s="196"/>
      <c r="N454" s="196"/>
      <c r="O454" s="196"/>
      <c r="P454" s="304"/>
      <c r="Q454" s="304"/>
      <c r="R454" s="37" t="s">
        <v>276</v>
      </c>
    </row>
    <row r="455" spans="1:18" ht="16.5" thickBot="1">
      <c r="A455" s="3"/>
      <c r="B455" s="3"/>
      <c r="C455" s="3"/>
      <c r="D455" s="3"/>
      <c r="E455" s="3"/>
      <c r="F455" s="3"/>
      <c r="G455" s="3"/>
      <c r="H455" s="3"/>
      <c r="I455" s="3"/>
      <c r="J455" s="3"/>
      <c r="K455" s="3"/>
      <c r="L455" s="3"/>
      <c r="M455" s="3"/>
      <c r="N455" s="3"/>
      <c r="O455" s="4"/>
      <c r="P455" s="4"/>
      <c r="Q455" s="4"/>
      <c r="R455" s="4"/>
    </row>
    <row r="456" spans="1:18" ht="30.75" customHeight="1" thickBot="1">
      <c r="A456" s="347">
        <f>1+A444</f>
        <v>33</v>
      </c>
      <c r="B456" s="347"/>
      <c r="C456" s="347"/>
      <c r="D456" s="347"/>
      <c r="E456" s="361" t="str">
        <f>VLOOKUP(A456,'REQUISITOS HAB. TECNICOS'!$A$5:$B$66,2,FALSE)</f>
        <v>CONSORCIO ID FONTIBON 001</v>
      </c>
      <c r="F456" s="361"/>
      <c r="G456" s="361"/>
      <c r="H456" s="361"/>
      <c r="I456" s="361"/>
      <c r="J456" s="361"/>
      <c r="K456" s="361"/>
      <c r="L456" s="361"/>
      <c r="M456" s="361"/>
      <c r="N456" s="361"/>
      <c r="O456" s="361"/>
      <c r="P456" s="361"/>
      <c r="Q456" s="361"/>
      <c r="R456" s="361"/>
    </row>
    <row r="457" spans="1:18" ht="50.25" customHeight="1" thickBot="1">
      <c r="A457" s="11" t="s">
        <v>247</v>
      </c>
      <c r="B457" s="76">
        <v>6</v>
      </c>
      <c r="C457" s="288" t="s">
        <v>248</v>
      </c>
      <c r="D457" s="344">
        <f>$D$899</f>
        <v>618.89671538461539</v>
      </c>
      <c r="E457" s="361"/>
      <c r="F457" s="361"/>
      <c r="G457" s="361"/>
      <c r="H457" s="361"/>
      <c r="I457" s="361"/>
      <c r="J457" s="361"/>
      <c r="K457" s="361"/>
      <c r="L457" s="361"/>
      <c r="M457" s="361"/>
      <c r="N457" s="361"/>
      <c r="O457" s="361"/>
      <c r="P457" s="361"/>
      <c r="Q457" s="361"/>
      <c r="R457" s="361"/>
    </row>
    <row r="458" spans="1:18" ht="23.25" customHeight="1" thickBot="1">
      <c r="A458" s="348" t="s">
        <v>249</v>
      </c>
      <c r="B458" s="348"/>
      <c r="C458" s="289">
        <f>+AVERAGE(H463:H470)</f>
        <v>2245.8771567076969</v>
      </c>
      <c r="D458" s="345"/>
      <c r="E458" s="361"/>
      <c r="F458" s="361"/>
      <c r="G458" s="361"/>
      <c r="H458" s="361"/>
      <c r="I458" s="361"/>
      <c r="J458" s="361"/>
      <c r="K458" s="361"/>
      <c r="L458" s="361"/>
      <c r="M458" s="361"/>
      <c r="N458" s="361"/>
      <c r="O458" s="361"/>
      <c r="P458" s="361"/>
      <c r="Q458" s="361"/>
      <c r="R458" s="361"/>
    </row>
    <row r="459" spans="1:18" ht="23.25" customHeight="1" thickBot="1">
      <c r="A459" s="349" t="s">
        <v>250</v>
      </c>
      <c r="B459" s="349"/>
      <c r="C459" s="350">
        <v>45631</v>
      </c>
      <c r="D459" s="350"/>
      <c r="E459" s="361"/>
      <c r="F459" s="361"/>
      <c r="G459" s="361"/>
      <c r="H459" s="361"/>
      <c r="I459" s="361"/>
      <c r="J459" s="361"/>
      <c r="K459" s="361"/>
      <c r="L459" s="361"/>
      <c r="M459" s="361"/>
      <c r="N459" s="361"/>
      <c r="O459" s="361"/>
      <c r="P459" s="361"/>
      <c r="Q459" s="361"/>
      <c r="R459" s="361"/>
    </row>
    <row r="460" spans="1:18" ht="38.25" customHeight="1" thickBot="1">
      <c r="A460" s="351" t="s">
        <v>251</v>
      </c>
      <c r="B460" s="351"/>
      <c r="C460" s="352" t="str">
        <f>+IF(H471&gt;D457,"CUMPLE","NO CUMPLE")</f>
        <v>CUMPLE</v>
      </c>
      <c r="D460" s="352"/>
      <c r="E460" s="361"/>
      <c r="F460" s="361"/>
      <c r="G460" s="361"/>
      <c r="H460" s="361"/>
      <c r="I460" s="361"/>
      <c r="J460" s="361"/>
      <c r="K460" s="361"/>
      <c r="L460" s="361"/>
      <c r="M460" s="361"/>
      <c r="N460" s="361"/>
      <c r="O460" s="361"/>
      <c r="P460" s="361"/>
      <c r="Q460" s="361"/>
      <c r="R460" s="361"/>
    </row>
    <row r="461" spans="1:18" ht="86.25" customHeight="1" thickBot="1">
      <c r="A461" s="353" t="s">
        <v>252</v>
      </c>
      <c r="B461" s="353"/>
      <c r="C461" s="353"/>
      <c r="D461" s="353"/>
      <c r="E461" s="353"/>
      <c r="F461" s="353"/>
      <c r="G461" s="311"/>
      <c r="H461" s="311"/>
      <c r="I461" s="143" t="s">
        <v>253</v>
      </c>
      <c r="J461" s="305" t="s">
        <v>254</v>
      </c>
      <c r="K461" s="363" t="s">
        <v>255</v>
      </c>
      <c r="L461" s="364"/>
      <c r="M461" s="357" t="s">
        <v>256</v>
      </c>
      <c r="N461" s="357" t="s">
        <v>257</v>
      </c>
      <c r="O461" s="357" t="s">
        <v>258</v>
      </c>
      <c r="P461" s="357" t="s">
        <v>259</v>
      </c>
      <c r="Q461" s="357" t="s">
        <v>260</v>
      </c>
      <c r="R461" s="362" t="s">
        <v>261</v>
      </c>
    </row>
    <row r="462" spans="1:18" ht="77.25" customHeight="1">
      <c r="A462" s="144" t="s">
        <v>262</v>
      </c>
      <c r="B462" s="354" t="s">
        <v>263</v>
      </c>
      <c r="C462" s="354"/>
      <c r="D462" s="145" t="s">
        <v>264</v>
      </c>
      <c r="E462" s="145" t="s">
        <v>265</v>
      </c>
      <c r="F462" s="145" t="s">
        <v>266</v>
      </c>
      <c r="G462" s="146" t="s">
        <v>267</v>
      </c>
      <c r="H462" s="146" t="s">
        <v>268</v>
      </c>
      <c r="I462" s="147" t="s">
        <v>269</v>
      </c>
      <c r="J462" s="147" t="s">
        <v>270</v>
      </c>
      <c r="K462" s="198" t="s">
        <v>271</v>
      </c>
      <c r="L462" s="198" t="s">
        <v>272</v>
      </c>
      <c r="M462" s="358"/>
      <c r="N462" s="358"/>
      <c r="O462" s="358"/>
      <c r="P462" s="358"/>
      <c r="Q462" s="358"/>
      <c r="R462" s="362"/>
    </row>
    <row r="463" spans="1:18">
      <c r="A463" s="34" t="str">
        <f>VLOOKUP(A456,'LISTA DE OFERENTES'!$A$4:$F$65,5,FALSE)</f>
        <v>NTERVENTORIAS Y DISEÑOS S.A- INTERDISEÑOS 20%</v>
      </c>
      <c r="B463" s="35"/>
      <c r="C463" s="35"/>
      <c r="D463" s="35"/>
      <c r="E463" s="35"/>
      <c r="F463" s="35"/>
      <c r="G463" s="35"/>
      <c r="H463" s="35"/>
      <c r="I463" s="35"/>
      <c r="J463" s="35"/>
      <c r="K463" s="35"/>
      <c r="L463" s="35"/>
      <c r="M463" s="35"/>
      <c r="N463" s="35"/>
      <c r="O463" s="35"/>
      <c r="P463" s="35"/>
      <c r="Q463" s="35"/>
      <c r="R463" s="36"/>
    </row>
    <row r="464" spans="1:18" s="14" customFormat="1" ht="30">
      <c r="A464" s="185" t="s">
        <v>495</v>
      </c>
      <c r="B464" s="343" t="s">
        <v>496</v>
      </c>
      <c r="C464" s="343"/>
      <c r="D464" s="179">
        <v>265239306</v>
      </c>
      <c r="E464" s="208">
        <v>2009</v>
      </c>
      <c r="F464" s="180">
        <f>D464/(VLOOKUP(E464,$D$929:$E$962,2,FALSE))</f>
        <v>533.78809820889512</v>
      </c>
      <c r="G464" s="209">
        <v>1</v>
      </c>
      <c r="H464" s="180">
        <f>F464*G464</f>
        <v>533.78809820889512</v>
      </c>
      <c r="I464" s="210">
        <v>39872</v>
      </c>
      <c r="J464" s="211" t="s">
        <v>275</v>
      </c>
      <c r="K464" s="211" t="s">
        <v>275</v>
      </c>
      <c r="L464" s="212">
        <f>IF(K464="CUMPLE",H464,0)</f>
        <v>533.78809820889512</v>
      </c>
      <c r="M464" s="213" t="s">
        <v>275</v>
      </c>
      <c r="N464" s="213" t="s">
        <v>275</v>
      </c>
      <c r="O464" s="303" t="s">
        <v>276</v>
      </c>
      <c r="P464" s="239" t="s">
        <v>276</v>
      </c>
      <c r="Q464" s="303" t="s">
        <v>276</v>
      </c>
      <c r="R464" s="216" t="s">
        <v>497</v>
      </c>
    </row>
    <row r="465" spans="1:18" s="14" customFormat="1" ht="30">
      <c r="A465" s="186" t="s">
        <v>498</v>
      </c>
      <c r="B465" s="343" t="s">
        <v>274</v>
      </c>
      <c r="C465" s="343"/>
      <c r="D465" s="179">
        <v>93394603</v>
      </c>
      <c r="E465" s="208">
        <v>1998</v>
      </c>
      <c r="F465" s="180">
        <f>D465/(VLOOKUP(E465,$D$929:$E$962,2,FALSE))</f>
        <v>458.2075054212907</v>
      </c>
      <c r="G465" s="215">
        <v>1</v>
      </c>
      <c r="H465" s="180">
        <f>F465*G465</f>
        <v>458.2075054212907</v>
      </c>
      <c r="I465" s="210">
        <v>39812</v>
      </c>
      <c r="J465" s="211" t="s">
        <v>275</v>
      </c>
      <c r="K465" s="211" t="s">
        <v>275</v>
      </c>
      <c r="L465" s="212">
        <f t="shared" ref="L465:L470" si="48">IF(K465="CUMPLE",H465,0)</f>
        <v>458.2075054212907</v>
      </c>
      <c r="M465" s="213" t="s">
        <v>275</v>
      </c>
      <c r="N465" s="213" t="s">
        <v>275</v>
      </c>
      <c r="O465" s="303" t="s">
        <v>276</v>
      </c>
      <c r="P465" s="303" t="s">
        <v>276</v>
      </c>
      <c r="Q465" s="303" t="s">
        <v>276</v>
      </c>
      <c r="R465" s="216" t="s">
        <v>497</v>
      </c>
    </row>
    <row r="466" spans="1:18" s="14" customFormat="1" ht="45">
      <c r="A466" s="186" t="s">
        <v>499</v>
      </c>
      <c r="B466" s="343" t="s">
        <v>274</v>
      </c>
      <c r="C466" s="343"/>
      <c r="D466" s="179">
        <v>80000000</v>
      </c>
      <c r="E466" s="208">
        <v>1998</v>
      </c>
      <c r="F466" s="180">
        <f>D466/(VLOOKUP(E466,$D$929:$E$962,2,FALSE))</f>
        <v>392.49163502202862</v>
      </c>
      <c r="G466" s="215">
        <v>1</v>
      </c>
      <c r="H466" s="180">
        <f>F466*G466</f>
        <v>392.49163502202862</v>
      </c>
      <c r="I466" s="210">
        <v>36059</v>
      </c>
      <c r="J466" s="211" t="s">
        <v>275</v>
      </c>
      <c r="K466" s="211" t="s">
        <v>275</v>
      </c>
      <c r="L466" s="212">
        <f t="shared" si="48"/>
        <v>392.49163502202862</v>
      </c>
      <c r="M466" s="213" t="s">
        <v>275</v>
      </c>
      <c r="N466" s="213" t="s">
        <v>275</v>
      </c>
      <c r="O466" s="303" t="s">
        <v>276</v>
      </c>
      <c r="P466" s="303" t="s">
        <v>276</v>
      </c>
      <c r="Q466" s="303" t="s">
        <v>276</v>
      </c>
      <c r="R466" s="216" t="s">
        <v>497</v>
      </c>
    </row>
    <row r="467" spans="1:18">
      <c r="A467" s="34" t="str">
        <f>VLOOKUP(A456,'LISTA DE OFERENTES'!$A$4:$F$65,6,FALSE)</f>
        <v>INTERDISEÑOS ASOCIADOS S.A.S 80%</v>
      </c>
      <c r="B467" s="226"/>
      <c r="C467" s="226"/>
      <c r="D467" s="226"/>
      <c r="E467" s="226"/>
      <c r="F467" s="228"/>
      <c r="G467" s="228"/>
      <c r="H467" s="226"/>
      <c r="I467" s="226"/>
      <c r="J467" s="226"/>
      <c r="K467" s="226"/>
      <c r="L467" s="226"/>
      <c r="M467" s="226"/>
      <c r="N467" s="226"/>
      <c r="O467" s="226"/>
      <c r="P467" s="226"/>
      <c r="Q467" s="226"/>
      <c r="R467" s="227"/>
    </row>
    <row r="468" spans="1:18" s="14" customFormat="1" ht="75">
      <c r="A468" s="185" t="s">
        <v>500</v>
      </c>
      <c r="B468" s="343" t="s">
        <v>335</v>
      </c>
      <c r="C468" s="343"/>
      <c r="D468" s="179">
        <v>4305388842</v>
      </c>
      <c r="E468" s="208">
        <v>2008</v>
      </c>
      <c r="F468" s="180">
        <f>D468/(VLOOKUP(E468,$D$929:$E$962,2,FALSE))</f>
        <v>9329.1199176598057</v>
      </c>
      <c r="G468" s="209">
        <v>1</v>
      </c>
      <c r="H468" s="180">
        <f>F468*G468</f>
        <v>9329.1199176598057</v>
      </c>
      <c r="I468" s="210">
        <v>39725</v>
      </c>
      <c r="J468" s="233" t="s">
        <v>275</v>
      </c>
      <c r="K468" s="211" t="s">
        <v>275</v>
      </c>
      <c r="L468" s="212">
        <f t="shared" si="48"/>
        <v>9329.1199176598057</v>
      </c>
      <c r="M468" s="213" t="s">
        <v>275</v>
      </c>
      <c r="N468" s="213" t="s">
        <v>275</v>
      </c>
      <c r="O468" s="303" t="s">
        <v>276</v>
      </c>
      <c r="P468" s="303" t="s">
        <v>276</v>
      </c>
      <c r="Q468" s="303" t="s">
        <v>275</v>
      </c>
      <c r="R468" s="295" t="s">
        <v>497</v>
      </c>
    </row>
    <row r="469" spans="1:18" s="14" customFormat="1" ht="90">
      <c r="A469" s="185" t="s">
        <v>501</v>
      </c>
      <c r="B469" s="343" t="s">
        <v>335</v>
      </c>
      <c r="C469" s="343"/>
      <c r="D469" s="179">
        <v>405402001</v>
      </c>
      <c r="E469" s="208">
        <v>2013</v>
      </c>
      <c r="F469" s="180">
        <f>D469/(VLOOKUP(E469,$D$929:$E$962,2,FALSE))</f>
        <v>687.70483630195076</v>
      </c>
      <c r="G469" s="209">
        <v>0.75</v>
      </c>
      <c r="H469" s="180">
        <f>F469*G469</f>
        <v>515.77862722646307</v>
      </c>
      <c r="I469" s="210">
        <v>41627</v>
      </c>
      <c r="J469" s="233" t="s">
        <v>275</v>
      </c>
      <c r="K469" s="211" t="s">
        <v>275</v>
      </c>
      <c r="L469" s="212">
        <f t="shared" si="48"/>
        <v>515.77862722646307</v>
      </c>
      <c r="M469" s="213" t="s">
        <v>275</v>
      </c>
      <c r="N469" s="213" t="s">
        <v>275</v>
      </c>
      <c r="O469" s="303" t="s">
        <v>275</v>
      </c>
      <c r="P469" s="303" t="s">
        <v>275</v>
      </c>
      <c r="Q469" s="303" t="s">
        <v>276</v>
      </c>
      <c r="R469" s="216" t="s">
        <v>393</v>
      </c>
    </row>
    <row r="470" spans="1:18" s="14" customFormat="1" ht="45">
      <c r="A470" s="185" t="s">
        <v>502</v>
      </c>
      <c r="B470" s="343" t="s">
        <v>335</v>
      </c>
      <c r="C470" s="343"/>
      <c r="D470" s="179">
        <v>96383023</v>
      </c>
      <c r="E470" s="208">
        <v>2000</v>
      </c>
      <c r="F470" s="180">
        <f>D470/(VLOOKUP(E470,$D$929:$E$962,2,FALSE))</f>
        <v>370.56141099577087</v>
      </c>
      <c r="G470" s="209">
        <v>1</v>
      </c>
      <c r="H470" s="180"/>
      <c r="I470" s="210">
        <v>36855</v>
      </c>
      <c r="J470" s="233" t="s">
        <v>275</v>
      </c>
      <c r="K470" s="233" t="s">
        <v>276</v>
      </c>
      <c r="L470" s="212">
        <f t="shared" si="48"/>
        <v>0</v>
      </c>
      <c r="M470" s="303" t="s">
        <v>276</v>
      </c>
      <c r="N470" s="303" t="s">
        <v>276</v>
      </c>
      <c r="O470" s="303" t="s">
        <v>276</v>
      </c>
      <c r="P470" s="303" t="s">
        <v>276</v>
      </c>
      <c r="Q470" s="303" t="s">
        <v>276</v>
      </c>
      <c r="R470" s="216" t="s">
        <v>503</v>
      </c>
    </row>
    <row r="471" spans="1:18" s="14" customFormat="1" ht="48" customHeight="1" thickBot="1">
      <c r="A471" s="346" t="s">
        <v>284</v>
      </c>
      <c r="B471" s="346"/>
      <c r="C471" s="346"/>
      <c r="D471" s="346"/>
      <c r="E471" s="346"/>
      <c r="F471" s="45">
        <f>+SUM(F464:F470)</f>
        <v>11771.873403609743</v>
      </c>
      <c r="G471" s="45"/>
      <c r="H471" s="45">
        <f>+SUM(H464:H470)</f>
        <v>11229.385783538484</v>
      </c>
      <c r="I471" s="359"/>
      <c r="J471" s="360"/>
      <c r="K471" s="196"/>
      <c r="L471" s="196"/>
      <c r="M471" s="196"/>
      <c r="N471" s="196"/>
      <c r="O471" s="196"/>
      <c r="P471" s="304"/>
      <c r="Q471" s="304"/>
      <c r="R471" s="37" t="s">
        <v>275</v>
      </c>
    </row>
    <row r="472" spans="1:18" ht="16.5" thickBot="1">
      <c r="A472" s="3"/>
      <c r="B472" s="3"/>
      <c r="C472" s="3"/>
      <c r="D472" s="3"/>
      <c r="E472" s="3"/>
      <c r="F472" s="3"/>
      <c r="G472" s="3"/>
      <c r="H472" s="3"/>
      <c r="I472" s="3"/>
      <c r="J472" s="3"/>
      <c r="K472" s="3"/>
      <c r="L472" s="3"/>
      <c r="M472" s="3"/>
      <c r="N472" s="3"/>
      <c r="O472" s="4"/>
      <c r="P472" s="4"/>
      <c r="Q472" s="4"/>
      <c r="R472" s="4"/>
    </row>
    <row r="473" spans="1:18" ht="30.75" customHeight="1" thickBot="1">
      <c r="A473" s="347">
        <f>1+A456</f>
        <v>34</v>
      </c>
      <c r="B473" s="347"/>
      <c r="C473" s="347"/>
      <c r="D473" s="347"/>
      <c r="E473" s="361" t="str">
        <f>VLOOKUP(A473,'REQUISITOS HAB. TECNICOS'!$A$5:$B$66,2,FALSE)</f>
        <v>CTV FONTIBON</v>
      </c>
      <c r="F473" s="361"/>
      <c r="G473" s="361"/>
      <c r="H473" s="361"/>
      <c r="I473" s="361"/>
      <c r="J473" s="361"/>
      <c r="K473" s="361"/>
      <c r="L473" s="361"/>
      <c r="M473" s="361"/>
      <c r="N473" s="361"/>
      <c r="O473" s="361"/>
      <c r="P473" s="361"/>
      <c r="Q473" s="361"/>
      <c r="R473" s="361"/>
    </row>
    <row r="474" spans="1:18" ht="50.25" customHeight="1" thickBot="1">
      <c r="A474" s="11" t="s">
        <v>247</v>
      </c>
      <c r="B474" s="76">
        <v>4</v>
      </c>
      <c r="C474" s="288" t="s">
        <v>248</v>
      </c>
      <c r="D474" s="344">
        <f>$D$899</f>
        <v>618.89671538461539</v>
      </c>
      <c r="E474" s="361"/>
      <c r="F474" s="361"/>
      <c r="G474" s="361"/>
      <c r="H474" s="361"/>
      <c r="I474" s="361"/>
      <c r="J474" s="361"/>
      <c r="K474" s="361"/>
      <c r="L474" s="361"/>
      <c r="M474" s="361"/>
      <c r="N474" s="361"/>
      <c r="O474" s="361"/>
      <c r="P474" s="361"/>
      <c r="Q474" s="361"/>
      <c r="R474" s="361"/>
    </row>
    <row r="475" spans="1:18" ht="23.25" customHeight="1" thickBot="1">
      <c r="A475" s="348" t="s">
        <v>249</v>
      </c>
      <c r="B475" s="348"/>
      <c r="C475" s="289">
        <f>+AVERAGE(H481:H485)</f>
        <v>267.58995722620176</v>
      </c>
      <c r="D475" s="345"/>
      <c r="E475" s="361"/>
      <c r="F475" s="361"/>
      <c r="G475" s="361"/>
      <c r="H475" s="361"/>
      <c r="I475" s="361"/>
      <c r="J475" s="361"/>
      <c r="K475" s="361"/>
      <c r="L475" s="361"/>
      <c r="M475" s="361"/>
      <c r="N475" s="361"/>
      <c r="O475" s="361"/>
      <c r="P475" s="361"/>
      <c r="Q475" s="361"/>
      <c r="R475" s="361"/>
    </row>
    <row r="476" spans="1:18" ht="23.25" customHeight="1" thickBot="1">
      <c r="A476" s="349" t="s">
        <v>250</v>
      </c>
      <c r="B476" s="349"/>
      <c r="C476" s="350">
        <v>45631</v>
      </c>
      <c r="D476" s="350"/>
      <c r="E476" s="361"/>
      <c r="F476" s="361"/>
      <c r="G476" s="361"/>
      <c r="H476" s="361"/>
      <c r="I476" s="361"/>
      <c r="J476" s="361"/>
      <c r="K476" s="361"/>
      <c r="L476" s="361"/>
      <c r="M476" s="361"/>
      <c r="N476" s="361"/>
      <c r="O476" s="361"/>
      <c r="P476" s="361"/>
      <c r="Q476" s="361"/>
      <c r="R476" s="361"/>
    </row>
    <row r="477" spans="1:18" ht="38.25" customHeight="1" thickBot="1">
      <c r="A477" s="351" t="s">
        <v>251</v>
      </c>
      <c r="B477" s="351"/>
      <c r="C477" s="352" t="str">
        <f>+IF(C475&gt;D474,"CUMPLE","NO CUMPLE")</f>
        <v>NO CUMPLE</v>
      </c>
      <c r="D477" s="352"/>
      <c r="E477" s="361"/>
      <c r="F477" s="361"/>
      <c r="G477" s="361"/>
      <c r="H477" s="361"/>
      <c r="I477" s="361"/>
      <c r="J477" s="361"/>
      <c r="K477" s="361"/>
      <c r="L477" s="361"/>
      <c r="M477" s="361"/>
      <c r="N477" s="361"/>
      <c r="O477" s="361"/>
      <c r="P477" s="361"/>
      <c r="Q477" s="361"/>
      <c r="R477" s="361"/>
    </row>
    <row r="478" spans="1:18" ht="86.25" customHeight="1" thickBot="1">
      <c r="A478" s="353" t="s">
        <v>252</v>
      </c>
      <c r="B478" s="353"/>
      <c r="C478" s="353"/>
      <c r="D478" s="353"/>
      <c r="E478" s="353"/>
      <c r="F478" s="353"/>
      <c r="G478" s="311"/>
      <c r="H478" s="311"/>
      <c r="I478" s="143" t="s">
        <v>253</v>
      </c>
      <c r="J478" s="305" t="s">
        <v>254</v>
      </c>
      <c r="K478" s="363" t="s">
        <v>255</v>
      </c>
      <c r="L478" s="364"/>
      <c r="M478" s="357" t="s">
        <v>256</v>
      </c>
      <c r="N478" s="357" t="s">
        <v>257</v>
      </c>
      <c r="O478" s="357" t="s">
        <v>258</v>
      </c>
      <c r="P478" s="357" t="s">
        <v>259</v>
      </c>
      <c r="Q478" s="357" t="s">
        <v>260</v>
      </c>
      <c r="R478" s="362" t="s">
        <v>261</v>
      </c>
    </row>
    <row r="479" spans="1:18" ht="77.25" customHeight="1">
      <c r="A479" s="144" t="s">
        <v>262</v>
      </c>
      <c r="B479" s="354" t="s">
        <v>263</v>
      </c>
      <c r="C479" s="354"/>
      <c r="D479" s="145" t="s">
        <v>264</v>
      </c>
      <c r="E479" s="145" t="s">
        <v>265</v>
      </c>
      <c r="F479" s="145" t="s">
        <v>266</v>
      </c>
      <c r="G479" s="146" t="s">
        <v>267</v>
      </c>
      <c r="H479" s="146" t="s">
        <v>268</v>
      </c>
      <c r="I479" s="147" t="s">
        <v>269</v>
      </c>
      <c r="J479" s="147" t="s">
        <v>270</v>
      </c>
      <c r="K479" s="198" t="s">
        <v>271</v>
      </c>
      <c r="L479" s="198" t="s">
        <v>272</v>
      </c>
      <c r="M479" s="358"/>
      <c r="N479" s="358"/>
      <c r="O479" s="358"/>
      <c r="P479" s="358"/>
      <c r="Q479" s="358"/>
      <c r="R479" s="362"/>
    </row>
    <row r="480" spans="1:18">
      <c r="A480" s="34" t="str">
        <f>'LISTA DE OFERENTES'!F37</f>
        <v>JET INGENIERIA 50%</v>
      </c>
      <c r="B480" s="35"/>
      <c r="C480" s="35"/>
      <c r="D480" s="35"/>
      <c r="E480" s="35"/>
      <c r="F480" s="35"/>
      <c r="G480" s="35"/>
      <c r="H480" s="35"/>
      <c r="I480" s="35"/>
      <c r="J480" s="35"/>
      <c r="K480" s="35"/>
      <c r="L480" s="35"/>
      <c r="M480" s="35"/>
      <c r="N480" s="35"/>
      <c r="O480" s="35"/>
      <c r="P480" s="35"/>
      <c r="Q480" s="35"/>
      <c r="R480" s="36"/>
    </row>
    <row r="481" spans="1:18" s="14" customFormat="1" ht="51">
      <c r="A481" s="257" t="s">
        <v>504</v>
      </c>
      <c r="B481" s="343" t="s">
        <v>505</v>
      </c>
      <c r="C481" s="343"/>
      <c r="D481" s="179">
        <v>665843763.70000005</v>
      </c>
      <c r="E481" s="208">
        <v>2019</v>
      </c>
      <c r="F481" s="180">
        <f>D481/(VLOOKUP(E481,$D$929:$E$962,2,FALSE))</f>
        <v>804.0464907090311</v>
      </c>
      <c r="G481" s="209">
        <v>0.15</v>
      </c>
      <c r="H481" s="180">
        <f>F481*G481</f>
        <v>120.60697360635466</v>
      </c>
      <c r="I481" s="210">
        <v>43579</v>
      </c>
      <c r="J481" s="211" t="s">
        <v>275</v>
      </c>
      <c r="K481" s="211" t="s">
        <v>275</v>
      </c>
      <c r="L481" s="212">
        <f>IF(K481="CUMPLE",H481,0)</f>
        <v>120.60697360635466</v>
      </c>
      <c r="M481" s="213" t="s">
        <v>275</v>
      </c>
      <c r="N481" s="213" t="s">
        <v>275</v>
      </c>
      <c r="O481" s="303" t="s">
        <v>275</v>
      </c>
      <c r="P481" s="239" t="s">
        <v>275</v>
      </c>
      <c r="Q481" s="239" t="s">
        <v>275</v>
      </c>
      <c r="R481" s="216"/>
    </row>
    <row r="482" spans="1:18" s="14" customFormat="1" ht="45">
      <c r="A482" s="257" t="s">
        <v>506</v>
      </c>
      <c r="B482" s="343" t="s">
        <v>507</v>
      </c>
      <c r="C482" s="343"/>
      <c r="D482" s="179">
        <v>30456352</v>
      </c>
      <c r="E482" s="208">
        <v>2019</v>
      </c>
      <c r="F482" s="180">
        <f>D482/(VLOOKUP(E482,$D$929:$E$962,2,FALSE))</f>
        <v>36.777881359616288</v>
      </c>
      <c r="G482" s="215">
        <v>1</v>
      </c>
      <c r="H482" s="180">
        <f>F482*G482</f>
        <v>36.777881359616288</v>
      </c>
      <c r="I482" s="210">
        <v>43775</v>
      </c>
      <c r="J482" s="211" t="s">
        <v>275</v>
      </c>
      <c r="K482" s="211" t="s">
        <v>275</v>
      </c>
      <c r="L482" s="212">
        <f t="shared" ref="L482:L485" si="49">IF(K482="CUMPLE",H482,0)</f>
        <v>36.777881359616288</v>
      </c>
      <c r="M482" s="213" t="s">
        <v>275</v>
      </c>
      <c r="N482" s="213" t="s">
        <v>275</v>
      </c>
      <c r="O482" s="303" t="s">
        <v>275</v>
      </c>
      <c r="P482" s="239" t="s">
        <v>275</v>
      </c>
      <c r="Q482" s="239" t="s">
        <v>276</v>
      </c>
      <c r="R482" s="216" t="s">
        <v>393</v>
      </c>
    </row>
    <row r="483" spans="1:18" s="14" customFormat="1" ht="51">
      <c r="A483" s="257" t="s">
        <v>508</v>
      </c>
      <c r="B483" s="343" t="s">
        <v>509</v>
      </c>
      <c r="C483" s="343"/>
      <c r="D483" s="179">
        <v>1068907317</v>
      </c>
      <c r="E483" s="208">
        <v>2019</v>
      </c>
      <c r="F483" s="180">
        <f>D483/(VLOOKUP(E483,$D$929:$E$962,2,FALSE))</f>
        <v>1290.7700334252688</v>
      </c>
      <c r="G483" s="215">
        <v>0.5</v>
      </c>
      <c r="H483" s="180">
        <f>F483*G483</f>
        <v>645.38501671263441</v>
      </c>
      <c r="I483" s="210">
        <v>43808</v>
      </c>
      <c r="J483" s="211" t="s">
        <v>275</v>
      </c>
      <c r="K483" s="211" t="s">
        <v>275</v>
      </c>
      <c r="L483" s="212">
        <f t="shared" si="49"/>
        <v>645.38501671263441</v>
      </c>
      <c r="M483" s="213" t="s">
        <v>275</v>
      </c>
      <c r="N483" s="213" t="s">
        <v>275</v>
      </c>
      <c r="O483" s="303" t="s">
        <v>275</v>
      </c>
      <c r="P483" s="239" t="s">
        <v>275</v>
      </c>
      <c r="Q483" s="239" t="s">
        <v>276</v>
      </c>
      <c r="R483" s="216" t="s">
        <v>393</v>
      </c>
    </row>
    <row r="484" spans="1:18">
      <c r="A484" s="225" t="str">
        <f>'LISTA DE OFERENTES'!E37</f>
        <v>INGENIERIA MASTER 50%</v>
      </c>
      <c r="B484" s="226"/>
      <c r="C484" s="226"/>
      <c r="D484" s="226"/>
      <c r="E484" s="226"/>
      <c r="F484" s="228"/>
      <c r="G484" s="228"/>
      <c r="H484" s="226"/>
      <c r="I484" s="226"/>
      <c r="J484" s="226"/>
      <c r="K484" s="226"/>
      <c r="L484" s="226"/>
      <c r="M484" s="226"/>
      <c r="N484" s="226"/>
      <c r="O484" s="226"/>
      <c r="P484" s="226"/>
      <c r="Q484" s="226"/>
      <c r="R484" s="227"/>
    </row>
    <row r="485" spans="1:18" s="14" customFormat="1" ht="45">
      <c r="A485" s="257" t="s">
        <v>510</v>
      </c>
      <c r="B485" s="343" t="s">
        <v>511</v>
      </c>
      <c r="C485" s="343"/>
      <c r="D485" s="179">
        <v>8551586329.5699997</v>
      </c>
      <c r="E485" s="208">
        <v>2021</v>
      </c>
      <c r="F485" s="180">
        <f>D485/(VLOOKUP(E485,$D$929:$E$962,2,FALSE))</f>
        <v>9412.5939484065402</v>
      </c>
      <c r="G485" s="209">
        <v>0.7</v>
      </c>
      <c r="H485" s="180"/>
      <c r="I485" s="210">
        <v>44414</v>
      </c>
      <c r="J485" s="211" t="s">
        <v>275</v>
      </c>
      <c r="K485" s="211" t="s">
        <v>275</v>
      </c>
      <c r="L485" s="212">
        <f t="shared" si="49"/>
        <v>0</v>
      </c>
      <c r="M485" s="213" t="s">
        <v>276</v>
      </c>
      <c r="N485" s="213" t="s">
        <v>276</v>
      </c>
      <c r="O485" s="303" t="s">
        <v>276</v>
      </c>
      <c r="P485" s="239" t="s">
        <v>276</v>
      </c>
      <c r="Q485" s="239" t="s">
        <v>276</v>
      </c>
      <c r="R485" s="216" t="s">
        <v>512</v>
      </c>
    </row>
    <row r="486" spans="1:18" s="14" customFormat="1" ht="30.6" customHeight="1" thickBot="1">
      <c r="A486" s="346" t="s">
        <v>284</v>
      </c>
      <c r="B486" s="346"/>
      <c r="C486" s="346"/>
      <c r="D486" s="346"/>
      <c r="E486" s="346"/>
      <c r="F486" s="45">
        <f>+SUM(F481:F485)</f>
        <v>11544.188353900456</v>
      </c>
      <c r="G486" s="45"/>
      <c r="H486" s="45">
        <f>+SUM(H481:H485)</f>
        <v>802.76987167860534</v>
      </c>
      <c r="I486" s="359"/>
      <c r="J486" s="360"/>
      <c r="K486" s="196"/>
      <c r="L486" s="196"/>
      <c r="M486" s="196"/>
      <c r="N486" s="196"/>
      <c r="O486" s="196"/>
      <c r="P486" s="304"/>
      <c r="Q486" s="304"/>
      <c r="R486" s="37" t="s">
        <v>275</v>
      </c>
    </row>
    <row r="487" spans="1:18" ht="16.5" thickBot="1">
      <c r="A487" s="3"/>
      <c r="B487" s="3"/>
      <c r="C487" s="3"/>
      <c r="D487" s="3"/>
      <c r="E487" s="3"/>
      <c r="F487" s="3"/>
      <c r="G487" s="3"/>
      <c r="H487" s="3"/>
      <c r="I487" s="3"/>
      <c r="J487" s="3"/>
      <c r="K487" s="3"/>
      <c r="L487" s="3"/>
      <c r="M487" s="3"/>
      <c r="N487" s="3"/>
      <c r="O487" s="4"/>
      <c r="P487" s="4"/>
      <c r="Q487" s="4"/>
      <c r="R487" s="4"/>
    </row>
    <row r="488" spans="1:18" ht="30.75" customHeight="1" thickBot="1">
      <c r="A488" s="347">
        <f>1+A473</f>
        <v>35</v>
      </c>
      <c r="B488" s="347"/>
      <c r="C488" s="347"/>
      <c r="D488" s="347"/>
      <c r="E488" s="361" t="str">
        <f>VLOOKUP(A488,'REQUISITOS HAB. TECNICOS'!$A$5:$B$66,2,FALSE)</f>
        <v>ESTUDIOS TÉCNICOS Y CONSTRUCCIONES SAS</v>
      </c>
      <c r="F488" s="361"/>
      <c r="G488" s="361"/>
      <c r="H488" s="361"/>
      <c r="I488" s="361"/>
      <c r="J488" s="361"/>
      <c r="K488" s="361"/>
      <c r="L488" s="361"/>
      <c r="M488" s="361"/>
      <c r="N488" s="361"/>
      <c r="O488" s="361"/>
      <c r="P488" s="361"/>
      <c r="Q488" s="361"/>
      <c r="R488" s="361"/>
    </row>
    <row r="489" spans="1:18" ht="50.25" customHeight="1" thickBot="1">
      <c r="A489" s="11" t="s">
        <v>247</v>
      </c>
      <c r="B489" s="76">
        <v>3</v>
      </c>
      <c r="C489" s="288" t="s">
        <v>248</v>
      </c>
      <c r="D489" s="344">
        <f>$D$899</f>
        <v>618.89671538461539</v>
      </c>
      <c r="E489" s="361"/>
      <c r="F489" s="361"/>
      <c r="G489" s="361"/>
      <c r="H489" s="361"/>
      <c r="I489" s="361"/>
      <c r="J489" s="361"/>
      <c r="K489" s="361"/>
      <c r="L489" s="361"/>
      <c r="M489" s="361"/>
      <c r="N489" s="361"/>
      <c r="O489" s="361"/>
      <c r="P489" s="361"/>
      <c r="Q489" s="361"/>
      <c r="R489" s="361"/>
    </row>
    <row r="490" spans="1:18" ht="23.25" customHeight="1" thickBot="1">
      <c r="A490" s="348" t="s">
        <v>249</v>
      </c>
      <c r="B490" s="348"/>
      <c r="C490" s="289">
        <f>+AVERAGE(H496:H498)</f>
        <v>800.9878051724138</v>
      </c>
      <c r="D490" s="345"/>
      <c r="E490" s="361"/>
      <c r="F490" s="361"/>
      <c r="G490" s="361"/>
      <c r="H490" s="361"/>
      <c r="I490" s="361"/>
      <c r="J490" s="361"/>
      <c r="K490" s="361"/>
      <c r="L490" s="361"/>
      <c r="M490" s="361"/>
      <c r="N490" s="361"/>
      <c r="O490" s="361"/>
      <c r="P490" s="361"/>
      <c r="Q490" s="361"/>
      <c r="R490" s="361"/>
    </row>
    <row r="491" spans="1:18" ht="23.25" customHeight="1" thickBot="1">
      <c r="A491" s="349" t="s">
        <v>250</v>
      </c>
      <c r="B491" s="349"/>
      <c r="C491" s="350">
        <v>45631</v>
      </c>
      <c r="D491" s="350"/>
      <c r="E491" s="361"/>
      <c r="F491" s="361"/>
      <c r="G491" s="361"/>
      <c r="H491" s="361"/>
      <c r="I491" s="361"/>
      <c r="J491" s="361"/>
      <c r="K491" s="361"/>
      <c r="L491" s="361"/>
      <c r="M491" s="361"/>
      <c r="N491" s="361"/>
      <c r="O491" s="361"/>
      <c r="P491" s="361"/>
      <c r="Q491" s="361"/>
      <c r="R491" s="361"/>
    </row>
    <row r="492" spans="1:18" ht="38.25" customHeight="1" thickBot="1">
      <c r="A492" s="351" t="s">
        <v>251</v>
      </c>
      <c r="B492" s="351"/>
      <c r="C492" s="352" t="str">
        <f>+IF(H499&gt;D489,"CUMPLE","NO CUMPLE")</f>
        <v>CUMPLE</v>
      </c>
      <c r="D492" s="352"/>
      <c r="E492" s="361"/>
      <c r="F492" s="361"/>
      <c r="G492" s="361"/>
      <c r="H492" s="361"/>
      <c r="I492" s="361"/>
      <c r="J492" s="361"/>
      <c r="K492" s="361"/>
      <c r="L492" s="361"/>
      <c r="M492" s="361"/>
      <c r="N492" s="361"/>
      <c r="O492" s="361"/>
      <c r="P492" s="361"/>
      <c r="Q492" s="361"/>
      <c r="R492" s="361"/>
    </row>
    <row r="493" spans="1:18" ht="84.75" customHeight="1" thickBot="1">
      <c r="A493" s="353" t="s">
        <v>252</v>
      </c>
      <c r="B493" s="353"/>
      <c r="C493" s="353"/>
      <c r="D493" s="353"/>
      <c r="E493" s="353"/>
      <c r="F493" s="353"/>
      <c r="G493" s="311"/>
      <c r="H493" s="311"/>
      <c r="I493" s="143" t="s">
        <v>253</v>
      </c>
      <c r="J493" s="305" t="s">
        <v>254</v>
      </c>
      <c r="K493" s="363" t="s">
        <v>255</v>
      </c>
      <c r="L493" s="364"/>
      <c r="M493" s="357" t="s">
        <v>256</v>
      </c>
      <c r="N493" s="357" t="s">
        <v>257</v>
      </c>
      <c r="O493" s="357" t="s">
        <v>258</v>
      </c>
      <c r="P493" s="357" t="s">
        <v>259</v>
      </c>
      <c r="Q493" s="357" t="s">
        <v>260</v>
      </c>
      <c r="R493" s="362" t="s">
        <v>261</v>
      </c>
    </row>
    <row r="494" spans="1:18" ht="77.25" customHeight="1">
      <c r="A494" s="144" t="s">
        <v>262</v>
      </c>
      <c r="B494" s="354" t="s">
        <v>263</v>
      </c>
      <c r="C494" s="354"/>
      <c r="D494" s="145" t="s">
        <v>264</v>
      </c>
      <c r="E494" s="145" t="s">
        <v>265</v>
      </c>
      <c r="F494" s="145" t="s">
        <v>266</v>
      </c>
      <c r="G494" s="146" t="s">
        <v>267</v>
      </c>
      <c r="H494" s="146" t="s">
        <v>268</v>
      </c>
      <c r="I494" s="147" t="s">
        <v>269</v>
      </c>
      <c r="J494" s="147" t="s">
        <v>270</v>
      </c>
      <c r="K494" s="198" t="s">
        <v>271</v>
      </c>
      <c r="L494" s="198" t="s">
        <v>272</v>
      </c>
      <c r="M494" s="358"/>
      <c r="N494" s="358"/>
      <c r="O494" s="358"/>
      <c r="P494" s="358"/>
      <c r="Q494" s="358"/>
      <c r="R494" s="362"/>
    </row>
    <row r="495" spans="1:18">
      <c r="A495" s="34" t="str">
        <f>'LISTA DE OFERENTES'!E38</f>
        <v>ESTUDIOS TÉCNICOS Y CONSTRUCCIONES SAS 100%</v>
      </c>
      <c r="B495" s="35"/>
      <c r="C495" s="35"/>
      <c r="D495" s="35"/>
      <c r="E495" s="35"/>
      <c r="F495" s="35"/>
      <c r="G495" s="35"/>
      <c r="H495" s="35"/>
      <c r="I495" s="35"/>
      <c r="J495" s="35"/>
      <c r="K495" s="35"/>
      <c r="L495" s="35"/>
      <c r="M495" s="35"/>
      <c r="N495" s="35"/>
      <c r="O495" s="35"/>
      <c r="P495" s="35"/>
      <c r="Q495" s="35"/>
      <c r="R495" s="36"/>
    </row>
    <row r="496" spans="1:18" s="14" customFormat="1" ht="120">
      <c r="A496" s="257" t="s">
        <v>513</v>
      </c>
      <c r="B496" s="343" t="s">
        <v>514</v>
      </c>
      <c r="C496" s="343"/>
      <c r="D496" s="179">
        <v>918774367</v>
      </c>
      <c r="E496" s="208">
        <v>2021</v>
      </c>
      <c r="F496" s="180">
        <f>D496/(VLOOKUP(E496,$D$929:$E$962,2,FALSE))</f>
        <v>1011.2802132244977</v>
      </c>
      <c r="G496" s="209">
        <v>1</v>
      </c>
      <c r="H496" s="180"/>
      <c r="I496" s="210">
        <v>44384</v>
      </c>
      <c r="J496" s="211" t="s">
        <v>275</v>
      </c>
      <c r="K496" s="211" t="s">
        <v>276</v>
      </c>
      <c r="L496" s="212">
        <f>IF(K496="CUMPLE",H496,0)</f>
        <v>0</v>
      </c>
      <c r="M496" s="303" t="s">
        <v>276</v>
      </c>
      <c r="N496" s="303" t="s">
        <v>276</v>
      </c>
      <c r="O496" s="303" t="s">
        <v>276</v>
      </c>
      <c r="P496" s="303" t="s">
        <v>276</v>
      </c>
      <c r="Q496" s="303" t="s">
        <v>276</v>
      </c>
      <c r="R496" s="216" t="s">
        <v>312</v>
      </c>
    </row>
    <row r="497" spans="1:18" s="14" customFormat="1" ht="120">
      <c r="A497" s="257" t="s">
        <v>515</v>
      </c>
      <c r="B497" s="343" t="s">
        <v>514</v>
      </c>
      <c r="C497" s="343"/>
      <c r="D497" s="179">
        <v>4078000000</v>
      </c>
      <c r="E497" s="208">
        <v>2021</v>
      </c>
      <c r="F497" s="180">
        <f>D497/(VLOOKUP(E497,$D$929:$E$962,2,FALSE))</f>
        <v>4488.5892093346802</v>
      </c>
      <c r="G497" s="215">
        <v>1</v>
      </c>
      <c r="H497" s="180"/>
      <c r="I497" s="210">
        <v>44427</v>
      </c>
      <c r="J497" s="211" t="s">
        <v>275</v>
      </c>
      <c r="K497" s="211" t="s">
        <v>276</v>
      </c>
      <c r="L497" s="212">
        <f t="shared" ref="L497:L498" si="50">IF(K497="CUMPLE",H497,0)</f>
        <v>0</v>
      </c>
      <c r="M497" s="303" t="s">
        <v>276</v>
      </c>
      <c r="N497" s="303" t="s">
        <v>276</v>
      </c>
      <c r="O497" s="303" t="s">
        <v>276</v>
      </c>
      <c r="P497" s="303" t="s">
        <v>276</v>
      </c>
      <c r="Q497" s="303" t="s">
        <v>276</v>
      </c>
      <c r="R497" s="216" t="s">
        <v>312</v>
      </c>
    </row>
    <row r="498" spans="1:18" s="14" customFormat="1" ht="105">
      <c r="A498" s="257" t="s">
        <v>516</v>
      </c>
      <c r="B498" s="343" t="s">
        <v>517</v>
      </c>
      <c r="C498" s="343"/>
      <c r="D498" s="179">
        <v>929145854</v>
      </c>
      <c r="E498" s="208">
        <v>2023</v>
      </c>
      <c r="F498" s="180">
        <f>D498/(VLOOKUP(E498,$D$929:$E$962,2,FALSE))</f>
        <v>800.9878051724138</v>
      </c>
      <c r="G498" s="215">
        <v>1</v>
      </c>
      <c r="H498" s="180">
        <f>F498*G498</f>
        <v>800.9878051724138</v>
      </c>
      <c r="I498" s="210">
        <v>45254</v>
      </c>
      <c r="J498" s="211" t="s">
        <v>275</v>
      </c>
      <c r="K498" s="211" t="s">
        <v>275</v>
      </c>
      <c r="L498" s="212">
        <f t="shared" si="50"/>
        <v>800.9878051724138</v>
      </c>
      <c r="M498" s="224" t="s">
        <v>275</v>
      </c>
      <c r="N498" s="224" t="s">
        <v>276</v>
      </c>
      <c r="O498" s="303" t="s">
        <v>275</v>
      </c>
      <c r="P498" s="303" t="s">
        <v>276</v>
      </c>
      <c r="Q498" s="303" t="s">
        <v>276</v>
      </c>
      <c r="R498" s="216" t="s">
        <v>518</v>
      </c>
    </row>
    <row r="499" spans="1:18" s="14" customFormat="1" ht="48" customHeight="1" thickBot="1">
      <c r="A499" s="346" t="s">
        <v>284</v>
      </c>
      <c r="B499" s="346"/>
      <c r="C499" s="346"/>
      <c r="D499" s="346"/>
      <c r="E499" s="346"/>
      <c r="F499" s="45">
        <f>+SUM(F496:F498)</f>
        <v>6300.8572277315916</v>
      </c>
      <c r="G499" s="45"/>
      <c r="H499" s="45">
        <f>+SUM(H496:H498)</f>
        <v>800.9878051724138</v>
      </c>
      <c r="I499" s="359"/>
      <c r="J499" s="360"/>
      <c r="K499" s="196"/>
      <c r="L499" s="196"/>
      <c r="M499" s="196"/>
      <c r="N499" s="196"/>
      <c r="O499" s="196"/>
      <c r="P499" s="304"/>
      <c r="Q499" s="304"/>
      <c r="R499" s="37" t="s">
        <v>276</v>
      </c>
    </row>
    <row r="500" spans="1:18" ht="16.5" thickBot="1">
      <c r="A500" s="3"/>
      <c r="B500" s="3"/>
      <c r="C500" s="3"/>
      <c r="D500" s="3"/>
      <c r="E500" s="3"/>
      <c r="F500" s="3"/>
      <c r="G500" s="3"/>
      <c r="H500" s="3"/>
      <c r="I500" s="3"/>
      <c r="J500" s="3"/>
      <c r="K500" s="3"/>
      <c r="L500" s="3"/>
      <c r="M500" s="3"/>
      <c r="N500" s="3"/>
      <c r="O500" s="4"/>
      <c r="P500" s="4"/>
      <c r="Q500" s="4"/>
      <c r="R500" s="4"/>
    </row>
    <row r="501" spans="1:18" ht="30.75" customHeight="1" thickBot="1">
      <c r="A501" s="347">
        <f>1+A488</f>
        <v>36</v>
      </c>
      <c r="B501" s="347"/>
      <c r="C501" s="347"/>
      <c r="D501" s="347"/>
      <c r="E501" s="361" t="str">
        <f>VLOOKUP(A501,'REQUISITOS HAB. TECNICOS'!$A$5:$B$66,2,FALSE)</f>
        <v>ALIANZA INTEGRAL DE PROYECTOS SAS BIC</v>
      </c>
      <c r="F501" s="361"/>
      <c r="G501" s="361"/>
      <c r="H501" s="361"/>
      <c r="I501" s="361"/>
      <c r="J501" s="361"/>
      <c r="K501" s="361"/>
      <c r="L501" s="361"/>
      <c r="M501" s="361"/>
      <c r="N501" s="361"/>
      <c r="O501" s="361"/>
      <c r="P501" s="361"/>
      <c r="Q501" s="361"/>
      <c r="R501" s="361"/>
    </row>
    <row r="502" spans="1:18" ht="50.25" customHeight="1" thickBot="1">
      <c r="A502" s="11" t="s">
        <v>247</v>
      </c>
      <c r="B502" s="76">
        <v>6</v>
      </c>
      <c r="C502" s="288" t="s">
        <v>248</v>
      </c>
      <c r="D502" s="344">
        <f>$D$899</f>
        <v>618.89671538461539</v>
      </c>
      <c r="E502" s="361"/>
      <c r="F502" s="361"/>
      <c r="G502" s="361"/>
      <c r="H502" s="361"/>
      <c r="I502" s="361"/>
      <c r="J502" s="361"/>
      <c r="K502" s="361"/>
      <c r="L502" s="361"/>
      <c r="M502" s="361"/>
      <c r="N502" s="361"/>
      <c r="O502" s="361"/>
      <c r="P502" s="361"/>
      <c r="Q502" s="361"/>
      <c r="R502" s="361"/>
    </row>
    <row r="503" spans="1:18" ht="23.25" customHeight="1" thickBot="1">
      <c r="A503" s="348" t="s">
        <v>249</v>
      </c>
      <c r="B503" s="348"/>
      <c r="C503" s="289">
        <f>+AVERAGE(H509:H514)</f>
        <v>1169.218098106365</v>
      </c>
      <c r="D503" s="345"/>
      <c r="E503" s="361"/>
      <c r="F503" s="361"/>
      <c r="G503" s="361"/>
      <c r="H503" s="361"/>
      <c r="I503" s="361"/>
      <c r="J503" s="361"/>
      <c r="K503" s="361"/>
      <c r="L503" s="361"/>
      <c r="M503" s="361"/>
      <c r="N503" s="361"/>
      <c r="O503" s="361"/>
      <c r="P503" s="361"/>
      <c r="Q503" s="361"/>
      <c r="R503" s="361"/>
    </row>
    <row r="504" spans="1:18" ht="23.25" customHeight="1" thickBot="1">
      <c r="A504" s="349" t="s">
        <v>250</v>
      </c>
      <c r="B504" s="349"/>
      <c r="C504" s="350">
        <v>45631</v>
      </c>
      <c r="D504" s="350"/>
      <c r="E504" s="361"/>
      <c r="F504" s="361"/>
      <c r="G504" s="361"/>
      <c r="H504" s="361"/>
      <c r="I504" s="361"/>
      <c r="J504" s="361"/>
      <c r="K504" s="361"/>
      <c r="L504" s="361"/>
      <c r="M504" s="361"/>
      <c r="N504" s="361"/>
      <c r="O504" s="361"/>
      <c r="P504" s="361"/>
      <c r="Q504" s="361"/>
      <c r="R504" s="361"/>
    </row>
    <row r="505" spans="1:18" ht="38.25" customHeight="1" thickBot="1">
      <c r="A505" s="351" t="s">
        <v>251</v>
      </c>
      <c r="B505" s="351"/>
      <c r="C505" s="352" t="str">
        <f>+IF(H514&gt;D502,"CUMPLE","NO CUMPLE")</f>
        <v>NO CUMPLE</v>
      </c>
      <c r="D505" s="352"/>
      <c r="E505" s="361"/>
      <c r="F505" s="361"/>
      <c r="G505" s="361"/>
      <c r="H505" s="361"/>
      <c r="I505" s="361"/>
      <c r="J505" s="361"/>
      <c r="K505" s="361"/>
      <c r="L505" s="361"/>
      <c r="M505" s="361"/>
      <c r="N505" s="361"/>
      <c r="O505" s="361"/>
      <c r="P505" s="361"/>
      <c r="Q505" s="361"/>
      <c r="R505" s="361"/>
    </row>
    <row r="506" spans="1:18" ht="86.25" customHeight="1" thickBot="1">
      <c r="A506" s="353" t="s">
        <v>252</v>
      </c>
      <c r="B506" s="353"/>
      <c r="C506" s="353"/>
      <c r="D506" s="353"/>
      <c r="E506" s="353"/>
      <c r="F506" s="353"/>
      <c r="G506" s="311"/>
      <c r="H506" s="311"/>
      <c r="I506" s="143" t="s">
        <v>253</v>
      </c>
      <c r="J506" s="305" t="s">
        <v>254</v>
      </c>
      <c r="K506" s="363" t="s">
        <v>255</v>
      </c>
      <c r="L506" s="364"/>
      <c r="M506" s="357" t="s">
        <v>256</v>
      </c>
      <c r="N506" s="357" t="s">
        <v>257</v>
      </c>
      <c r="O506" s="357" t="s">
        <v>258</v>
      </c>
      <c r="P506" s="357" t="s">
        <v>259</v>
      </c>
      <c r="Q506" s="357" t="s">
        <v>260</v>
      </c>
      <c r="R506" s="362" t="s">
        <v>261</v>
      </c>
    </row>
    <row r="507" spans="1:18" ht="77.25" customHeight="1">
      <c r="A507" s="144" t="s">
        <v>262</v>
      </c>
      <c r="B507" s="354" t="s">
        <v>263</v>
      </c>
      <c r="C507" s="354"/>
      <c r="D507" s="145" t="s">
        <v>264</v>
      </c>
      <c r="E507" s="145" t="s">
        <v>265</v>
      </c>
      <c r="F507" s="145" t="s">
        <v>266</v>
      </c>
      <c r="G507" s="146" t="s">
        <v>267</v>
      </c>
      <c r="H507" s="146" t="s">
        <v>268</v>
      </c>
      <c r="I507" s="147" t="s">
        <v>269</v>
      </c>
      <c r="J507" s="147" t="s">
        <v>270</v>
      </c>
      <c r="K507" s="198" t="s">
        <v>271</v>
      </c>
      <c r="L507" s="198" t="s">
        <v>272</v>
      </c>
      <c r="M507" s="358"/>
      <c r="N507" s="358"/>
      <c r="O507" s="358"/>
      <c r="P507" s="358"/>
      <c r="Q507" s="358"/>
      <c r="R507" s="362"/>
    </row>
    <row r="508" spans="1:18">
      <c r="A508" s="34" t="str">
        <f>'LISTA DE OFERENTES'!E39</f>
        <v>ALIANZA INTEGRAL DE PROYECTOS SAS BIC 100%</v>
      </c>
      <c r="B508" s="187"/>
      <c r="C508" s="187"/>
      <c r="D508" s="187"/>
      <c r="E508" s="187"/>
      <c r="F508" s="187"/>
      <c r="G508" s="187"/>
      <c r="H508" s="187"/>
      <c r="I508" s="187"/>
      <c r="J508" s="187"/>
      <c r="K508" s="35"/>
      <c r="L508" s="35"/>
      <c r="M508" s="187"/>
      <c r="N508" s="187"/>
      <c r="O508" s="187"/>
      <c r="P508" s="187"/>
      <c r="Q508" s="187"/>
      <c r="R508" s="187"/>
    </row>
    <row r="509" spans="1:18" s="14" customFormat="1" ht="30">
      <c r="A509" s="188" t="s">
        <v>519</v>
      </c>
      <c r="B509" s="425" t="s">
        <v>520</v>
      </c>
      <c r="C509" s="425"/>
      <c r="D509" s="6">
        <v>356536062</v>
      </c>
      <c r="E509" s="208">
        <v>2012</v>
      </c>
      <c r="F509" s="7">
        <f t="shared" ref="F509:F514" si="51">D509/(VLOOKUP(E509,$D$929:$E$962,2,FALSE))</f>
        <v>629.14427739544738</v>
      </c>
      <c r="G509" s="65">
        <v>1</v>
      </c>
      <c r="H509" s="7">
        <f>F509*G509</f>
        <v>629.14427739544738</v>
      </c>
      <c r="I509" s="217">
        <v>41238</v>
      </c>
      <c r="J509" s="312" t="s">
        <v>275</v>
      </c>
      <c r="K509" s="312" t="s">
        <v>275</v>
      </c>
      <c r="L509" s="219">
        <f>IF(K509="CUMPLE",H509,0)</f>
        <v>629.14427739544738</v>
      </c>
      <c r="M509" s="259" t="s">
        <v>275</v>
      </c>
      <c r="N509" s="259" t="s">
        <v>275</v>
      </c>
      <c r="O509" s="312" t="s">
        <v>276</v>
      </c>
      <c r="P509" s="312" t="s">
        <v>275</v>
      </c>
      <c r="Q509" s="312" t="s">
        <v>276</v>
      </c>
      <c r="R509" s="172" t="s">
        <v>521</v>
      </c>
    </row>
    <row r="510" spans="1:18" s="14" customFormat="1" ht="76.5">
      <c r="A510" s="189" t="s">
        <v>522</v>
      </c>
      <c r="B510" s="425" t="s">
        <v>523</v>
      </c>
      <c r="C510" s="425"/>
      <c r="D510" s="6">
        <v>349070100</v>
      </c>
      <c r="E510" s="208">
        <v>2015</v>
      </c>
      <c r="F510" s="7">
        <f t="shared" si="51"/>
        <v>541.73989291534099</v>
      </c>
      <c r="G510" s="65">
        <v>0.5</v>
      </c>
      <c r="H510" s="7">
        <f>F510*G510</f>
        <v>270.86994645767049</v>
      </c>
      <c r="I510" s="217">
        <v>42328</v>
      </c>
      <c r="J510" s="312" t="s">
        <v>275</v>
      </c>
      <c r="K510" s="312" t="s">
        <v>275</v>
      </c>
      <c r="L510" s="219">
        <f t="shared" ref="L510:L514" si="52">IF(K510="CUMPLE",H510,0)</f>
        <v>270.86994645767049</v>
      </c>
      <c r="M510" s="259" t="s">
        <v>275</v>
      </c>
      <c r="N510" s="259" t="s">
        <v>275</v>
      </c>
      <c r="O510" s="312" t="s">
        <v>276</v>
      </c>
      <c r="P510" s="312" t="s">
        <v>275</v>
      </c>
      <c r="Q510" s="312" t="s">
        <v>275</v>
      </c>
      <c r="R510" s="172" t="s">
        <v>524</v>
      </c>
    </row>
    <row r="511" spans="1:18" s="14" customFormat="1" ht="76.5">
      <c r="A511" s="190" t="s">
        <v>525</v>
      </c>
      <c r="B511" s="425" t="s">
        <v>526</v>
      </c>
      <c r="C511" s="425"/>
      <c r="D511" s="6">
        <v>1231975580</v>
      </c>
      <c r="E511" s="208">
        <v>2017</v>
      </c>
      <c r="F511" s="7">
        <f t="shared" si="51"/>
        <v>1669.9839911510783</v>
      </c>
      <c r="G511" s="65">
        <v>0.5</v>
      </c>
      <c r="H511" s="7">
        <f>F511*G511</f>
        <v>834.99199557553914</v>
      </c>
      <c r="I511" s="217">
        <v>42945</v>
      </c>
      <c r="J511" s="312" t="s">
        <v>275</v>
      </c>
      <c r="K511" s="312" t="s">
        <v>275</v>
      </c>
      <c r="L511" s="219">
        <f t="shared" si="52"/>
        <v>834.99199557553914</v>
      </c>
      <c r="M511" s="259" t="s">
        <v>275</v>
      </c>
      <c r="N511" s="259" t="s">
        <v>275</v>
      </c>
      <c r="O511" s="312" t="s">
        <v>276</v>
      </c>
      <c r="P511" s="312" t="s">
        <v>275</v>
      </c>
      <c r="Q511" s="312" t="s">
        <v>275</v>
      </c>
      <c r="R511" s="172" t="s">
        <v>527</v>
      </c>
    </row>
    <row r="512" spans="1:18" ht="120">
      <c r="A512" s="260" t="s">
        <v>528</v>
      </c>
      <c r="B512" s="425" t="s">
        <v>529</v>
      </c>
      <c r="C512" s="425"/>
      <c r="D512" s="6">
        <v>4919595713.1999998</v>
      </c>
      <c r="E512" s="208">
        <v>2012</v>
      </c>
      <c r="F512" s="7">
        <f t="shared" si="51"/>
        <v>8681.1288392447495</v>
      </c>
      <c r="G512" s="65">
        <v>0.495</v>
      </c>
      <c r="H512" s="7">
        <f t="shared" ref="H512:H514" si="53">F512*G512</f>
        <v>4297.1587754261509</v>
      </c>
      <c r="I512" s="217" t="s">
        <v>530</v>
      </c>
      <c r="J512" s="312" t="s">
        <v>275</v>
      </c>
      <c r="K512" s="312" t="s">
        <v>276</v>
      </c>
      <c r="L512" s="219">
        <f t="shared" si="52"/>
        <v>0</v>
      </c>
      <c r="M512" s="312" t="s">
        <v>276</v>
      </c>
      <c r="N512" s="312" t="s">
        <v>276</v>
      </c>
      <c r="O512" s="312" t="s">
        <v>276</v>
      </c>
      <c r="P512" s="312" t="s">
        <v>276</v>
      </c>
      <c r="Q512" s="312" t="s">
        <v>276</v>
      </c>
      <c r="R512" s="172" t="s">
        <v>312</v>
      </c>
    </row>
    <row r="513" spans="1:18" s="14" customFormat="1" ht="63.75">
      <c r="A513" s="191" t="s">
        <v>531</v>
      </c>
      <c r="B513" s="425" t="s">
        <v>529</v>
      </c>
      <c r="C513" s="425"/>
      <c r="D513" s="6">
        <v>758680832</v>
      </c>
      <c r="E513" s="208">
        <v>2015</v>
      </c>
      <c r="F513" s="7">
        <f t="shared" si="51"/>
        <v>1177.4359152634438</v>
      </c>
      <c r="G513" s="65">
        <v>0.43</v>
      </c>
      <c r="H513" s="7">
        <f t="shared" si="53"/>
        <v>506.29744356328081</v>
      </c>
      <c r="I513" s="217">
        <v>42346</v>
      </c>
      <c r="J513" s="312" t="s">
        <v>275</v>
      </c>
      <c r="K513" s="312" t="s">
        <v>275</v>
      </c>
      <c r="L513" s="219">
        <f t="shared" si="52"/>
        <v>506.29744356328081</v>
      </c>
      <c r="M513" s="259" t="s">
        <v>275</v>
      </c>
      <c r="N513" s="259" t="s">
        <v>275</v>
      </c>
      <c r="O513" s="312" t="s">
        <v>275</v>
      </c>
      <c r="P513" s="312" t="s">
        <v>276</v>
      </c>
      <c r="Q513" s="312" t="s">
        <v>276</v>
      </c>
      <c r="R513" s="172" t="s">
        <v>532</v>
      </c>
    </row>
    <row r="514" spans="1:18" s="14" customFormat="1" ht="171.6" customHeight="1">
      <c r="A514" s="190" t="s">
        <v>533</v>
      </c>
      <c r="B514" s="425" t="s">
        <v>534</v>
      </c>
      <c r="C514" s="425"/>
      <c r="D514" s="6">
        <f>372315720+139618395+99054345+46539465</f>
        <v>657527925</v>
      </c>
      <c r="E514" s="208">
        <v>2016</v>
      </c>
      <c r="F514" s="7">
        <f t="shared" si="51"/>
        <v>953.69230044020276</v>
      </c>
      <c r="G514" s="65">
        <v>0.5</v>
      </c>
      <c r="H514" s="7">
        <f t="shared" si="53"/>
        <v>476.84615022010138</v>
      </c>
      <c r="I514" s="217">
        <v>42432</v>
      </c>
      <c r="J514" s="312" t="s">
        <v>275</v>
      </c>
      <c r="K514" s="312" t="s">
        <v>275</v>
      </c>
      <c r="L514" s="219">
        <f t="shared" si="52"/>
        <v>476.84615022010138</v>
      </c>
      <c r="M514" s="259" t="s">
        <v>275</v>
      </c>
      <c r="N514" s="259" t="s">
        <v>275</v>
      </c>
      <c r="O514" s="312" t="s">
        <v>275</v>
      </c>
      <c r="P514" s="312" t="s">
        <v>276</v>
      </c>
      <c r="Q514" s="312" t="s">
        <v>275</v>
      </c>
      <c r="R514" s="172" t="s">
        <v>535</v>
      </c>
    </row>
    <row r="515" spans="1:18" ht="30.6" customHeight="1" thickBot="1">
      <c r="A515" s="346" t="s">
        <v>284</v>
      </c>
      <c r="B515" s="346"/>
      <c r="C515" s="346"/>
      <c r="D515" s="346"/>
      <c r="E515" s="346"/>
      <c r="F515" s="45">
        <f>+SUM(F509:F514)</f>
        <v>13653.125216410263</v>
      </c>
      <c r="G515" s="45"/>
      <c r="H515" s="45">
        <f>+SUM(H509:H514)</f>
        <v>7015.3085886381896</v>
      </c>
      <c r="I515" s="359"/>
      <c r="J515" s="360"/>
      <c r="K515" s="196"/>
      <c r="L515" s="196"/>
      <c r="M515" s="196"/>
      <c r="N515" s="196"/>
      <c r="O515" s="196"/>
      <c r="P515" s="304"/>
      <c r="Q515" s="304"/>
      <c r="R515" s="37" t="s">
        <v>275</v>
      </c>
    </row>
    <row r="516" spans="1:18" ht="16.5" thickBot="1">
      <c r="A516" s="3"/>
      <c r="B516" s="3"/>
      <c r="C516" s="3"/>
      <c r="D516" s="3"/>
      <c r="E516" s="3"/>
      <c r="F516" s="3"/>
      <c r="G516" s="3"/>
      <c r="H516" s="3"/>
      <c r="I516" s="3"/>
      <c r="J516" s="3"/>
      <c r="K516" s="3"/>
      <c r="L516" s="3"/>
      <c r="M516" s="3"/>
      <c r="N516" s="3"/>
      <c r="O516" s="4"/>
      <c r="P516" s="4"/>
      <c r="Q516" s="4"/>
      <c r="R516" s="4"/>
    </row>
    <row r="517" spans="1:18" ht="30.75" customHeight="1" thickBot="1">
      <c r="A517" s="347">
        <f>1+A501</f>
        <v>37</v>
      </c>
      <c r="B517" s="347"/>
      <c r="C517" s="347"/>
      <c r="D517" s="347"/>
      <c r="E517" s="361" t="str">
        <f>VLOOKUP(A517,'REQUISITOS HAB. TECNICOS'!$A$5:$B$66,2,FALSE)</f>
        <v>CONSORCIO EPSILON FONTIBON</v>
      </c>
      <c r="F517" s="361"/>
      <c r="G517" s="361"/>
      <c r="H517" s="361"/>
      <c r="I517" s="361"/>
      <c r="J517" s="361"/>
      <c r="K517" s="361"/>
      <c r="L517" s="361"/>
      <c r="M517" s="361"/>
      <c r="N517" s="361"/>
      <c r="O517" s="361"/>
      <c r="P517" s="361"/>
      <c r="Q517" s="361"/>
      <c r="R517" s="361"/>
    </row>
    <row r="518" spans="1:18" ht="50.25" customHeight="1" thickBot="1">
      <c r="A518" s="11" t="s">
        <v>247</v>
      </c>
      <c r="B518" s="76">
        <v>4</v>
      </c>
      <c r="C518" s="288" t="s">
        <v>248</v>
      </c>
      <c r="D518" s="344">
        <f>$D$899</f>
        <v>618.89671538461539</v>
      </c>
      <c r="E518" s="361"/>
      <c r="F518" s="361"/>
      <c r="G518" s="361"/>
      <c r="H518" s="361"/>
      <c r="I518" s="361"/>
      <c r="J518" s="361"/>
      <c r="K518" s="361"/>
      <c r="L518" s="361"/>
      <c r="M518" s="361"/>
      <c r="N518" s="361"/>
      <c r="O518" s="361"/>
      <c r="P518" s="361"/>
      <c r="Q518" s="361"/>
      <c r="R518" s="361"/>
    </row>
    <row r="519" spans="1:18" ht="23.25" customHeight="1" thickBot="1">
      <c r="A519" s="348" t="s">
        <v>249</v>
      </c>
      <c r="B519" s="348"/>
      <c r="C519" s="289">
        <f>+AVERAGE(H525:H528)</f>
        <v>1188.033678001849</v>
      </c>
      <c r="D519" s="345"/>
      <c r="E519" s="361"/>
      <c r="F519" s="361"/>
      <c r="G519" s="361"/>
      <c r="H519" s="361"/>
      <c r="I519" s="361"/>
      <c r="J519" s="361"/>
      <c r="K519" s="361"/>
      <c r="L519" s="361"/>
      <c r="M519" s="361"/>
      <c r="N519" s="361"/>
      <c r="O519" s="361"/>
      <c r="P519" s="361"/>
      <c r="Q519" s="361"/>
      <c r="R519" s="361"/>
    </row>
    <row r="520" spans="1:18" ht="23.25" customHeight="1" thickBot="1">
      <c r="A520" s="349" t="s">
        <v>250</v>
      </c>
      <c r="B520" s="349"/>
      <c r="C520" s="350">
        <v>45631</v>
      </c>
      <c r="D520" s="350"/>
      <c r="E520" s="361"/>
      <c r="F520" s="361"/>
      <c r="G520" s="361"/>
      <c r="H520" s="361"/>
      <c r="I520" s="361"/>
      <c r="J520" s="361"/>
      <c r="K520" s="361"/>
      <c r="L520" s="361"/>
      <c r="M520" s="361"/>
      <c r="N520" s="361"/>
      <c r="O520" s="361"/>
      <c r="P520" s="361"/>
      <c r="Q520" s="361"/>
      <c r="R520" s="361"/>
    </row>
    <row r="521" spans="1:18" ht="38.25" customHeight="1" thickBot="1">
      <c r="A521" s="351" t="s">
        <v>251</v>
      </c>
      <c r="B521" s="351"/>
      <c r="C521" s="352" t="str">
        <f>+IF(H529&gt;D518,"CUMPLE","NO CUMPLE")</f>
        <v>CUMPLE</v>
      </c>
      <c r="D521" s="352"/>
      <c r="E521" s="361"/>
      <c r="F521" s="361"/>
      <c r="G521" s="361"/>
      <c r="H521" s="361"/>
      <c r="I521" s="361"/>
      <c r="J521" s="361"/>
      <c r="K521" s="361"/>
      <c r="L521" s="361"/>
      <c r="M521" s="361"/>
      <c r="N521" s="361"/>
      <c r="O521" s="361"/>
      <c r="P521" s="361"/>
      <c r="Q521" s="361"/>
      <c r="R521" s="361"/>
    </row>
    <row r="522" spans="1:18" ht="87.75" customHeight="1" thickBot="1">
      <c r="A522" s="353" t="s">
        <v>252</v>
      </c>
      <c r="B522" s="353"/>
      <c r="C522" s="353"/>
      <c r="D522" s="353"/>
      <c r="E522" s="353"/>
      <c r="F522" s="353"/>
      <c r="G522" s="311"/>
      <c r="H522" s="311"/>
      <c r="I522" s="143" t="s">
        <v>253</v>
      </c>
      <c r="J522" s="305" t="s">
        <v>254</v>
      </c>
      <c r="K522" s="363" t="s">
        <v>255</v>
      </c>
      <c r="L522" s="364"/>
      <c r="M522" s="357" t="s">
        <v>256</v>
      </c>
      <c r="N522" s="357" t="s">
        <v>257</v>
      </c>
      <c r="O522" s="357" t="s">
        <v>258</v>
      </c>
      <c r="P522" s="357" t="s">
        <v>259</v>
      </c>
      <c r="Q522" s="357" t="s">
        <v>260</v>
      </c>
      <c r="R522" s="362" t="s">
        <v>261</v>
      </c>
    </row>
    <row r="523" spans="1:18" ht="77.25" customHeight="1">
      <c r="A523" s="144" t="s">
        <v>262</v>
      </c>
      <c r="B523" s="354" t="s">
        <v>263</v>
      </c>
      <c r="C523" s="354"/>
      <c r="D523" s="145" t="s">
        <v>264</v>
      </c>
      <c r="E523" s="145" t="s">
        <v>265</v>
      </c>
      <c r="F523" s="145" t="s">
        <v>266</v>
      </c>
      <c r="G523" s="146" t="s">
        <v>267</v>
      </c>
      <c r="H523" s="146" t="s">
        <v>268</v>
      </c>
      <c r="I523" s="147" t="s">
        <v>269</v>
      </c>
      <c r="J523" s="147" t="s">
        <v>270</v>
      </c>
      <c r="K523" s="198" t="s">
        <v>271</v>
      </c>
      <c r="L523" s="198" t="s">
        <v>272</v>
      </c>
      <c r="M523" s="358"/>
      <c r="N523" s="358"/>
      <c r="O523" s="358"/>
      <c r="P523" s="358"/>
      <c r="Q523" s="358"/>
      <c r="R523" s="362"/>
    </row>
    <row r="524" spans="1:18">
      <c r="A524" s="34" t="str">
        <f>'LISTA DE OFERENTES'!E40</f>
        <v>PROYECTOS E INTERVENTORÍAS S.A.S – PI S.A.S. 70%</v>
      </c>
      <c r="B524" s="35"/>
      <c r="C524" s="35"/>
      <c r="D524" s="35"/>
      <c r="E524" s="35"/>
      <c r="F524" s="35"/>
      <c r="G524" s="35"/>
      <c r="H524" s="35"/>
      <c r="I524" s="35"/>
      <c r="J524" s="35"/>
      <c r="K524" s="35"/>
      <c r="L524" s="35"/>
      <c r="M524" s="35"/>
      <c r="N524" s="35"/>
      <c r="O524" s="35"/>
      <c r="P524" s="35"/>
      <c r="Q524" s="35"/>
      <c r="R524" s="36"/>
    </row>
    <row r="525" spans="1:18" s="14" customFormat="1" ht="51">
      <c r="A525" s="191" t="s">
        <v>536</v>
      </c>
      <c r="B525" s="343" t="s">
        <v>335</v>
      </c>
      <c r="C525" s="343"/>
      <c r="D525" s="179">
        <v>972526897</v>
      </c>
      <c r="E525" s="208">
        <v>2007</v>
      </c>
      <c r="F525" s="180">
        <f>D525/(VLOOKUP(E525,$D$929:$E$962,2,FALSE))</f>
        <v>2242.3954277150106</v>
      </c>
      <c r="G525" s="209">
        <v>1</v>
      </c>
      <c r="H525" s="180">
        <f t="shared" ref="H525:H528" si="54">F525*G525</f>
        <v>2242.3954277150106</v>
      </c>
      <c r="I525" s="210">
        <v>39357</v>
      </c>
      <c r="J525" s="211" t="s">
        <v>275</v>
      </c>
      <c r="K525" s="211" t="s">
        <v>275</v>
      </c>
      <c r="L525" s="212">
        <f>IF(K525="CUMPLE",H525,0)</f>
        <v>2242.3954277150106</v>
      </c>
      <c r="M525" s="213" t="s">
        <v>275</v>
      </c>
      <c r="N525" s="213" t="s">
        <v>275</v>
      </c>
      <c r="O525" s="303" t="s">
        <v>275</v>
      </c>
      <c r="P525" s="239" t="s">
        <v>275</v>
      </c>
      <c r="Q525" s="239" t="s">
        <v>276</v>
      </c>
      <c r="R525" s="216" t="s">
        <v>393</v>
      </c>
    </row>
    <row r="526" spans="1:18" s="14" customFormat="1" ht="51">
      <c r="A526" s="191" t="s">
        <v>537</v>
      </c>
      <c r="B526" s="343" t="s">
        <v>335</v>
      </c>
      <c r="C526" s="343"/>
      <c r="D526" s="179">
        <v>284043248</v>
      </c>
      <c r="E526" s="208">
        <v>2003</v>
      </c>
      <c r="F526" s="180">
        <f>D526/(VLOOKUP(E526,$D$929:$E$962,2,FALSE))</f>
        <v>855.55195180722887</v>
      </c>
      <c r="G526" s="215">
        <v>1</v>
      </c>
      <c r="H526" s="180">
        <f t="shared" si="54"/>
        <v>855.55195180722887</v>
      </c>
      <c r="I526" s="210">
        <v>37797</v>
      </c>
      <c r="J526" s="211" t="s">
        <v>275</v>
      </c>
      <c r="K526" s="211" t="s">
        <v>275</v>
      </c>
      <c r="L526" s="212">
        <f t="shared" ref="L526:L528" si="55">IF(K526="CUMPLE",H526,0)</f>
        <v>855.55195180722887</v>
      </c>
      <c r="M526" s="213" t="s">
        <v>275</v>
      </c>
      <c r="N526" s="213" t="s">
        <v>275</v>
      </c>
      <c r="O526" s="303" t="s">
        <v>275</v>
      </c>
      <c r="P526" s="239" t="s">
        <v>275</v>
      </c>
      <c r="Q526" s="239" t="s">
        <v>276</v>
      </c>
      <c r="R526" s="216" t="s">
        <v>393</v>
      </c>
    </row>
    <row r="527" spans="1:18" s="14" customFormat="1" ht="76.5">
      <c r="A527" s="191" t="s">
        <v>538</v>
      </c>
      <c r="B527" s="343" t="s">
        <v>539</v>
      </c>
      <c r="C527" s="343"/>
      <c r="D527" s="179">
        <v>471570893</v>
      </c>
      <c r="E527" s="208">
        <v>2013</v>
      </c>
      <c r="F527" s="180">
        <f>D527/(VLOOKUP(E527,$D$929:$E$962,2,FALSE))</f>
        <v>799.95062425784567</v>
      </c>
      <c r="G527" s="215">
        <v>0.5</v>
      </c>
      <c r="H527" s="180">
        <f t="shared" si="54"/>
        <v>399.97531212892284</v>
      </c>
      <c r="I527" s="210">
        <v>41639</v>
      </c>
      <c r="J527" s="211" t="s">
        <v>275</v>
      </c>
      <c r="K527" s="211" t="s">
        <v>275</v>
      </c>
      <c r="L527" s="212">
        <f t="shared" si="55"/>
        <v>399.97531212892284</v>
      </c>
      <c r="M527" s="213" t="s">
        <v>275</v>
      </c>
      <c r="N527" s="213" t="s">
        <v>276</v>
      </c>
      <c r="O527" s="303" t="s">
        <v>276</v>
      </c>
      <c r="P527" s="239" t="s">
        <v>276</v>
      </c>
      <c r="Q527" s="239" t="s">
        <v>276</v>
      </c>
      <c r="R527" s="216" t="s">
        <v>393</v>
      </c>
    </row>
    <row r="528" spans="1:18" ht="63.75">
      <c r="A528" s="191" t="s">
        <v>540</v>
      </c>
      <c r="B528" s="343" t="s">
        <v>541</v>
      </c>
      <c r="C528" s="343"/>
      <c r="D528" s="179">
        <v>2464526620</v>
      </c>
      <c r="E528" s="208">
        <v>2013</v>
      </c>
      <c r="F528" s="180">
        <f>D528/(VLOOKUP(E528,$D$929:$E$962,2,FALSE))</f>
        <v>4180.7067345207806</v>
      </c>
      <c r="G528" s="209">
        <v>0.3</v>
      </c>
      <c r="H528" s="180">
        <f t="shared" si="54"/>
        <v>1254.2120203562342</v>
      </c>
      <c r="I528" s="210">
        <v>41610</v>
      </c>
      <c r="J528" s="211" t="s">
        <v>275</v>
      </c>
      <c r="K528" s="211" t="s">
        <v>275</v>
      </c>
      <c r="L528" s="212">
        <f t="shared" si="55"/>
        <v>1254.2120203562342</v>
      </c>
      <c r="M528" s="213" t="s">
        <v>275</v>
      </c>
      <c r="N528" s="213" t="s">
        <v>275</v>
      </c>
      <c r="O528" s="303" t="s">
        <v>276</v>
      </c>
      <c r="P528" s="239" t="s">
        <v>276</v>
      </c>
      <c r="Q528" s="239" t="s">
        <v>276</v>
      </c>
      <c r="R528" s="216" t="s">
        <v>393</v>
      </c>
    </row>
    <row r="529" spans="1:18" s="14" customFormat="1" ht="48" customHeight="1" thickBot="1">
      <c r="A529" s="346" t="s">
        <v>284</v>
      </c>
      <c r="B529" s="346"/>
      <c r="C529" s="346"/>
      <c r="D529" s="346"/>
      <c r="E529" s="346"/>
      <c r="F529" s="45">
        <f>+SUM(F525:F528)</f>
        <v>8078.6047383008654</v>
      </c>
      <c r="G529" s="45"/>
      <c r="H529" s="45">
        <f>+SUM(H525:H528)</f>
        <v>4752.134712007396</v>
      </c>
      <c r="I529" s="359"/>
      <c r="J529" s="360"/>
      <c r="K529" s="196"/>
      <c r="L529" s="196"/>
      <c r="M529" s="196"/>
      <c r="N529" s="196"/>
      <c r="O529" s="196"/>
      <c r="P529" s="304"/>
      <c r="Q529" s="304"/>
      <c r="R529" s="37" t="s">
        <v>276</v>
      </c>
    </row>
    <row r="530" spans="1:18" ht="16.5" thickBot="1">
      <c r="A530" s="3"/>
      <c r="B530" s="3"/>
      <c r="C530" s="3"/>
      <c r="D530" s="3"/>
      <c r="E530" s="3"/>
      <c r="F530" s="3"/>
      <c r="G530" s="3"/>
      <c r="H530" s="3"/>
      <c r="I530" s="3"/>
      <c r="J530" s="3"/>
      <c r="K530" s="3"/>
      <c r="L530" s="3"/>
      <c r="M530" s="3"/>
      <c r="N530" s="3"/>
      <c r="O530" s="4"/>
      <c r="P530" s="4"/>
      <c r="Q530" s="4"/>
      <c r="R530" s="4"/>
    </row>
    <row r="531" spans="1:18" ht="30.75" customHeight="1" thickBot="1">
      <c r="A531" s="347">
        <f>1+A517</f>
        <v>38</v>
      </c>
      <c r="B531" s="347"/>
      <c r="C531" s="347"/>
      <c r="D531" s="347"/>
      <c r="E531" s="361" t="str">
        <f>VLOOKUP(A531,'REQUISITOS HAB. TECNICOS'!$A$5:$B$66,2,FALSE)</f>
        <v>PAULO EMILIO BRAVO CONSULTORES SAS</v>
      </c>
      <c r="F531" s="361"/>
      <c r="G531" s="361"/>
      <c r="H531" s="361"/>
      <c r="I531" s="361"/>
      <c r="J531" s="361"/>
      <c r="K531" s="361"/>
      <c r="L531" s="361"/>
      <c r="M531" s="361"/>
      <c r="N531" s="361"/>
      <c r="O531" s="361"/>
      <c r="P531" s="361"/>
      <c r="Q531" s="361"/>
      <c r="R531" s="361"/>
    </row>
    <row r="532" spans="1:18" ht="50.25" customHeight="1" thickBot="1">
      <c r="A532" s="11" t="s">
        <v>247</v>
      </c>
      <c r="B532" s="76">
        <v>5</v>
      </c>
      <c r="C532" s="288" t="s">
        <v>248</v>
      </c>
      <c r="D532" s="344">
        <f>$D$899</f>
        <v>618.89671538461539</v>
      </c>
      <c r="E532" s="361"/>
      <c r="F532" s="361"/>
      <c r="G532" s="361"/>
      <c r="H532" s="361"/>
      <c r="I532" s="361"/>
      <c r="J532" s="361"/>
      <c r="K532" s="361"/>
      <c r="L532" s="361"/>
      <c r="M532" s="361"/>
      <c r="N532" s="361"/>
      <c r="O532" s="361"/>
      <c r="P532" s="361"/>
      <c r="Q532" s="361"/>
      <c r="R532" s="361"/>
    </row>
    <row r="533" spans="1:18" ht="23.25" customHeight="1" thickBot="1">
      <c r="A533" s="348" t="s">
        <v>249</v>
      </c>
      <c r="B533" s="348"/>
      <c r="C533" s="289">
        <f>+AVERAGE(H539:H543)</f>
        <v>3802.3212563376774</v>
      </c>
      <c r="D533" s="345"/>
      <c r="E533" s="361"/>
      <c r="F533" s="361"/>
      <c r="G533" s="361"/>
      <c r="H533" s="361"/>
      <c r="I533" s="361"/>
      <c r="J533" s="361"/>
      <c r="K533" s="361"/>
      <c r="L533" s="361"/>
      <c r="M533" s="361"/>
      <c r="N533" s="361"/>
      <c r="O533" s="361"/>
      <c r="P533" s="361"/>
      <c r="Q533" s="361"/>
      <c r="R533" s="361"/>
    </row>
    <row r="534" spans="1:18" ht="23.25" customHeight="1" thickBot="1">
      <c r="A534" s="349" t="s">
        <v>250</v>
      </c>
      <c r="B534" s="349"/>
      <c r="C534" s="350">
        <v>45631</v>
      </c>
      <c r="D534" s="350"/>
      <c r="E534" s="361"/>
      <c r="F534" s="361"/>
      <c r="G534" s="361"/>
      <c r="H534" s="361"/>
      <c r="I534" s="361"/>
      <c r="J534" s="361"/>
      <c r="K534" s="361"/>
      <c r="L534" s="361"/>
      <c r="M534" s="361"/>
      <c r="N534" s="361"/>
      <c r="O534" s="361"/>
      <c r="P534" s="361"/>
      <c r="Q534" s="361"/>
      <c r="R534" s="361"/>
    </row>
    <row r="535" spans="1:18" ht="38.25" customHeight="1" thickBot="1">
      <c r="A535" s="351" t="s">
        <v>251</v>
      </c>
      <c r="B535" s="351"/>
      <c r="C535" s="352" t="str">
        <f>+IF(C533&gt;D532,"CUMPLE","NO CUMPLE")</f>
        <v>CUMPLE</v>
      </c>
      <c r="D535" s="352"/>
      <c r="E535" s="361"/>
      <c r="F535" s="361"/>
      <c r="G535" s="361"/>
      <c r="H535" s="361"/>
      <c r="I535" s="361"/>
      <c r="J535" s="361"/>
      <c r="K535" s="361"/>
      <c r="L535" s="361"/>
      <c r="M535" s="361"/>
      <c r="N535" s="361"/>
      <c r="O535" s="361"/>
      <c r="P535" s="361"/>
      <c r="Q535" s="361"/>
      <c r="R535" s="361"/>
    </row>
    <row r="536" spans="1:18" ht="86.25" customHeight="1" thickBot="1">
      <c r="A536" s="353" t="s">
        <v>252</v>
      </c>
      <c r="B536" s="353"/>
      <c r="C536" s="353"/>
      <c r="D536" s="353"/>
      <c r="E536" s="353"/>
      <c r="F536" s="353"/>
      <c r="G536" s="311"/>
      <c r="H536" s="311"/>
      <c r="I536" s="143" t="s">
        <v>253</v>
      </c>
      <c r="J536" s="305" t="s">
        <v>254</v>
      </c>
      <c r="K536" s="363" t="s">
        <v>255</v>
      </c>
      <c r="L536" s="364"/>
      <c r="M536" s="357" t="s">
        <v>256</v>
      </c>
      <c r="N536" s="357" t="s">
        <v>257</v>
      </c>
      <c r="O536" s="357" t="s">
        <v>258</v>
      </c>
      <c r="P536" s="357" t="s">
        <v>259</v>
      </c>
      <c r="Q536" s="357" t="s">
        <v>260</v>
      </c>
      <c r="R536" s="362" t="s">
        <v>261</v>
      </c>
    </row>
    <row r="537" spans="1:18" ht="77.25" customHeight="1">
      <c r="A537" s="144" t="s">
        <v>262</v>
      </c>
      <c r="B537" s="354" t="s">
        <v>263</v>
      </c>
      <c r="C537" s="354"/>
      <c r="D537" s="145" t="s">
        <v>264</v>
      </c>
      <c r="E537" s="145" t="s">
        <v>265</v>
      </c>
      <c r="F537" s="145" t="s">
        <v>266</v>
      </c>
      <c r="G537" s="146" t="s">
        <v>267</v>
      </c>
      <c r="H537" s="146" t="s">
        <v>268</v>
      </c>
      <c r="I537" s="147" t="s">
        <v>269</v>
      </c>
      <c r="J537" s="147" t="s">
        <v>270</v>
      </c>
      <c r="K537" s="198" t="s">
        <v>271</v>
      </c>
      <c r="L537" s="198" t="s">
        <v>272</v>
      </c>
      <c r="M537" s="358"/>
      <c r="N537" s="358"/>
      <c r="O537" s="358"/>
      <c r="P537" s="358"/>
      <c r="Q537" s="358"/>
      <c r="R537" s="362"/>
    </row>
    <row r="538" spans="1:18">
      <c r="A538" s="34" t="str">
        <f>'LISTA DE OFERENTES'!E41</f>
        <v>PAULO EMILIO BRAVO CONSULTORES SAS 100%</v>
      </c>
      <c r="B538" s="35"/>
      <c r="C538" s="35"/>
      <c r="D538" s="35"/>
      <c r="E538" s="35"/>
      <c r="F538" s="35"/>
      <c r="G538" s="35"/>
      <c r="H538" s="35"/>
      <c r="I538" s="35"/>
      <c r="J538" s="35"/>
      <c r="K538" s="35"/>
      <c r="L538" s="35"/>
      <c r="M538" s="35"/>
      <c r="N538" s="35"/>
      <c r="O538" s="35"/>
      <c r="P538" s="35"/>
      <c r="Q538" s="35"/>
      <c r="R538" s="36"/>
    </row>
    <row r="539" spans="1:18" s="14" customFormat="1" ht="99">
      <c r="A539" s="192" t="s">
        <v>542</v>
      </c>
      <c r="B539" s="365" t="s">
        <v>543</v>
      </c>
      <c r="C539" s="365"/>
      <c r="D539" s="6">
        <v>2765822545</v>
      </c>
      <c r="E539" s="208">
        <v>2008</v>
      </c>
      <c r="F539" s="7">
        <f>D539/(VLOOKUP(E539,$D$929:$E$962,2,FALSE))</f>
        <v>5993.1149404117014</v>
      </c>
      <c r="G539" s="193">
        <v>0.245</v>
      </c>
      <c r="H539" s="7">
        <f t="shared" ref="H539:H543" si="56">F539*G539</f>
        <v>1468.3131604008668</v>
      </c>
      <c r="I539" s="194">
        <v>39752</v>
      </c>
      <c r="J539" s="312" t="s">
        <v>275</v>
      </c>
      <c r="K539" s="312" t="s">
        <v>275</v>
      </c>
      <c r="L539" s="219">
        <f>IF(K539="CUMPLE",H539,0)</f>
        <v>1468.3131604008668</v>
      </c>
      <c r="M539" s="221" t="s">
        <v>275</v>
      </c>
      <c r="N539" s="221" t="s">
        <v>275</v>
      </c>
      <c r="O539" s="312" t="s">
        <v>276</v>
      </c>
      <c r="P539" s="171" t="s">
        <v>275</v>
      </c>
      <c r="Q539" s="171" t="s">
        <v>276</v>
      </c>
      <c r="R539" s="141" t="s">
        <v>393</v>
      </c>
    </row>
    <row r="540" spans="1:18" s="14" customFormat="1" ht="49.5">
      <c r="A540" s="192" t="s">
        <v>544</v>
      </c>
      <c r="B540" s="365" t="s">
        <v>545</v>
      </c>
      <c r="C540" s="365"/>
      <c r="D540" s="6">
        <v>1285504530</v>
      </c>
      <c r="E540" s="208">
        <v>2016</v>
      </c>
      <c r="F540" s="7">
        <f>D540/(VLOOKUP(E540,$D$929:$E$962,2,FALSE))</f>
        <v>1864.5227462270925</v>
      </c>
      <c r="G540" s="193">
        <v>0.94</v>
      </c>
      <c r="H540" s="7">
        <f t="shared" si="56"/>
        <v>1752.6513814534669</v>
      </c>
      <c r="I540" s="194">
        <v>42566</v>
      </c>
      <c r="J540" s="312" t="s">
        <v>275</v>
      </c>
      <c r="K540" s="312" t="s">
        <v>275</v>
      </c>
      <c r="L540" s="219">
        <f t="shared" ref="L540:L543" si="57">IF(K540="CUMPLE",H540,0)</f>
        <v>1752.6513814534669</v>
      </c>
      <c r="M540" s="221" t="s">
        <v>275</v>
      </c>
      <c r="N540" s="221" t="s">
        <v>275</v>
      </c>
      <c r="O540" s="312" t="s">
        <v>276</v>
      </c>
      <c r="P540" s="171" t="s">
        <v>275</v>
      </c>
      <c r="Q540" s="171" t="s">
        <v>276</v>
      </c>
      <c r="R540" s="141" t="s">
        <v>393</v>
      </c>
    </row>
    <row r="541" spans="1:18" s="14" customFormat="1" ht="45">
      <c r="A541" s="192" t="s">
        <v>546</v>
      </c>
      <c r="B541" s="365" t="s">
        <v>547</v>
      </c>
      <c r="C541" s="365"/>
      <c r="D541" s="6">
        <v>1463422184</v>
      </c>
      <c r="E541" s="208">
        <v>2007</v>
      </c>
      <c r="F541" s="7">
        <f>D541/(VLOOKUP(E541,$D$929:$E$962,2,FALSE))</f>
        <v>3374.2729628775651</v>
      </c>
      <c r="G541" s="193">
        <v>1</v>
      </c>
      <c r="H541" s="7">
        <f t="shared" si="56"/>
        <v>3374.2729628775651</v>
      </c>
      <c r="I541" s="194">
        <v>39094</v>
      </c>
      <c r="J541" s="312" t="s">
        <v>275</v>
      </c>
      <c r="K541" s="312" t="s">
        <v>275</v>
      </c>
      <c r="L541" s="219">
        <f t="shared" si="57"/>
        <v>3374.2729628775651</v>
      </c>
      <c r="M541" s="221" t="s">
        <v>275</v>
      </c>
      <c r="N541" s="221" t="s">
        <v>275</v>
      </c>
      <c r="O541" s="312" t="s">
        <v>276</v>
      </c>
      <c r="P541" s="171" t="s">
        <v>275</v>
      </c>
      <c r="Q541" s="171" t="s">
        <v>276</v>
      </c>
      <c r="R541" s="141" t="s">
        <v>393</v>
      </c>
    </row>
    <row r="542" spans="1:18" s="14" customFormat="1" ht="49.5">
      <c r="A542" s="192" t="s">
        <v>548</v>
      </c>
      <c r="B542" s="365" t="s">
        <v>547</v>
      </c>
      <c r="C542" s="365"/>
      <c r="D542" s="6">
        <v>11777262738</v>
      </c>
      <c r="E542" s="208">
        <v>2015</v>
      </c>
      <c r="F542" s="7">
        <f>D542/(VLOOKUP(E542,$D$929:$E$962,2,FALSE))</f>
        <v>18277.74150384108</v>
      </c>
      <c r="G542" s="193">
        <v>0.5</v>
      </c>
      <c r="H542" s="7">
        <f t="shared" si="56"/>
        <v>9138.87075192054</v>
      </c>
      <c r="I542" s="194">
        <v>42216</v>
      </c>
      <c r="J542" s="312" t="s">
        <v>275</v>
      </c>
      <c r="K542" s="312" t="s">
        <v>275</v>
      </c>
      <c r="L542" s="219">
        <f t="shared" si="57"/>
        <v>9138.87075192054</v>
      </c>
      <c r="M542" s="221" t="s">
        <v>275</v>
      </c>
      <c r="N542" s="221" t="s">
        <v>276</v>
      </c>
      <c r="O542" s="312" t="s">
        <v>275</v>
      </c>
      <c r="P542" s="171" t="s">
        <v>276</v>
      </c>
      <c r="Q542" s="171" t="s">
        <v>276</v>
      </c>
      <c r="R542" s="141" t="s">
        <v>393</v>
      </c>
    </row>
    <row r="543" spans="1:18" s="14" customFormat="1" ht="48" customHeight="1">
      <c r="A543" s="192" t="s">
        <v>549</v>
      </c>
      <c r="B543" s="365" t="s">
        <v>550</v>
      </c>
      <c r="C543" s="365"/>
      <c r="D543" s="6">
        <v>1549994366</v>
      </c>
      <c r="E543" s="208">
        <v>1999</v>
      </c>
      <c r="F543" s="7">
        <f>D543/(VLOOKUP(E543,$D$929:$E$962,2,FALSE))</f>
        <v>6554.9960500718935</v>
      </c>
      <c r="G543" s="193">
        <v>0.5</v>
      </c>
      <c r="H543" s="7">
        <f t="shared" si="56"/>
        <v>3277.4980250359467</v>
      </c>
      <c r="I543" s="194">
        <v>36311</v>
      </c>
      <c r="J543" s="312" t="s">
        <v>275</v>
      </c>
      <c r="K543" s="312" t="s">
        <v>275</v>
      </c>
      <c r="L543" s="219">
        <f t="shared" si="57"/>
        <v>3277.4980250359467</v>
      </c>
      <c r="M543" s="221" t="s">
        <v>275</v>
      </c>
      <c r="N543" s="221" t="s">
        <v>275</v>
      </c>
      <c r="O543" s="312" t="s">
        <v>276</v>
      </c>
      <c r="P543" s="171" t="s">
        <v>276</v>
      </c>
      <c r="Q543" s="171" t="s">
        <v>276</v>
      </c>
      <c r="R543" s="141" t="s">
        <v>393</v>
      </c>
    </row>
    <row r="544" spans="1:18" s="14" customFormat="1" ht="30.6" customHeight="1" thickBot="1">
      <c r="A544" s="192" t="s">
        <v>284</v>
      </c>
      <c r="B544" s="192"/>
      <c r="C544" s="192"/>
      <c r="D544" s="192"/>
      <c r="E544" s="192"/>
      <c r="F544" s="45">
        <f>+SUM(F539:F543)</f>
        <v>36064.648203429329</v>
      </c>
      <c r="G544" s="45"/>
      <c r="H544" s="45">
        <f>+SUM(H539:H543)</f>
        <v>19011.606281688386</v>
      </c>
      <c r="I544" s="359"/>
      <c r="J544" s="360"/>
      <c r="K544" s="196"/>
      <c r="L544" s="196"/>
      <c r="M544" s="196"/>
      <c r="N544" s="196"/>
      <c r="O544" s="196"/>
      <c r="P544" s="304"/>
      <c r="Q544" s="304"/>
      <c r="R544" s="37" t="s">
        <v>276</v>
      </c>
    </row>
    <row r="545" spans="1:18" ht="16.5" thickBot="1">
      <c r="A545" s="3"/>
      <c r="B545" s="3"/>
      <c r="C545" s="3"/>
      <c r="D545" s="3"/>
      <c r="E545" s="3"/>
      <c r="F545" s="3"/>
      <c r="G545" s="3"/>
      <c r="H545" s="3"/>
      <c r="I545" s="3"/>
      <c r="J545" s="3"/>
      <c r="K545" s="3"/>
      <c r="L545" s="3"/>
      <c r="M545" s="3"/>
      <c r="N545" s="3"/>
      <c r="O545" s="4"/>
      <c r="P545" s="4"/>
      <c r="Q545" s="4"/>
      <c r="R545" s="4"/>
    </row>
    <row r="546" spans="1:18" ht="30.75" customHeight="1" thickBot="1">
      <c r="A546" s="347">
        <f>1+A531</f>
        <v>39</v>
      </c>
      <c r="B546" s="347"/>
      <c r="C546" s="347"/>
      <c r="D546" s="347"/>
      <c r="E546" s="361" t="str">
        <f>VLOOKUP(A546,'REQUISITOS HAB. TECNICOS'!$A$5:$B$66,2,FALSE)</f>
        <v>ALMA Interventoría &amp; Consultoría S.A.S</v>
      </c>
      <c r="F546" s="361"/>
      <c r="G546" s="361"/>
      <c r="H546" s="361"/>
      <c r="I546" s="361"/>
      <c r="J546" s="361"/>
      <c r="K546" s="361"/>
      <c r="L546" s="361"/>
      <c r="M546" s="361"/>
      <c r="N546" s="361"/>
      <c r="O546" s="361"/>
      <c r="P546" s="361"/>
      <c r="Q546" s="361"/>
      <c r="R546" s="361"/>
    </row>
    <row r="547" spans="1:18" ht="50.25" customHeight="1" thickBot="1">
      <c r="A547" s="11" t="s">
        <v>247</v>
      </c>
      <c r="B547" s="76">
        <v>1</v>
      </c>
      <c r="C547" s="288" t="s">
        <v>248</v>
      </c>
      <c r="D547" s="344">
        <f>$D$899</f>
        <v>618.89671538461539</v>
      </c>
      <c r="E547" s="361"/>
      <c r="F547" s="361"/>
      <c r="G547" s="361"/>
      <c r="H547" s="361"/>
      <c r="I547" s="361"/>
      <c r="J547" s="361"/>
      <c r="K547" s="361"/>
      <c r="L547" s="361"/>
      <c r="M547" s="361"/>
      <c r="N547" s="361"/>
      <c r="O547" s="361"/>
      <c r="P547" s="361"/>
      <c r="Q547" s="361"/>
      <c r="R547" s="361"/>
    </row>
    <row r="548" spans="1:18" ht="23.25" customHeight="1" thickBot="1">
      <c r="A548" s="348" t="s">
        <v>249</v>
      </c>
      <c r="B548" s="348"/>
      <c r="C548" s="289">
        <f>+AVERAGE(H554)</f>
        <v>1277.7642678879311</v>
      </c>
      <c r="D548" s="345"/>
      <c r="E548" s="361"/>
      <c r="F548" s="361"/>
      <c r="G548" s="361"/>
      <c r="H548" s="361"/>
      <c r="I548" s="361"/>
      <c r="J548" s="361"/>
      <c r="K548" s="361"/>
      <c r="L548" s="361"/>
      <c r="M548" s="361"/>
      <c r="N548" s="361"/>
      <c r="O548" s="361"/>
      <c r="P548" s="361"/>
      <c r="Q548" s="361"/>
      <c r="R548" s="361"/>
    </row>
    <row r="549" spans="1:18" ht="23.25" customHeight="1" thickBot="1">
      <c r="A549" s="349" t="s">
        <v>250</v>
      </c>
      <c r="B549" s="349"/>
      <c r="C549" s="350">
        <v>45631</v>
      </c>
      <c r="D549" s="350"/>
      <c r="E549" s="361"/>
      <c r="F549" s="361"/>
      <c r="G549" s="361"/>
      <c r="H549" s="361"/>
      <c r="I549" s="361"/>
      <c r="J549" s="361"/>
      <c r="K549" s="361"/>
      <c r="L549" s="361"/>
      <c r="M549" s="361"/>
      <c r="N549" s="361"/>
      <c r="O549" s="361"/>
      <c r="P549" s="361"/>
      <c r="Q549" s="361"/>
      <c r="R549" s="361"/>
    </row>
    <row r="550" spans="1:18" ht="38.25" customHeight="1" thickBot="1">
      <c r="A550" s="351" t="s">
        <v>251</v>
      </c>
      <c r="B550" s="351"/>
      <c r="C550" s="352" t="str">
        <f>+IF(H555&gt;D547,"CUMPLE","NO CUMPLE")</f>
        <v>CUMPLE</v>
      </c>
      <c r="D550" s="352"/>
      <c r="E550" s="361"/>
      <c r="F550" s="361"/>
      <c r="G550" s="361"/>
      <c r="H550" s="361"/>
      <c r="I550" s="361"/>
      <c r="J550" s="361"/>
      <c r="K550" s="361"/>
      <c r="L550" s="361"/>
      <c r="M550" s="361"/>
      <c r="N550" s="361"/>
      <c r="O550" s="361"/>
      <c r="P550" s="361"/>
      <c r="Q550" s="361"/>
      <c r="R550" s="361"/>
    </row>
    <row r="551" spans="1:18" ht="85.5" customHeight="1" thickBot="1">
      <c r="A551" s="353" t="s">
        <v>252</v>
      </c>
      <c r="B551" s="353"/>
      <c r="C551" s="353"/>
      <c r="D551" s="353"/>
      <c r="E551" s="353"/>
      <c r="F551" s="353"/>
      <c r="G551" s="311"/>
      <c r="H551" s="311"/>
      <c r="I551" s="143" t="s">
        <v>253</v>
      </c>
      <c r="J551" s="305" t="s">
        <v>254</v>
      </c>
      <c r="K551" s="363" t="s">
        <v>255</v>
      </c>
      <c r="L551" s="364"/>
      <c r="M551" s="357" t="s">
        <v>256</v>
      </c>
      <c r="N551" s="357" t="s">
        <v>257</v>
      </c>
      <c r="O551" s="357" t="s">
        <v>258</v>
      </c>
      <c r="P551" s="357" t="s">
        <v>259</v>
      </c>
      <c r="Q551" s="357" t="s">
        <v>260</v>
      </c>
      <c r="R551" s="362" t="s">
        <v>261</v>
      </c>
    </row>
    <row r="552" spans="1:18" ht="77.25" customHeight="1">
      <c r="A552" s="144" t="s">
        <v>262</v>
      </c>
      <c r="B552" s="354" t="s">
        <v>263</v>
      </c>
      <c r="C552" s="354"/>
      <c r="D552" s="145" t="s">
        <v>264</v>
      </c>
      <c r="E552" s="145" t="s">
        <v>265</v>
      </c>
      <c r="F552" s="145" t="s">
        <v>266</v>
      </c>
      <c r="G552" s="146" t="s">
        <v>267</v>
      </c>
      <c r="H552" s="146" t="s">
        <v>268</v>
      </c>
      <c r="I552" s="147" t="s">
        <v>269</v>
      </c>
      <c r="J552" s="147" t="s">
        <v>270</v>
      </c>
      <c r="K552" s="198" t="s">
        <v>271</v>
      </c>
      <c r="L552" s="198" t="s">
        <v>272</v>
      </c>
      <c r="M552" s="358"/>
      <c r="N552" s="358"/>
      <c r="O552" s="358"/>
      <c r="P552" s="358"/>
      <c r="Q552" s="358"/>
      <c r="R552" s="362"/>
    </row>
    <row r="553" spans="1:18">
      <c r="A553" s="34" t="str">
        <f>'LISTA DE OFERENTES'!E42</f>
        <v>ALMA Interventoría &amp; Consultoría S.A.S 100%</v>
      </c>
      <c r="B553" s="35"/>
      <c r="C553" s="35"/>
      <c r="D553" s="35"/>
      <c r="E553" s="35"/>
      <c r="F553" s="35"/>
      <c r="G553" s="35"/>
      <c r="H553" s="35"/>
      <c r="I553" s="35"/>
      <c r="J553" s="35"/>
      <c r="K553" s="35"/>
      <c r="L553" s="35"/>
      <c r="M553" s="35"/>
      <c r="N553" s="35"/>
      <c r="O553" s="35"/>
      <c r="P553" s="35"/>
      <c r="Q553" s="35"/>
      <c r="R553" s="36"/>
    </row>
    <row r="554" spans="1:18" s="14" customFormat="1" ht="60">
      <c r="A554" s="192" t="s">
        <v>551</v>
      </c>
      <c r="B554" s="365" t="s">
        <v>552</v>
      </c>
      <c r="C554" s="365"/>
      <c r="D554" s="6">
        <v>1976275401</v>
      </c>
      <c r="E554" s="208">
        <v>2023</v>
      </c>
      <c r="F554" s="7">
        <f>D554/(VLOOKUP(E554,$D$929:$E$962,2,FALSE))</f>
        <v>1703.6856905172415</v>
      </c>
      <c r="G554" s="65">
        <v>0.75</v>
      </c>
      <c r="H554" s="7">
        <f t="shared" ref="H554" si="58">F554*G554</f>
        <v>1277.7642678879311</v>
      </c>
      <c r="I554" s="217">
        <v>45148</v>
      </c>
      <c r="J554" s="218" t="s">
        <v>275</v>
      </c>
      <c r="K554" s="218" t="s">
        <v>275</v>
      </c>
      <c r="L554" s="219">
        <f>IF(K554="CUMPLE",H554,0)</f>
        <v>1277.7642678879311</v>
      </c>
      <c r="M554" s="221" t="s">
        <v>275</v>
      </c>
      <c r="N554" s="221" t="s">
        <v>275</v>
      </c>
      <c r="O554" s="312" t="s">
        <v>275</v>
      </c>
      <c r="P554" s="171" t="s">
        <v>276</v>
      </c>
      <c r="Q554" s="171" t="s">
        <v>275</v>
      </c>
      <c r="R554" s="141" t="s">
        <v>553</v>
      </c>
    </row>
    <row r="555" spans="1:18" s="14" customFormat="1" ht="48" customHeight="1" thickBot="1">
      <c r="A555" s="346" t="s">
        <v>284</v>
      </c>
      <c r="B555" s="346"/>
      <c r="C555" s="346"/>
      <c r="D555" s="346"/>
      <c r="E555" s="346"/>
      <c r="F555" s="45">
        <f>+SUM(F554:F554)</f>
        <v>1703.6856905172415</v>
      </c>
      <c r="G555" s="45"/>
      <c r="H555" s="45">
        <f>+SUM(H554:H554)</f>
        <v>1277.7642678879311</v>
      </c>
      <c r="I555" s="359"/>
      <c r="J555" s="360"/>
      <c r="K555" s="196"/>
      <c r="L555" s="196"/>
      <c r="M555" s="196"/>
      <c r="N555" s="196"/>
      <c r="O555" s="196"/>
      <c r="P555" s="304"/>
      <c r="Q555" s="304"/>
      <c r="R555" s="37" t="s">
        <v>276</v>
      </c>
    </row>
    <row r="556" spans="1:18" ht="16.5" thickBot="1">
      <c r="A556" s="3"/>
      <c r="B556" s="3"/>
      <c r="C556" s="3"/>
      <c r="D556" s="3"/>
      <c r="E556" s="3"/>
      <c r="F556" s="3"/>
      <c r="G556" s="3"/>
      <c r="H556" s="3"/>
      <c r="I556" s="3"/>
      <c r="J556" s="3"/>
      <c r="K556" s="3"/>
      <c r="L556" s="3"/>
      <c r="M556" s="3"/>
      <c r="N556" s="3"/>
      <c r="O556" s="4"/>
      <c r="P556" s="4"/>
      <c r="Q556" s="4"/>
      <c r="R556" s="4"/>
    </row>
    <row r="557" spans="1:18" ht="30.75" customHeight="1" thickBot="1">
      <c r="A557" s="347">
        <f>1+A546</f>
        <v>40</v>
      </c>
      <c r="B557" s="347"/>
      <c r="C557" s="347"/>
      <c r="D557" s="347"/>
      <c r="E557" s="361" t="str">
        <f>VLOOKUP(A557,'REQUISITOS HAB. TECNICOS'!$A$5:$B$66,2,FALSE)</f>
        <v>CONSORCIO COING F001</v>
      </c>
      <c r="F557" s="361"/>
      <c r="G557" s="361"/>
      <c r="H557" s="361"/>
      <c r="I557" s="361"/>
      <c r="J557" s="361"/>
      <c r="K557" s="361"/>
      <c r="L557" s="361"/>
      <c r="M557" s="361"/>
      <c r="N557" s="361"/>
      <c r="O557" s="361"/>
      <c r="P557" s="361"/>
      <c r="Q557" s="361"/>
      <c r="R557" s="361"/>
    </row>
    <row r="558" spans="1:18" ht="50.25" customHeight="1" thickBot="1">
      <c r="A558" s="11" t="s">
        <v>247</v>
      </c>
      <c r="B558" s="76">
        <v>4</v>
      </c>
      <c r="C558" s="288" t="s">
        <v>248</v>
      </c>
      <c r="D558" s="344">
        <f>$D$899</f>
        <v>618.89671538461539</v>
      </c>
      <c r="E558" s="361"/>
      <c r="F558" s="361"/>
      <c r="G558" s="361"/>
      <c r="H558" s="361"/>
      <c r="I558" s="361"/>
      <c r="J558" s="361"/>
      <c r="K558" s="361"/>
      <c r="L558" s="361"/>
      <c r="M558" s="361"/>
      <c r="N558" s="361"/>
      <c r="O558" s="361"/>
      <c r="P558" s="361"/>
      <c r="Q558" s="361"/>
      <c r="R558" s="361"/>
    </row>
    <row r="559" spans="1:18" ht="23.25" customHeight="1" thickBot="1">
      <c r="A559" s="348" t="s">
        <v>249</v>
      </c>
      <c r="B559" s="348"/>
      <c r="C559" s="289">
        <f>+AVERAGE(H565:H568)</f>
        <v>1228.7922438359155</v>
      </c>
      <c r="D559" s="345"/>
      <c r="E559" s="361"/>
      <c r="F559" s="361"/>
      <c r="G559" s="361"/>
      <c r="H559" s="361"/>
      <c r="I559" s="361"/>
      <c r="J559" s="361"/>
      <c r="K559" s="361"/>
      <c r="L559" s="361"/>
      <c r="M559" s="361"/>
      <c r="N559" s="361"/>
      <c r="O559" s="361"/>
      <c r="P559" s="361"/>
      <c r="Q559" s="361"/>
      <c r="R559" s="361"/>
    </row>
    <row r="560" spans="1:18" ht="23.25" customHeight="1" thickBot="1">
      <c r="A560" s="349" t="s">
        <v>250</v>
      </c>
      <c r="B560" s="349"/>
      <c r="C560" s="350">
        <v>45631</v>
      </c>
      <c r="D560" s="350"/>
      <c r="E560" s="361"/>
      <c r="F560" s="361"/>
      <c r="G560" s="361"/>
      <c r="H560" s="361"/>
      <c r="I560" s="361"/>
      <c r="J560" s="361"/>
      <c r="K560" s="361"/>
      <c r="L560" s="361"/>
      <c r="M560" s="361"/>
      <c r="N560" s="361"/>
      <c r="O560" s="361"/>
      <c r="P560" s="361"/>
      <c r="Q560" s="361"/>
      <c r="R560" s="361"/>
    </row>
    <row r="561" spans="1:18" ht="38.25" customHeight="1" thickBot="1">
      <c r="A561" s="351" t="s">
        <v>251</v>
      </c>
      <c r="B561" s="351"/>
      <c r="C561" s="352" t="str">
        <f>+IF(H569&gt;D558,"CUMPLE","NO CUMPLE")</f>
        <v>CUMPLE</v>
      </c>
      <c r="D561" s="352"/>
      <c r="E561" s="361"/>
      <c r="F561" s="361"/>
      <c r="G561" s="361"/>
      <c r="H561" s="361"/>
      <c r="I561" s="361"/>
      <c r="J561" s="361"/>
      <c r="K561" s="361"/>
      <c r="L561" s="361"/>
      <c r="M561" s="361"/>
      <c r="N561" s="361"/>
      <c r="O561" s="361"/>
      <c r="P561" s="361"/>
      <c r="Q561" s="361"/>
      <c r="R561" s="361"/>
    </row>
    <row r="562" spans="1:18" ht="87.75" customHeight="1" thickBot="1">
      <c r="A562" s="353" t="s">
        <v>252</v>
      </c>
      <c r="B562" s="353"/>
      <c r="C562" s="353"/>
      <c r="D562" s="353"/>
      <c r="E562" s="353"/>
      <c r="F562" s="353"/>
      <c r="G562" s="311"/>
      <c r="H562" s="311"/>
      <c r="I562" s="143" t="s">
        <v>253</v>
      </c>
      <c r="J562" s="305" t="s">
        <v>254</v>
      </c>
      <c r="K562" s="363" t="s">
        <v>255</v>
      </c>
      <c r="L562" s="364"/>
      <c r="M562" s="357" t="s">
        <v>256</v>
      </c>
      <c r="N562" s="357" t="s">
        <v>257</v>
      </c>
      <c r="O562" s="357" t="s">
        <v>258</v>
      </c>
      <c r="P562" s="357" t="s">
        <v>259</v>
      </c>
      <c r="Q562" s="357" t="s">
        <v>260</v>
      </c>
      <c r="R562" s="362" t="s">
        <v>261</v>
      </c>
    </row>
    <row r="563" spans="1:18" ht="77.25" customHeight="1">
      <c r="A563" s="144" t="s">
        <v>262</v>
      </c>
      <c r="B563" s="354" t="s">
        <v>263</v>
      </c>
      <c r="C563" s="354"/>
      <c r="D563" s="145" t="s">
        <v>264</v>
      </c>
      <c r="E563" s="145" t="s">
        <v>265</v>
      </c>
      <c r="F563" s="145" t="s">
        <v>266</v>
      </c>
      <c r="G563" s="146" t="s">
        <v>267</v>
      </c>
      <c r="H563" s="146" t="s">
        <v>268</v>
      </c>
      <c r="I563" s="147" t="s">
        <v>269</v>
      </c>
      <c r="J563" s="147" t="s">
        <v>270</v>
      </c>
      <c r="K563" s="198" t="s">
        <v>271</v>
      </c>
      <c r="L563" s="198" t="s">
        <v>272</v>
      </c>
      <c r="M563" s="358"/>
      <c r="N563" s="358"/>
      <c r="O563" s="358"/>
      <c r="P563" s="358"/>
      <c r="Q563" s="358"/>
      <c r="R563" s="362"/>
    </row>
    <row r="564" spans="1:18">
      <c r="A564" s="34" t="str">
        <f>'LISTA DE OFERENTES'!E43</f>
        <v>ICING S.A.S 90%</v>
      </c>
      <c r="B564" s="35"/>
      <c r="C564" s="35"/>
      <c r="D564" s="35"/>
      <c r="E564" s="35"/>
      <c r="F564" s="35"/>
      <c r="G564" s="35"/>
      <c r="H564" s="35"/>
      <c r="I564" s="35"/>
      <c r="J564" s="35"/>
      <c r="K564" s="35"/>
      <c r="L564" s="35"/>
      <c r="M564" s="35"/>
      <c r="N564" s="35"/>
      <c r="O564" s="35"/>
      <c r="P564" s="35"/>
      <c r="Q564" s="35"/>
      <c r="R564" s="36"/>
    </row>
    <row r="565" spans="1:18" s="14" customFormat="1" ht="33">
      <c r="A565" s="195" t="s">
        <v>554</v>
      </c>
      <c r="B565" s="365" t="s">
        <v>555</v>
      </c>
      <c r="C565" s="365"/>
      <c r="D565" s="6">
        <v>220893634</v>
      </c>
      <c r="E565" s="208">
        <v>2003</v>
      </c>
      <c r="F565" s="7">
        <f>D565/(VLOOKUP(E565,$D$929:$E$962,2,FALSE))</f>
        <v>665.34227108433731</v>
      </c>
      <c r="G565" s="65">
        <v>1</v>
      </c>
      <c r="H565" s="7">
        <f t="shared" ref="H565:H568" si="59">F565*G565</f>
        <v>665.34227108433731</v>
      </c>
      <c r="I565" s="217">
        <v>37930</v>
      </c>
      <c r="J565" s="218" t="s">
        <v>275</v>
      </c>
      <c r="K565" s="218" t="s">
        <v>275</v>
      </c>
      <c r="L565" s="219">
        <f>IF(K565="CUMPLE",H565,0)</f>
        <v>665.34227108433731</v>
      </c>
      <c r="M565" s="221" t="s">
        <v>275</v>
      </c>
      <c r="N565" s="221" t="s">
        <v>275</v>
      </c>
      <c r="O565" s="312" t="s">
        <v>275</v>
      </c>
      <c r="P565" s="171" t="s">
        <v>276</v>
      </c>
      <c r="Q565" s="171" t="s">
        <v>275</v>
      </c>
      <c r="R565" s="141" t="s">
        <v>556</v>
      </c>
    </row>
    <row r="566" spans="1:18" s="14" customFormat="1" ht="49.5">
      <c r="A566" s="195" t="s">
        <v>557</v>
      </c>
      <c r="B566" s="365" t="s">
        <v>558</v>
      </c>
      <c r="C566" s="365"/>
      <c r="D566" s="6">
        <v>1476558757</v>
      </c>
      <c r="E566" s="208">
        <v>2019</v>
      </c>
      <c r="F566" s="7">
        <f>D566/(VLOOKUP(E566,$D$929:$E$962,2,FALSE))</f>
        <v>1783.0337259514367</v>
      </c>
      <c r="G566" s="68">
        <v>1</v>
      </c>
      <c r="H566" s="7">
        <f t="shared" si="59"/>
        <v>1783.0337259514367</v>
      </c>
      <c r="I566" s="217">
        <v>43570</v>
      </c>
      <c r="J566" s="218" t="s">
        <v>275</v>
      </c>
      <c r="K566" s="218" t="s">
        <v>275</v>
      </c>
      <c r="L566" s="219">
        <f t="shared" ref="L566:L568" si="60">IF(K566="CUMPLE",H566,0)</f>
        <v>1783.0337259514367</v>
      </c>
      <c r="M566" s="221" t="s">
        <v>275</v>
      </c>
      <c r="N566" s="221" t="s">
        <v>275</v>
      </c>
      <c r="O566" s="312" t="s">
        <v>276</v>
      </c>
      <c r="P566" s="171" t="s">
        <v>276</v>
      </c>
      <c r="Q566" s="171" t="s">
        <v>276</v>
      </c>
      <c r="R566" s="141" t="s">
        <v>559</v>
      </c>
    </row>
    <row r="567" spans="1:18" s="14" customFormat="1" ht="49.5">
      <c r="A567" s="195" t="s">
        <v>560</v>
      </c>
      <c r="B567" s="365" t="s">
        <v>561</v>
      </c>
      <c r="C567" s="365"/>
      <c r="D567" s="6">
        <v>474369414</v>
      </c>
      <c r="E567" s="208">
        <v>2013</v>
      </c>
      <c r="F567" s="7">
        <f>D567/(VLOOKUP(E567,$D$929:$E$962,2,FALSE))</f>
        <v>804.69790330788805</v>
      </c>
      <c r="G567" s="68">
        <v>1</v>
      </c>
      <c r="H567" s="7">
        <f t="shared" si="59"/>
        <v>804.69790330788805</v>
      </c>
      <c r="I567" s="217">
        <v>41352</v>
      </c>
      <c r="J567" s="218" t="s">
        <v>275</v>
      </c>
      <c r="K567" s="218" t="s">
        <v>275</v>
      </c>
      <c r="L567" s="219">
        <f t="shared" si="60"/>
        <v>804.69790330788805</v>
      </c>
      <c r="M567" s="221" t="s">
        <v>275</v>
      </c>
      <c r="N567" s="221" t="s">
        <v>275</v>
      </c>
      <c r="O567" s="312" t="s">
        <v>276</v>
      </c>
      <c r="P567" s="171" t="s">
        <v>276</v>
      </c>
      <c r="Q567" s="171" t="s">
        <v>276</v>
      </c>
      <c r="R567" s="141" t="s">
        <v>559</v>
      </c>
    </row>
    <row r="568" spans="1:18" s="14" customFormat="1" ht="115.5">
      <c r="A568" s="195" t="s">
        <v>562</v>
      </c>
      <c r="B568" s="365" t="s">
        <v>555</v>
      </c>
      <c r="C568" s="365"/>
      <c r="D568" s="6">
        <v>1662095075</v>
      </c>
      <c r="E568" s="208">
        <v>2022</v>
      </c>
      <c r="F568" s="7">
        <f>D568/(VLOOKUP(E568,$D$929:$E$962,2,FALSE))</f>
        <v>1662.095075</v>
      </c>
      <c r="G568" s="65">
        <v>1</v>
      </c>
      <c r="H568" s="7">
        <f t="shared" si="59"/>
        <v>1662.095075</v>
      </c>
      <c r="I568" s="217">
        <v>44834</v>
      </c>
      <c r="J568" s="218" t="s">
        <v>275</v>
      </c>
      <c r="K568" s="218" t="s">
        <v>275</v>
      </c>
      <c r="L568" s="219">
        <f t="shared" si="60"/>
        <v>1662.095075</v>
      </c>
      <c r="M568" s="221" t="s">
        <v>275</v>
      </c>
      <c r="N568" s="221" t="s">
        <v>275</v>
      </c>
      <c r="O568" s="221" t="s">
        <v>275</v>
      </c>
      <c r="P568" s="171" t="s">
        <v>275</v>
      </c>
      <c r="Q568" s="171" t="s">
        <v>276</v>
      </c>
      <c r="R568" s="141" t="s">
        <v>393</v>
      </c>
    </row>
    <row r="569" spans="1:18" s="14" customFormat="1" ht="48" customHeight="1" thickBot="1">
      <c r="A569" s="346" t="s">
        <v>284</v>
      </c>
      <c r="B569" s="346"/>
      <c r="C569" s="346"/>
      <c r="D569" s="346"/>
      <c r="E569" s="346"/>
      <c r="F569" s="45">
        <f>+SUM(F565:F568)</f>
        <v>4915.1689753436622</v>
      </c>
      <c r="G569" s="45"/>
      <c r="H569" s="45">
        <f>+SUM(H565:H568)</f>
        <v>4915.1689753436622</v>
      </c>
      <c r="I569" s="359"/>
      <c r="J569" s="360"/>
      <c r="K569" s="196"/>
      <c r="L569" s="196"/>
      <c r="M569" s="196"/>
      <c r="N569" s="196"/>
      <c r="O569" s="196"/>
      <c r="P569" s="304"/>
      <c r="Q569" s="304"/>
      <c r="R569" s="37" t="s">
        <v>275</v>
      </c>
    </row>
    <row r="570" spans="1:18" ht="16.5" thickBot="1">
      <c r="A570" s="3"/>
      <c r="B570" s="3"/>
      <c r="C570" s="3"/>
      <c r="D570" s="3"/>
      <c r="E570" s="3"/>
      <c r="F570" s="3"/>
      <c r="G570" s="3"/>
      <c r="H570" s="3"/>
      <c r="I570" s="3"/>
      <c r="J570" s="3"/>
      <c r="K570" s="3"/>
      <c r="L570" s="3"/>
      <c r="M570" s="3"/>
      <c r="N570" s="3"/>
      <c r="O570" s="4"/>
      <c r="P570" s="4"/>
      <c r="Q570" s="4"/>
      <c r="R570" s="4"/>
    </row>
    <row r="571" spans="1:18" ht="30.75" customHeight="1" thickBot="1">
      <c r="A571" s="347">
        <f>1+A557</f>
        <v>41</v>
      </c>
      <c r="B571" s="347"/>
      <c r="C571" s="347"/>
      <c r="D571" s="347"/>
      <c r="E571" s="361" t="str">
        <f>VLOOKUP(A571,'REQUISITOS HAB. TECNICOS'!$A$5:$B$66,2,FALSE)</f>
        <v>CONSORCIO FONTIBÓN KM 2024</v>
      </c>
      <c r="F571" s="361"/>
      <c r="G571" s="361"/>
      <c r="H571" s="361"/>
      <c r="I571" s="361"/>
      <c r="J571" s="361"/>
      <c r="K571" s="361"/>
      <c r="L571" s="361"/>
      <c r="M571" s="361"/>
      <c r="N571" s="361"/>
      <c r="O571" s="361"/>
      <c r="P571" s="361"/>
      <c r="Q571" s="361"/>
      <c r="R571" s="361"/>
    </row>
    <row r="572" spans="1:18" ht="50.25" customHeight="1" thickBot="1">
      <c r="A572" s="11" t="s">
        <v>247</v>
      </c>
      <c r="B572" s="76">
        <v>3</v>
      </c>
      <c r="C572" s="288" t="s">
        <v>248</v>
      </c>
      <c r="D572" s="344">
        <f>$D$899</f>
        <v>618.89671538461539</v>
      </c>
      <c r="E572" s="361"/>
      <c r="F572" s="361"/>
      <c r="G572" s="361"/>
      <c r="H572" s="361"/>
      <c r="I572" s="361"/>
      <c r="J572" s="361"/>
      <c r="K572" s="361"/>
      <c r="L572" s="361"/>
      <c r="M572" s="361"/>
      <c r="N572" s="361"/>
      <c r="O572" s="361"/>
      <c r="P572" s="361"/>
      <c r="Q572" s="361"/>
      <c r="R572" s="361"/>
    </row>
    <row r="573" spans="1:18" ht="23.25" customHeight="1" thickBot="1">
      <c r="A573" s="348" t="s">
        <v>249</v>
      </c>
      <c r="B573" s="348"/>
      <c r="C573" s="289">
        <f>+AVERAGE(H579:H581)</f>
        <v>447.57338091533404</v>
      </c>
      <c r="D573" s="345"/>
      <c r="E573" s="361"/>
      <c r="F573" s="361"/>
      <c r="G573" s="361"/>
      <c r="H573" s="361"/>
      <c r="I573" s="361"/>
      <c r="J573" s="361"/>
      <c r="K573" s="361"/>
      <c r="L573" s="361"/>
      <c r="M573" s="361"/>
      <c r="N573" s="361"/>
      <c r="O573" s="361"/>
      <c r="P573" s="361"/>
      <c r="Q573" s="361"/>
      <c r="R573" s="361"/>
    </row>
    <row r="574" spans="1:18" ht="23.25" customHeight="1" thickBot="1">
      <c r="A574" s="349" t="s">
        <v>250</v>
      </c>
      <c r="B574" s="349"/>
      <c r="C574" s="350">
        <v>45631</v>
      </c>
      <c r="D574" s="350"/>
      <c r="E574" s="361"/>
      <c r="F574" s="361"/>
      <c r="G574" s="361"/>
      <c r="H574" s="361"/>
      <c r="I574" s="361"/>
      <c r="J574" s="361"/>
      <c r="K574" s="361"/>
      <c r="L574" s="361"/>
      <c r="M574" s="361"/>
      <c r="N574" s="361"/>
      <c r="O574" s="361"/>
      <c r="P574" s="361"/>
      <c r="Q574" s="361"/>
      <c r="R574" s="361"/>
    </row>
    <row r="575" spans="1:18" ht="38.25" customHeight="1" thickBot="1">
      <c r="A575" s="412" t="s">
        <v>251</v>
      </c>
      <c r="B575" s="413"/>
      <c r="C575" s="414" t="str">
        <f>+IF(H582&gt;D572,"CUMPLE","NO CUMPLE")</f>
        <v>CUMPLE</v>
      </c>
      <c r="D575" s="415"/>
      <c r="E575" s="361"/>
      <c r="F575" s="361"/>
      <c r="G575" s="361"/>
      <c r="H575" s="361"/>
      <c r="I575" s="361"/>
      <c r="J575" s="361"/>
      <c r="K575" s="361"/>
      <c r="L575" s="361"/>
      <c r="M575" s="361"/>
      <c r="N575" s="361"/>
      <c r="O575" s="361"/>
      <c r="P575" s="361"/>
      <c r="Q575" s="361"/>
      <c r="R575" s="361"/>
    </row>
    <row r="576" spans="1:18" ht="88.5" customHeight="1" thickBot="1">
      <c r="A576" s="353" t="s">
        <v>252</v>
      </c>
      <c r="B576" s="353"/>
      <c r="C576" s="353"/>
      <c r="D576" s="353"/>
      <c r="E576" s="353"/>
      <c r="F576" s="353"/>
      <c r="G576" s="311"/>
      <c r="H576" s="311"/>
      <c r="I576" s="143" t="s">
        <v>253</v>
      </c>
      <c r="J576" s="305" t="s">
        <v>254</v>
      </c>
      <c r="K576" s="363" t="s">
        <v>255</v>
      </c>
      <c r="L576" s="364"/>
      <c r="M576" s="357" t="s">
        <v>256</v>
      </c>
      <c r="N576" s="357" t="s">
        <v>257</v>
      </c>
      <c r="O576" s="357" t="s">
        <v>258</v>
      </c>
      <c r="P576" s="357" t="s">
        <v>259</v>
      </c>
      <c r="Q576" s="357" t="s">
        <v>563</v>
      </c>
      <c r="R576" s="362" t="s">
        <v>261</v>
      </c>
    </row>
    <row r="577" spans="1:18" ht="77.25" customHeight="1">
      <c r="A577" s="144" t="s">
        <v>262</v>
      </c>
      <c r="B577" s="354" t="s">
        <v>263</v>
      </c>
      <c r="C577" s="354"/>
      <c r="D577" s="145" t="s">
        <v>264</v>
      </c>
      <c r="E577" s="145" t="s">
        <v>265</v>
      </c>
      <c r="F577" s="145" t="s">
        <v>266</v>
      </c>
      <c r="G577" s="146" t="s">
        <v>267</v>
      </c>
      <c r="H577" s="146" t="s">
        <v>268</v>
      </c>
      <c r="I577" s="147" t="s">
        <v>269</v>
      </c>
      <c r="J577" s="147" t="s">
        <v>270</v>
      </c>
      <c r="K577" s="198" t="s">
        <v>271</v>
      </c>
      <c r="L577" s="198" t="s">
        <v>272</v>
      </c>
      <c r="M577" s="358"/>
      <c r="N577" s="358"/>
      <c r="O577" s="358"/>
      <c r="P577" s="358"/>
      <c r="Q577" s="358"/>
      <c r="R577" s="362"/>
    </row>
    <row r="578" spans="1:18">
      <c r="A578" s="173" t="str">
        <f>VLOOKUP(A571,'LISTA DE OFERENTES'!$A$4:$F$65,5,FALSE)</f>
        <v>KALPA INGENIERIA SAS
SOCIEDAD DE BENEFICIO E
INTERES COLECTIVO - BIC (99%)</v>
      </c>
      <c r="B578" s="35"/>
      <c r="C578" s="35"/>
      <c r="D578" s="35"/>
      <c r="E578" s="35"/>
      <c r="F578" s="35"/>
      <c r="G578" s="35"/>
      <c r="H578" s="35"/>
      <c r="I578" s="35"/>
      <c r="J578" s="35"/>
      <c r="K578" s="35"/>
      <c r="L578" s="35"/>
      <c r="M578" s="35"/>
      <c r="N578" s="35"/>
      <c r="O578" s="35"/>
      <c r="P578" s="35"/>
      <c r="Q578" s="35"/>
      <c r="R578" s="36"/>
    </row>
    <row r="579" spans="1:18" s="14" customFormat="1" ht="90">
      <c r="A579" s="207" t="s">
        <v>564</v>
      </c>
      <c r="B579" s="343" t="s">
        <v>565</v>
      </c>
      <c r="C579" s="343"/>
      <c r="D579" s="179">
        <v>376396800</v>
      </c>
      <c r="E579" s="208">
        <v>2015</v>
      </c>
      <c r="F579" s="180">
        <f>D579/(VLOOKUP(E579,$D$929:$E$962,2,FALSE))</f>
        <v>584.14960813222626</v>
      </c>
      <c r="G579" s="209">
        <v>0.5</v>
      </c>
      <c r="H579" s="180">
        <f>F579*G579</f>
        <v>292.07480406611313</v>
      </c>
      <c r="I579" s="210">
        <v>42095</v>
      </c>
      <c r="J579" s="211" t="s">
        <v>275</v>
      </c>
      <c r="K579" s="211" t="s">
        <v>275</v>
      </c>
      <c r="L579" s="212">
        <f>IF(K579="CUMPLE",H579,0)</f>
        <v>292.07480406611313</v>
      </c>
      <c r="M579" s="213" t="s">
        <v>275</v>
      </c>
      <c r="N579" s="213" t="s">
        <v>275</v>
      </c>
      <c r="O579" s="303" t="s">
        <v>275</v>
      </c>
      <c r="P579" s="239" t="s">
        <v>275</v>
      </c>
      <c r="Q579" s="239" t="s">
        <v>276</v>
      </c>
      <c r="R579" s="216" t="s">
        <v>566</v>
      </c>
    </row>
    <row r="580" spans="1:18" s="14" customFormat="1" ht="90">
      <c r="A580" s="214" t="s">
        <v>567</v>
      </c>
      <c r="B580" s="343" t="s">
        <v>568</v>
      </c>
      <c r="C580" s="343"/>
      <c r="D580" s="179">
        <v>1095813107</v>
      </c>
      <c r="E580" s="208">
        <v>2021</v>
      </c>
      <c r="F580" s="180">
        <f>D580/(VLOOKUP(E580,$D$929:$E$962,2,FALSE))</f>
        <v>1206.1439155291098</v>
      </c>
      <c r="G580" s="215">
        <v>0.5</v>
      </c>
      <c r="H580" s="180">
        <f>F580*G580</f>
        <v>603.0719577645549</v>
      </c>
      <c r="I580" s="210">
        <v>44255</v>
      </c>
      <c r="J580" s="211" t="s">
        <v>275</v>
      </c>
      <c r="K580" s="211" t="s">
        <v>275</v>
      </c>
      <c r="L580" s="212">
        <f t="shared" ref="L580:L581" si="61">IF(K580="CUMPLE",H580,0)</f>
        <v>603.0719577645549</v>
      </c>
      <c r="M580" s="213" t="s">
        <v>275</v>
      </c>
      <c r="N580" s="213" t="s">
        <v>275</v>
      </c>
      <c r="O580" s="303" t="s">
        <v>275</v>
      </c>
      <c r="P580" s="239" t="s">
        <v>276</v>
      </c>
      <c r="Q580" s="239" t="s">
        <v>276</v>
      </c>
      <c r="R580" s="216" t="s">
        <v>566</v>
      </c>
    </row>
    <row r="581" spans="1:18" s="14" customFormat="1" ht="114" customHeight="1">
      <c r="A581" s="214" t="s">
        <v>569</v>
      </c>
      <c r="B581" s="343" t="s">
        <v>570</v>
      </c>
      <c r="C581" s="343"/>
      <c r="D581" s="179">
        <v>4161518867</v>
      </c>
      <c r="E581" s="208">
        <v>2018</v>
      </c>
      <c r="F581" s="180">
        <f>D581/(VLOOKUP(E581,$D$929:$E$962,2,FALSE))</f>
        <v>5326.7986961786492</v>
      </c>
      <c r="G581" s="215">
        <v>0.5</v>
      </c>
      <c r="H581" s="180"/>
      <c r="I581" s="210">
        <v>43333</v>
      </c>
      <c r="J581" s="211" t="s">
        <v>275</v>
      </c>
      <c r="K581" s="211" t="s">
        <v>276</v>
      </c>
      <c r="L581" s="212">
        <f t="shared" si="61"/>
        <v>0</v>
      </c>
      <c r="M581" s="213" t="s">
        <v>311</v>
      </c>
      <c r="N581" s="213" t="s">
        <v>311</v>
      </c>
      <c r="O581" s="213" t="s">
        <v>311</v>
      </c>
      <c r="P581" s="213" t="s">
        <v>311</v>
      </c>
      <c r="Q581" s="213" t="s">
        <v>311</v>
      </c>
      <c r="R581" s="216" t="s">
        <v>352</v>
      </c>
    </row>
    <row r="582" spans="1:18" s="14" customFormat="1" ht="48" customHeight="1" thickBot="1">
      <c r="A582" s="346" t="s">
        <v>284</v>
      </c>
      <c r="B582" s="346"/>
      <c r="C582" s="346"/>
      <c r="D582" s="346"/>
      <c r="E582" s="346"/>
      <c r="F582" s="45">
        <f>+SUM(F579:F581)</f>
        <v>7117.0922198399858</v>
      </c>
      <c r="G582" s="45"/>
      <c r="H582" s="45">
        <f>+SUM(H579:H581)</f>
        <v>895.14676183066808</v>
      </c>
      <c r="I582" s="359"/>
      <c r="J582" s="360"/>
      <c r="K582" s="196"/>
      <c r="L582" s="196"/>
      <c r="M582" s="196"/>
      <c r="N582" s="196"/>
      <c r="O582" s="196"/>
      <c r="P582" s="304"/>
      <c r="Q582" s="304"/>
      <c r="R582" s="37" t="s">
        <v>276</v>
      </c>
    </row>
    <row r="583" spans="1:18" ht="16.5" thickBot="1">
      <c r="A583" s="3"/>
      <c r="B583" s="3"/>
      <c r="C583" s="3"/>
      <c r="D583" s="3"/>
      <c r="E583" s="3"/>
      <c r="F583" s="3"/>
      <c r="G583" s="3"/>
      <c r="H583" s="3"/>
      <c r="I583" s="3"/>
      <c r="J583" s="3"/>
      <c r="K583" s="3"/>
      <c r="L583" s="3"/>
      <c r="M583" s="3"/>
      <c r="N583" s="3"/>
      <c r="O583" s="4"/>
      <c r="P583" s="4"/>
      <c r="Q583" s="4"/>
      <c r="R583" s="4"/>
    </row>
    <row r="584" spans="1:18" ht="30.75" customHeight="1" thickBot="1">
      <c r="A584" s="347">
        <f>1+A571</f>
        <v>42</v>
      </c>
      <c r="B584" s="347"/>
      <c r="C584" s="347"/>
      <c r="D584" s="347"/>
      <c r="E584" s="361" t="str">
        <f>VLOOKUP(A584,'REQUISITOS HAB. TECNICOS'!$A$5:$B$66,2,FALSE)</f>
        <v>CONSORCIO INTER FONTIBON JG</v>
      </c>
      <c r="F584" s="361"/>
      <c r="G584" s="361"/>
      <c r="H584" s="361"/>
      <c r="I584" s="361"/>
      <c r="J584" s="361"/>
      <c r="K584" s="361"/>
      <c r="L584" s="361"/>
      <c r="M584" s="361"/>
      <c r="N584" s="361"/>
      <c r="O584" s="361"/>
      <c r="P584" s="361"/>
      <c r="Q584" s="361"/>
      <c r="R584" s="361"/>
    </row>
    <row r="585" spans="1:18" ht="50.25" customHeight="1" thickBot="1">
      <c r="A585" s="11" t="s">
        <v>247</v>
      </c>
      <c r="B585" s="76">
        <v>2</v>
      </c>
      <c r="C585" s="288" t="s">
        <v>248</v>
      </c>
      <c r="D585" s="344">
        <f>$D$899</f>
        <v>618.89671538461539</v>
      </c>
      <c r="E585" s="361"/>
      <c r="F585" s="361"/>
      <c r="G585" s="361"/>
      <c r="H585" s="361"/>
      <c r="I585" s="361"/>
      <c r="J585" s="361"/>
      <c r="K585" s="361"/>
      <c r="L585" s="361"/>
      <c r="M585" s="361"/>
      <c r="N585" s="361"/>
      <c r="O585" s="361"/>
      <c r="P585" s="361"/>
      <c r="Q585" s="361"/>
      <c r="R585" s="361"/>
    </row>
    <row r="586" spans="1:18" ht="23.25" customHeight="1" thickBot="1">
      <c r="A586" s="348" t="s">
        <v>249</v>
      </c>
      <c r="B586" s="348"/>
      <c r="C586" s="289">
        <f>+AVERAGE(H592:H593)</f>
        <v>813.11194841035172</v>
      </c>
      <c r="D586" s="345"/>
      <c r="E586" s="361"/>
      <c r="F586" s="361"/>
      <c r="G586" s="361"/>
      <c r="H586" s="361"/>
      <c r="I586" s="361"/>
      <c r="J586" s="361"/>
      <c r="K586" s="361"/>
      <c r="L586" s="361"/>
      <c r="M586" s="361"/>
      <c r="N586" s="361"/>
      <c r="O586" s="361"/>
      <c r="P586" s="361"/>
      <c r="Q586" s="361"/>
      <c r="R586" s="361"/>
    </row>
    <row r="587" spans="1:18" ht="23.25" customHeight="1" thickBot="1">
      <c r="A587" s="349" t="s">
        <v>250</v>
      </c>
      <c r="B587" s="349"/>
      <c r="C587" s="350">
        <v>45631</v>
      </c>
      <c r="D587" s="350"/>
      <c r="E587" s="361"/>
      <c r="F587" s="361"/>
      <c r="G587" s="361"/>
      <c r="H587" s="361"/>
      <c r="I587" s="361"/>
      <c r="J587" s="361"/>
      <c r="K587" s="361"/>
      <c r="L587" s="361"/>
      <c r="M587" s="361"/>
      <c r="N587" s="361"/>
      <c r="O587" s="361"/>
      <c r="P587" s="361"/>
      <c r="Q587" s="361"/>
      <c r="R587" s="361"/>
    </row>
    <row r="588" spans="1:18" ht="38.25" customHeight="1" thickBot="1">
      <c r="A588" s="351" t="s">
        <v>251</v>
      </c>
      <c r="B588" s="351"/>
      <c r="C588" s="352" t="str">
        <f>+IF(H594&gt;D585,"CUMPLE","NO CUMPLE")</f>
        <v>CUMPLE</v>
      </c>
      <c r="D588" s="352"/>
      <c r="E588" s="361"/>
      <c r="F588" s="361"/>
      <c r="G588" s="361"/>
      <c r="H588" s="361"/>
      <c r="I588" s="361"/>
      <c r="J588" s="361"/>
      <c r="K588" s="361"/>
      <c r="L588" s="361"/>
      <c r="M588" s="361"/>
      <c r="N588" s="361"/>
      <c r="O588" s="361"/>
      <c r="P588" s="361"/>
      <c r="Q588" s="361"/>
      <c r="R588" s="361"/>
    </row>
    <row r="589" spans="1:18" ht="87.75" customHeight="1" thickBot="1">
      <c r="A589" s="353" t="s">
        <v>252</v>
      </c>
      <c r="B589" s="353"/>
      <c r="C589" s="353"/>
      <c r="D589" s="353"/>
      <c r="E589" s="353"/>
      <c r="F589" s="353"/>
      <c r="G589" s="311"/>
      <c r="H589" s="311"/>
      <c r="I589" s="143" t="s">
        <v>253</v>
      </c>
      <c r="J589" s="305" t="s">
        <v>254</v>
      </c>
      <c r="K589" s="363" t="s">
        <v>255</v>
      </c>
      <c r="L589" s="364"/>
      <c r="M589" s="357" t="s">
        <v>256</v>
      </c>
      <c r="N589" s="357" t="s">
        <v>257</v>
      </c>
      <c r="O589" s="357" t="s">
        <v>258</v>
      </c>
      <c r="P589" s="357" t="s">
        <v>259</v>
      </c>
      <c r="Q589" s="357" t="s">
        <v>260</v>
      </c>
      <c r="R589" s="362" t="s">
        <v>261</v>
      </c>
    </row>
    <row r="590" spans="1:18" ht="77.25" customHeight="1">
      <c r="A590" s="144" t="s">
        <v>262</v>
      </c>
      <c r="B590" s="354" t="s">
        <v>263</v>
      </c>
      <c r="C590" s="354"/>
      <c r="D590" s="145" t="s">
        <v>264</v>
      </c>
      <c r="E590" s="145" t="s">
        <v>265</v>
      </c>
      <c r="F590" s="145" t="s">
        <v>266</v>
      </c>
      <c r="G590" s="146" t="s">
        <v>267</v>
      </c>
      <c r="H590" s="146" t="s">
        <v>268</v>
      </c>
      <c r="I590" s="147" t="s">
        <v>269</v>
      </c>
      <c r="J590" s="147" t="s">
        <v>270</v>
      </c>
      <c r="K590" s="198" t="s">
        <v>271</v>
      </c>
      <c r="L590" s="198" t="s">
        <v>272</v>
      </c>
      <c r="M590" s="358"/>
      <c r="N590" s="358"/>
      <c r="O590" s="358"/>
      <c r="P590" s="358"/>
      <c r="Q590" s="358"/>
      <c r="R590" s="362"/>
    </row>
    <row r="591" spans="1:18">
      <c r="A591" s="34" t="str">
        <f>VLOOKUP(A584,'LISTA DE OFERENTES'!$A$4:$F$65,5,FALSE)</f>
        <v>GAVINCO INGENIEROS CONSULTORES SAS (90%)</v>
      </c>
      <c r="B591" s="35"/>
      <c r="C591" s="35"/>
      <c r="D591" s="35"/>
      <c r="E591" s="35"/>
      <c r="F591" s="35"/>
      <c r="G591" s="35"/>
      <c r="H591" s="35"/>
      <c r="I591" s="35"/>
      <c r="J591" s="35"/>
      <c r="K591" s="35"/>
      <c r="L591" s="35"/>
      <c r="M591" s="35"/>
      <c r="N591" s="35"/>
      <c r="O591" s="35"/>
      <c r="P591" s="35"/>
      <c r="Q591" s="35"/>
      <c r="R591" s="36"/>
    </row>
    <row r="592" spans="1:18" s="14" customFormat="1" ht="135">
      <c r="A592" s="207" t="s">
        <v>571</v>
      </c>
      <c r="B592" s="343" t="s">
        <v>572</v>
      </c>
      <c r="C592" s="343"/>
      <c r="D592" s="179">
        <v>1868344720</v>
      </c>
      <c r="E592" s="208">
        <v>2018</v>
      </c>
      <c r="F592" s="180">
        <f>D592/(VLOOKUP(E592,$D$929:$E$961,2,FALSE))</f>
        <v>2391.5057306186814</v>
      </c>
      <c r="G592" s="209">
        <v>0.34</v>
      </c>
      <c r="H592" s="180">
        <f>F592*G592</f>
        <v>813.11194841035172</v>
      </c>
      <c r="I592" s="210">
        <v>43175</v>
      </c>
      <c r="J592" s="211" t="s">
        <v>275</v>
      </c>
      <c r="K592" s="211" t="s">
        <v>275</v>
      </c>
      <c r="L592" s="212">
        <f>IF(K592="CUMPLE",H592,0)</f>
        <v>813.11194841035172</v>
      </c>
      <c r="M592" s="213" t="s">
        <v>275</v>
      </c>
      <c r="N592" s="213" t="s">
        <v>275</v>
      </c>
      <c r="O592" s="303" t="s">
        <v>275</v>
      </c>
      <c r="P592" s="239" t="s">
        <v>276</v>
      </c>
      <c r="Q592" s="239" t="s">
        <v>276</v>
      </c>
      <c r="R592" s="216" t="s">
        <v>573</v>
      </c>
    </row>
    <row r="593" spans="1:18" s="14" customFormat="1" ht="120">
      <c r="A593" s="214" t="s">
        <v>574</v>
      </c>
      <c r="B593" s="343" t="s">
        <v>575</v>
      </c>
      <c r="C593" s="343"/>
      <c r="D593" s="179">
        <v>8400000000</v>
      </c>
      <c r="E593" s="208">
        <v>2020</v>
      </c>
      <c r="F593" s="180">
        <f>D593/(VLOOKUP(E593,$D$929:$E$961,2,FALSE))</f>
        <v>9569.3452859012777</v>
      </c>
      <c r="G593" s="215">
        <v>0.6</v>
      </c>
      <c r="H593" s="180"/>
      <c r="I593" s="210">
        <v>43992</v>
      </c>
      <c r="J593" s="211" t="s">
        <v>275</v>
      </c>
      <c r="K593" s="211" t="s">
        <v>276</v>
      </c>
      <c r="L593" s="212">
        <f t="shared" ref="L593" si="62">IF(K593="CUMPLE",H593,0)</f>
        <v>0</v>
      </c>
      <c r="M593" s="213" t="s">
        <v>276</v>
      </c>
      <c r="N593" s="213" t="s">
        <v>276</v>
      </c>
      <c r="O593" s="213" t="s">
        <v>276</v>
      </c>
      <c r="P593" s="213" t="s">
        <v>276</v>
      </c>
      <c r="Q593" s="213" t="s">
        <v>276</v>
      </c>
      <c r="R593" s="216" t="s">
        <v>352</v>
      </c>
    </row>
    <row r="594" spans="1:18" s="14" customFormat="1" ht="48" customHeight="1" thickBot="1">
      <c r="A594" s="346" t="s">
        <v>284</v>
      </c>
      <c r="B594" s="346"/>
      <c r="C594" s="346"/>
      <c r="D594" s="346"/>
      <c r="E594" s="346"/>
      <c r="F594" s="45">
        <f>+SUM(F592:F593)</f>
        <v>11960.851016519959</v>
      </c>
      <c r="G594" s="45"/>
      <c r="H594" s="45">
        <f>+SUM(H592:H593)</f>
        <v>813.11194841035172</v>
      </c>
      <c r="I594" s="359"/>
      <c r="J594" s="360"/>
      <c r="K594" s="196"/>
      <c r="L594" s="196"/>
      <c r="M594" s="196"/>
      <c r="N594" s="196"/>
      <c r="O594" s="196"/>
      <c r="P594" s="304"/>
      <c r="Q594" s="304"/>
      <c r="R594" s="37" t="s">
        <v>276</v>
      </c>
    </row>
    <row r="595" spans="1:18" ht="16.5" thickBot="1">
      <c r="A595" s="3"/>
      <c r="B595" s="3"/>
      <c r="C595" s="3"/>
      <c r="D595" s="3"/>
      <c r="E595" s="3"/>
      <c r="F595" s="3"/>
      <c r="G595" s="3"/>
      <c r="H595" s="3"/>
      <c r="I595" s="3"/>
      <c r="J595" s="3"/>
      <c r="K595" s="3"/>
      <c r="L595" s="3"/>
      <c r="M595" s="3"/>
      <c r="N595" s="3"/>
      <c r="O595" s="4"/>
      <c r="P595" s="4"/>
      <c r="Q595" s="4"/>
      <c r="R595" s="4"/>
    </row>
    <row r="596" spans="1:18" ht="30.75" customHeight="1" thickBot="1">
      <c r="A596" s="347">
        <f>1+A584</f>
        <v>43</v>
      </c>
      <c r="B596" s="347"/>
      <c r="C596" s="347"/>
      <c r="D596" s="347"/>
      <c r="E596" s="361" t="str">
        <f>VLOOKUP(A596,'REQUISITOS HAB. TECNICOS'!$A$5:$B$66,2,FALSE)</f>
        <v>CONSORCIO INTER VÍAL G&amp;L</v>
      </c>
      <c r="F596" s="361"/>
      <c r="G596" s="361"/>
      <c r="H596" s="361"/>
      <c r="I596" s="361"/>
      <c r="J596" s="361"/>
      <c r="K596" s="361"/>
      <c r="L596" s="361"/>
      <c r="M596" s="361"/>
      <c r="N596" s="361"/>
      <c r="O596" s="361"/>
      <c r="P596" s="361"/>
      <c r="Q596" s="361"/>
      <c r="R596" s="361"/>
    </row>
    <row r="597" spans="1:18" ht="50.25" customHeight="1" thickBot="1">
      <c r="A597" s="11" t="s">
        <v>247</v>
      </c>
      <c r="B597" s="76">
        <v>5</v>
      </c>
      <c r="C597" s="288" t="s">
        <v>248</v>
      </c>
      <c r="D597" s="344">
        <f>$D$899</f>
        <v>618.89671538461539</v>
      </c>
      <c r="E597" s="361"/>
      <c r="F597" s="361"/>
      <c r="G597" s="361"/>
      <c r="H597" s="361"/>
      <c r="I597" s="361"/>
      <c r="J597" s="361"/>
      <c r="K597" s="361"/>
      <c r="L597" s="361"/>
      <c r="M597" s="361"/>
      <c r="N597" s="361"/>
      <c r="O597" s="361"/>
      <c r="P597" s="361"/>
      <c r="Q597" s="361"/>
      <c r="R597" s="361"/>
    </row>
    <row r="598" spans="1:18" ht="23.25" customHeight="1" thickBot="1">
      <c r="A598" s="348" t="s">
        <v>249</v>
      </c>
      <c r="B598" s="348"/>
      <c r="C598" s="289">
        <f>+AVERAGE(H604:H609)</f>
        <v>867.53033856057573</v>
      </c>
      <c r="D598" s="345"/>
      <c r="E598" s="361"/>
      <c r="F598" s="361"/>
      <c r="G598" s="361"/>
      <c r="H598" s="361"/>
      <c r="I598" s="361"/>
      <c r="J598" s="361"/>
      <c r="K598" s="361"/>
      <c r="L598" s="361"/>
      <c r="M598" s="361"/>
      <c r="N598" s="361"/>
      <c r="O598" s="361"/>
      <c r="P598" s="361"/>
      <c r="Q598" s="361"/>
      <c r="R598" s="361"/>
    </row>
    <row r="599" spans="1:18" ht="23.25" customHeight="1" thickBot="1">
      <c r="A599" s="349" t="s">
        <v>250</v>
      </c>
      <c r="B599" s="349"/>
      <c r="C599" s="350">
        <v>45631</v>
      </c>
      <c r="D599" s="350"/>
      <c r="E599" s="361"/>
      <c r="F599" s="361"/>
      <c r="G599" s="361"/>
      <c r="H599" s="361"/>
      <c r="I599" s="361"/>
      <c r="J599" s="361"/>
      <c r="K599" s="361"/>
      <c r="L599" s="361"/>
      <c r="M599" s="361"/>
      <c r="N599" s="361"/>
      <c r="O599" s="361"/>
      <c r="P599" s="361"/>
      <c r="Q599" s="361"/>
      <c r="R599" s="361"/>
    </row>
    <row r="600" spans="1:18" ht="38.25" customHeight="1" thickBot="1">
      <c r="A600" s="351" t="s">
        <v>251</v>
      </c>
      <c r="B600" s="351"/>
      <c r="C600" s="352" t="str">
        <f>+IF(H610&gt;D597,"CUMPLE","NO CUMPLE")</f>
        <v>CUMPLE</v>
      </c>
      <c r="D600" s="352"/>
      <c r="E600" s="361"/>
      <c r="F600" s="361"/>
      <c r="G600" s="361"/>
      <c r="H600" s="361"/>
      <c r="I600" s="361"/>
      <c r="J600" s="361"/>
      <c r="K600" s="361"/>
      <c r="L600" s="361"/>
      <c r="M600" s="361"/>
      <c r="N600" s="361"/>
      <c r="O600" s="361"/>
      <c r="P600" s="361"/>
      <c r="Q600" s="361"/>
      <c r="R600" s="361"/>
    </row>
    <row r="601" spans="1:18" ht="86.25" customHeight="1" thickBot="1">
      <c r="A601" s="353" t="s">
        <v>252</v>
      </c>
      <c r="B601" s="353"/>
      <c r="C601" s="353"/>
      <c r="D601" s="353"/>
      <c r="E601" s="353"/>
      <c r="F601" s="353"/>
      <c r="G601" s="311"/>
      <c r="H601" s="311"/>
      <c r="I601" s="143" t="s">
        <v>253</v>
      </c>
      <c r="J601" s="305" t="s">
        <v>254</v>
      </c>
      <c r="K601" s="363" t="s">
        <v>255</v>
      </c>
      <c r="L601" s="364"/>
      <c r="M601" s="357" t="s">
        <v>256</v>
      </c>
      <c r="N601" s="357" t="s">
        <v>257</v>
      </c>
      <c r="O601" s="357" t="s">
        <v>258</v>
      </c>
      <c r="P601" s="357" t="s">
        <v>259</v>
      </c>
      <c r="Q601" s="357" t="s">
        <v>260</v>
      </c>
      <c r="R601" s="362" t="s">
        <v>261</v>
      </c>
    </row>
    <row r="602" spans="1:18" ht="77.25" customHeight="1">
      <c r="A602" s="144" t="s">
        <v>262</v>
      </c>
      <c r="B602" s="354" t="s">
        <v>263</v>
      </c>
      <c r="C602" s="354"/>
      <c r="D602" s="145" t="s">
        <v>264</v>
      </c>
      <c r="E602" s="145" t="s">
        <v>265</v>
      </c>
      <c r="F602" s="145" t="s">
        <v>266</v>
      </c>
      <c r="G602" s="146" t="s">
        <v>267</v>
      </c>
      <c r="H602" s="146" t="s">
        <v>268</v>
      </c>
      <c r="I602" s="147" t="s">
        <v>269</v>
      </c>
      <c r="J602" s="147" t="s">
        <v>270</v>
      </c>
      <c r="K602" s="198" t="s">
        <v>271</v>
      </c>
      <c r="L602" s="198" t="s">
        <v>272</v>
      </c>
      <c r="M602" s="358"/>
      <c r="N602" s="358"/>
      <c r="O602" s="358"/>
      <c r="P602" s="358"/>
      <c r="Q602" s="358"/>
      <c r="R602" s="362"/>
    </row>
    <row r="603" spans="1:18">
      <c r="A603" s="34" t="str">
        <f>'LISTA DE OFERENTES'!E46</f>
        <v>LUIS GUILLERMO NARVAEZ RICARDO (50%)</v>
      </c>
      <c r="B603" s="35"/>
      <c r="C603" s="35"/>
      <c r="D603" s="35"/>
      <c r="E603" s="35"/>
      <c r="F603" s="35"/>
      <c r="G603" s="35"/>
      <c r="H603" s="35"/>
      <c r="I603" s="35"/>
      <c r="J603" s="35"/>
      <c r="K603" s="35"/>
      <c r="L603" s="35"/>
      <c r="M603" s="35"/>
      <c r="N603" s="35"/>
      <c r="O603" s="35"/>
      <c r="P603" s="35"/>
      <c r="Q603" s="35"/>
      <c r="R603" s="36"/>
    </row>
    <row r="604" spans="1:18" s="14" customFormat="1" ht="60">
      <c r="A604" s="207" t="s">
        <v>576</v>
      </c>
      <c r="B604" s="343" t="s">
        <v>335</v>
      </c>
      <c r="C604" s="343"/>
      <c r="D604" s="179">
        <v>1141840740</v>
      </c>
      <c r="E604" s="208">
        <v>2008</v>
      </c>
      <c r="F604" s="180">
        <f>D604/(VLOOKUP(E604,$D$929:$E$962,2,FALSE))</f>
        <v>2474.1944528710724</v>
      </c>
      <c r="G604" s="209">
        <v>0.4</v>
      </c>
      <c r="H604" s="180">
        <f t="shared" ref="H604:H609" si="63">F604*G604</f>
        <v>989.67778114842895</v>
      </c>
      <c r="I604" s="210">
        <v>39574</v>
      </c>
      <c r="J604" s="211" t="s">
        <v>275</v>
      </c>
      <c r="K604" s="211"/>
      <c r="L604" s="212">
        <f>IF(K604="CUMPLE",H604,0)</f>
        <v>0</v>
      </c>
      <c r="M604" s="213" t="s">
        <v>275</v>
      </c>
      <c r="N604" s="213" t="s">
        <v>275</v>
      </c>
      <c r="O604" s="303" t="s">
        <v>275</v>
      </c>
      <c r="P604" s="239" t="s">
        <v>275</v>
      </c>
      <c r="Q604" s="239" t="s">
        <v>275</v>
      </c>
      <c r="R604" s="216"/>
    </row>
    <row r="605" spans="1:18" s="14" customFormat="1" ht="60">
      <c r="A605" s="214" t="s">
        <v>577</v>
      </c>
      <c r="B605" s="343" t="s">
        <v>578</v>
      </c>
      <c r="C605" s="343"/>
      <c r="D605" s="179">
        <v>152607096</v>
      </c>
      <c r="E605" s="208">
        <v>1995</v>
      </c>
      <c r="F605" s="180">
        <f>D605/(VLOOKUP(E605,$D$929:$E$962,2,FALSE))</f>
        <v>1283.1350087864596</v>
      </c>
      <c r="G605" s="215">
        <v>1</v>
      </c>
      <c r="H605" s="180"/>
      <c r="I605" s="210">
        <v>34940</v>
      </c>
      <c r="J605" s="211" t="s">
        <v>275</v>
      </c>
      <c r="K605" s="211"/>
      <c r="L605" s="212">
        <f t="shared" ref="L605:L609" si="64">IF(K605="CUMPLE",H605,0)</f>
        <v>0</v>
      </c>
      <c r="M605" s="213" t="s">
        <v>276</v>
      </c>
      <c r="N605" s="213" t="s">
        <v>276</v>
      </c>
      <c r="O605" s="303" t="s">
        <v>275</v>
      </c>
      <c r="P605" s="239" t="s">
        <v>275</v>
      </c>
      <c r="Q605" s="239" t="s">
        <v>276</v>
      </c>
      <c r="R605" s="216" t="s">
        <v>503</v>
      </c>
    </row>
    <row r="606" spans="1:18" s="14" customFormat="1" ht="45">
      <c r="A606" s="214" t="s">
        <v>579</v>
      </c>
      <c r="B606" s="343" t="s">
        <v>580</v>
      </c>
      <c r="C606" s="343"/>
      <c r="D606" s="179">
        <v>759990240</v>
      </c>
      <c r="E606" s="208">
        <v>2011</v>
      </c>
      <c r="F606" s="180">
        <f>D606/(VLOOKUP(E606,$D$929:$E$962,2,FALSE))</f>
        <v>1418.9511575802837</v>
      </c>
      <c r="G606" s="215">
        <v>0.2</v>
      </c>
      <c r="H606" s="180">
        <f t="shared" si="63"/>
        <v>283.79023151605674</v>
      </c>
      <c r="I606" s="210">
        <v>40907</v>
      </c>
      <c r="J606" s="211" t="s">
        <v>275</v>
      </c>
      <c r="K606" s="211"/>
      <c r="L606" s="212">
        <f t="shared" si="64"/>
        <v>0</v>
      </c>
      <c r="M606" s="213" t="s">
        <v>275</v>
      </c>
      <c r="N606" s="213" t="s">
        <v>275</v>
      </c>
      <c r="O606" s="303" t="s">
        <v>275</v>
      </c>
      <c r="P606" s="239" t="s">
        <v>276</v>
      </c>
      <c r="Q606" s="239" t="s">
        <v>276</v>
      </c>
      <c r="R606" s="216" t="s">
        <v>532</v>
      </c>
    </row>
    <row r="607" spans="1:18" s="14" customFormat="1" ht="225">
      <c r="A607" s="214" t="s">
        <v>581</v>
      </c>
      <c r="B607" s="343" t="s">
        <v>463</v>
      </c>
      <c r="C607" s="343"/>
      <c r="D607" s="179">
        <v>651331000</v>
      </c>
      <c r="E607" s="208">
        <v>1998</v>
      </c>
      <c r="F607" s="180">
        <f>D607/(VLOOKUP(E607,$D$929:$E$962,2,FALSE))</f>
        <v>3195.5246141316611</v>
      </c>
      <c r="G607" s="215">
        <v>0.4</v>
      </c>
      <c r="H607" s="180"/>
      <c r="I607" s="210">
        <v>35941</v>
      </c>
      <c r="J607" s="211" t="s">
        <v>275</v>
      </c>
      <c r="K607" s="233"/>
      <c r="L607" s="212">
        <f t="shared" si="64"/>
        <v>0</v>
      </c>
      <c r="M607" s="213" t="s">
        <v>276</v>
      </c>
      <c r="N607" s="213" t="s">
        <v>276</v>
      </c>
      <c r="O607" s="303" t="s">
        <v>276</v>
      </c>
      <c r="P607" s="239" t="s">
        <v>276</v>
      </c>
      <c r="Q607" s="239" t="s">
        <v>276</v>
      </c>
      <c r="R607" s="216" t="s">
        <v>582</v>
      </c>
    </row>
    <row r="608" spans="1:18" s="14" customFormat="1">
      <c r="A608" s="225" t="str">
        <f>'LISTA DE OFERENTES'!F46</f>
        <v>GNG SERVICIOS DE INGENIERÍA S.A.S. (50%)</v>
      </c>
      <c r="B608" s="226"/>
      <c r="C608" s="226"/>
      <c r="D608" s="226"/>
      <c r="E608" s="226"/>
      <c r="F608" s="228"/>
      <c r="G608" s="228"/>
      <c r="H608" s="226"/>
      <c r="I608" s="226"/>
      <c r="J608" s="226"/>
      <c r="K608" s="226"/>
      <c r="L608" s="226"/>
      <c r="M608" s="226"/>
      <c r="N608" s="226"/>
      <c r="O608" s="226"/>
      <c r="P608" s="226"/>
      <c r="Q608" s="226"/>
      <c r="R608" s="301"/>
    </row>
    <row r="609" spans="1:18" s="14" customFormat="1" ht="60">
      <c r="A609" s="207" t="s">
        <v>583</v>
      </c>
      <c r="B609" s="343" t="s">
        <v>584</v>
      </c>
      <c r="C609" s="343"/>
      <c r="D609" s="179">
        <v>3083565367</v>
      </c>
      <c r="E609" s="208">
        <v>2023</v>
      </c>
      <c r="F609" s="180">
        <f>D609/(VLOOKUP(E609,$D$929:$E$962,2,FALSE))</f>
        <v>2658.2460060344829</v>
      </c>
      <c r="G609" s="209">
        <v>0.5</v>
      </c>
      <c r="H609" s="180">
        <f t="shared" si="63"/>
        <v>1329.1230030172414</v>
      </c>
      <c r="I609" s="210">
        <v>45194</v>
      </c>
      <c r="J609" s="233" t="s">
        <v>275</v>
      </c>
      <c r="K609" s="233"/>
      <c r="L609" s="212">
        <f t="shared" si="64"/>
        <v>0</v>
      </c>
      <c r="M609" s="213" t="s">
        <v>275</v>
      </c>
      <c r="N609" s="213" t="s">
        <v>275</v>
      </c>
      <c r="O609" s="303" t="s">
        <v>276</v>
      </c>
      <c r="P609" s="239" t="s">
        <v>276</v>
      </c>
      <c r="Q609" s="239" t="s">
        <v>276</v>
      </c>
      <c r="R609" s="216" t="s">
        <v>532</v>
      </c>
    </row>
    <row r="610" spans="1:18" s="14" customFormat="1" ht="48" customHeight="1" thickBot="1">
      <c r="A610" s="346" t="s">
        <v>284</v>
      </c>
      <c r="B610" s="346"/>
      <c r="C610" s="346"/>
      <c r="D610" s="346"/>
      <c r="E610" s="346"/>
      <c r="F610" s="45">
        <f>+SUM(F604:F609)</f>
        <v>11030.051239403958</v>
      </c>
      <c r="G610" s="45"/>
      <c r="H610" s="45">
        <f>+SUM(H604:H609)</f>
        <v>2602.5910156817272</v>
      </c>
      <c r="I610" s="359"/>
      <c r="J610" s="360"/>
      <c r="K610" s="196"/>
      <c r="L610" s="196"/>
      <c r="M610" s="196"/>
      <c r="N610" s="196"/>
      <c r="O610" s="196"/>
      <c r="P610" s="304"/>
      <c r="Q610" s="304"/>
      <c r="R610" s="37" t="s">
        <v>275</v>
      </c>
    </row>
    <row r="611" spans="1:18" ht="16.5" thickBot="1">
      <c r="A611" s="3"/>
      <c r="B611" s="3"/>
      <c r="C611" s="3"/>
      <c r="D611" s="3"/>
      <c r="E611" s="3"/>
      <c r="F611" s="3"/>
      <c r="G611" s="3"/>
      <c r="H611" s="3"/>
      <c r="I611" s="3"/>
      <c r="J611" s="3"/>
      <c r="K611" s="3"/>
      <c r="L611" s="3"/>
      <c r="M611" s="3"/>
      <c r="N611" s="3"/>
      <c r="O611" s="4"/>
      <c r="P611" s="4"/>
      <c r="Q611" s="4"/>
      <c r="R611" s="4"/>
    </row>
    <row r="612" spans="1:18" ht="30.75" customHeight="1" thickBot="1">
      <c r="A612" s="347">
        <f>1+A596</f>
        <v>44</v>
      </c>
      <c r="B612" s="347"/>
      <c r="C612" s="347"/>
      <c r="D612" s="347"/>
      <c r="E612" s="361" t="str">
        <f>VLOOKUP(A612,'REQUISITOS HAB. TECNICOS'!$A$5:$B$66,2,FALSE)</f>
        <v>ECOVIAS SAS</v>
      </c>
      <c r="F612" s="361"/>
      <c r="G612" s="361"/>
      <c r="H612" s="361"/>
      <c r="I612" s="361"/>
      <c r="J612" s="361"/>
      <c r="K612" s="361"/>
      <c r="L612" s="361"/>
      <c r="M612" s="361"/>
      <c r="N612" s="361"/>
      <c r="O612" s="361"/>
      <c r="P612" s="361"/>
      <c r="Q612" s="361"/>
      <c r="R612" s="361"/>
    </row>
    <row r="613" spans="1:18" ht="50.25" customHeight="1" thickBot="1">
      <c r="A613" s="11" t="s">
        <v>247</v>
      </c>
      <c r="B613" s="76">
        <v>6</v>
      </c>
      <c r="C613" s="288" t="s">
        <v>248</v>
      </c>
      <c r="D613" s="344">
        <f>$D$899</f>
        <v>618.89671538461539</v>
      </c>
      <c r="E613" s="361"/>
      <c r="F613" s="361"/>
      <c r="G613" s="361"/>
      <c r="H613" s="361"/>
      <c r="I613" s="361"/>
      <c r="J613" s="361"/>
      <c r="K613" s="361"/>
      <c r="L613" s="361"/>
      <c r="M613" s="361"/>
      <c r="N613" s="361"/>
      <c r="O613" s="361"/>
      <c r="P613" s="361"/>
      <c r="Q613" s="361"/>
      <c r="R613" s="361"/>
    </row>
    <row r="614" spans="1:18" ht="23.25" customHeight="1" thickBot="1">
      <c r="A614" s="348" t="s">
        <v>249</v>
      </c>
      <c r="B614" s="348"/>
      <c r="C614" s="289">
        <f>+AVERAGE(H620:H625)</f>
        <v>1174.7594103617175</v>
      </c>
      <c r="D614" s="345"/>
      <c r="E614" s="361"/>
      <c r="F614" s="361"/>
      <c r="G614" s="361"/>
      <c r="H614" s="361"/>
      <c r="I614" s="361"/>
      <c r="J614" s="361"/>
      <c r="K614" s="361"/>
      <c r="L614" s="361"/>
      <c r="M614" s="361"/>
      <c r="N614" s="361"/>
      <c r="O614" s="361"/>
      <c r="P614" s="361"/>
      <c r="Q614" s="361"/>
      <c r="R614" s="361"/>
    </row>
    <row r="615" spans="1:18" ht="23.25" customHeight="1" thickBot="1">
      <c r="A615" s="349" t="s">
        <v>250</v>
      </c>
      <c r="B615" s="349"/>
      <c r="C615" s="350">
        <v>45631</v>
      </c>
      <c r="D615" s="350"/>
      <c r="E615" s="361"/>
      <c r="F615" s="361"/>
      <c r="G615" s="361"/>
      <c r="H615" s="361"/>
      <c r="I615" s="361"/>
      <c r="J615" s="361"/>
      <c r="K615" s="361"/>
      <c r="L615" s="361"/>
      <c r="M615" s="361"/>
      <c r="N615" s="361"/>
      <c r="O615" s="361"/>
      <c r="P615" s="361"/>
      <c r="Q615" s="361"/>
      <c r="R615" s="361"/>
    </row>
    <row r="616" spans="1:18" ht="38.25" customHeight="1" thickBot="1">
      <c r="A616" s="351" t="s">
        <v>251</v>
      </c>
      <c r="B616" s="351"/>
      <c r="C616" s="352" t="str">
        <f>+IF(H626&gt;D613,"CUMPLE","NO CUMPLE")</f>
        <v>CUMPLE</v>
      </c>
      <c r="D616" s="352"/>
      <c r="E616" s="361"/>
      <c r="F616" s="361"/>
      <c r="G616" s="361"/>
      <c r="H616" s="361"/>
      <c r="I616" s="361"/>
      <c r="J616" s="361"/>
      <c r="K616" s="361"/>
      <c r="L616" s="361"/>
      <c r="M616" s="361"/>
      <c r="N616" s="361"/>
      <c r="O616" s="361"/>
      <c r="P616" s="361"/>
      <c r="Q616" s="361"/>
      <c r="R616" s="361"/>
    </row>
    <row r="617" spans="1:18" ht="86.25" customHeight="1" thickBot="1">
      <c r="A617" s="353" t="s">
        <v>252</v>
      </c>
      <c r="B617" s="353"/>
      <c r="C617" s="353"/>
      <c r="D617" s="353"/>
      <c r="E617" s="353"/>
      <c r="F617" s="353"/>
      <c r="G617" s="311"/>
      <c r="H617" s="311"/>
      <c r="I617" s="143" t="s">
        <v>253</v>
      </c>
      <c r="J617" s="305" t="s">
        <v>254</v>
      </c>
      <c r="K617" s="363" t="s">
        <v>255</v>
      </c>
      <c r="L617" s="364"/>
      <c r="M617" s="357" t="s">
        <v>256</v>
      </c>
      <c r="N617" s="357" t="s">
        <v>257</v>
      </c>
      <c r="O617" s="357" t="s">
        <v>258</v>
      </c>
      <c r="P617" s="357" t="s">
        <v>259</v>
      </c>
      <c r="Q617" s="357" t="s">
        <v>260</v>
      </c>
      <c r="R617" s="362" t="s">
        <v>261</v>
      </c>
    </row>
    <row r="618" spans="1:18" ht="77.25" customHeight="1">
      <c r="A618" s="144" t="s">
        <v>262</v>
      </c>
      <c r="B618" s="354" t="s">
        <v>263</v>
      </c>
      <c r="C618" s="354"/>
      <c r="D618" s="145" t="s">
        <v>264</v>
      </c>
      <c r="E618" s="145" t="s">
        <v>265</v>
      </c>
      <c r="F618" s="145" t="s">
        <v>266</v>
      </c>
      <c r="G618" s="146" t="s">
        <v>267</v>
      </c>
      <c r="H618" s="146" t="s">
        <v>268</v>
      </c>
      <c r="I618" s="147" t="s">
        <v>269</v>
      </c>
      <c r="J618" s="147" t="s">
        <v>270</v>
      </c>
      <c r="K618" s="198" t="s">
        <v>271</v>
      </c>
      <c r="L618" s="198" t="s">
        <v>272</v>
      </c>
      <c r="M618" s="358"/>
      <c r="N618" s="358"/>
      <c r="O618" s="358"/>
      <c r="P618" s="358"/>
      <c r="Q618" s="358"/>
      <c r="R618" s="362"/>
    </row>
    <row r="619" spans="1:18">
      <c r="A619" s="34" t="str">
        <f>'LISTA DE OFERENTES'!E47</f>
        <v>ECOVIAS SAS 100%</v>
      </c>
      <c r="B619" s="35"/>
      <c r="C619" s="35"/>
      <c r="D619" s="35"/>
      <c r="E619" s="35"/>
      <c r="F619" s="35"/>
      <c r="G619" s="35"/>
      <c r="H619" s="35"/>
      <c r="I619" s="35"/>
      <c r="J619" s="35"/>
      <c r="K619" s="35"/>
      <c r="L619" s="35"/>
      <c r="M619" s="35"/>
      <c r="N619" s="35"/>
      <c r="O619" s="35"/>
      <c r="P619" s="35"/>
      <c r="Q619" s="35"/>
      <c r="R619" s="36"/>
    </row>
    <row r="620" spans="1:18" s="14" customFormat="1" ht="45">
      <c r="A620" s="207" t="s">
        <v>585</v>
      </c>
      <c r="B620" s="343" t="s">
        <v>586</v>
      </c>
      <c r="C620" s="343"/>
      <c r="D620" s="179">
        <v>127750000</v>
      </c>
      <c r="E620" s="208">
        <v>2004</v>
      </c>
      <c r="F620" s="180">
        <f>D620/(VLOOKUP(E620,$D$929:$E$962,2,FALSE))</f>
        <v>356.84357541899442</v>
      </c>
      <c r="G620" s="209">
        <v>0.5</v>
      </c>
      <c r="H620" s="180">
        <f t="shared" ref="H620:H625" si="65">F620*G620</f>
        <v>178.42178770949721</v>
      </c>
      <c r="I620" s="210">
        <v>38005</v>
      </c>
      <c r="J620" s="211" t="s">
        <v>275</v>
      </c>
      <c r="K620" s="211"/>
      <c r="L620" s="261">
        <f>IF(K620="CUMPLE",H620,0)</f>
        <v>0</v>
      </c>
      <c r="M620" s="224" t="s">
        <v>275</v>
      </c>
      <c r="N620" s="224" t="s">
        <v>275</v>
      </c>
      <c r="O620" s="303" t="s">
        <v>275</v>
      </c>
      <c r="P620" s="303" t="s">
        <v>275</v>
      </c>
      <c r="Q620" s="303" t="s">
        <v>275</v>
      </c>
      <c r="R620" s="241" t="s">
        <v>393</v>
      </c>
    </row>
    <row r="621" spans="1:18" s="14" customFormat="1" ht="45">
      <c r="A621" s="214" t="s">
        <v>587</v>
      </c>
      <c r="B621" s="343" t="s">
        <v>586</v>
      </c>
      <c r="C621" s="343"/>
      <c r="D621" s="179">
        <v>1656489837</v>
      </c>
      <c r="E621" s="208">
        <v>2001</v>
      </c>
      <c r="F621" s="180">
        <f t="shared" ref="F621:F625" si="66">D621/(VLOOKUP(E621,$D$929:$E$962,2,FALSE))</f>
        <v>5791.9225069930071</v>
      </c>
      <c r="G621" s="215">
        <v>0.35</v>
      </c>
      <c r="H621" s="180">
        <f t="shared" si="65"/>
        <v>2027.1728774475523</v>
      </c>
      <c r="I621" s="210">
        <v>37181</v>
      </c>
      <c r="J621" s="211" t="s">
        <v>275</v>
      </c>
      <c r="K621" s="211"/>
      <c r="L621" s="261">
        <f t="shared" ref="L621:L625" si="67">IF(K621="CUMPLE",H621,0)</f>
        <v>0</v>
      </c>
      <c r="M621" s="224" t="s">
        <v>275</v>
      </c>
      <c r="N621" s="224" t="s">
        <v>275</v>
      </c>
      <c r="O621" s="303" t="s">
        <v>275</v>
      </c>
      <c r="P621" s="303" t="s">
        <v>276</v>
      </c>
      <c r="Q621" s="303" t="s">
        <v>276</v>
      </c>
      <c r="R621" s="241" t="s">
        <v>532</v>
      </c>
    </row>
    <row r="622" spans="1:18" s="14" customFormat="1" ht="60">
      <c r="A622" s="214" t="s">
        <v>588</v>
      </c>
      <c r="B622" s="343" t="s">
        <v>589</v>
      </c>
      <c r="C622" s="343"/>
      <c r="D622" s="179">
        <v>632095600</v>
      </c>
      <c r="E622" s="208">
        <v>2018</v>
      </c>
      <c r="F622" s="180">
        <f t="shared" si="66"/>
        <v>809.09065308828758</v>
      </c>
      <c r="G622" s="215">
        <v>1</v>
      </c>
      <c r="H622" s="180">
        <f t="shared" si="65"/>
        <v>809.09065308828758</v>
      </c>
      <c r="I622" s="210">
        <v>43250</v>
      </c>
      <c r="J622" s="211" t="s">
        <v>275</v>
      </c>
      <c r="K622" s="211"/>
      <c r="L622" s="261">
        <f t="shared" si="67"/>
        <v>0</v>
      </c>
      <c r="M622" s="224" t="s">
        <v>275</v>
      </c>
      <c r="N622" s="224" t="s">
        <v>275</v>
      </c>
      <c r="O622" s="303" t="s">
        <v>275</v>
      </c>
      <c r="P622" s="303" t="s">
        <v>275</v>
      </c>
      <c r="Q622" s="303" t="s">
        <v>276</v>
      </c>
      <c r="R622" s="241" t="s">
        <v>393</v>
      </c>
    </row>
    <row r="623" spans="1:18" ht="60">
      <c r="A623" s="207" t="s">
        <v>590</v>
      </c>
      <c r="B623" s="343" t="s">
        <v>591</v>
      </c>
      <c r="C623" s="343"/>
      <c r="D623" s="179">
        <v>573000000</v>
      </c>
      <c r="E623" s="208">
        <v>2017</v>
      </c>
      <c r="F623" s="180">
        <f t="shared" si="66"/>
        <v>776.72061237574837</v>
      </c>
      <c r="G623" s="209">
        <v>0.5</v>
      </c>
      <c r="H623" s="180">
        <f t="shared" si="65"/>
        <v>388.36030618787419</v>
      </c>
      <c r="I623" s="210">
        <v>43064</v>
      </c>
      <c r="J623" s="211" t="s">
        <v>275</v>
      </c>
      <c r="K623" s="229"/>
      <c r="L623" s="261">
        <f t="shared" si="67"/>
        <v>0</v>
      </c>
      <c r="M623" s="224" t="s">
        <v>275</v>
      </c>
      <c r="N623" s="224" t="s">
        <v>275</v>
      </c>
      <c r="O623" s="303" t="s">
        <v>276</v>
      </c>
      <c r="P623" s="303" t="s">
        <v>276</v>
      </c>
      <c r="Q623" s="303" t="s">
        <v>276</v>
      </c>
      <c r="R623" s="241" t="s">
        <v>592</v>
      </c>
    </row>
    <row r="624" spans="1:18" s="14" customFormat="1" ht="105">
      <c r="A624" s="207" t="s">
        <v>593</v>
      </c>
      <c r="B624" s="343" t="s">
        <v>594</v>
      </c>
      <c r="C624" s="343"/>
      <c r="D624" s="179">
        <v>3788883437</v>
      </c>
      <c r="E624" s="208">
        <v>2016</v>
      </c>
      <c r="F624" s="180">
        <f t="shared" si="66"/>
        <v>5495.4760455722271</v>
      </c>
      <c r="G624" s="209">
        <v>0.5</v>
      </c>
      <c r="H624" s="180">
        <f t="shared" si="65"/>
        <v>2747.7380227861136</v>
      </c>
      <c r="I624" s="210">
        <v>42612</v>
      </c>
      <c r="J624" s="211" t="s">
        <v>275</v>
      </c>
      <c r="K624" s="233"/>
      <c r="L624" s="261">
        <f t="shared" si="67"/>
        <v>0</v>
      </c>
      <c r="M624" s="224" t="s">
        <v>275</v>
      </c>
      <c r="N624" s="224" t="s">
        <v>275</v>
      </c>
      <c r="O624" s="303" t="s">
        <v>275</v>
      </c>
      <c r="P624" s="303" t="s">
        <v>275</v>
      </c>
      <c r="Q624" s="303" t="s">
        <v>276</v>
      </c>
      <c r="R624" s="241" t="s">
        <v>393</v>
      </c>
    </row>
    <row r="625" spans="1:18" s="14" customFormat="1" ht="45">
      <c r="A625" s="207" t="s">
        <v>595</v>
      </c>
      <c r="B625" s="343" t="s">
        <v>463</v>
      </c>
      <c r="C625" s="343"/>
      <c r="D625" s="179">
        <v>732582617</v>
      </c>
      <c r="E625" s="208">
        <v>2006</v>
      </c>
      <c r="F625" s="180">
        <f t="shared" si="66"/>
        <v>1795.5456299019609</v>
      </c>
      <c r="G625" s="209">
        <v>0.5</v>
      </c>
      <c r="H625" s="180">
        <f t="shared" si="65"/>
        <v>897.77281495098043</v>
      </c>
      <c r="I625" s="210">
        <v>38986</v>
      </c>
      <c r="J625" s="211" t="s">
        <v>275</v>
      </c>
      <c r="K625" s="233"/>
      <c r="L625" s="261">
        <f t="shared" si="67"/>
        <v>0</v>
      </c>
      <c r="M625" s="224" t="s">
        <v>275</v>
      </c>
      <c r="N625" s="224" t="s">
        <v>275</v>
      </c>
      <c r="O625" s="303" t="s">
        <v>275</v>
      </c>
      <c r="P625" s="303" t="s">
        <v>275</v>
      </c>
      <c r="Q625" s="303" t="s">
        <v>276</v>
      </c>
      <c r="R625" s="241" t="s">
        <v>393</v>
      </c>
    </row>
    <row r="626" spans="1:18" s="14" customFormat="1" ht="48" customHeight="1" thickBot="1">
      <c r="A626" s="346" t="s">
        <v>284</v>
      </c>
      <c r="B626" s="346"/>
      <c r="C626" s="346"/>
      <c r="D626" s="346"/>
      <c r="E626" s="346"/>
      <c r="F626" s="45">
        <f>+SUM(F620:F625)</f>
        <v>15025.599023350225</v>
      </c>
      <c r="G626" s="45"/>
      <c r="H626" s="45">
        <f>+SUM(H620:H625)</f>
        <v>7048.5564621703052</v>
      </c>
      <c r="I626" s="359"/>
      <c r="J626" s="360"/>
      <c r="K626" s="196"/>
      <c r="L626" s="196"/>
      <c r="M626" s="196"/>
      <c r="N626" s="196"/>
      <c r="O626" s="196"/>
      <c r="P626" s="304"/>
      <c r="Q626" s="304"/>
      <c r="R626" s="37" t="s">
        <v>275</v>
      </c>
    </row>
    <row r="627" spans="1:18" ht="16.5" thickBot="1">
      <c r="A627" s="3"/>
      <c r="B627" s="3"/>
      <c r="C627" s="3"/>
      <c r="D627" s="3"/>
      <c r="E627" s="3"/>
      <c r="F627" s="3"/>
      <c r="G627" s="3"/>
      <c r="H627" s="3"/>
      <c r="I627" s="3"/>
      <c r="J627" s="3"/>
      <c r="K627" s="3"/>
      <c r="L627" s="3"/>
      <c r="M627" s="3"/>
      <c r="N627" s="3"/>
      <c r="O627" s="4"/>
      <c r="P627" s="4"/>
      <c r="Q627" s="4"/>
      <c r="R627" s="4"/>
    </row>
    <row r="628" spans="1:18" ht="30.75" customHeight="1" thickBot="1">
      <c r="A628" s="347">
        <f>1+A612</f>
        <v>45</v>
      </c>
      <c r="B628" s="347"/>
      <c r="C628" s="347"/>
      <c r="D628" s="347"/>
      <c r="E628" s="361" t="str">
        <f>VLOOKUP(A628,'REQUISITOS HAB. TECNICOS'!$A$5:$B$66,2,FALSE)</f>
        <v>PROJEKTA LTDA INGENIEROS CONSULTORES</v>
      </c>
      <c r="F628" s="361"/>
      <c r="G628" s="361"/>
      <c r="H628" s="361"/>
      <c r="I628" s="361"/>
      <c r="J628" s="361"/>
      <c r="K628" s="361"/>
      <c r="L628" s="361"/>
      <c r="M628" s="361"/>
      <c r="N628" s="361"/>
      <c r="O628" s="361"/>
      <c r="P628" s="361"/>
      <c r="Q628" s="361"/>
      <c r="R628" s="361"/>
    </row>
    <row r="629" spans="1:18" ht="50.25" customHeight="1" thickBot="1">
      <c r="A629" s="11" t="s">
        <v>247</v>
      </c>
      <c r="B629" s="76">
        <v>4</v>
      </c>
      <c r="C629" s="288" t="s">
        <v>248</v>
      </c>
      <c r="D629" s="344">
        <f>$D$899</f>
        <v>618.89671538461539</v>
      </c>
      <c r="E629" s="361"/>
      <c r="F629" s="361"/>
      <c r="G629" s="361"/>
      <c r="H629" s="361"/>
      <c r="I629" s="361"/>
      <c r="J629" s="361"/>
      <c r="K629" s="361"/>
      <c r="L629" s="361"/>
      <c r="M629" s="361"/>
      <c r="N629" s="361"/>
      <c r="O629" s="361"/>
      <c r="P629" s="361"/>
      <c r="Q629" s="361"/>
      <c r="R629" s="361"/>
    </row>
    <row r="630" spans="1:18" ht="23.25" customHeight="1" thickBot="1">
      <c r="A630" s="348" t="s">
        <v>249</v>
      </c>
      <c r="B630" s="348"/>
      <c r="C630" s="289">
        <f>+AVERAGE(H636:H639)</f>
        <v>911.4784325911296</v>
      </c>
      <c r="D630" s="345"/>
      <c r="E630" s="361"/>
      <c r="F630" s="361"/>
      <c r="G630" s="361"/>
      <c r="H630" s="361"/>
      <c r="I630" s="361"/>
      <c r="J630" s="361"/>
      <c r="K630" s="361"/>
      <c r="L630" s="361"/>
      <c r="M630" s="361"/>
      <c r="N630" s="361"/>
      <c r="O630" s="361"/>
      <c r="P630" s="361"/>
      <c r="Q630" s="361"/>
      <c r="R630" s="361"/>
    </row>
    <row r="631" spans="1:18" ht="23.25" customHeight="1" thickBot="1">
      <c r="A631" s="349" t="s">
        <v>250</v>
      </c>
      <c r="B631" s="349"/>
      <c r="C631" s="350">
        <v>45631</v>
      </c>
      <c r="D631" s="350"/>
      <c r="E631" s="361"/>
      <c r="F631" s="361"/>
      <c r="G631" s="361"/>
      <c r="H631" s="361"/>
      <c r="I631" s="361"/>
      <c r="J631" s="361"/>
      <c r="K631" s="361"/>
      <c r="L631" s="361"/>
      <c r="M631" s="361"/>
      <c r="N631" s="361"/>
      <c r="O631" s="361"/>
      <c r="P631" s="361"/>
      <c r="Q631" s="361"/>
      <c r="R631" s="361"/>
    </row>
    <row r="632" spans="1:18" ht="38.25" customHeight="1" thickBot="1">
      <c r="A632" s="351" t="s">
        <v>251</v>
      </c>
      <c r="B632" s="351"/>
      <c r="C632" s="352" t="str">
        <f>+IF(H640&gt;D629,"CUMPLE","NO CUMPLE")</f>
        <v>CUMPLE</v>
      </c>
      <c r="D632" s="352"/>
      <c r="E632" s="361"/>
      <c r="F632" s="361"/>
      <c r="G632" s="361"/>
      <c r="H632" s="361"/>
      <c r="I632" s="361"/>
      <c r="J632" s="361"/>
      <c r="K632" s="361"/>
      <c r="L632" s="361"/>
      <c r="M632" s="361"/>
      <c r="N632" s="361"/>
      <c r="O632" s="361"/>
      <c r="P632" s="361"/>
      <c r="Q632" s="361"/>
      <c r="R632" s="361"/>
    </row>
    <row r="633" spans="1:18" ht="86.25" customHeight="1" thickBot="1">
      <c r="A633" s="353" t="s">
        <v>252</v>
      </c>
      <c r="B633" s="353"/>
      <c r="C633" s="353"/>
      <c r="D633" s="353"/>
      <c r="E633" s="353"/>
      <c r="F633" s="353"/>
      <c r="G633" s="311"/>
      <c r="H633" s="311"/>
      <c r="I633" s="143" t="s">
        <v>253</v>
      </c>
      <c r="J633" s="305" t="s">
        <v>254</v>
      </c>
      <c r="K633" s="363" t="s">
        <v>255</v>
      </c>
      <c r="L633" s="364"/>
      <c r="M633" s="357" t="s">
        <v>256</v>
      </c>
      <c r="N633" s="357" t="s">
        <v>257</v>
      </c>
      <c r="O633" s="357" t="s">
        <v>258</v>
      </c>
      <c r="P633" s="357" t="s">
        <v>259</v>
      </c>
      <c r="Q633" s="357" t="s">
        <v>260</v>
      </c>
      <c r="R633" s="362" t="s">
        <v>261</v>
      </c>
    </row>
    <row r="634" spans="1:18" ht="77.25" customHeight="1">
      <c r="A634" s="144" t="s">
        <v>262</v>
      </c>
      <c r="B634" s="354" t="s">
        <v>263</v>
      </c>
      <c r="C634" s="354"/>
      <c r="D634" s="145" t="s">
        <v>264</v>
      </c>
      <c r="E634" s="145" t="s">
        <v>265</v>
      </c>
      <c r="F634" s="145" t="s">
        <v>266</v>
      </c>
      <c r="G634" s="146" t="s">
        <v>267</v>
      </c>
      <c r="H634" s="146" t="s">
        <v>268</v>
      </c>
      <c r="I634" s="147" t="s">
        <v>269</v>
      </c>
      <c r="J634" s="147" t="s">
        <v>270</v>
      </c>
      <c r="K634" s="198" t="s">
        <v>271</v>
      </c>
      <c r="L634" s="198" t="s">
        <v>272</v>
      </c>
      <c r="M634" s="358"/>
      <c r="N634" s="358"/>
      <c r="O634" s="358"/>
      <c r="P634" s="358"/>
      <c r="Q634" s="358"/>
      <c r="R634" s="362"/>
    </row>
    <row r="635" spans="1:18">
      <c r="A635" s="34" t="str">
        <f>VLOOKUP(A628,'[2]LISTA DE OFERENTES'!$A$4:$F$65,5,FALSE)</f>
        <v>PROJEKTA LTDA INGENIEROS CONSULTORES (100%)</v>
      </c>
      <c r="B635" s="35"/>
      <c r="C635" s="35"/>
      <c r="D635" s="35"/>
      <c r="E635" s="35"/>
      <c r="F635" s="35"/>
      <c r="G635" s="35"/>
      <c r="H635" s="35"/>
      <c r="I635" s="35"/>
      <c r="J635" s="35"/>
      <c r="K635" s="35"/>
      <c r="L635" s="35"/>
      <c r="M635" s="35"/>
      <c r="N635" s="35"/>
      <c r="O635" s="35"/>
      <c r="P635" s="35"/>
      <c r="Q635" s="35"/>
      <c r="R635" s="36"/>
    </row>
    <row r="636" spans="1:18" s="14" customFormat="1" ht="75">
      <c r="A636" s="178" t="s">
        <v>596</v>
      </c>
      <c r="B636" s="426" t="s">
        <v>597</v>
      </c>
      <c r="C636" s="427"/>
      <c r="D636" s="179">
        <v>2859836991</v>
      </c>
      <c r="E636" s="208">
        <v>2020</v>
      </c>
      <c r="F636" s="180">
        <f>D636/(VLOOKUP(E636,$D$929:$E$962,2,FALSE))</f>
        <v>3257.9485271752319</v>
      </c>
      <c r="G636" s="209">
        <v>0.4</v>
      </c>
      <c r="H636" s="180">
        <f>F636*G636</f>
        <v>1303.1794108700929</v>
      </c>
      <c r="I636" s="210">
        <v>44179</v>
      </c>
      <c r="J636" s="211" t="s">
        <v>275</v>
      </c>
      <c r="K636" s="211" t="s">
        <v>275</v>
      </c>
      <c r="L636" s="212">
        <f>IF(K636="CUMPLE",H636,0)</f>
        <v>1303.1794108700929</v>
      </c>
      <c r="M636" s="213" t="s">
        <v>275</v>
      </c>
      <c r="N636" s="213" t="s">
        <v>275</v>
      </c>
      <c r="O636" s="303" t="s">
        <v>276</v>
      </c>
      <c r="P636" s="303" t="s">
        <v>275</v>
      </c>
      <c r="Q636" s="303" t="s">
        <v>276</v>
      </c>
      <c r="R636" s="241" t="s">
        <v>393</v>
      </c>
    </row>
    <row r="637" spans="1:18" s="14" customFormat="1" ht="45">
      <c r="A637" s="181" t="s">
        <v>598</v>
      </c>
      <c r="B637" s="426" t="s">
        <v>416</v>
      </c>
      <c r="C637" s="427" t="s">
        <v>416</v>
      </c>
      <c r="D637" s="179">
        <v>1974984282</v>
      </c>
      <c r="E637" s="208">
        <v>2017</v>
      </c>
      <c r="F637" s="180">
        <f t="shared" ref="F637:F639" si="68">D637/(VLOOKUP(E637,$D$929:$E$962,2,FALSE))</f>
        <v>2677.1570697164361</v>
      </c>
      <c r="G637" s="215">
        <v>0.4</v>
      </c>
      <c r="H637" s="180">
        <f>F637*G637</f>
        <v>1070.8628278865745</v>
      </c>
      <c r="I637" s="210">
        <v>42947</v>
      </c>
      <c r="J637" s="211" t="s">
        <v>275</v>
      </c>
      <c r="K637" s="211" t="s">
        <v>275</v>
      </c>
      <c r="L637" s="212">
        <f t="shared" ref="L637:L639" si="69">IF(K637="CUMPLE",H637,0)</f>
        <v>1070.8628278865745</v>
      </c>
      <c r="M637" s="213" t="s">
        <v>275</v>
      </c>
      <c r="N637" s="213" t="s">
        <v>275</v>
      </c>
      <c r="O637" s="303" t="s">
        <v>276</v>
      </c>
      <c r="P637" s="303" t="s">
        <v>275</v>
      </c>
      <c r="Q637" s="303" t="s">
        <v>276</v>
      </c>
      <c r="R637" s="241" t="s">
        <v>393</v>
      </c>
    </row>
    <row r="638" spans="1:18" s="14" customFormat="1" ht="60">
      <c r="A638" s="181" t="s">
        <v>599</v>
      </c>
      <c r="B638" s="426" t="s">
        <v>600</v>
      </c>
      <c r="C638" s="427" t="s">
        <v>600</v>
      </c>
      <c r="D638" s="179">
        <v>122814113</v>
      </c>
      <c r="E638" s="208">
        <v>2007</v>
      </c>
      <c r="F638" s="180">
        <f t="shared" si="68"/>
        <v>283.17757205441552</v>
      </c>
      <c r="G638" s="215">
        <v>0.65</v>
      </c>
      <c r="H638" s="180">
        <f>F638*G638</f>
        <v>184.0654218353701</v>
      </c>
      <c r="I638" s="210">
        <v>39416</v>
      </c>
      <c r="J638" s="211" t="s">
        <v>275</v>
      </c>
      <c r="K638" s="211" t="s">
        <v>275</v>
      </c>
      <c r="L638" s="212">
        <f t="shared" si="69"/>
        <v>184.0654218353701</v>
      </c>
      <c r="M638" s="213" t="s">
        <v>275</v>
      </c>
      <c r="N638" s="213" t="s">
        <v>275</v>
      </c>
      <c r="O638" s="303" t="s">
        <v>275</v>
      </c>
      <c r="P638" s="303" t="s">
        <v>275</v>
      </c>
      <c r="Q638" s="303" t="s">
        <v>275</v>
      </c>
      <c r="R638" s="241"/>
    </row>
    <row r="639" spans="1:18" ht="75">
      <c r="A639" s="178" t="s">
        <v>601</v>
      </c>
      <c r="B639" s="426" t="s">
        <v>451</v>
      </c>
      <c r="C639" s="427" t="s">
        <v>451</v>
      </c>
      <c r="D639" s="179">
        <v>1255056253</v>
      </c>
      <c r="E639" s="208">
        <v>2008</v>
      </c>
      <c r="F639" s="180">
        <f t="shared" si="68"/>
        <v>2719.5151744312025</v>
      </c>
      <c r="G639" s="209">
        <v>0.4</v>
      </c>
      <c r="H639" s="180">
        <f>F639*G639</f>
        <v>1087.8060697724811</v>
      </c>
      <c r="I639" s="210">
        <v>39531</v>
      </c>
      <c r="J639" s="233" t="s">
        <v>275</v>
      </c>
      <c r="K639" s="211" t="s">
        <v>275</v>
      </c>
      <c r="L639" s="212">
        <f t="shared" si="69"/>
        <v>1087.8060697724811</v>
      </c>
      <c r="M639" s="213" t="s">
        <v>275</v>
      </c>
      <c r="N639" s="213" t="s">
        <v>275</v>
      </c>
      <c r="O639" s="303" t="s">
        <v>275</v>
      </c>
      <c r="P639" s="303" t="s">
        <v>275</v>
      </c>
      <c r="Q639" s="303" t="s">
        <v>276</v>
      </c>
      <c r="R639" s="241" t="s">
        <v>393</v>
      </c>
    </row>
    <row r="640" spans="1:18" s="14" customFormat="1" ht="48" customHeight="1" thickBot="1">
      <c r="A640" s="346" t="s">
        <v>284</v>
      </c>
      <c r="B640" s="346"/>
      <c r="C640" s="346"/>
      <c r="D640" s="346"/>
      <c r="E640" s="346"/>
      <c r="F640" s="45">
        <f>+SUM(F636:F639)</f>
        <v>8937.7983433772861</v>
      </c>
      <c r="G640" s="45"/>
      <c r="H640" s="45">
        <f>+SUM(H636:H639)</f>
        <v>3645.9137303645184</v>
      </c>
      <c r="I640" s="359"/>
      <c r="J640" s="360"/>
      <c r="K640" s="196"/>
      <c r="L640" s="196"/>
      <c r="M640" s="196"/>
      <c r="N640" s="196"/>
      <c r="O640" s="196"/>
      <c r="P640" s="304"/>
      <c r="Q640" s="304"/>
      <c r="R640" s="37" t="s">
        <v>275</v>
      </c>
    </row>
    <row r="641" spans="1:18" ht="16.5" thickBot="1">
      <c r="A641" s="3"/>
      <c r="B641" s="3"/>
      <c r="C641" s="3"/>
      <c r="D641" s="3"/>
      <c r="E641" s="3"/>
      <c r="F641" s="3"/>
      <c r="G641" s="3"/>
      <c r="H641" s="3"/>
      <c r="I641" s="3"/>
      <c r="J641" s="3"/>
      <c r="K641" s="3"/>
      <c r="L641" s="3"/>
      <c r="M641" s="3"/>
      <c r="N641" s="3"/>
      <c r="O641" s="4"/>
      <c r="P641" s="4"/>
      <c r="Q641" s="4"/>
      <c r="R641" s="4"/>
    </row>
    <row r="642" spans="1:18" ht="30.75" customHeight="1" thickBot="1">
      <c r="A642" s="347">
        <f>1+A628</f>
        <v>46</v>
      </c>
      <c r="B642" s="347"/>
      <c r="C642" s="347"/>
      <c r="D642" s="347"/>
      <c r="E642" s="361" t="str">
        <f>VLOOKUP(A642,'REQUISITOS HAB. TECNICOS'!$A$5:$B$66,2,FALSE)</f>
        <v>SOLUCIONES PARA LA INGENIERÍA S.A.S.</v>
      </c>
      <c r="F642" s="361"/>
      <c r="G642" s="361"/>
      <c r="H642" s="361"/>
      <c r="I642" s="361"/>
      <c r="J642" s="361"/>
      <c r="K642" s="361"/>
      <c r="L642" s="361"/>
      <c r="M642" s="361"/>
      <c r="N642" s="361"/>
      <c r="O642" s="361"/>
      <c r="P642" s="361"/>
      <c r="Q642" s="361"/>
      <c r="R642" s="361"/>
    </row>
    <row r="643" spans="1:18" ht="50.25" customHeight="1" thickBot="1">
      <c r="A643" s="11" t="s">
        <v>247</v>
      </c>
      <c r="B643" s="76">
        <v>3</v>
      </c>
      <c r="C643" s="288" t="s">
        <v>248</v>
      </c>
      <c r="D643" s="344">
        <f>$D$899</f>
        <v>618.89671538461539</v>
      </c>
      <c r="E643" s="361"/>
      <c r="F643" s="361"/>
      <c r="G643" s="361"/>
      <c r="H643" s="361"/>
      <c r="I643" s="361"/>
      <c r="J643" s="361"/>
      <c r="K643" s="361"/>
      <c r="L643" s="361"/>
      <c r="M643" s="361"/>
      <c r="N643" s="361"/>
      <c r="O643" s="361"/>
      <c r="P643" s="361"/>
      <c r="Q643" s="361"/>
      <c r="R643" s="361"/>
    </row>
    <row r="644" spans="1:18" ht="23.25" customHeight="1" thickBot="1">
      <c r="A644" s="348" t="s">
        <v>249</v>
      </c>
      <c r="B644" s="348"/>
      <c r="C644" s="289">
        <f>+AVERAGE(H650:H652)</f>
        <v>680.54067607920274</v>
      </c>
      <c r="D644" s="345"/>
      <c r="E644" s="361"/>
      <c r="F644" s="361"/>
      <c r="G644" s="361"/>
      <c r="H644" s="361"/>
      <c r="I644" s="361"/>
      <c r="J644" s="361"/>
      <c r="K644" s="361"/>
      <c r="L644" s="361"/>
      <c r="M644" s="361"/>
      <c r="N644" s="361"/>
      <c r="O644" s="361"/>
      <c r="P644" s="361"/>
      <c r="Q644" s="361"/>
      <c r="R644" s="361"/>
    </row>
    <row r="645" spans="1:18" ht="23.25" customHeight="1" thickBot="1">
      <c r="A645" s="349" t="s">
        <v>250</v>
      </c>
      <c r="B645" s="349"/>
      <c r="C645" s="350">
        <v>45631</v>
      </c>
      <c r="D645" s="350"/>
      <c r="E645" s="361"/>
      <c r="F645" s="361"/>
      <c r="G645" s="361"/>
      <c r="H645" s="361"/>
      <c r="I645" s="361"/>
      <c r="J645" s="361"/>
      <c r="K645" s="361"/>
      <c r="L645" s="361"/>
      <c r="M645" s="361"/>
      <c r="N645" s="361"/>
      <c r="O645" s="361"/>
      <c r="P645" s="361"/>
      <c r="Q645" s="361"/>
      <c r="R645" s="361"/>
    </row>
    <row r="646" spans="1:18" ht="38.25" customHeight="1" thickBot="1">
      <c r="A646" s="351" t="s">
        <v>251</v>
      </c>
      <c r="B646" s="351"/>
      <c r="C646" s="352" t="str">
        <f>+IF(H653&gt;D643,"CUMPLE","NO CUMPLE")</f>
        <v>CUMPLE</v>
      </c>
      <c r="D646" s="352"/>
      <c r="E646" s="361"/>
      <c r="F646" s="361"/>
      <c r="G646" s="361"/>
      <c r="H646" s="361"/>
      <c r="I646" s="361"/>
      <c r="J646" s="361"/>
      <c r="K646" s="361"/>
      <c r="L646" s="361"/>
      <c r="M646" s="361"/>
      <c r="N646" s="361"/>
      <c r="O646" s="361"/>
      <c r="P646" s="361"/>
      <c r="Q646" s="361"/>
      <c r="R646" s="361"/>
    </row>
    <row r="647" spans="1:18" ht="86.25" customHeight="1" thickBot="1">
      <c r="A647" s="353" t="s">
        <v>252</v>
      </c>
      <c r="B647" s="353"/>
      <c r="C647" s="353"/>
      <c r="D647" s="353"/>
      <c r="E647" s="353"/>
      <c r="F647" s="353"/>
      <c r="G647" s="311"/>
      <c r="H647" s="311"/>
      <c r="I647" s="143" t="s">
        <v>253</v>
      </c>
      <c r="J647" s="305" t="s">
        <v>254</v>
      </c>
      <c r="K647" s="363" t="s">
        <v>255</v>
      </c>
      <c r="L647" s="364"/>
      <c r="M647" s="357" t="s">
        <v>256</v>
      </c>
      <c r="N647" s="357" t="s">
        <v>257</v>
      </c>
      <c r="O647" s="357" t="s">
        <v>258</v>
      </c>
      <c r="P647" s="357" t="s">
        <v>259</v>
      </c>
      <c r="Q647" s="357" t="s">
        <v>260</v>
      </c>
      <c r="R647" s="362" t="s">
        <v>261</v>
      </c>
    </row>
    <row r="648" spans="1:18" ht="77.25" customHeight="1">
      <c r="A648" s="144" t="s">
        <v>262</v>
      </c>
      <c r="B648" s="354" t="s">
        <v>263</v>
      </c>
      <c r="C648" s="354"/>
      <c r="D648" s="145" t="s">
        <v>264</v>
      </c>
      <c r="E648" s="145" t="s">
        <v>265</v>
      </c>
      <c r="F648" s="145" t="s">
        <v>266</v>
      </c>
      <c r="G648" s="146" t="s">
        <v>267</v>
      </c>
      <c r="H648" s="146" t="s">
        <v>268</v>
      </c>
      <c r="I648" s="147" t="s">
        <v>269</v>
      </c>
      <c r="J648" s="147" t="s">
        <v>270</v>
      </c>
      <c r="K648" s="198" t="s">
        <v>271</v>
      </c>
      <c r="L648" s="198" t="s">
        <v>272</v>
      </c>
      <c r="M648" s="358"/>
      <c r="N648" s="358"/>
      <c r="O648" s="358"/>
      <c r="P648" s="358"/>
      <c r="Q648" s="358"/>
      <c r="R648" s="362"/>
    </row>
    <row r="649" spans="1:18">
      <c r="A649" s="34" t="str">
        <f>VLOOKUP(A642,'[2]LISTA DE OFERENTES'!$A$4:$F$65,5,FALSE)</f>
        <v>SOLUCIONES PARA LA INGENIERÍA S.A.S.(100%)</v>
      </c>
      <c r="B649" s="35"/>
      <c r="C649" s="35"/>
      <c r="D649" s="35"/>
      <c r="E649" s="35"/>
      <c r="F649" s="35"/>
      <c r="G649" s="35"/>
      <c r="H649" s="35"/>
      <c r="I649" s="35"/>
      <c r="J649" s="35"/>
      <c r="K649" s="35"/>
      <c r="L649" s="35"/>
      <c r="M649" s="35"/>
      <c r="N649" s="35"/>
      <c r="O649" s="35"/>
      <c r="P649" s="35"/>
      <c r="Q649" s="35"/>
      <c r="R649" s="36"/>
    </row>
    <row r="650" spans="1:18" s="14" customFormat="1" ht="165">
      <c r="A650" s="178" t="s">
        <v>602</v>
      </c>
      <c r="B650" s="343" t="s">
        <v>367</v>
      </c>
      <c r="C650" s="343"/>
      <c r="D650" s="262">
        <v>443928845</v>
      </c>
      <c r="E650" s="208">
        <v>2013</v>
      </c>
      <c r="F650" s="180">
        <f>D650/(VLOOKUP(E650,$D$929:$E$962,2,FALSE))</f>
        <v>753.059957591179</v>
      </c>
      <c r="G650" s="209">
        <v>0.5</v>
      </c>
      <c r="H650" s="180">
        <f>F650*G650</f>
        <v>376.5299787955895</v>
      </c>
      <c r="I650" s="210">
        <v>41521</v>
      </c>
      <c r="J650" s="211" t="s">
        <v>275</v>
      </c>
      <c r="K650" s="211" t="s">
        <v>275</v>
      </c>
      <c r="L650" s="212">
        <f>IF(K650="CUMPLE",H650,0)</f>
        <v>376.5299787955895</v>
      </c>
      <c r="M650" s="213" t="s">
        <v>275</v>
      </c>
      <c r="N650" s="213" t="s">
        <v>275</v>
      </c>
      <c r="O650" s="303" t="s">
        <v>275</v>
      </c>
      <c r="P650" s="303" t="s">
        <v>276</v>
      </c>
      <c r="Q650" s="303" t="s">
        <v>276</v>
      </c>
      <c r="R650" s="241" t="s">
        <v>417</v>
      </c>
    </row>
    <row r="651" spans="1:18" s="14" customFormat="1" ht="120">
      <c r="A651" s="181" t="s">
        <v>603</v>
      </c>
      <c r="B651" s="343" t="s">
        <v>604</v>
      </c>
      <c r="C651" s="343"/>
      <c r="D651" s="179">
        <v>1080302686.49</v>
      </c>
      <c r="E651" s="208">
        <v>2020</v>
      </c>
      <c r="F651" s="180">
        <f t="shared" ref="F651:F652" si="70">D651/(VLOOKUP(E651,$D$929:$E$962,2,FALSE))</f>
        <v>1230.6892167035201</v>
      </c>
      <c r="G651" s="215">
        <v>0.8</v>
      </c>
      <c r="H651" s="180">
        <f>F651*G651</f>
        <v>984.55137336281609</v>
      </c>
      <c r="I651" s="210">
        <v>44078</v>
      </c>
      <c r="J651" s="211" t="s">
        <v>275</v>
      </c>
      <c r="K651" s="211" t="s">
        <v>275</v>
      </c>
      <c r="L651" s="212">
        <f t="shared" ref="L651:L652" si="71">IF(K651="CUMPLE",H651,0)</f>
        <v>984.55137336281609</v>
      </c>
      <c r="M651" s="213" t="s">
        <v>275</v>
      </c>
      <c r="N651" s="213" t="s">
        <v>275</v>
      </c>
      <c r="O651" s="303" t="s">
        <v>275</v>
      </c>
      <c r="P651" s="303" t="s">
        <v>275</v>
      </c>
      <c r="Q651" s="303" t="s">
        <v>276</v>
      </c>
      <c r="R651" s="241" t="s">
        <v>417</v>
      </c>
    </row>
    <row r="652" spans="1:18" s="14" customFormat="1" ht="75">
      <c r="A652" s="181" t="s">
        <v>605</v>
      </c>
      <c r="B652" s="343" t="s">
        <v>606</v>
      </c>
      <c r="C652" s="343"/>
      <c r="D652" s="179">
        <v>2714489288</v>
      </c>
      <c r="E652" s="208">
        <v>2022</v>
      </c>
      <c r="F652" s="180">
        <f t="shared" si="70"/>
        <v>2714.4892880000002</v>
      </c>
      <c r="G652" s="215">
        <v>0.5</v>
      </c>
      <c r="H652" s="180"/>
      <c r="I652" s="210">
        <v>45471</v>
      </c>
      <c r="J652" s="213" t="s">
        <v>276</v>
      </c>
      <c r="K652" s="211" t="s">
        <v>276</v>
      </c>
      <c r="L652" s="212">
        <f t="shared" si="71"/>
        <v>0</v>
      </c>
      <c r="M652" s="213" t="s">
        <v>276</v>
      </c>
      <c r="N652" s="213" t="s">
        <v>276</v>
      </c>
      <c r="O652" s="213" t="s">
        <v>276</v>
      </c>
      <c r="P652" s="213" t="s">
        <v>276</v>
      </c>
      <c r="Q652" s="213" t="s">
        <v>276</v>
      </c>
      <c r="R652" s="216" t="s">
        <v>607</v>
      </c>
    </row>
    <row r="653" spans="1:18" s="14" customFormat="1" ht="48" customHeight="1" thickBot="1">
      <c r="A653" s="346" t="s">
        <v>284</v>
      </c>
      <c r="B653" s="346"/>
      <c r="C653" s="346"/>
      <c r="D653" s="346"/>
      <c r="E653" s="346"/>
      <c r="F653" s="45">
        <f>+SUM(F650:F652)</f>
        <v>4698.2384622946993</v>
      </c>
      <c r="G653" s="45"/>
      <c r="H653" s="45">
        <f>+SUM(H650:H651)</f>
        <v>1361.0813521584055</v>
      </c>
      <c r="I653" s="359"/>
      <c r="J653" s="360"/>
      <c r="K653" s="196"/>
      <c r="L653" s="196"/>
      <c r="M653" s="196"/>
      <c r="N653" s="196"/>
      <c r="O653" s="196"/>
      <c r="P653" s="304"/>
      <c r="Q653" s="304"/>
      <c r="R653" s="37" t="s">
        <v>276</v>
      </c>
    </row>
    <row r="654" spans="1:18" ht="16.5" thickBot="1">
      <c r="A654" s="3"/>
      <c r="B654" s="3"/>
      <c r="C654" s="3"/>
      <c r="D654" s="3"/>
      <c r="E654" s="3"/>
      <c r="F654" s="3"/>
      <c r="G654" s="3"/>
      <c r="H654" s="3"/>
      <c r="I654" s="3"/>
      <c r="J654" s="3"/>
      <c r="K654" s="3"/>
      <c r="L654" s="3"/>
      <c r="M654" s="3"/>
      <c r="N654" s="3"/>
      <c r="O654" s="4"/>
      <c r="P654" s="4"/>
      <c r="Q654" s="4"/>
      <c r="R654" s="4"/>
    </row>
    <row r="655" spans="1:18" ht="30.75" customHeight="1" thickBot="1">
      <c r="A655" s="347">
        <f>1+A642</f>
        <v>47</v>
      </c>
      <c r="B655" s="347"/>
      <c r="C655" s="347"/>
      <c r="D655" s="347"/>
      <c r="E655" s="361" t="str">
        <f>VLOOKUP(A655,'REQUISITOS HAB. TECNICOS'!$A$5:$B$66,2,FALSE)</f>
        <v>CONSORCIO INTERVIAL PH</v>
      </c>
      <c r="F655" s="361"/>
      <c r="G655" s="361"/>
      <c r="H655" s="361"/>
      <c r="I655" s="361"/>
      <c r="J655" s="361"/>
      <c r="K655" s="361"/>
      <c r="L655" s="361"/>
      <c r="M655" s="361"/>
      <c r="N655" s="361"/>
      <c r="O655" s="361"/>
      <c r="P655" s="361"/>
      <c r="Q655" s="361"/>
      <c r="R655" s="361"/>
    </row>
    <row r="656" spans="1:18" ht="50.25" customHeight="1" thickBot="1">
      <c r="A656" s="11" t="s">
        <v>247</v>
      </c>
      <c r="B656" s="76">
        <v>4</v>
      </c>
      <c r="C656" s="288" t="s">
        <v>248</v>
      </c>
      <c r="D656" s="344">
        <f>$D$899</f>
        <v>618.89671538461539</v>
      </c>
      <c r="E656" s="361"/>
      <c r="F656" s="361"/>
      <c r="G656" s="361"/>
      <c r="H656" s="361"/>
      <c r="I656" s="361"/>
      <c r="J656" s="361"/>
      <c r="K656" s="361"/>
      <c r="L656" s="361"/>
      <c r="M656" s="361"/>
      <c r="N656" s="361"/>
      <c r="O656" s="361"/>
      <c r="P656" s="361"/>
      <c r="Q656" s="361"/>
      <c r="R656" s="361"/>
    </row>
    <row r="657" spans="1:18" ht="23.25" customHeight="1" thickBot="1">
      <c r="A657" s="348" t="s">
        <v>249</v>
      </c>
      <c r="B657" s="348"/>
      <c r="C657" s="289">
        <f>+AVERAGE(H663:H667)</f>
        <v>1385.776600282579</v>
      </c>
      <c r="D657" s="345"/>
      <c r="E657" s="361"/>
      <c r="F657" s="361"/>
      <c r="G657" s="361"/>
      <c r="H657" s="361"/>
      <c r="I657" s="361"/>
      <c r="J657" s="361"/>
      <c r="K657" s="361"/>
      <c r="L657" s="361"/>
      <c r="M657" s="361"/>
      <c r="N657" s="361"/>
      <c r="O657" s="361"/>
      <c r="P657" s="361"/>
      <c r="Q657" s="361"/>
      <c r="R657" s="361"/>
    </row>
    <row r="658" spans="1:18" ht="23.25" customHeight="1" thickBot="1">
      <c r="A658" s="349" t="s">
        <v>250</v>
      </c>
      <c r="B658" s="349"/>
      <c r="C658" s="350">
        <v>45631</v>
      </c>
      <c r="D658" s="350"/>
      <c r="E658" s="361"/>
      <c r="F658" s="361"/>
      <c r="G658" s="361"/>
      <c r="H658" s="361"/>
      <c r="I658" s="361"/>
      <c r="J658" s="361"/>
      <c r="K658" s="361"/>
      <c r="L658" s="361"/>
      <c r="M658" s="361"/>
      <c r="N658" s="361"/>
      <c r="O658" s="361"/>
      <c r="P658" s="361"/>
      <c r="Q658" s="361"/>
      <c r="R658" s="361"/>
    </row>
    <row r="659" spans="1:18" ht="38.25" customHeight="1" thickBot="1">
      <c r="A659" s="351" t="s">
        <v>251</v>
      </c>
      <c r="B659" s="351"/>
      <c r="C659" s="352" t="str">
        <f>+IF(H668&gt;D656,"CUMPLE","NO CUMPLE")</f>
        <v>CUMPLE</v>
      </c>
      <c r="D659" s="352"/>
      <c r="E659" s="361"/>
      <c r="F659" s="361"/>
      <c r="G659" s="361"/>
      <c r="H659" s="361"/>
      <c r="I659" s="361"/>
      <c r="J659" s="361"/>
      <c r="K659" s="361"/>
      <c r="L659" s="361"/>
      <c r="M659" s="361"/>
      <c r="N659" s="361"/>
      <c r="O659" s="361"/>
      <c r="P659" s="361"/>
      <c r="Q659" s="361"/>
      <c r="R659" s="361"/>
    </row>
    <row r="660" spans="1:18" ht="86.25" customHeight="1" thickBot="1">
      <c r="A660" s="353" t="s">
        <v>252</v>
      </c>
      <c r="B660" s="353"/>
      <c r="C660" s="353"/>
      <c r="D660" s="353"/>
      <c r="E660" s="353"/>
      <c r="F660" s="353"/>
      <c r="G660" s="311"/>
      <c r="H660" s="311"/>
      <c r="I660" s="143" t="s">
        <v>253</v>
      </c>
      <c r="J660" s="305" t="s">
        <v>254</v>
      </c>
      <c r="K660" s="363" t="s">
        <v>255</v>
      </c>
      <c r="L660" s="364"/>
      <c r="M660" s="357" t="s">
        <v>256</v>
      </c>
      <c r="N660" s="357" t="s">
        <v>257</v>
      </c>
      <c r="O660" s="357" t="s">
        <v>258</v>
      </c>
      <c r="P660" s="357" t="s">
        <v>259</v>
      </c>
      <c r="Q660" s="357" t="s">
        <v>260</v>
      </c>
      <c r="R660" s="362" t="s">
        <v>261</v>
      </c>
    </row>
    <row r="661" spans="1:18" ht="77.25" customHeight="1">
      <c r="A661" s="144" t="s">
        <v>262</v>
      </c>
      <c r="B661" s="354" t="s">
        <v>263</v>
      </c>
      <c r="C661" s="354"/>
      <c r="D661" s="145" t="s">
        <v>264</v>
      </c>
      <c r="E661" s="145" t="s">
        <v>265</v>
      </c>
      <c r="F661" s="145" t="s">
        <v>266</v>
      </c>
      <c r="G661" s="146" t="s">
        <v>267</v>
      </c>
      <c r="H661" s="146" t="s">
        <v>268</v>
      </c>
      <c r="I661" s="147" t="s">
        <v>269</v>
      </c>
      <c r="J661" s="147" t="s">
        <v>270</v>
      </c>
      <c r="K661" s="198" t="s">
        <v>271</v>
      </c>
      <c r="L661" s="198" t="s">
        <v>272</v>
      </c>
      <c r="M661" s="358"/>
      <c r="N661" s="358"/>
      <c r="O661" s="358"/>
      <c r="P661" s="358"/>
      <c r="Q661" s="358"/>
      <c r="R661" s="362"/>
    </row>
    <row r="662" spans="1:18">
      <c r="A662" s="34" t="str">
        <f>VLOOKUP(A655,'[2]LISTA DE OFERENTES'!$A$4:$F$65,5,FALSE)</f>
        <v>HUMBERTO JAUREGUI &amp; CIAS SAS (50%)</v>
      </c>
      <c r="B662" s="35"/>
      <c r="C662" s="35"/>
      <c r="D662" s="35"/>
      <c r="E662" s="35"/>
      <c r="F662" s="35"/>
      <c r="G662" s="35"/>
      <c r="H662" s="35"/>
      <c r="I662" s="35"/>
      <c r="J662" s="35"/>
      <c r="K662" s="35"/>
      <c r="L662" s="35"/>
      <c r="M662" s="35"/>
      <c r="N662" s="35"/>
      <c r="O662" s="35"/>
      <c r="P662" s="35"/>
      <c r="Q662" s="35"/>
      <c r="R662" s="36"/>
    </row>
    <row r="663" spans="1:18" s="14" customFormat="1" ht="90">
      <c r="A663" s="181" t="s">
        <v>608</v>
      </c>
      <c r="B663" s="343" t="s">
        <v>600</v>
      </c>
      <c r="C663" s="343"/>
      <c r="D663" s="179">
        <v>230016000</v>
      </c>
      <c r="E663" s="208">
        <v>2001</v>
      </c>
      <c r="F663" s="180">
        <f>D663/(VLOOKUP(E663,$D$929:$E$962,2,FALSE))</f>
        <v>804.25174825174827</v>
      </c>
      <c r="G663" s="209">
        <v>1</v>
      </c>
      <c r="H663" s="180">
        <f t="shared" ref="H663:H667" si="72">F663*G663</f>
        <v>804.25174825174827</v>
      </c>
      <c r="I663" s="210">
        <v>37020</v>
      </c>
      <c r="J663" s="211" t="s">
        <v>275</v>
      </c>
      <c r="K663" s="211" t="s">
        <v>275</v>
      </c>
      <c r="L663" s="212">
        <f>IF(K663="CUMPLE",H663,0)</f>
        <v>804.25174825174827</v>
      </c>
      <c r="M663" s="213" t="s">
        <v>275</v>
      </c>
      <c r="N663" s="213" t="s">
        <v>275</v>
      </c>
      <c r="O663" s="303" t="s">
        <v>275</v>
      </c>
      <c r="P663" s="239" t="s">
        <v>276</v>
      </c>
      <c r="Q663" s="239" t="s">
        <v>276</v>
      </c>
      <c r="R663" s="216" t="s">
        <v>609</v>
      </c>
    </row>
    <row r="664" spans="1:18" s="14" customFormat="1" ht="90">
      <c r="A664" s="181" t="s">
        <v>610</v>
      </c>
      <c r="B664" s="343" t="s">
        <v>451</v>
      </c>
      <c r="C664" s="343"/>
      <c r="D664" s="179">
        <v>528459109.60000002</v>
      </c>
      <c r="E664" s="208">
        <v>2001</v>
      </c>
      <c r="F664" s="180">
        <f t="shared" ref="F664:F667" si="73">D664/(VLOOKUP(E664,$D$929:$E$962,2,FALSE))</f>
        <v>1847.7591244755245</v>
      </c>
      <c r="G664" s="215">
        <v>1</v>
      </c>
      <c r="H664" s="180">
        <f t="shared" si="72"/>
        <v>1847.7591244755245</v>
      </c>
      <c r="I664" s="210">
        <v>36967</v>
      </c>
      <c r="J664" s="211" t="s">
        <v>275</v>
      </c>
      <c r="K664" s="211" t="s">
        <v>275</v>
      </c>
      <c r="L664" s="212">
        <f t="shared" ref="L664:L667" si="74">IF(K664="CUMPLE",H664,0)</f>
        <v>1847.7591244755245</v>
      </c>
      <c r="M664" s="213" t="s">
        <v>275</v>
      </c>
      <c r="N664" s="213" t="s">
        <v>275</v>
      </c>
      <c r="O664" s="303" t="s">
        <v>275</v>
      </c>
      <c r="P664" s="239" t="s">
        <v>276</v>
      </c>
      <c r="Q664" s="239" t="s">
        <v>276</v>
      </c>
      <c r="R664" s="216" t="s">
        <v>609</v>
      </c>
    </row>
    <row r="665" spans="1:18" s="14" customFormat="1" ht="90">
      <c r="A665" s="178" t="s">
        <v>611</v>
      </c>
      <c r="B665" s="343" t="s">
        <v>451</v>
      </c>
      <c r="C665" s="343"/>
      <c r="D665" s="179">
        <v>1342685234</v>
      </c>
      <c r="E665" s="208">
        <v>2011</v>
      </c>
      <c r="F665" s="180">
        <f t="shared" si="73"/>
        <v>2506.8805713218821</v>
      </c>
      <c r="G665" s="215">
        <v>1</v>
      </c>
      <c r="H665" s="180">
        <f t="shared" si="72"/>
        <v>2506.8805713218821</v>
      </c>
      <c r="I665" s="210">
        <v>40908</v>
      </c>
      <c r="J665" s="211" t="s">
        <v>275</v>
      </c>
      <c r="K665" s="211" t="s">
        <v>275</v>
      </c>
      <c r="L665" s="212">
        <f t="shared" si="74"/>
        <v>2506.8805713218821</v>
      </c>
      <c r="M665" s="213" t="s">
        <v>275</v>
      </c>
      <c r="N665" s="213" t="s">
        <v>275</v>
      </c>
      <c r="O665" s="303" t="s">
        <v>276</v>
      </c>
      <c r="P665" s="239" t="s">
        <v>276</v>
      </c>
      <c r="Q665" s="239" t="s">
        <v>276</v>
      </c>
      <c r="R665" s="216" t="s">
        <v>609</v>
      </c>
    </row>
    <row r="666" spans="1:18" s="14" customFormat="1">
      <c r="A666" s="225" t="str">
        <f>VLOOKUP(A655,'[2]LISTA DE OFERENTES'!$A$4:$F$65,5,FALSE)</f>
        <v>HUMBERTO JAUREGUI &amp; CIAS SAS (50%)</v>
      </c>
      <c r="B666" s="263"/>
      <c r="C666" s="226"/>
      <c r="D666" s="226"/>
      <c r="E666" s="226"/>
      <c r="F666" s="226"/>
      <c r="G666" s="226"/>
      <c r="H666" s="226"/>
      <c r="I666" s="226"/>
      <c r="J666" s="226"/>
      <c r="K666" s="226"/>
      <c r="L666" s="226"/>
      <c r="M666" s="226"/>
      <c r="N666" s="226"/>
      <c r="O666" s="226"/>
      <c r="P666" s="226"/>
      <c r="Q666" s="226"/>
      <c r="R666" s="227"/>
    </row>
    <row r="667" spans="1:18" s="14" customFormat="1" ht="90">
      <c r="A667" s="178" t="s">
        <v>612</v>
      </c>
      <c r="B667" s="343" t="s">
        <v>600</v>
      </c>
      <c r="C667" s="343"/>
      <c r="D667" s="179">
        <v>3001648615</v>
      </c>
      <c r="E667" s="208">
        <v>2018</v>
      </c>
      <c r="F667" s="180">
        <f t="shared" si="73"/>
        <v>3842.1495708116049</v>
      </c>
      <c r="G667" s="209">
        <v>0.1</v>
      </c>
      <c r="H667" s="180">
        <f t="shared" si="72"/>
        <v>384.21495708116049</v>
      </c>
      <c r="I667" s="210">
        <v>43284</v>
      </c>
      <c r="J667" s="233" t="s">
        <v>275</v>
      </c>
      <c r="K667" s="211" t="s">
        <v>275</v>
      </c>
      <c r="L667" s="212">
        <f t="shared" si="74"/>
        <v>384.21495708116049</v>
      </c>
      <c r="M667" s="213" t="s">
        <v>275</v>
      </c>
      <c r="N667" s="213" t="s">
        <v>275</v>
      </c>
      <c r="O667" s="303" t="s">
        <v>276</v>
      </c>
      <c r="P667" s="303" t="s">
        <v>276</v>
      </c>
      <c r="Q667" s="303" t="s">
        <v>276</v>
      </c>
      <c r="R667" s="216" t="s">
        <v>609</v>
      </c>
    </row>
    <row r="668" spans="1:18" s="14" customFormat="1" ht="48" customHeight="1" thickBot="1">
      <c r="A668" s="346" t="s">
        <v>284</v>
      </c>
      <c r="B668" s="346"/>
      <c r="C668" s="346"/>
      <c r="D668" s="346"/>
      <c r="E668" s="346"/>
      <c r="F668" s="45">
        <f>+SUM(F663:F667)</f>
        <v>9001.0410148607607</v>
      </c>
      <c r="G668" s="45"/>
      <c r="H668" s="45">
        <f>+SUM(H663:H667)</f>
        <v>5543.106401130316</v>
      </c>
      <c r="I668" s="359"/>
      <c r="J668" s="360"/>
      <c r="K668" s="196"/>
      <c r="L668" s="196"/>
      <c r="M668" s="196"/>
      <c r="N668" s="196"/>
      <c r="O668" s="196"/>
      <c r="P668" s="304"/>
      <c r="Q668" s="304"/>
      <c r="R668" s="37" t="s">
        <v>276</v>
      </c>
    </row>
    <row r="669" spans="1:18" ht="16.5" thickBot="1">
      <c r="A669" s="3"/>
      <c r="B669" s="3"/>
      <c r="C669" s="3"/>
      <c r="D669" s="3"/>
      <c r="E669" s="3"/>
      <c r="F669" s="3"/>
      <c r="G669" s="3"/>
      <c r="H669" s="3"/>
      <c r="I669" s="3"/>
      <c r="J669" s="3"/>
      <c r="K669" s="3"/>
      <c r="L669" s="3"/>
      <c r="M669" s="3"/>
      <c r="N669" s="3"/>
      <c r="O669" s="4"/>
      <c r="P669" s="4"/>
      <c r="Q669" s="4"/>
      <c r="R669" s="4"/>
    </row>
    <row r="670" spans="1:18" ht="30.75" customHeight="1" thickBot="1">
      <c r="A670" s="347">
        <f>1+A655</f>
        <v>48</v>
      </c>
      <c r="B670" s="347"/>
      <c r="C670" s="347"/>
      <c r="D670" s="347"/>
      <c r="E670" s="361" t="str">
        <f>VLOOKUP(A670,'REQUISITOS HAB. TECNICOS'!$A$5:$B$66,2,FALSE)</f>
        <v>CONSORCIO SETEC VIAL FONTIBON</v>
      </c>
      <c r="F670" s="361"/>
      <c r="G670" s="361"/>
      <c r="H670" s="361"/>
      <c r="I670" s="361"/>
      <c r="J670" s="361"/>
      <c r="K670" s="361"/>
      <c r="L670" s="361"/>
      <c r="M670" s="361"/>
      <c r="N670" s="361"/>
      <c r="O670" s="361"/>
      <c r="P670" s="361"/>
      <c r="Q670" s="361"/>
      <c r="R670" s="361"/>
    </row>
    <row r="671" spans="1:18" ht="50.25" customHeight="1" thickBot="1">
      <c r="A671" s="11" t="s">
        <v>247</v>
      </c>
      <c r="B671" s="76">
        <v>6</v>
      </c>
      <c r="C671" s="288" t="s">
        <v>248</v>
      </c>
      <c r="D671" s="344">
        <f>$D$899</f>
        <v>618.89671538461539</v>
      </c>
      <c r="E671" s="361"/>
      <c r="F671" s="361"/>
      <c r="G671" s="361"/>
      <c r="H671" s="361"/>
      <c r="I671" s="361"/>
      <c r="J671" s="361"/>
      <c r="K671" s="361"/>
      <c r="L671" s="361"/>
      <c r="M671" s="361"/>
      <c r="N671" s="361"/>
      <c r="O671" s="361"/>
      <c r="P671" s="361"/>
      <c r="Q671" s="361"/>
      <c r="R671" s="361"/>
    </row>
    <row r="672" spans="1:18" ht="23.25" customHeight="1" thickBot="1">
      <c r="A672" s="348" t="s">
        <v>249</v>
      </c>
      <c r="B672" s="348"/>
      <c r="C672" s="289">
        <f>+AVERAGE(H678:H684)</f>
        <v>1959.6416569236169</v>
      </c>
      <c r="D672" s="345"/>
      <c r="E672" s="361"/>
      <c r="F672" s="361"/>
      <c r="G672" s="361"/>
      <c r="H672" s="361"/>
      <c r="I672" s="361"/>
      <c r="J672" s="361"/>
      <c r="K672" s="361"/>
      <c r="L672" s="361"/>
      <c r="M672" s="361"/>
      <c r="N672" s="361"/>
      <c r="O672" s="361"/>
      <c r="P672" s="361"/>
      <c r="Q672" s="361"/>
      <c r="R672" s="361"/>
    </row>
    <row r="673" spans="1:18" ht="23.25" customHeight="1" thickBot="1">
      <c r="A673" s="349" t="s">
        <v>250</v>
      </c>
      <c r="B673" s="349"/>
      <c r="C673" s="350">
        <v>45631</v>
      </c>
      <c r="D673" s="350"/>
      <c r="E673" s="361"/>
      <c r="F673" s="361"/>
      <c r="G673" s="361"/>
      <c r="H673" s="361"/>
      <c r="I673" s="361"/>
      <c r="J673" s="361"/>
      <c r="K673" s="361"/>
      <c r="L673" s="361"/>
      <c r="M673" s="361"/>
      <c r="N673" s="361"/>
      <c r="O673" s="361"/>
      <c r="P673" s="361"/>
      <c r="Q673" s="361"/>
      <c r="R673" s="361"/>
    </row>
    <row r="674" spans="1:18" ht="38.25" customHeight="1" thickBot="1">
      <c r="A674" s="351" t="s">
        <v>251</v>
      </c>
      <c r="B674" s="351"/>
      <c r="C674" s="352" t="str">
        <f>+IF(H685&gt;D671,"CUMPLE","NO CUMPLE")</f>
        <v>CUMPLE</v>
      </c>
      <c r="D674" s="352"/>
      <c r="E674" s="361"/>
      <c r="F674" s="361"/>
      <c r="G674" s="361"/>
      <c r="H674" s="361"/>
      <c r="I674" s="361"/>
      <c r="J674" s="361"/>
      <c r="K674" s="361"/>
      <c r="L674" s="361"/>
      <c r="M674" s="361"/>
      <c r="N674" s="361"/>
      <c r="O674" s="361"/>
      <c r="P674" s="361"/>
      <c r="Q674" s="361"/>
      <c r="R674" s="361"/>
    </row>
    <row r="675" spans="1:18" ht="86.25" customHeight="1" thickBot="1">
      <c r="A675" s="353" t="s">
        <v>252</v>
      </c>
      <c r="B675" s="353"/>
      <c r="C675" s="353"/>
      <c r="D675" s="353"/>
      <c r="E675" s="353"/>
      <c r="F675" s="353"/>
      <c r="G675" s="311"/>
      <c r="H675" s="311"/>
      <c r="I675" s="143" t="s">
        <v>253</v>
      </c>
      <c r="J675" s="305" t="s">
        <v>254</v>
      </c>
      <c r="K675" s="363" t="s">
        <v>255</v>
      </c>
      <c r="L675" s="364"/>
      <c r="M675" s="357" t="s">
        <v>256</v>
      </c>
      <c r="N675" s="357" t="s">
        <v>257</v>
      </c>
      <c r="O675" s="357" t="s">
        <v>258</v>
      </c>
      <c r="P675" s="357" t="s">
        <v>259</v>
      </c>
      <c r="Q675" s="357" t="s">
        <v>260</v>
      </c>
      <c r="R675" s="362" t="s">
        <v>261</v>
      </c>
    </row>
    <row r="676" spans="1:18" ht="77.25" customHeight="1">
      <c r="A676" s="144" t="s">
        <v>262</v>
      </c>
      <c r="B676" s="354" t="s">
        <v>263</v>
      </c>
      <c r="C676" s="354"/>
      <c r="D676" s="145" t="s">
        <v>264</v>
      </c>
      <c r="E676" s="145" t="s">
        <v>265</v>
      </c>
      <c r="F676" s="145" t="s">
        <v>266</v>
      </c>
      <c r="G676" s="146" t="s">
        <v>267</v>
      </c>
      <c r="H676" s="146" t="s">
        <v>268</v>
      </c>
      <c r="I676" s="147" t="s">
        <v>269</v>
      </c>
      <c r="J676" s="147" t="s">
        <v>270</v>
      </c>
      <c r="K676" s="198" t="s">
        <v>271</v>
      </c>
      <c r="L676" s="198" t="s">
        <v>272</v>
      </c>
      <c r="M676" s="358"/>
      <c r="N676" s="358"/>
      <c r="O676" s="358"/>
      <c r="P676" s="358"/>
      <c r="Q676" s="358"/>
      <c r="R676" s="362"/>
    </row>
    <row r="677" spans="1:18">
      <c r="A677" s="34" t="str">
        <f>VLOOKUP(A670,'[2]LISTA DE OFERENTES'!$A$4:$F$65,5,FALSE)</f>
        <v>GOMEZ CAJIAO Y ASOCIADOS S.A.S (50%)</v>
      </c>
      <c r="B677" s="35"/>
      <c r="C677" s="35"/>
      <c r="D677" s="35"/>
      <c r="E677" s="35"/>
      <c r="F677" s="35"/>
      <c r="G677" s="35"/>
      <c r="H677" s="35"/>
      <c r="I677" s="35"/>
      <c r="J677" s="35"/>
      <c r="K677" s="35"/>
      <c r="L677" s="35"/>
      <c r="M677" s="35"/>
      <c r="N677" s="35"/>
      <c r="O677" s="35"/>
      <c r="P677" s="35"/>
      <c r="Q677" s="35"/>
      <c r="R677" s="36"/>
    </row>
    <row r="678" spans="1:18" s="14" customFormat="1" ht="30" customHeight="1">
      <c r="A678" s="178" t="s">
        <v>613</v>
      </c>
      <c r="B678" s="343" t="s">
        <v>443</v>
      </c>
      <c r="C678" s="343"/>
      <c r="D678" s="179">
        <v>834477127</v>
      </c>
      <c r="E678" s="208">
        <v>1999</v>
      </c>
      <c r="F678" s="180">
        <f>D678/(VLOOKUP(E678,$D$929:$E$962,2,FALSE))</f>
        <v>3529.041389664214</v>
      </c>
      <c r="G678" s="209">
        <v>0.5</v>
      </c>
      <c r="H678" s="180">
        <f>F678*G678</f>
        <v>1764.520694832107</v>
      </c>
      <c r="I678" s="210">
        <v>36402</v>
      </c>
      <c r="J678" s="233" t="s">
        <v>275</v>
      </c>
      <c r="K678" s="211" t="s">
        <v>275</v>
      </c>
      <c r="L678" s="212">
        <f>IF(K678="CUMPLE",H678,0)</f>
        <v>1764.520694832107</v>
      </c>
      <c r="M678" s="224" t="s">
        <v>275</v>
      </c>
      <c r="N678" s="224" t="s">
        <v>275</v>
      </c>
      <c r="O678" s="303" t="s">
        <v>276</v>
      </c>
      <c r="P678" s="303" t="s">
        <v>276</v>
      </c>
      <c r="Q678" s="303" t="s">
        <v>276</v>
      </c>
      <c r="R678" s="241" t="s">
        <v>614</v>
      </c>
    </row>
    <row r="679" spans="1:18" s="14" customFormat="1" ht="120">
      <c r="A679" s="214" t="s">
        <v>615</v>
      </c>
      <c r="B679" s="343" t="s">
        <v>616</v>
      </c>
      <c r="C679" s="343"/>
      <c r="D679" s="179">
        <v>145045791</v>
      </c>
      <c r="E679" s="208">
        <v>1998</v>
      </c>
      <c r="F679" s="180">
        <f>D679/(VLOOKUP(E679,$D$929:$E$962,2,FALSE))</f>
        <v>711.61574578316799</v>
      </c>
      <c r="G679" s="215">
        <v>1</v>
      </c>
      <c r="H679" s="180"/>
      <c r="I679" s="210">
        <v>35983</v>
      </c>
      <c r="J679" s="213" t="s">
        <v>275</v>
      </c>
      <c r="K679" s="211" t="s">
        <v>276</v>
      </c>
      <c r="L679" s="212">
        <f t="shared" ref="L679:L684" si="75">IF(K679="CUMPLE",H679,0)</f>
        <v>0</v>
      </c>
      <c r="M679" s="224" t="s">
        <v>276</v>
      </c>
      <c r="N679" s="224" t="s">
        <v>276</v>
      </c>
      <c r="O679" s="224" t="s">
        <v>276</v>
      </c>
      <c r="P679" s="224" t="s">
        <v>276</v>
      </c>
      <c r="Q679" s="224" t="s">
        <v>276</v>
      </c>
      <c r="R679" s="241" t="s">
        <v>617</v>
      </c>
    </row>
    <row r="680" spans="1:18" s="14" customFormat="1" ht="60" customHeight="1">
      <c r="A680" s="181" t="s">
        <v>618</v>
      </c>
      <c r="B680" s="343" t="s">
        <v>619</v>
      </c>
      <c r="C680" s="343"/>
      <c r="D680" s="179">
        <v>5978753</v>
      </c>
      <c r="E680" s="208">
        <v>1993</v>
      </c>
      <c r="F680" s="180">
        <f>D680/(VLOOKUP(E680,$D$929:$E$962,2,FALSE))</f>
        <v>73.349932523616729</v>
      </c>
      <c r="G680" s="215">
        <v>1</v>
      </c>
      <c r="H680" s="180"/>
      <c r="I680" s="210">
        <v>34009</v>
      </c>
      <c r="J680" s="211" t="s">
        <v>275</v>
      </c>
      <c r="K680" s="211" t="s">
        <v>276</v>
      </c>
      <c r="L680" s="212">
        <f t="shared" si="75"/>
        <v>0</v>
      </c>
      <c r="M680" s="224" t="s">
        <v>276</v>
      </c>
      <c r="N680" s="224" t="s">
        <v>276</v>
      </c>
      <c r="O680" s="224" t="s">
        <v>276</v>
      </c>
      <c r="P680" s="224" t="s">
        <v>276</v>
      </c>
      <c r="Q680" s="224" t="s">
        <v>276</v>
      </c>
      <c r="R680" s="241" t="s">
        <v>620</v>
      </c>
    </row>
    <row r="681" spans="1:18" ht="60" customHeight="1">
      <c r="A681" s="178" t="s">
        <v>621</v>
      </c>
      <c r="B681" s="343" t="s">
        <v>451</v>
      </c>
      <c r="C681" s="343"/>
      <c r="D681" s="179">
        <v>200469579</v>
      </c>
      <c r="E681" s="208">
        <v>2000</v>
      </c>
      <c r="F681" s="180">
        <f>D681/(VLOOKUP(E681,$D$929:$E$962,2,FALSE))</f>
        <v>770.74040369088812</v>
      </c>
      <c r="G681" s="209">
        <v>1</v>
      </c>
      <c r="H681" s="180">
        <f>F681*G681</f>
        <v>770.74040369088812</v>
      </c>
      <c r="I681" s="210">
        <v>36862</v>
      </c>
      <c r="J681" s="233" t="s">
        <v>275</v>
      </c>
      <c r="K681" s="303" t="s">
        <v>275</v>
      </c>
      <c r="L681" s="212">
        <f>IF(K681="CUMPLE",H681,0)</f>
        <v>770.74040369088812</v>
      </c>
      <c r="M681" s="224" t="s">
        <v>275</v>
      </c>
      <c r="N681" s="224" t="s">
        <v>275</v>
      </c>
      <c r="O681" s="303" t="s">
        <v>275</v>
      </c>
      <c r="P681" s="303" t="s">
        <v>276</v>
      </c>
      <c r="Q681" s="303" t="s">
        <v>275</v>
      </c>
      <c r="R681" s="241" t="s">
        <v>614</v>
      </c>
    </row>
    <row r="682" spans="1:18" s="14" customFormat="1">
      <c r="A682" s="225" t="str">
        <f>VLOOKUP(A670,'[2]LISTA DE OFERENTES'!$A$4:$F$65,6,FALSE)</f>
        <v>SETEC ANDINA S.A.S.(50%)</v>
      </c>
      <c r="B682" s="226"/>
      <c r="C682" s="226"/>
      <c r="D682" s="226"/>
      <c r="E682" s="226"/>
      <c r="F682" s="228"/>
      <c r="G682" s="228"/>
      <c r="H682" s="226"/>
      <c r="I682" s="226"/>
      <c r="J682" s="226"/>
      <c r="K682" s="254"/>
      <c r="L682" s="254"/>
      <c r="M682" s="254"/>
      <c r="N682" s="254"/>
      <c r="O682" s="254"/>
      <c r="P682" s="254"/>
      <c r="Q682" s="254"/>
      <c r="R682" s="254"/>
    </row>
    <row r="683" spans="1:18" s="14" customFormat="1" ht="45" customHeight="1">
      <c r="A683" s="178" t="s">
        <v>622</v>
      </c>
      <c r="B683" s="343" t="s">
        <v>443</v>
      </c>
      <c r="C683" s="343"/>
      <c r="D683" s="179">
        <v>1534302721</v>
      </c>
      <c r="E683" s="208">
        <v>2006</v>
      </c>
      <c r="F683" s="180">
        <f>D683/(VLOOKUP(E683,$D$929:$E$962,2,FALSE))</f>
        <v>3760.5458848039216</v>
      </c>
      <c r="G683" s="209">
        <v>1</v>
      </c>
      <c r="H683" s="180">
        <f>F683*G683</f>
        <v>3760.5458848039216</v>
      </c>
      <c r="I683" s="210">
        <v>39071</v>
      </c>
      <c r="J683" s="233" t="s">
        <v>275</v>
      </c>
      <c r="K683" s="233" t="s">
        <v>275</v>
      </c>
      <c r="L683" s="212">
        <f t="shared" si="75"/>
        <v>3760.5458848039216</v>
      </c>
      <c r="M683" s="224" t="s">
        <v>275</v>
      </c>
      <c r="N683" s="224" t="s">
        <v>275</v>
      </c>
      <c r="O683" s="303" t="s">
        <v>276</v>
      </c>
      <c r="P683" s="303" t="s">
        <v>276</v>
      </c>
      <c r="Q683" s="303" t="s">
        <v>276</v>
      </c>
      <c r="R683" s="241" t="s">
        <v>614</v>
      </c>
    </row>
    <row r="684" spans="1:18" s="14" customFormat="1" ht="60">
      <c r="A684" s="178" t="s">
        <v>623</v>
      </c>
      <c r="B684" s="343" t="s">
        <v>451</v>
      </c>
      <c r="C684" s="343"/>
      <c r="D684" s="179">
        <v>802543567</v>
      </c>
      <c r="E684" s="208">
        <v>2000</v>
      </c>
      <c r="F684" s="180">
        <f>D684/(VLOOKUP(E684,$D$929:$E$962,2,FALSE))</f>
        <v>3085.5192887351018</v>
      </c>
      <c r="G684" s="209">
        <v>0.5</v>
      </c>
      <c r="H684" s="180">
        <f>F684*G684</f>
        <v>1542.7596443675509</v>
      </c>
      <c r="I684" s="210">
        <v>36799</v>
      </c>
      <c r="J684" s="233" t="s">
        <v>275</v>
      </c>
      <c r="K684" s="233" t="s">
        <v>275</v>
      </c>
      <c r="L684" s="212">
        <f t="shared" si="75"/>
        <v>1542.7596443675509</v>
      </c>
      <c r="M684" s="224" t="s">
        <v>275</v>
      </c>
      <c r="N684" s="224" t="s">
        <v>275</v>
      </c>
      <c r="O684" s="303" t="s">
        <v>275</v>
      </c>
      <c r="P684" s="303" t="s">
        <v>276</v>
      </c>
      <c r="Q684" s="303" t="s">
        <v>276</v>
      </c>
      <c r="R684" s="241" t="s">
        <v>614</v>
      </c>
    </row>
    <row r="685" spans="1:18" s="14" customFormat="1" ht="48" customHeight="1" thickBot="1">
      <c r="A685" s="346" t="s">
        <v>284</v>
      </c>
      <c r="B685" s="346"/>
      <c r="C685" s="346"/>
      <c r="D685" s="346"/>
      <c r="E685" s="346"/>
      <c r="F685" s="45">
        <f>+SUM(F678:F684)</f>
        <v>11930.812645200911</v>
      </c>
      <c r="G685" s="45"/>
      <c r="H685" s="45">
        <f>+SUM(H678:H684)</f>
        <v>7838.5666276944676</v>
      </c>
      <c r="I685" s="359" t="s">
        <v>383</v>
      </c>
      <c r="J685" s="360"/>
      <c r="K685" s="196" t="str">
        <f>IF(L685&gt;D675,"CUMPLE","NO CUMPLE")</f>
        <v>CUMPLE</v>
      </c>
      <c r="L685" s="196">
        <f>SUM(L678:L684)</f>
        <v>7838.5666276944676</v>
      </c>
      <c r="M685" s="196"/>
      <c r="N685" s="196"/>
      <c r="O685" s="196"/>
      <c r="P685" s="304"/>
      <c r="Q685" s="304"/>
      <c r="R685" s="37" t="s">
        <v>276</v>
      </c>
    </row>
    <row r="686" spans="1:18" ht="16.5" thickBot="1">
      <c r="A686" s="3"/>
      <c r="B686" s="3"/>
      <c r="C686" s="3"/>
      <c r="D686" s="3"/>
      <c r="E686" s="3"/>
      <c r="F686" s="3"/>
      <c r="G686" s="3"/>
      <c r="H686" s="3"/>
      <c r="I686" s="3"/>
      <c r="J686" s="3"/>
      <c r="K686" s="3"/>
      <c r="L686" s="3"/>
      <c r="M686" s="3"/>
      <c r="N686" s="3"/>
      <c r="O686" s="4"/>
      <c r="P686" s="4"/>
      <c r="Q686" s="4"/>
      <c r="R686" s="4"/>
    </row>
    <row r="687" spans="1:18" ht="30.75" customHeight="1" thickBot="1">
      <c r="A687" s="347">
        <f>1+A670</f>
        <v>49</v>
      </c>
      <c r="B687" s="347"/>
      <c r="C687" s="347"/>
      <c r="D687" s="347"/>
      <c r="E687" s="361" t="str">
        <f>VLOOKUP(A687,'REQUISITOS HAB. TECNICOS'!$A$5:$B$66,2,FALSE)</f>
        <v>CONSORCIO CCP</v>
      </c>
      <c r="F687" s="361"/>
      <c r="G687" s="361"/>
      <c r="H687" s="361"/>
      <c r="I687" s="361"/>
      <c r="J687" s="361"/>
      <c r="K687" s="361"/>
      <c r="L687" s="361"/>
      <c r="M687" s="361"/>
      <c r="N687" s="361"/>
      <c r="O687" s="361"/>
      <c r="P687" s="361"/>
      <c r="Q687" s="361"/>
      <c r="R687" s="361"/>
    </row>
    <row r="688" spans="1:18" ht="50.25" customHeight="1" thickBot="1">
      <c r="A688" s="11" t="s">
        <v>247</v>
      </c>
      <c r="B688" s="76">
        <v>4</v>
      </c>
      <c r="C688" s="288" t="s">
        <v>248</v>
      </c>
      <c r="D688" s="344">
        <f>$D$899</f>
        <v>618.89671538461539</v>
      </c>
      <c r="E688" s="361"/>
      <c r="F688" s="361"/>
      <c r="G688" s="361"/>
      <c r="H688" s="361"/>
      <c r="I688" s="361"/>
      <c r="J688" s="361"/>
      <c r="K688" s="361"/>
      <c r="L688" s="361"/>
      <c r="M688" s="361"/>
      <c r="N688" s="361"/>
      <c r="O688" s="361"/>
      <c r="P688" s="361"/>
      <c r="Q688" s="361"/>
      <c r="R688" s="361"/>
    </row>
    <row r="689" spans="1:18" ht="23.25" customHeight="1" thickBot="1">
      <c r="A689" s="348" t="s">
        <v>249</v>
      </c>
      <c r="B689" s="348"/>
      <c r="C689" s="289">
        <f>+AVERAGE(H695:H699)</f>
        <v>1505.7400968795137</v>
      </c>
      <c r="D689" s="345"/>
      <c r="E689" s="361"/>
      <c r="F689" s="361"/>
      <c r="G689" s="361"/>
      <c r="H689" s="361"/>
      <c r="I689" s="361"/>
      <c r="J689" s="361"/>
      <c r="K689" s="361"/>
      <c r="L689" s="361"/>
      <c r="M689" s="361"/>
      <c r="N689" s="361"/>
      <c r="O689" s="361"/>
      <c r="P689" s="361"/>
      <c r="Q689" s="361"/>
      <c r="R689" s="361"/>
    </row>
    <row r="690" spans="1:18" ht="23.25" customHeight="1" thickBot="1">
      <c r="A690" s="349" t="s">
        <v>250</v>
      </c>
      <c r="B690" s="349"/>
      <c r="C690" s="350">
        <v>45631</v>
      </c>
      <c r="D690" s="350"/>
      <c r="E690" s="361"/>
      <c r="F690" s="361"/>
      <c r="G690" s="361"/>
      <c r="H690" s="361"/>
      <c r="I690" s="361"/>
      <c r="J690" s="361"/>
      <c r="K690" s="361"/>
      <c r="L690" s="361"/>
      <c r="M690" s="361"/>
      <c r="N690" s="361"/>
      <c r="O690" s="361"/>
      <c r="P690" s="361"/>
      <c r="Q690" s="361"/>
      <c r="R690" s="361"/>
    </row>
    <row r="691" spans="1:18" ht="38.25" customHeight="1" thickBot="1">
      <c r="A691" s="351" t="s">
        <v>251</v>
      </c>
      <c r="B691" s="351"/>
      <c r="C691" s="352" t="str">
        <f>+IF(H700&gt;D688,"CUMPLE","NO CUMPLE")</f>
        <v>CUMPLE</v>
      </c>
      <c r="D691" s="352"/>
      <c r="E691" s="361"/>
      <c r="F691" s="361"/>
      <c r="G691" s="361"/>
      <c r="H691" s="361"/>
      <c r="I691" s="361"/>
      <c r="J691" s="361"/>
      <c r="K691" s="361"/>
      <c r="L691" s="361"/>
      <c r="M691" s="361"/>
      <c r="N691" s="361"/>
      <c r="O691" s="361"/>
      <c r="P691" s="361"/>
      <c r="Q691" s="361"/>
      <c r="R691" s="361"/>
    </row>
    <row r="692" spans="1:18" ht="85.5" customHeight="1" thickBot="1">
      <c r="A692" s="353" t="s">
        <v>252</v>
      </c>
      <c r="B692" s="353"/>
      <c r="C692" s="353"/>
      <c r="D692" s="353"/>
      <c r="E692" s="353"/>
      <c r="F692" s="353"/>
      <c r="G692" s="311"/>
      <c r="H692" s="311"/>
      <c r="I692" s="143" t="s">
        <v>253</v>
      </c>
      <c r="J692" s="305" t="s">
        <v>254</v>
      </c>
      <c r="K692" s="363" t="s">
        <v>255</v>
      </c>
      <c r="L692" s="364"/>
      <c r="M692" s="357" t="s">
        <v>256</v>
      </c>
      <c r="N692" s="357" t="s">
        <v>257</v>
      </c>
      <c r="O692" s="357" t="s">
        <v>258</v>
      </c>
      <c r="P692" s="357" t="s">
        <v>259</v>
      </c>
      <c r="Q692" s="357" t="s">
        <v>260</v>
      </c>
      <c r="R692" s="362" t="s">
        <v>261</v>
      </c>
    </row>
    <row r="693" spans="1:18" ht="77.25" customHeight="1">
      <c r="A693" s="144" t="s">
        <v>262</v>
      </c>
      <c r="B693" s="354" t="s">
        <v>263</v>
      </c>
      <c r="C693" s="354"/>
      <c r="D693" s="145" t="s">
        <v>264</v>
      </c>
      <c r="E693" s="145" t="s">
        <v>265</v>
      </c>
      <c r="F693" s="145" t="s">
        <v>266</v>
      </c>
      <c r="G693" s="146" t="s">
        <v>267</v>
      </c>
      <c r="H693" s="146" t="s">
        <v>268</v>
      </c>
      <c r="I693" s="147" t="s">
        <v>269</v>
      </c>
      <c r="J693" s="147" t="s">
        <v>270</v>
      </c>
      <c r="K693" s="198" t="s">
        <v>271</v>
      </c>
      <c r="L693" s="198" t="s">
        <v>272</v>
      </c>
      <c r="M693" s="358"/>
      <c r="N693" s="358"/>
      <c r="O693" s="358"/>
      <c r="P693" s="358"/>
      <c r="Q693" s="358"/>
      <c r="R693" s="362"/>
    </row>
    <row r="694" spans="1:18">
      <c r="A694" s="34" t="str">
        <f>VLOOKUP(A687,'[2]LISTA DE OFERENTES'!$A$4:$F$65,5,FALSE)</f>
        <v>PROCIVING SAS (45%)</v>
      </c>
      <c r="B694" s="35"/>
      <c r="C694" s="35"/>
      <c r="D694" s="35"/>
      <c r="E694" s="35"/>
      <c r="F694" s="35"/>
      <c r="G694" s="35"/>
      <c r="H694" s="35"/>
      <c r="I694" s="35"/>
      <c r="J694" s="35"/>
      <c r="K694" s="35"/>
      <c r="L694" s="35"/>
      <c r="M694" s="35"/>
      <c r="N694" s="35"/>
      <c r="O694" s="35"/>
      <c r="P694" s="35"/>
      <c r="Q694" s="35"/>
      <c r="R694" s="36"/>
    </row>
    <row r="695" spans="1:18" s="14" customFormat="1" ht="120">
      <c r="A695" s="178" t="s">
        <v>624</v>
      </c>
      <c r="B695" s="343" t="s">
        <v>625</v>
      </c>
      <c r="C695" s="343"/>
      <c r="D695" s="179">
        <v>1073712895</v>
      </c>
      <c r="E695" s="208">
        <v>2022</v>
      </c>
      <c r="F695" s="180">
        <f>D695/(VLOOKUP(E695,$D$929:$E$962,2,FALSE))</f>
        <v>1073.7128949999999</v>
      </c>
      <c r="G695" s="209">
        <v>0.3</v>
      </c>
      <c r="H695" s="180"/>
      <c r="I695" s="210">
        <v>44635</v>
      </c>
      <c r="J695" s="211" t="s">
        <v>275</v>
      </c>
      <c r="K695" s="211" t="s">
        <v>276</v>
      </c>
      <c r="L695" s="261">
        <f>IF(K695="CUMPLE",H695,0)</f>
        <v>0</v>
      </c>
      <c r="M695" s="224" t="s">
        <v>276</v>
      </c>
      <c r="N695" s="213" t="s">
        <v>276</v>
      </c>
      <c r="O695" s="213" t="s">
        <v>276</v>
      </c>
      <c r="P695" s="213" t="s">
        <v>276</v>
      </c>
      <c r="Q695" s="213" t="s">
        <v>276</v>
      </c>
      <c r="R695" s="216" t="s">
        <v>626</v>
      </c>
    </row>
    <row r="696" spans="1:18" s="14" customFormat="1" ht="75">
      <c r="A696" s="181" t="s">
        <v>627</v>
      </c>
      <c r="B696" s="343" t="s">
        <v>628</v>
      </c>
      <c r="C696" s="343"/>
      <c r="D696" s="179">
        <v>779994257</v>
      </c>
      <c r="E696" s="208">
        <v>2024</v>
      </c>
      <c r="F696" s="180">
        <f>D696/(VLOOKUP(E696,$D$929:$E$962,2,FALSE))</f>
        <v>599.9955823076923</v>
      </c>
      <c r="G696" s="215">
        <v>0.1</v>
      </c>
      <c r="H696" s="180">
        <f>F696*G696</f>
        <v>59.999558230769232</v>
      </c>
      <c r="I696" s="210">
        <v>45362</v>
      </c>
      <c r="J696" s="211" t="s">
        <v>275</v>
      </c>
      <c r="K696" s="211" t="s">
        <v>275</v>
      </c>
      <c r="L696" s="261">
        <f t="shared" ref="L696:L699" si="76">IF(K696="CUMPLE",H696,0)</f>
        <v>59.999558230769232</v>
      </c>
      <c r="M696" s="224" t="s">
        <v>275</v>
      </c>
      <c r="N696" s="213" t="s">
        <v>275</v>
      </c>
      <c r="O696" s="213" t="s">
        <v>276</v>
      </c>
      <c r="P696" s="213" t="s">
        <v>276</v>
      </c>
      <c r="Q696" s="213" t="s">
        <v>276</v>
      </c>
      <c r="R696" s="216" t="s">
        <v>629</v>
      </c>
    </row>
    <row r="697" spans="1:18" s="14" customFormat="1">
      <c r="A697" s="225" t="str">
        <f>VLOOKUP(A687,'[2]LISTA DE OFERENTES'!$A$4:$F$65,6,FALSE)</f>
        <v>CIAF LTDA INGENIERIA (45%)</v>
      </c>
      <c r="B697" s="226"/>
      <c r="C697" s="226"/>
      <c r="D697" s="226"/>
      <c r="E697" s="226"/>
      <c r="F697" s="228"/>
      <c r="G697" s="228"/>
      <c r="H697" s="226"/>
      <c r="I697" s="226"/>
      <c r="J697" s="226"/>
      <c r="K697" s="226"/>
      <c r="L697" s="226"/>
      <c r="M697" s="254"/>
      <c r="N697" s="226"/>
      <c r="O697" s="226"/>
      <c r="P697" s="226"/>
      <c r="Q697" s="226"/>
      <c r="R697" s="227"/>
    </row>
    <row r="698" spans="1:18" ht="75">
      <c r="A698" s="178" t="s">
        <v>630</v>
      </c>
      <c r="B698" s="343" t="s">
        <v>631</v>
      </c>
      <c r="C698" s="343"/>
      <c r="D698" s="179">
        <v>568734480</v>
      </c>
      <c r="E698" s="208">
        <v>2009</v>
      </c>
      <c r="F698" s="180">
        <f>D698/(VLOOKUP(E698,$D$929:$E$962,2,FALSE))</f>
        <v>1144.5652646407727</v>
      </c>
      <c r="G698" s="209">
        <v>0.35</v>
      </c>
      <c r="H698" s="180"/>
      <c r="I698" s="210">
        <v>40021</v>
      </c>
      <c r="J698" s="233" t="s">
        <v>275</v>
      </c>
      <c r="K698" s="233" t="s">
        <v>276</v>
      </c>
      <c r="L698" s="261">
        <f t="shared" si="76"/>
        <v>0</v>
      </c>
      <c r="M698" s="213" t="s">
        <v>276</v>
      </c>
      <c r="N698" s="213" t="s">
        <v>276</v>
      </c>
      <c r="O698" s="213" t="s">
        <v>276</v>
      </c>
      <c r="P698" s="213" t="s">
        <v>276</v>
      </c>
      <c r="Q698" s="213" t="s">
        <v>276</v>
      </c>
      <c r="R698" s="216" t="s">
        <v>632</v>
      </c>
    </row>
    <row r="699" spans="1:18" s="14" customFormat="1" ht="45">
      <c r="A699" s="178" t="s">
        <v>633</v>
      </c>
      <c r="B699" s="343" t="s">
        <v>443</v>
      </c>
      <c r="C699" s="343"/>
      <c r="D699" s="179">
        <v>5443393600</v>
      </c>
      <c r="E699" s="208">
        <v>2017</v>
      </c>
      <c r="F699" s="180">
        <f>D699/(VLOOKUP(E699,$D$929:$E$962,2,FALSE))</f>
        <v>7378.7015888206452</v>
      </c>
      <c r="G699" s="209">
        <v>0.4</v>
      </c>
      <c r="H699" s="180">
        <f>F699*G699</f>
        <v>2951.4806355282581</v>
      </c>
      <c r="I699" s="210">
        <v>43099</v>
      </c>
      <c r="J699" s="233" t="s">
        <v>275</v>
      </c>
      <c r="K699" s="233" t="s">
        <v>275</v>
      </c>
      <c r="L699" s="261">
        <f t="shared" si="76"/>
        <v>2951.4806355282581</v>
      </c>
      <c r="M699" s="224" t="s">
        <v>275</v>
      </c>
      <c r="N699" s="213" t="s">
        <v>275</v>
      </c>
      <c r="O699" s="213" t="s">
        <v>276</v>
      </c>
      <c r="P699" s="213" t="s">
        <v>276</v>
      </c>
      <c r="Q699" s="213" t="s">
        <v>276</v>
      </c>
      <c r="R699" s="216" t="s">
        <v>629</v>
      </c>
    </row>
    <row r="700" spans="1:18" s="14" customFormat="1" ht="48" customHeight="1" thickBot="1">
      <c r="A700" s="346" t="s">
        <v>284</v>
      </c>
      <c r="B700" s="346"/>
      <c r="C700" s="346"/>
      <c r="D700" s="346"/>
      <c r="E700" s="346"/>
      <c r="F700" s="45">
        <f>+SUM(F695:F699)</f>
        <v>10196.97533076911</v>
      </c>
      <c r="G700" s="45"/>
      <c r="H700" s="45">
        <f>+SUM(H695:H699)</f>
        <v>3011.4801937590273</v>
      </c>
      <c r="I700" s="359"/>
      <c r="J700" s="360"/>
      <c r="K700" s="196"/>
      <c r="L700" s="196"/>
      <c r="M700" s="196"/>
      <c r="N700" s="196"/>
      <c r="O700" s="196"/>
      <c r="P700" s="304"/>
      <c r="Q700" s="304"/>
      <c r="R700" s="37" t="s">
        <v>276</v>
      </c>
    </row>
    <row r="701" spans="1:18" ht="16.5" thickBot="1">
      <c r="A701" s="3"/>
      <c r="B701" s="3"/>
      <c r="C701" s="3"/>
      <c r="D701" s="3"/>
      <c r="E701" s="3"/>
      <c r="F701" s="3"/>
      <c r="G701" s="3"/>
      <c r="H701" s="3"/>
      <c r="I701" s="3"/>
      <c r="J701" s="3"/>
      <c r="K701" s="3"/>
      <c r="L701" s="3"/>
      <c r="M701" s="3"/>
      <c r="N701" s="3"/>
      <c r="O701" s="4"/>
      <c r="P701" s="4"/>
      <c r="Q701" s="4"/>
      <c r="R701" s="4"/>
    </row>
    <row r="702" spans="1:18" ht="30.75" customHeight="1" thickBot="1">
      <c r="A702" s="347">
        <f>1+A687</f>
        <v>50</v>
      </c>
      <c r="B702" s="347"/>
      <c r="C702" s="347"/>
      <c r="D702" s="347"/>
      <c r="E702" s="361" t="str">
        <f>VLOOKUP(A702,'REQUISITOS HAB. TECNICOS'!$A$5:$B$66,2,FALSE)</f>
        <v>CONSORCIO FONTIBON</v>
      </c>
      <c r="F702" s="361"/>
      <c r="G702" s="361"/>
      <c r="H702" s="361"/>
      <c r="I702" s="361"/>
      <c r="J702" s="361"/>
      <c r="K702" s="361"/>
      <c r="L702" s="361"/>
      <c r="M702" s="361"/>
      <c r="N702" s="361"/>
      <c r="O702" s="361"/>
      <c r="P702" s="361"/>
      <c r="Q702" s="361"/>
      <c r="R702" s="361"/>
    </row>
    <row r="703" spans="1:18" ht="50.25" customHeight="1" thickBot="1">
      <c r="A703" s="11" t="s">
        <v>247</v>
      </c>
      <c r="B703" s="76">
        <v>6</v>
      </c>
      <c r="C703" s="288" t="s">
        <v>248</v>
      </c>
      <c r="D703" s="344">
        <f>$D$899</f>
        <v>618.89671538461539</v>
      </c>
      <c r="E703" s="361"/>
      <c r="F703" s="361"/>
      <c r="G703" s="361"/>
      <c r="H703" s="361"/>
      <c r="I703" s="361"/>
      <c r="J703" s="361"/>
      <c r="K703" s="361"/>
      <c r="L703" s="361"/>
      <c r="M703" s="361"/>
      <c r="N703" s="361"/>
      <c r="O703" s="361"/>
      <c r="P703" s="361"/>
      <c r="Q703" s="361"/>
      <c r="R703" s="361"/>
    </row>
    <row r="704" spans="1:18" ht="23.25" customHeight="1" thickBot="1">
      <c r="A704" s="348" t="s">
        <v>249</v>
      </c>
      <c r="B704" s="348"/>
      <c r="C704" s="289">
        <f>+AVERAGE(H710:H716)</f>
        <v>1998.2212369288109</v>
      </c>
      <c r="D704" s="345"/>
      <c r="E704" s="361"/>
      <c r="F704" s="361"/>
      <c r="G704" s="361"/>
      <c r="H704" s="361"/>
      <c r="I704" s="361"/>
      <c r="J704" s="361"/>
      <c r="K704" s="361"/>
      <c r="L704" s="361"/>
      <c r="M704" s="361"/>
      <c r="N704" s="361"/>
      <c r="O704" s="361"/>
      <c r="P704" s="361"/>
      <c r="Q704" s="361"/>
      <c r="R704" s="361"/>
    </row>
    <row r="705" spans="1:18" ht="23.25" customHeight="1" thickBot="1">
      <c r="A705" s="349" t="s">
        <v>250</v>
      </c>
      <c r="B705" s="349"/>
      <c r="C705" s="350">
        <v>45631</v>
      </c>
      <c r="D705" s="350"/>
      <c r="E705" s="361"/>
      <c r="F705" s="361"/>
      <c r="G705" s="361"/>
      <c r="H705" s="361"/>
      <c r="I705" s="361"/>
      <c r="J705" s="361"/>
      <c r="K705" s="361"/>
      <c r="L705" s="361"/>
      <c r="M705" s="361"/>
      <c r="N705" s="361"/>
      <c r="O705" s="361"/>
      <c r="P705" s="361"/>
      <c r="Q705" s="361"/>
      <c r="R705" s="361"/>
    </row>
    <row r="706" spans="1:18" ht="38.25" customHeight="1" thickBot="1">
      <c r="A706" s="351" t="s">
        <v>251</v>
      </c>
      <c r="B706" s="351"/>
      <c r="C706" s="352" t="str">
        <f>+IF(H717&gt;D703,"CUMPLE","NO CUMPLE")</f>
        <v>CUMPLE</v>
      </c>
      <c r="D706" s="352"/>
      <c r="E706" s="361"/>
      <c r="F706" s="361"/>
      <c r="G706" s="361"/>
      <c r="H706" s="361"/>
      <c r="I706" s="361"/>
      <c r="J706" s="361"/>
      <c r="K706" s="361"/>
      <c r="L706" s="361"/>
      <c r="M706" s="361"/>
      <c r="N706" s="361"/>
      <c r="O706" s="361"/>
      <c r="P706" s="361"/>
      <c r="Q706" s="361"/>
      <c r="R706" s="361"/>
    </row>
    <row r="707" spans="1:18" ht="85.5" customHeight="1" thickBot="1">
      <c r="A707" s="353" t="s">
        <v>252</v>
      </c>
      <c r="B707" s="353"/>
      <c r="C707" s="353"/>
      <c r="D707" s="353"/>
      <c r="E707" s="353"/>
      <c r="F707" s="353"/>
      <c r="G707" s="311"/>
      <c r="H707" s="311"/>
      <c r="I707" s="143" t="s">
        <v>253</v>
      </c>
      <c r="J707" s="305" t="s">
        <v>254</v>
      </c>
      <c r="K707" s="363" t="s">
        <v>255</v>
      </c>
      <c r="L707" s="364"/>
      <c r="M707" s="357" t="s">
        <v>256</v>
      </c>
      <c r="N707" s="357" t="s">
        <v>257</v>
      </c>
      <c r="O707" s="357" t="s">
        <v>258</v>
      </c>
      <c r="P707" s="357" t="s">
        <v>259</v>
      </c>
      <c r="Q707" s="357" t="s">
        <v>260</v>
      </c>
      <c r="R707" s="362" t="s">
        <v>261</v>
      </c>
    </row>
    <row r="708" spans="1:18" ht="77.25" customHeight="1">
      <c r="A708" s="144" t="s">
        <v>262</v>
      </c>
      <c r="B708" s="354" t="s">
        <v>263</v>
      </c>
      <c r="C708" s="354"/>
      <c r="D708" s="145" t="s">
        <v>264</v>
      </c>
      <c r="E708" s="145" t="s">
        <v>265</v>
      </c>
      <c r="F708" s="145" t="s">
        <v>266</v>
      </c>
      <c r="G708" s="146" t="s">
        <v>267</v>
      </c>
      <c r="H708" s="146" t="s">
        <v>268</v>
      </c>
      <c r="I708" s="147" t="s">
        <v>269</v>
      </c>
      <c r="J708" s="147" t="s">
        <v>270</v>
      </c>
      <c r="K708" s="198" t="s">
        <v>271</v>
      </c>
      <c r="L708" s="198" t="s">
        <v>272</v>
      </c>
      <c r="M708" s="358"/>
      <c r="N708" s="358"/>
      <c r="O708" s="358"/>
      <c r="P708" s="358"/>
      <c r="Q708" s="358"/>
      <c r="R708" s="362"/>
    </row>
    <row r="709" spans="1:18">
      <c r="A709" s="34" t="str">
        <f>'LISTA DE OFERENTES'!E53</f>
        <v>INFRALAR SAS</v>
      </c>
      <c r="B709" s="35"/>
      <c r="C709" s="35"/>
      <c r="D709" s="35"/>
      <c r="E709" s="35"/>
      <c r="F709" s="35"/>
      <c r="G709" s="35"/>
      <c r="H709" s="35"/>
      <c r="I709" s="35"/>
      <c r="J709" s="35"/>
      <c r="K709" s="35"/>
      <c r="L709" s="35"/>
      <c r="M709" s="35"/>
      <c r="N709" s="35"/>
      <c r="O709" s="35"/>
      <c r="P709" s="35"/>
      <c r="Q709" s="35"/>
      <c r="R709" s="36"/>
    </row>
    <row r="710" spans="1:18" s="14" customFormat="1" ht="45">
      <c r="A710" s="178" t="s">
        <v>634</v>
      </c>
      <c r="B710" s="343" t="s">
        <v>335</v>
      </c>
      <c r="C710" s="343"/>
      <c r="D710" s="179">
        <v>341747959</v>
      </c>
      <c r="E710" s="208">
        <v>2007</v>
      </c>
      <c r="F710" s="180">
        <f>D710/(VLOOKUP(E710,$D$929:$E$962,2,FALSE))</f>
        <v>787.98238183075864</v>
      </c>
      <c r="G710" s="209">
        <v>0.4</v>
      </c>
      <c r="H710" s="180"/>
      <c r="I710" s="210">
        <v>39181</v>
      </c>
      <c r="J710" s="233" t="s">
        <v>275</v>
      </c>
      <c r="K710" s="211" t="s">
        <v>276</v>
      </c>
      <c r="L710" s="212">
        <f>IF(K710="CUMPLE",H710,0)</f>
        <v>0</v>
      </c>
      <c r="M710" s="211" t="s">
        <v>276</v>
      </c>
      <c r="N710" s="211" t="s">
        <v>276</v>
      </c>
      <c r="O710" s="211" t="s">
        <v>276</v>
      </c>
      <c r="P710" s="211" t="s">
        <v>276</v>
      </c>
      <c r="Q710" s="211" t="s">
        <v>276</v>
      </c>
      <c r="R710" s="241" t="s">
        <v>635</v>
      </c>
    </row>
    <row r="711" spans="1:18" s="14" customFormat="1" ht="60">
      <c r="A711" s="181" t="s">
        <v>636</v>
      </c>
      <c r="B711" s="343" t="s">
        <v>637</v>
      </c>
      <c r="C711" s="343"/>
      <c r="D711" s="179">
        <v>1048493649</v>
      </c>
      <c r="E711" s="208">
        <v>2019</v>
      </c>
      <c r="F711" s="180">
        <f t="shared" ref="F711:F716" si="77">D711/(VLOOKUP(E711,$D$929:$E$962,2,FALSE))</f>
        <v>1266.1192985040743</v>
      </c>
      <c r="G711" s="215">
        <v>0.4</v>
      </c>
      <c r="H711" s="180"/>
      <c r="I711" s="210">
        <v>43710</v>
      </c>
      <c r="J711" s="233" t="s">
        <v>275</v>
      </c>
      <c r="K711" s="211" t="s">
        <v>276</v>
      </c>
      <c r="L711" s="212">
        <f t="shared" ref="L711:L716" si="78">IF(K711="CUMPLE",H711,0)</f>
        <v>0</v>
      </c>
      <c r="M711" s="211" t="s">
        <v>276</v>
      </c>
      <c r="N711" s="211" t="s">
        <v>276</v>
      </c>
      <c r="O711" s="211" t="s">
        <v>276</v>
      </c>
      <c r="P711" s="211" t="s">
        <v>276</v>
      </c>
      <c r="Q711" s="211" t="s">
        <v>276</v>
      </c>
      <c r="R711" s="241" t="s">
        <v>635</v>
      </c>
    </row>
    <row r="712" spans="1:18" s="14" customFormat="1" ht="60">
      <c r="A712" s="181" t="s">
        <v>638</v>
      </c>
      <c r="B712" s="343" t="s">
        <v>429</v>
      </c>
      <c r="C712" s="343"/>
      <c r="D712" s="179">
        <v>1211018506</v>
      </c>
      <c r="E712" s="208">
        <v>2011</v>
      </c>
      <c r="F712" s="180">
        <f t="shared" si="77"/>
        <v>2261.0502352501867</v>
      </c>
      <c r="G712" s="215">
        <v>0.95</v>
      </c>
      <c r="H712" s="180"/>
      <c r="I712" s="210">
        <v>40908</v>
      </c>
      <c r="J712" s="233" t="s">
        <v>275</v>
      </c>
      <c r="K712" s="211" t="s">
        <v>276</v>
      </c>
      <c r="L712" s="212">
        <f t="shared" si="78"/>
        <v>0</v>
      </c>
      <c r="M712" s="211" t="s">
        <v>276</v>
      </c>
      <c r="N712" s="211" t="s">
        <v>276</v>
      </c>
      <c r="O712" s="211" t="s">
        <v>276</v>
      </c>
      <c r="P712" s="211" t="s">
        <v>276</v>
      </c>
      <c r="Q712" s="211" t="s">
        <v>276</v>
      </c>
      <c r="R712" s="241" t="s">
        <v>635</v>
      </c>
    </row>
    <row r="713" spans="1:18" s="14" customFormat="1" ht="105">
      <c r="A713" s="178" t="s">
        <v>639</v>
      </c>
      <c r="B713" s="343" t="s">
        <v>274</v>
      </c>
      <c r="C713" s="343"/>
      <c r="D713" s="179">
        <v>1507760911</v>
      </c>
      <c r="E713" s="208">
        <v>2008</v>
      </c>
      <c r="F713" s="180">
        <f t="shared" si="77"/>
        <v>3267.0875644637053</v>
      </c>
      <c r="G713" s="209">
        <v>0.75</v>
      </c>
      <c r="H713" s="180"/>
      <c r="I713" s="210">
        <v>39629</v>
      </c>
      <c r="J713" s="233" t="s">
        <v>275</v>
      </c>
      <c r="K713" s="211" t="s">
        <v>276</v>
      </c>
      <c r="L713" s="212">
        <f t="shared" si="78"/>
        <v>0</v>
      </c>
      <c r="M713" s="211" t="s">
        <v>276</v>
      </c>
      <c r="N713" s="211" t="s">
        <v>276</v>
      </c>
      <c r="O713" s="211" t="s">
        <v>276</v>
      </c>
      <c r="P713" s="211" t="s">
        <v>276</v>
      </c>
      <c r="Q713" s="211" t="s">
        <v>276</v>
      </c>
      <c r="R713" s="241" t="s">
        <v>635</v>
      </c>
    </row>
    <row r="714" spans="1:18" s="14" customFormat="1">
      <c r="A714" s="225" t="str">
        <f>'LISTA DE OFERENTES'!F53</f>
        <v>OBRAS Y PROYECTOS RP S.A.S</v>
      </c>
      <c r="B714" s="226"/>
      <c r="C714" s="226"/>
      <c r="D714" s="226"/>
      <c r="E714" s="226"/>
      <c r="F714" s="226"/>
      <c r="G714" s="226"/>
      <c r="H714" s="226"/>
      <c r="I714" s="226"/>
      <c r="J714" s="226"/>
      <c r="K714" s="226"/>
      <c r="L714" s="226"/>
      <c r="M714" s="226"/>
      <c r="N714" s="226"/>
      <c r="O714" s="226"/>
      <c r="P714" s="226"/>
      <c r="Q714" s="226"/>
      <c r="R714" s="227"/>
    </row>
    <row r="715" spans="1:18" s="14" customFormat="1" ht="120">
      <c r="A715" s="207" t="s">
        <v>640</v>
      </c>
      <c r="B715" s="343" t="s">
        <v>335</v>
      </c>
      <c r="C715" s="356"/>
      <c r="D715" s="179">
        <v>19784751256</v>
      </c>
      <c r="E715" s="208">
        <v>2012</v>
      </c>
      <c r="F715" s="180">
        <f t="shared" si="77"/>
        <v>34912.213262749246</v>
      </c>
      <c r="G715" s="209">
        <v>0.1</v>
      </c>
      <c r="H715" s="180">
        <f t="shared" ref="H715:H716" si="79">F715*G715</f>
        <v>3491.2213262749246</v>
      </c>
      <c r="I715" s="210">
        <v>41152</v>
      </c>
      <c r="J715" s="233" t="s">
        <v>275</v>
      </c>
      <c r="K715" s="233" t="s">
        <v>275</v>
      </c>
      <c r="L715" s="261">
        <f t="shared" si="78"/>
        <v>3491.2213262749246</v>
      </c>
      <c r="M715" s="224" t="s">
        <v>275</v>
      </c>
      <c r="N715" s="224" t="s">
        <v>275</v>
      </c>
      <c r="O715" s="303" t="s">
        <v>275</v>
      </c>
      <c r="P715" s="303" t="s">
        <v>275</v>
      </c>
      <c r="Q715" s="303" t="s">
        <v>276</v>
      </c>
      <c r="R715" s="241" t="s">
        <v>393</v>
      </c>
    </row>
    <row r="716" spans="1:18" s="14" customFormat="1" ht="195">
      <c r="A716" s="207" t="s">
        <v>641</v>
      </c>
      <c r="B716" s="343" t="s">
        <v>335</v>
      </c>
      <c r="C716" s="343"/>
      <c r="D716" s="179">
        <v>595655733</v>
      </c>
      <c r="E716" s="208">
        <v>2013</v>
      </c>
      <c r="F716" s="180">
        <f t="shared" si="77"/>
        <v>1010.4422951653944</v>
      </c>
      <c r="G716" s="209">
        <v>0.5</v>
      </c>
      <c r="H716" s="180">
        <f t="shared" si="79"/>
        <v>505.2211475826972</v>
      </c>
      <c r="I716" s="210">
        <v>41626</v>
      </c>
      <c r="J716" s="233" t="s">
        <v>275</v>
      </c>
      <c r="K716" s="264" t="s">
        <v>275</v>
      </c>
      <c r="L716" s="261">
        <f t="shared" si="78"/>
        <v>505.2211475826972</v>
      </c>
      <c r="M716" s="224" t="s">
        <v>275</v>
      </c>
      <c r="N716" s="224" t="s">
        <v>275</v>
      </c>
      <c r="O716" s="303" t="s">
        <v>275</v>
      </c>
      <c r="P716" s="303" t="s">
        <v>275</v>
      </c>
      <c r="Q716" s="303" t="s">
        <v>276</v>
      </c>
      <c r="R716" s="241" t="s">
        <v>393</v>
      </c>
    </row>
    <row r="717" spans="1:18" s="14" customFormat="1" ht="48" customHeight="1" thickBot="1">
      <c r="A717" s="346" t="s">
        <v>284</v>
      </c>
      <c r="B717" s="346"/>
      <c r="C717" s="346"/>
      <c r="D717" s="346"/>
      <c r="E717" s="346"/>
      <c r="F717" s="45">
        <f>+F715+F716</f>
        <v>35922.655557914644</v>
      </c>
      <c r="G717" s="45"/>
      <c r="H717" s="45">
        <f>+SUM(H710:H716)</f>
        <v>3996.4424738576217</v>
      </c>
      <c r="I717" s="359"/>
      <c r="J717" s="360"/>
      <c r="K717" s="196"/>
      <c r="L717" s="196"/>
      <c r="M717" s="196"/>
      <c r="N717" s="196"/>
      <c r="O717" s="196"/>
      <c r="P717" s="304"/>
      <c r="Q717" s="304"/>
      <c r="R717" s="37" t="s">
        <v>276</v>
      </c>
    </row>
    <row r="718" spans="1:18" ht="16.5" thickBot="1">
      <c r="A718" s="3"/>
      <c r="B718" s="3"/>
      <c r="C718" s="3"/>
      <c r="D718" s="3"/>
      <c r="E718" s="3"/>
      <c r="F718" s="3"/>
      <c r="G718" s="3"/>
      <c r="H718" s="3"/>
      <c r="I718" s="3"/>
      <c r="J718" s="3"/>
      <c r="K718" s="3"/>
      <c r="L718" s="3"/>
      <c r="M718" s="3"/>
      <c r="N718" s="3"/>
      <c r="O718" s="4"/>
      <c r="P718" s="4"/>
      <c r="Q718" s="4"/>
      <c r="R718" s="4"/>
    </row>
    <row r="719" spans="1:18" ht="30.75" customHeight="1" thickBot="1">
      <c r="A719" s="347">
        <f>1+A702</f>
        <v>51</v>
      </c>
      <c r="B719" s="347"/>
      <c r="C719" s="347"/>
      <c r="D719" s="347"/>
      <c r="E719" s="361" t="str">
        <f>VLOOKUP(A719,'REQUISITOS HAB. TECNICOS'!$A$5:$B$66,2,FALSE)</f>
        <v>CONSORCIO TECNOLOGICO</v>
      </c>
      <c r="F719" s="361"/>
      <c r="G719" s="361"/>
      <c r="H719" s="361"/>
      <c r="I719" s="361"/>
      <c r="J719" s="361"/>
      <c r="K719" s="361"/>
      <c r="L719" s="361"/>
      <c r="M719" s="361"/>
      <c r="N719" s="361"/>
      <c r="O719" s="361"/>
      <c r="P719" s="361"/>
      <c r="Q719" s="361"/>
      <c r="R719" s="361"/>
    </row>
    <row r="720" spans="1:18" ht="50.25" customHeight="1" thickBot="1">
      <c r="A720" s="11" t="s">
        <v>247</v>
      </c>
      <c r="B720" s="76">
        <v>3</v>
      </c>
      <c r="C720" s="288" t="s">
        <v>248</v>
      </c>
      <c r="D720" s="344">
        <f>$D$899</f>
        <v>618.89671538461539</v>
      </c>
      <c r="E720" s="361"/>
      <c r="F720" s="361"/>
      <c r="G720" s="361"/>
      <c r="H720" s="361"/>
      <c r="I720" s="361"/>
      <c r="J720" s="361"/>
      <c r="K720" s="361"/>
      <c r="L720" s="361"/>
      <c r="M720" s="361"/>
      <c r="N720" s="361"/>
      <c r="O720" s="361"/>
      <c r="P720" s="361"/>
      <c r="Q720" s="361"/>
      <c r="R720" s="361"/>
    </row>
    <row r="721" spans="1:18" ht="23.25" customHeight="1" thickBot="1">
      <c r="A721" s="348" t="s">
        <v>249</v>
      </c>
      <c r="B721" s="348"/>
      <c r="C721" s="289">
        <f>+AVERAGE(H727:H730)</f>
        <v>1152.1100171753126</v>
      </c>
      <c r="D721" s="345"/>
      <c r="E721" s="361"/>
      <c r="F721" s="361"/>
      <c r="G721" s="361"/>
      <c r="H721" s="361"/>
      <c r="I721" s="361"/>
      <c r="J721" s="361"/>
      <c r="K721" s="361"/>
      <c r="L721" s="361"/>
      <c r="M721" s="361"/>
      <c r="N721" s="361"/>
      <c r="O721" s="361"/>
      <c r="P721" s="361"/>
      <c r="Q721" s="361"/>
      <c r="R721" s="361"/>
    </row>
    <row r="722" spans="1:18" ht="23.25" customHeight="1" thickBot="1">
      <c r="A722" s="349" t="s">
        <v>250</v>
      </c>
      <c r="B722" s="349"/>
      <c r="C722" s="350">
        <v>45631</v>
      </c>
      <c r="D722" s="350"/>
      <c r="E722" s="361"/>
      <c r="F722" s="361"/>
      <c r="G722" s="361"/>
      <c r="H722" s="361"/>
      <c r="I722" s="361"/>
      <c r="J722" s="361"/>
      <c r="K722" s="361"/>
      <c r="L722" s="361"/>
      <c r="M722" s="361"/>
      <c r="N722" s="361"/>
      <c r="O722" s="361"/>
      <c r="P722" s="361"/>
      <c r="Q722" s="361"/>
      <c r="R722" s="361"/>
    </row>
    <row r="723" spans="1:18" ht="38.25" customHeight="1" thickBot="1">
      <c r="A723" s="351" t="s">
        <v>251</v>
      </c>
      <c r="B723" s="351"/>
      <c r="C723" s="352" t="str">
        <f>+IF(H731&gt;D720,"CUMPLE","NO CUMPLE")</f>
        <v>CUMPLE</v>
      </c>
      <c r="D723" s="352"/>
      <c r="E723" s="361"/>
      <c r="F723" s="361"/>
      <c r="G723" s="361"/>
      <c r="H723" s="361"/>
      <c r="I723" s="361"/>
      <c r="J723" s="361"/>
      <c r="K723" s="361"/>
      <c r="L723" s="361"/>
      <c r="M723" s="361"/>
      <c r="N723" s="361"/>
      <c r="O723" s="361"/>
      <c r="P723" s="361"/>
      <c r="Q723" s="361"/>
      <c r="R723" s="361"/>
    </row>
    <row r="724" spans="1:18" ht="86.25" customHeight="1" thickBot="1">
      <c r="A724" s="353" t="s">
        <v>252</v>
      </c>
      <c r="B724" s="353"/>
      <c r="C724" s="353"/>
      <c r="D724" s="353"/>
      <c r="E724" s="353"/>
      <c r="F724" s="353"/>
      <c r="G724" s="311"/>
      <c r="H724" s="311"/>
      <c r="I724" s="143" t="s">
        <v>253</v>
      </c>
      <c r="J724" s="305" t="s">
        <v>254</v>
      </c>
      <c r="K724" s="363" t="s">
        <v>255</v>
      </c>
      <c r="L724" s="364"/>
      <c r="M724" s="357" t="s">
        <v>256</v>
      </c>
      <c r="N724" s="357" t="s">
        <v>257</v>
      </c>
      <c r="O724" s="357" t="s">
        <v>258</v>
      </c>
      <c r="P724" s="357" t="s">
        <v>259</v>
      </c>
      <c r="Q724" s="357" t="s">
        <v>260</v>
      </c>
      <c r="R724" s="362" t="s">
        <v>261</v>
      </c>
    </row>
    <row r="725" spans="1:18" ht="77.25" customHeight="1">
      <c r="A725" s="144" t="s">
        <v>262</v>
      </c>
      <c r="B725" s="354" t="s">
        <v>263</v>
      </c>
      <c r="C725" s="354"/>
      <c r="D725" s="145" t="s">
        <v>264</v>
      </c>
      <c r="E725" s="145" t="s">
        <v>265</v>
      </c>
      <c r="F725" s="145" t="s">
        <v>266</v>
      </c>
      <c r="G725" s="146" t="s">
        <v>267</v>
      </c>
      <c r="H725" s="146" t="s">
        <v>268</v>
      </c>
      <c r="I725" s="147" t="s">
        <v>269</v>
      </c>
      <c r="J725" s="147" t="s">
        <v>270</v>
      </c>
      <c r="K725" s="198" t="s">
        <v>271</v>
      </c>
      <c r="L725" s="198" t="s">
        <v>272</v>
      </c>
      <c r="M725" s="358"/>
      <c r="N725" s="358"/>
      <c r="O725" s="358"/>
      <c r="P725" s="358"/>
      <c r="Q725" s="358"/>
      <c r="R725" s="362"/>
    </row>
    <row r="726" spans="1:18">
      <c r="A726" s="34" t="str">
        <f>VLOOKUP(A719,'LISTA DE OFERENTES'!$A$4:$F$65,5,FALSE)</f>
        <v>NTERVENTORIA Y CONSTRUCCIONES S.A.S</v>
      </c>
      <c r="B726" s="35"/>
      <c r="C726" s="35"/>
      <c r="D726" s="35"/>
      <c r="E726" s="35"/>
      <c r="F726" s="35"/>
      <c r="G726" s="35"/>
      <c r="H726" s="35"/>
      <c r="I726" s="35"/>
      <c r="J726" s="35"/>
      <c r="K726" s="35"/>
      <c r="L726" s="35"/>
      <c r="M726" s="35"/>
      <c r="N726" s="35"/>
      <c r="O726" s="35"/>
      <c r="P726" s="35"/>
      <c r="Q726" s="35"/>
      <c r="R726" s="36"/>
    </row>
    <row r="727" spans="1:18" s="14" customFormat="1" ht="60">
      <c r="A727" s="207" t="s">
        <v>642</v>
      </c>
      <c r="B727" s="343" t="s">
        <v>643</v>
      </c>
      <c r="C727" s="343"/>
      <c r="D727" s="179">
        <v>4614944960</v>
      </c>
      <c r="E727" s="208">
        <v>2016</v>
      </c>
      <c r="F727" s="180">
        <f>D727/(VLOOKUP(E727,$D$929:$E$961,2,FALSE))</f>
        <v>6693.6130131770742</v>
      </c>
      <c r="G727" s="209">
        <v>0.3</v>
      </c>
      <c r="H727" s="180">
        <f>F727*G727</f>
        <v>2008.0839039531222</v>
      </c>
      <c r="I727" s="210">
        <v>42582</v>
      </c>
      <c r="J727" s="211" t="s">
        <v>275</v>
      </c>
      <c r="K727" s="211" t="s">
        <v>275</v>
      </c>
      <c r="L727" s="212">
        <f>IF(K727="CUMPLE",H727,0)</f>
        <v>2008.0839039531222</v>
      </c>
      <c r="M727" s="224" t="s">
        <v>275</v>
      </c>
      <c r="N727" s="224" t="s">
        <v>275</v>
      </c>
      <c r="O727" s="303" t="s">
        <v>275</v>
      </c>
      <c r="P727" s="303" t="s">
        <v>275</v>
      </c>
      <c r="Q727" s="303" t="s">
        <v>276</v>
      </c>
      <c r="R727" s="241" t="s">
        <v>393</v>
      </c>
    </row>
    <row r="728" spans="1:18">
      <c r="A728" s="34" t="str">
        <f>VLOOKUP(A719,'LISTA DE OFERENTES'!$A$4:$F$65,6,FALSE)</f>
        <v>RAFAEL JAVIER GUISA RUEDA</v>
      </c>
      <c r="B728" s="34"/>
      <c r="C728" s="34"/>
      <c r="D728" s="34"/>
      <c r="E728" s="34"/>
      <c r="F728" s="34"/>
      <c r="G728" s="34"/>
      <c r="H728" s="34"/>
      <c r="I728" s="34"/>
      <c r="J728" s="34"/>
      <c r="K728" s="34"/>
      <c r="L728" s="34"/>
      <c r="M728" s="34"/>
      <c r="N728" s="34"/>
      <c r="O728" s="34"/>
      <c r="P728" s="34"/>
      <c r="Q728" s="34"/>
      <c r="R728" s="34"/>
    </row>
    <row r="729" spans="1:18" s="14" customFormat="1" ht="105">
      <c r="A729" s="207" t="s">
        <v>644</v>
      </c>
      <c r="B729" s="343" t="s">
        <v>645</v>
      </c>
      <c r="C729" s="343"/>
      <c r="D729" s="179">
        <v>705932500</v>
      </c>
      <c r="E729" s="208">
        <v>2011</v>
      </c>
      <c r="F729" s="180">
        <f>D729/(VLOOKUP(E729,$D$929:$E$961,2,FALSE))</f>
        <v>1318.0218446601941</v>
      </c>
      <c r="G729" s="209">
        <v>1</v>
      </c>
      <c r="H729" s="180">
        <f>F729*G729</f>
        <v>1318.0218446601941</v>
      </c>
      <c r="I729" s="210">
        <v>40903</v>
      </c>
      <c r="J729" s="211" t="s">
        <v>275</v>
      </c>
      <c r="K729" s="211" t="s">
        <v>275</v>
      </c>
      <c r="L729" s="212">
        <f t="shared" ref="L729:L730" si="80">IF(K729="CUMPLE",H729,0)</f>
        <v>1318.0218446601941</v>
      </c>
      <c r="M729" s="224" t="s">
        <v>275</v>
      </c>
      <c r="N729" s="224" t="s">
        <v>275</v>
      </c>
      <c r="O729" s="303" t="s">
        <v>275</v>
      </c>
      <c r="P729" s="303" t="s">
        <v>275</v>
      </c>
      <c r="Q729" s="303" t="s">
        <v>276</v>
      </c>
      <c r="R729" s="241" t="s">
        <v>646</v>
      </c>
    </row>
    <row r="730" spans="1:18" s="14" customFormat="1" ht="60">
      <c r="A730" s="207" t="s">
        <v>647</v>
      </c>
      <c r="B730" s="343" t="s">
        <v>648</v>
      </c>
      <c r="C730" s="343"/>
      <c r="D730" s="179">
        <v>74517240</v>
      </c>
      <c r="E730" s="208">
        <v>2010</v>
      </c>
      <c r="F730" s="180">
        <f>D730/(VLOOKUP(E730,$D$929:$E$961,2,FALSE))</f>
        <v>144.69366990291263</v>
      </c>
      <c r="G730" s="209">
        <v>0.9</v>
      </c>
      <c r="H730" s="180">
        <f>F730*G730</f>
        <v>130.22430291262137</v>
      </c>
      <c r="I730" s="210">
        <v>40356</v>
      </c>
      <c r="J730" s="211" t="s">
        <v>275</v>
      </c>
      <c r="K730" s="211" t="s">
        <v>275</v>
      </c>
      <c r="L730" s="212">
        <f t="shared" si="80"/>
        <v>130.22430291262137</v>
      </c>
      <c r="M730" s="224" t="s">
        <v>275</v>
      </c>
      <c r="N730" s="224" t="s">
        <v>275</v>
      </c>
      <c r="O730" s="303" t="s">
        <v>276</v>
      </c>
      <c r="P730" s="303" t="s">
        <v>275</v>
      </c>
      <c r="Q730" s="303" t="s">
        <v>275</v>
      </c>
      <c r="R730" s="241" t="s">
        <v>649</v>
      </c>
    </row>
    <row r="731" spans="1:18" s="14" customFormat="1" ht="48" customHeight="1" thickBot="1">
      <c r="A731" s="346" t="s">
        <v>284</v>
      </c>
      <c r="B731" s="346"/>
      <c r="C731" s="346"/>
      <c r="D731" s="346"/>
      <c r="E731" s="346"/>
      <c r="F731" s="45">
        <f>+SUM(F727:F730)</f>
        <v>8156.328527740181</v>
      </c>
      <c r="G731" s="45"/>
      <c r="H731" s="45">
        <f>+SUM(H727:H730)</f>
        <v>3456.3300515259375</v>
      </c>
      <c r="I731" s="359"/>
      <c r="J731" s="360"/>
      <c r="K731" s="196"/>
      <c r="L731" s="196"/>
      <c r="M731" s="196"/>
      <c r="N731" s="196"/>
      <c r="O731" s="196"/>
      <c r="P731" s="304"/>
      <c r="Q731" s="304"/>
      <c r="R731" s="37" t="s">
        <v>276</v>
      </c>
    </row>
    <row r="732" spans="1:18" ht="16.5" thickBot="1">
      <c r="A732" s="3"/>
      <c r="B732" s="3"/>
      <c r="C732" s="3"/>
      <c r="D732" s="3"/>
      <c r="E732" s="3"/>
      <c r="F732" s="3"/>
      <c r="G732" s="3"/>
      <c r="H732" s="3"/>
      <c r="I732" s="3"/>
      <c r="J732" s="3"/>
      <c r="K732" s="3"/>
      <c r="L732" s="3"/>
      <c r="M732" s="3"/>
      <c r="N732" s="3"/>
      <c r="O732" s="4"/>
      <c r="P732" s="4"/>
      <c r="Q732" s="4"/>
      <c r="R732" s="4"/>
    </row>
    <row r="733" spans="1:18" ht="30.75" customHeight="1" thickBot="1">
      <c r="A733" s="347">
        <f>1+A719</f>
        <v>52</v>
      </c>
      <c r="B733" s="347"/>
      <c r="C733" s="347"/>
      <c r="D733" s="347"/>
      <c r="E733" s="361" t="str">
        <f>VLOOKUP(A733,'REQUISITOS HAB. TECNICOS'!$A$5:$B$66,2,FALSE)</f>
        <v>CONSORCIO INTERVIAL PH</v>
      </c>
      <c r="F733" s="361"/>
      <c r="G733" s="361"/>
      <c r="H733" s="361"/>
      <c r="I733" s="361"/>
      <c r="J733" s="361"/>
      <c r="K733" s="361"/>
      <c r="L733" s="361"/>
      <c r="M733" s="361"/>
      <c r="N733" s="361"/>
      <c r="O733" s="361"/>
      <c r="P733" s="361"/>
      <c r="Q733" s="361"/>
      <c r="R733" s="361"/>
    </row>
    <row r="734" spans="1:18" ht="50.25" customHeight="1" thickBot="1">
      <c r="A734" s="11" t="s">
        <v>247</v>
      </c>
      <c r="B734" s="76">
        <v>4</v>
      </c>
      <c r="C734" s="288" t="s">
        <v>248</v>
      </c>
      <c r="D734" s="344">
        <f>$D$899</f>
        <v>618.89671538461539</v>
      </c>
      <c r="E734" s="361"/>
      <c r="F734" s="361"/>
      <c r="G734" s="361"/>
      <c r="H734" s="361"/>
      <c r="I734" s="361"/>
      <c r="J734" s="361"/>
      <c r="K734" s="361"/>
      <c r="L734" s="361"/>
      <c r="M734" s="361"/>
      <c r="N734" s="361"/>
      <c r="O734" s="361"/>
      <c r="P734" s="361"/>
      <c r="Q734" s="361"/>
      <c r="R734" s="361"/>
    </row>
    <row r="735" spans="1:18" ht="23.25" customHeight="1" thickBot="1">
      <c r="A735" s="348" t="s">
        <v>249</v>
      </c>
      <c r="B735" s="348"/>
      <c r="C735" s="289">
        <f>+AVERAGE(H741:H745)</f>
        <v>1385.776600282579</v>
      </c>
      <c r="D735" s="345"/>
      <c r="E735" s="361"/>
      <c r="F735" s="361"/>
      <c r="G735" s="361"/>
      <c r="H735" s="361"/>
      <c r="I735" s="361"/>
      <c r="J735" s="361"/>
      <c r="K735" s="361"/>
      <c r="L735" s="361"/>
      <c r="M735" s="361"/>
      <c r="N735" s="361"/>
      <c r="O735" s="361"/>
      <c r="P735" s="361"/>
      <c r="Q735" s="361"/>
      <c r="R735" s="361"/>
    </row>
    <row r="736" spans="1:18" ht="23.25" customHeight="1" thickBot="1">
      <c r="A736" s="349" t="s">
        <v>250</v>
      </c>
      <c r="B736" s="349"/>
      <c r="C736" s="350">
        <v>45631</v>
      </c>
      <c r="D736" s="350"/>
      <c r="E736" s="361"/>
      <c r="F736" s="361"/>
      <c r="G736" s="361"/>
      <c r="H736" s="361"/>
      <c r="I736" s="361"/>
      <c r="J736" s="361"/>
      <c r="K736" s="361"/>
      <c r="L736" s="361"/>
      <c r="M736" s="361"/>
      <c r="N736" s="361"/>
      <c r="O736" s="361"/>
      <c r="P736" s="361"/>
      <c r="Q736" s="361"/>
      <c r="R736" s="361"/>
    </row>
    <row r="737" spans="1:18" ht="38.25" customHeight="1" thickBot="1">
      <c r="A737" s="351" t="s">
        <v>251</v>
      </c>
      <c r="B737" s="351"/>
      <c r="C737" s="352" t="str">
        <f>+IF(H746&gt;D734,"CUMPLE","NO CUMPLE")</f>
        <v>CUMPLE</v>
      </c>
      <c r="D737" s="352"/>
      <c r="E737" s="361"/>
      <c r="F737" s="361"/>
      <c r="G737" s="361"/>
      <c r="H737" s="361"/>
      <c r="I737" s="361"/>
      <c r="J737" s="361"/>
      <c r="K737" s="361"/>
      <c r="L737" s="361"/>
      <c r="M737" s="361"/>
      <c r="N737" s="361"/>
      <c r="O737" s="361"/>
      <c r="P737" s="361"/>
      <c r="Q737" s="361"/>
      <c r="R737" s="361"/>
    </row>
    <row r="738" spans="1:18" ht="86.25" customHeight="1" thickBot="1">
      <c r="A738" s="353" t="s">
        <v>252</v>
      </c>
      <c r="B738" s="353"/>
      <c r="C738" s="353"/>
      <c r="D738" s="353"/>
      <c r="E738" s="353"/>
      <c r="F738" s="353"/>
      <c r="G738" s="311"/>
      <c r="H738" s="311"/>
      <c r="I738" s="143" t="s">
        <v>253</v>
      </c>
      <c r="J738" s="305" t="s">
        <v>254</v>
      </c>
      <c r="K738" s="363" t="s">
        <v>255</v>
      </c>
      <c r="L738" s="364"/>
      <c r="M738" s="357" t="s">
        <v>256</v>
      </c>
      <c r="N738" s="357" t="s">
        <v>257</v>
      </c>
      <c r="O738" s="357" t="s">
        <v>258</v>
      </c>
      <c r="P738" s="357" t="s">
        <v>259</v>
      </c>
      <c r="Q738" s="357" t="s">
        <v>260</v>
      </c>
      <c r="R738" s="362" t="s">
        <v>261</v>
      </c>
    </row>
    <row r="739" spans="1:18" ht="77.25" customHeight="1">
      <c r="A739" s="144" t="s">
        <v>262</v>
      </c>
      <c r="B739" s="354" t="s">
        <v>263</v>
      </c>
      <c r="C739" s="354"/>
      <c r="D739" s="145" t="s">
        <v>264</v>
      </c>
      <c r="E739" s="145" t="s">
        <v>265</v>
      </c>
      <c r="F739" s="145" t="s">
        <v>266</v>
      </c>
      <c r="G739" s="146" t="s">
        <v>267</v>
      </c>
      <c r="H739" s="146" t="s">
        <v>268</v>
      </c>
      <c r="I739" s="147" t="s">
        <v>269</v>
      </c>
      <c r="J739" s="147" t="s">
        <v>270</v>
      </c>
      <c r="K739" s="198" t="s">
        <v>271</v>
      </c>
      <c r="L739" s="198" t="s">
        <v>272</v>
      </c>
      <c r="M739" s="358"/>
      <c r="N739" s="358"/>
      <c r="O739" s="358"/>
      <c r="P739" s="358"/>
      <c r="Q739" s="358"/>
      <c r="R739" s="362"/>
    </row>
    <row r="740" spans="1:18">
      <c r="A740" s="173" t="str">
        <f>VLOOKUP(A733,'LISTA DE OFERENTES'!$A$4:$F$65,5,FALSE)</f>
        <v xml:space="preserve">HUMBERTO JAUREGUI &amp; 
CIAS SAS </v>
      </c>
      <c r="B740" s="35"/>
      <c r="C740" s="35"/>
      <c r="D740" s="35"/>
      <c r="E740" s="35"/>
      <c r="F740" s="35"/>
      <c r="G740" s="35"/>
      <c r="H740" s="35"/>
      <c r="I740" s="35"/>
      <c r="J740" s="35"/>
      <c r="K740" s="35"/>
      <c r="L740" s="35"/>
      <c r="M740" s="35"/>
      <c r="N740" s="35"/>
      <c r="O740" s="35"/>
      <c r="P740" s="35"/>
      <c r="Q740" s="35"/>
      <c r="R740" s="36"/>
    </row>
    <row r="741" spans="1:18" s="14" customFormat="1" ht="71.25">
      <c r="A741" s="265" t="s">
        <v>650</v>
      </c>
      <c r="B741" s="343" t="s">
        <v>651</v>
      </c>
      <c r="C741" s="343"/>
      <c r="D741" s="179">
        <v>230016000</v>
      </c>
      <c r="E741" s="208">
        <v>2001</v>
      </c>
      <c r="F741" s="180">
        <f>D741/(VLOOKUP(E741,$D$929:$E$961,2,FALSE))</f>
        <v>804.25174825174827</v>
      </c>
      <c r="G741" s="209">
        <v>1</v>
      </c>
      <c r="H741" s="180">
        <f>F741*G741</f>
        <v>804.25174825174827</v>
      </c>
      <c r="I741" s="210">
        <v>37020</v>
      </c>
      <c r="J741" s="211" t="s">
        <v>275</v>
      </c>
      <c r="K741" s="213" t="s">
        <v>275</v>
      </c>
      <c r="L741" s="212">
        <f>IF(K741="CUMPLE",H741,0)</f>
        <v>804.25174825174827</v>
      </c>
      <c r="M741" s="213" t="s">
        <v>275</v>
      </c>
      <c r="N741" s="213" t="s">
        <v>275</v>
      </c>
      <c r="O741" s="303" t="s">
        <v>275</v>
      </c>
      <c r="P741" s="239" t="s">
        <v>275</v>
      </c>
      <c r="Q741" s="239" t="s">
        <v>276</v>
      </c>
      <c r="R741" s="216" t="s">
        <v>393</v>
      </c>
    </row>
    <row r="742" spans="1:18" s="14" customFormat="1" ht="71.25">
      <c r="A742" s="266" t="s">
        <v>652</v>
      </c>
      <c r="B742" s="343" t="s">
        <v>651</v>
      </c>
      <c r="C742" s="343"/>
      <c r="D742" s="249">
        <v>528459109.60000002</v>
      </c>
      <c r="E742" s="208">
        <v>2001</v>
      </c>
      <c r="F742" s="180">
        <f>D742/(VLOOKUP(E742,$D$929:$E$961,2,FALSE))</f>
        <v>1847.7591244755245</v>
      </c>
      <c r="G742" s="215">
        <v>1</v>
      </c>
      <c r="H742" s="180">
        <f>F742*G742</f>
        <v>1847.7591244755245</v>
      </c>
      <c r="I742" s="210">
        <v>36967</v>
      </c>
      <c r="J742" s="211" t="s">
        <v>275</v>
      </c>
      <c r="K742" s="213" t="s">
        <v>275</v>
      </c>
      <c r="L742" s="212">
        <f t="shared" ref="L742:L745" si="81">IF(K742="CUMPLE",H742,0)</f>
        <v>1847.7591244755245</v>
      </c>
      <c r="M742" s="213" t="s">
        <v>275</v>
      </c>
      <c r="N742" s="213" t="s">
        <v>275</v>
      </c>
      <c r="O742" s="303" t="s">
        <v>275</v>
      </c>
      <c r="P742" s="239" t="s">
        <v>275</v>
      </c>
      <c r="Q742" s="239" t="s">
        <v>275</v>
      </c>
      <c r="R742" s="267"/>
    </row>
    <row r="743" spans="1:18" s="14" customFormat="1" ht="99.75">
      <c r="A743" s="266" t="s">
        <v>653</v>
      </c>
      <c r="B743" s="343" t="s">
        <v>429</v>
      </c>
      <c r="C743" s="356"/>
      <c r="D743" s="179">
        <v>1342685234</v>
      </c>
      <c r="E743" s="208">
        <v>2011</v>
      </c>
      <c r="F743" s="180">
        <f>D743/(VLOOKUP(E743,$D$929:$E$961,2,FALSE))</f>
        <v>2506.8805713218821</v>
      </c>
      <c r="G743" s="215">
        <v>1</v>
      </c>
      <c r="H743" s="180">
        <f>F743*G743</f>
        <v>2506.8805713218821</v>
      </c>
      <c r="I743" s="210">
        <v>40908</v>
      </c>
      <c r="J743" s="211" t="s">
        <v>275</v>
      </c>
      <c r="K743" s="213" t="s">
        <v>275</v>
      </c>
      <c r="L743" s="212">
        <f t="shared" si="81"/>
        <v>2506.8805713218821</v>
      </c>
      <c r="M743" s="213" t="s">
        <v>275</v>
      </c>
      <c r="N743" s="213" t="s">
        <v>275</v>
      </c>
      <c r="O743" s="303" t="s">
        <v>275</v>
      </c>
      <c r="P743" s="239" t="s">
        <v>275</v>
      </c>
      <c r="Q743" s="239" t="s">
        <v>276</v>
      </c>
      <c r="R743" s="293" t="s">
        <v>393</v>
      </c>
    </row>
    <row r="744" spans="1:18">
      <c r="A744" s="225" t="str">
        <f>VLOOKUP(A733,'LISTA DE OFERENTES'!$A$4:$F$65,6,FALSE)</f>
        <v xml:space="preserve">PROYECTOS VIALES SAS </v>
      </c>
      <c r="B744" s="226"/>
      <c r="C744" s="226"/>
      <c r="D744" s="226"/>
      <c r="E744" s="226"/>
      <c r="F744" s="226"/>
      <c r="G744" s="228"/>
      <c r="H744" s="226"/>
      <c r="I744" s="226"/>
      <c r="J744" s="226"/>
      <c r="K744" s="226"/>
      <c r="L744" s="226"/>
      <c r="M744" s="226"/>
      <c r="N744" s="226"/>
      <c r="O744" s="226"/>
      <c r="P744" s="226"/>
      <c r="Q744" s="226"/>
      <c r="R744" s="227"/>
    </row>
    <row r="745" spans="1:18" s="14" customFormat="1" ht="71.25">
      <c r="A745" s="265" t="s">
        <v>654</v>
      </c>
      <c r="B745" s="343" t="s">
        <v>655</v>
      </c>
      <c r="C745" s="343"/>
      <c r="D745" s="179">
        <v>3001648615</v>
      </c>
      <c r="E745" s="208">
        <v>2018</v>
      </c>
      <c r="F745" s="180">
        <f>D745/(VLOOKUP(E745,$D$929:$E$961,2,FALSE))</f>
        <v>3842.1495708116049</v>
      </c>
      <c r="G745" s="209">
        <v>0.1</v>
      </c>
      <c r="H745" s="180">
        <f>F745*G745</f>
        <v>384.21495708116049</v>
      </c>
      <c r="I745" s="210">
        <v>43284</v>
      </c>
      <c r="J745" s="211" t="s">
        <v>275</v>
      </c>
      <c r="K745" s="213" t="s">
        <v>275</v>
      </c>
      <c r="L745" s="212">
        <f t="shared" si="81"/>
        <v>384.21495708116049</v>
      </c>
      <c r="M745" s="213" t="s">
        <v>275</v>
      </c>
      <c r="N745" s="213" t="s">
        <v>275</v>
      </c>
      <c r="O745" s="303" t="s">
        <v>276</v>
      </c>
      <c r="P745" s="239" t="s">
        <v>275</v>
      </c>
      <c r="Q745" s="239" t="s">
        <v>276</v>
      </c>
      <c r="R745" s="216" t="s">
        <v>393</v>
      </c>
    </row>
    <row r="746" spans="1:18" s="14" customFormat="1" ht="48" customHeight="1" thickBot="1">
      <c r="A746" s="346" t="s">
        <v>284</v>
      </c>
      <c r="B746" s="346"/>
      <c r="C746" s="346"/>
      <c r="D746" s="346"/>
      <c r="E746" s="346"/>
      <c r="F746" s="45">
        <f>+SUM(F741:F745)</f>
        <v>9001.0410148607607</v>
      </c>
      <c r="G746" s="45"/>
      <c r="H746" s="45">
        <f>+SUM(H741:H745)</f>
        <v>5543.106401130316</v>
      </c>
      <c r="I746" s="359"/>
      <c r="J746" s="360"/>
      <c r="K746" s="196"/>
      <c r="L746" s="196"/>
      <c r="M746" s="196"/>
      <c r="N746" s="196"/>
      <c r="O746" s="196"/>
      <c r="P746" s="304"/>
      <c r="Q746" s="304"/>
      <c r="R746" s="37" t="s">
        <v>275</v>
      </c>
    </row>
    <row r="747" spans="1:18" ht="16.5" thickBot="1">
      <c r="A747" s="3"/>
      <c r="B747" s="3"/>
      <c r="C747" s="3"/>
      <c r="D747" s="3"/>
      <c r="E747" s="3"/>
      <c r="F747" s="3"/>
      <c r="G747" s="3"/>
      <c r="H747" s="3"/>
      <c r="I747" s="3"/>
      <c r="J747" s="3"/>
      <c r="K747" s="3"/>
      <c r="L747" s="3"/>
      <c r="M747" s="3"/>
      <c r="N747" s="3"/>
      <c r="O747" s="4"/>
      <c r="P747" s="4"/>
      <c r="Q747" s="4"/>
      <c r="R747" s="4"/>
    </row>
    <row r="748" spans="1:18" ht="30.75" customHeight="1" thickBot="1">
      <c r="A748" s="347">
        <f>1+A733</f>
        <v>53</v>
      </c>
      <c r="B748" s="347"/>
      <c r="C748" s="347"/>
      <c r="D748" s="347"/>
      <c r="E748" s="361" t="str">
        <f>VLOOKUP(A748,'REQUISITOS HAB. TECNICOS'!$A$5:$B$66,2,FALSE)</f>
        <v xml:space="preserve"> CONSORCIO VIAS FONTIBON PC</v>
      </c>
      <c r="F748" s="361"/>
      <c r="G748" s="361"/>
      <c r="H748" s="361"/>
      <c r="I748" s="361"/>
      <c r="J748" s="361"/>
      <c r="K748" s="361"/>
      <c r="L748" s="361"/>
      <c r="M748" s="361"/>
      <c r="N748" s="361"/>
      <c r="O748" s="361"/>
      <c r="P748" s="361"/>
      <c r="Q748" s="361"/>
      <c r="R748" s="361"/>
    </row>
    <row r="749" spans="1:18" ht="50.25" customHeight="1" thickBot="1">
      <c r="A749" s="11" t="s">
        <v>247</v>
      </c>
      <c r="B749" s="76">
        <v>4</v>
      </c>
      <c r="C749" s="288" t="s">
        <v>248</v>
      </c>
      <c r="D749" s="344">
        <f>$D$899</f>
        <v>618.89671538461539</v>
      </c>
      <c r="E749" s="361"/>
      <c r="F749" s="361"/>
      <c r="G749" s="361"/>
      <c r="H749" s="361"/>
      <c r="I749" s="361"/>
      <c r="J749" s="361"/>
      <c r="K749" s="361"/>
      <c r="L749" s="361"/>
      <c r="M749" s="361"/>
      <c r="N749" s="361"/>
      <c r="O749" s="361"/>
      <c r="P749" s="361"/>
      <c r="Q749" s="361"/>
      <c r="R749" s="361"/>
    </row>
    <row r="750" spans="1:18" ht="23.25" customHeight="1" thickBot="1">
      <c r="A750" s="348" t="s">
        <v>249</v>
      </c>
      <c r="B750" s="348"/>
      <c r="C750" s="289">
        <f>+AVERAGE(H756:H760)</f>
        <v>1040.3561411958831</v>
      </c>
      <c r="D750" s="345"/>
      <c r="E750" s="361"/>
      <c r="F750" s="361"/>
      <c r="G750" s="361"/>
      <c r="H750" s="361"/>
      <c r="I750" s="361"/>
      <c r="J750" s="361"/>
      <c r="K750" s="361"/>
      <c r="L750" s="361"/>
      <c r="M750" s="361"/>
      <c r="N750" s="361"/>
      <c r="O750" s="361"/>
      <c r="P750" s="361"/>
      <c r="Q750" s="361"/>
      <c r="R750" s="361"/>
    </row>
    <row r="751" spans="1:18" ht="23.25" customHeight="1" thickBot="1">
      <c r="A751" s="349" t="s">
        <v>250</v>
      </c>
      <c r="B751" s="349"/>
      <c r="C751" s="350">
        <v>45631</v>
      </c>
      <c r="D751" s="350"/>
      <c r="E751" s="361"/>
      <c r="F751" s="361"/>
      <c r="G751" s="361"/>
      <c r="H751" s="361"/>
      <c r="I751" s="361"/>
      <c r="J751" s="361"/>
      <c r="K751" s="361"/>
      <c r="L751" s="361"/>
      <c r="M751" s="361"/>
      <c r="N751" s="361"/>
      <c r="O751" s="361"/>
      <c r="P751" s="361"/>
      <c r="Q751" s="361"/>
      <c r="R751" s="361"/>
    </row>
    <row r="752" spans="1:18" ht="38.25" customHeight="1" thickBot="1">
      <c r="A752" s="351" t="s">
        <v>251</v>
      </c>
      <c r="B752" s="351"/>
      <c r="C752" s="352" t="str">
        <f>+IF(H761&gt;D749,"CUMPLE","NO CUMPLE")</f>
        <v>CUMPLE</v>
      </c>
      <c r="D752" s="352"/>
      <c r="E752" s="361"/>
      <c r="F752" s="361"/>
      <c r="G752" s="361"/>
      <c r="H752" s="361"/>
      <c r="I752" s="361"/>
      <c r="J752" s="361"/>
      <c r="K752" s="361"/>
      <c r="L752" s="361"/>
      <c r="M752" s="361"/>
      <c r="N752" s="361"/>
      <c r="O752" s="361"/>
      <c r="P752" s="361"/>
      <c r="Q752" s="361"/>
      <c r="R752" s="361"/>
    </row>
    <row r="753" spans="1:18" ht="87.75" customHeight="1" thickBot="1">
      <c r="A753" s="353" t="s">
        <v>252</v>
      </c>
      <c r="B753" s="353"/>
      <c r="C753" s="353"/>
      <c r="D753" s="353"/>
      <c r="E753" s="353"/>
      <c r="F753" s="353"/>
      <c r="G753" s="311"/>
      <c r="H753" s="311"/>
      <c r="I753" s="143" t="s">
        <v>253</v>
      </c>
      <c r="J753" s="305" t="s">
        <v>254</v>
      </c>
      <c r="K753" s="363" t="s">
        <v>255</v>
      </c>
      <c r="L753" s="364"/>
      <c r="M753" s="357" t="s">
        <v>256</v>
      </c>
      <c r="N753" s="357" t="s">
        <v>257</v>
      </c>
      <c r="O753" s="357" t="s">
        <v>258</v>
      </c>
      <c r="P753" s="357" t="s">
        <v>259</v>
      </c>
      <c r="Q753" s="357" t="s">
        <v>260</v>
      </c>
      <c r="R753" s="362" t="s">
        <v>261</v>
      </c>
    </row>
    <row r="754" spans="1:18" ht="77.25" customHeight="1">
      <c r="A754" s="144" t="s">
        <v>262</v>
      </c>
      <c r="B754" s="354" t="s">
        <v>263</v>
      </c>
      <c r="C754" s="354"/>
      <c r="D754" s="145" t="s">
        <v>264</v>
      </c>
      <c r="E754" s="145" t="s">
        <v>265</v>
      </c>
      <c r="F754" s="145" t="s">
        <v>266</v>
      </c>
      <c r="G754" s="146" t="s">
        <v>267</v>
      </c>
      <c r="H754" s="146" t="s">
        <v>268</v>
      </c>
      <c r="I754" s="147" t="s">
        <v>269</v>
      </c>
      <c r="J754" s="147" t="s">
        <v>270</v>
      </c>
      <c r="K754" s="198" t="s">
        <v>271</v>
      </c>
      <c r="L754" s="198" t="s">
        <v>272</v>
      </c>
      <c r="M754" s="358"/>
      <c r="N754" s="358"/>
      <c r="O754" s="358"/>
      <c r="P754" s="358"/>
      <c r="Q754" s="358"/>
      <c r="R754" s="362"/>
    </row>
    <row r="755" spans="1:18">
      <c r="A755" s="173" t="str">
        <f>VLOOKUP(A748,'LISTA DE OFERENTES'!$A$4:$F$65,5,FALSE)</f>
        <v>PROYECTOS TECNICOS DE 
COLOMBIA S.A.S</v>
      </c>
      <c r="B755" s="35"/>
      <c r="C755" s="35"/>
      <c r="D755" s="35"/>
      <c r="E755" s="35"/>
      <c r="F755" s="35"/>
      <c r="G755" s="35"/>
      <c r="H755" s="35"/>
      <c r="I755" s="35"/>
      <c r="J755" s="35"/>
      <c r="K755" s="35"/>
      <c r="L755" s="35"/>
      <c r="M755" s="35"/>
      <c r="N755" s="35"/>
      <c r="O755" s="35"/>
      <c r="P755" s="35"/>
      <c r="Q755" s="35"/>
      <c r="R755" s="36"/>
    </row>
    <row r="756" spans="1:18" s="14" customFormat="1" ht="90">
      <c r="A756" s="207" t="s">
        <v>656</v>
      </c>
      <c r="B756" s="343" t="s">
        <v>657</v>
      </c>
      <c r="C756" s="343"/>
      <c r="D756" s="179">
        <v>788012916</v>
      </c>
      <c r="E756" s="208">
        <v>2017</v>
      </c>
      <c r="F756" s="180">
        <f>D756/(VLOOKUP(E756,$D$929:$E$961,2,FALSE))</f>
        <v>1068.1777917548329</v>
      </c>
      <c r="G756" s="209">
        <v>0.3</v>
      </c>
      <c r="H756" s="180">
        <f t="shared" ref="H756:H760" si="82">F756*G756</f>
        <v>320.45333752644984</v>
      </c>
      <c r="I756" s="210">
        <v>42816</v>
      </c>
      <c r="J756" s="211" t="s">
        <v>275</v>
      </c>
      <c r="K756" s="211" t="s">
        <v>275</v>
      </c>
      <c r="L756" s="212">
        <f>IF(K756="CUMPLE",H756,0)</f>
        <v>320.45333752644984</v>
      </c>
      <c r="M756" s="213" t="s">
        <v>275</v>
      </c>
      <c r="N756" s="213" t="s">
        <v>275</v>
      </c>
      <c r="O756" s="303" t="s">
        <v>276</v>
      </c>
      <c r="P756" s="239" t="s">
        <v>275</v>
      </c>
      <c r="Q756" s="239" t="s">
        <v>276</v>
      </c>
      <c r="R756" s="216" t="s">
        <v>393</v>
      </c>
    </row>
    <row r="757" spans="1:18" s="14" customFormat="1" ht="60">
      <c r="A757" s="214" t="s">
        <v>658</v>
      </c>
      <c r="B757" s="343" t="s">
        <v>659</v>
      </c>
      <c r="C757" s="343"/>
      <c r="D757" s="179">
        <v>1870822800</v>
      </c>
      <c r="E757" s="208">
        <v>2019</v>
      </c>
      <c r="F757" s="180">
        <f>D757/(VLOOKUP(E757,$D$929:$E$961,2,FALSE))</f>
        <v>2259.1313294272782</v>
      </c>
      <c r="G757" s="215">
        <v>0.5</v>
      </c>
      <c r="H757" s="180">
        <f t="shared" si="82"/>
        <v>1129.5656647136391</v>
      </c>
      <c r="I757" s="210">
        <v>43514</v>
      </c>
      <c r="J757" s="211" t="s">
        <v>275</v>
      </c>
      <c r="K757" s="211" t="s">
        <v>275</v>
      </c>
      <c r="L757" s="212">
        <f t="shared" ref="L757:L760" si="83">IF(K757="CUMPLE",H757,0)</f>
        <v>1129.5656647136391</v>
      </c>
      <c r="M757" s="213" t="s">
        <v>275</v>
      </c>
      <c r="N757" s="213" t="s">
        <v>275</v>
      </c>
      <c r="O757" s="303" t="s">
        <v>275</v>
      </c>
      <c r="P757" s="239" t="s">
        <v>275</v>
      </c>
      <c r="Q757" s="239" t="s">
        <v>276</v>
      </c>
      <c r="R757" s="216" t="s">
        <v>393</v>
      </c>
    </row>
    <row r="758" spans="1:18" s="14" customFormat="1" ht="60">
      <c r="A758" s="214" t="s">
        <v>658</v>
      </c>
      <c r="B758" s="343" t="s">
        <v>660</v>
      </c>
      <c r="C758" s="343"/>
      <c r="D758" s="179">
        <f>1413196400+145091171+217636756.05+145091171</f>
        <v>1921015498.05</v>
      </c>
      <c r="E758" s="208">
        <v>2021</v>
      </c>
      <c r="F758" s="180">
        <f>D758/(VLOOKUP(E758,$D$929:$E$961,2,FALSE))</f>
        <v>2114.4309552505929</v>
      </c>
      <c r="G758" s="215">
        <v>0.3</v>
      </c>
      <c r="H758" s="180">
        <f t="shared" si="82"/>
        <v>634.32928657517789</v>
      </c>
      <c r="I758" s="210">
        <v>44453</v>
      </c>
      <c r="J758" s="211" t="s">
        <v>275</v>
      </c>
      <c r="K758" s="211" t="s">
        <v>275</v>
      </c>
      <c r="L758" s="212">
        <f t="shared" si="83"/>
        <v>634.32928657517789</v>
      </c>
      <c r="M758" s="213" t="s">
        <v>275</v>
      </c>
      <c r="N758" s="213" t="s">
        <v>275</v>
      </c>
      <c r="O758" s="303" t="s">
        <v>275</v>
      </c>
      <c r="P758" s="239" t="s">
        <v>275</v>
      </c>
      <c r="Q758" s="239" t="s">
        <v>275</v>
      </c>
      <c r="R758" s="216"/>
    </row>
    <row r="759" spans="1:18">
      <c r="A759" s="268" t="str">
        <f>'LISTA DE OFERENTES'!F56</f>
        <v xml:space="preserve">COMPAÑÍA TECNICA DE 
INGENIERIA S.A.S </v>
      </c>
      <c r="B759" s="226"/>
      <c r="C759" s="226"/>
      <c r="D759" s="226"/>
      <c r="E759" s="226"/>
      <c r="F759" s="226"/>
      <c r="G759" s="226"/>
      <c r="H759" s="226"/>
      <c r="I759" s="226"/>
      <c r="J759" s="226"/>
      <c r="K759" s="226"/>
      <c r="L759" s="226"/>
      <c r="M759" s="226"/>
      <c r="N759" s="226"/>
      <c r="O759" s="226"/>
      <c r="P759" s="226"/>
      <c r="Q759" s="226"/>
      <c r="R759" s="227"/>
    </row>
    <row r="760" spans="1:18" s="14" customFormat="1" ht="195">
      <c r="A760" s="207" t="s">
        <v>661</v>
      </c>
      <c r="B760" s="343" t="s">
        <v>662</v>
      </c>
      <c r="C760" s="343"/>
      <c r="D760" s="179">
        <v>5408997413.3000002</v>
      </c>
      <c r="E760" s="208">
        <v>2018</v>
      </c>
      <c r="F760" s="180">
        <f>D760/(VLOOKUP(E760,$D$929:$E$961,2,FALSE))</f>
        <v>6923.5875865608868</v>
      </c>
      <c r="G760" s="209">
        <v>0.3</v>
      </c>
      <c r="H760" s="180">
        <f t="shared" si="82"/>
        <v>2077.0762759682661</v>
      </c>
      <c r="I760" s="210">
        <v>43368</v>
      </c>
      <c r="J760" s="211" t="s">
        <v>275</v>
      </c>
      <c r="K760" s="211" t="s">
        <v>275</v>
      </c>
      <c r="L760" s="212">
        <f t="shared" si="83"/>
        <v>2077.0762759682661</v>
      </c>
      <c r="M760" s="213" t="s">
        <v>275</v>
      </c>
      <c r="N760" s="213" t="s">
        <v>275</v>
      </c>
      <c r="O760" s="303" t="s">
        <v>275</v>
      </c>
      <c r="P760" s="239" t="s">
        <v>275</v>
      </c>
      <c r="Q760" s="239" t="s">
        <v>275</v>
      </c>
      <c r="R760" s="216"/>
    </row>
    <row r="761" spans="1:18" s="14" customFormat="1" ht="48" customHeight="1" thickBot="1">
      <c r="A761" s="346" t="s">
        <v>284</v>
      </c>
      <c r="B761" s="346"/>
      <c r="C761" s="346"/>
      <c r="D761" s="346"/>
      <c r="E761" s="346"/>
      <c r="F761" s="45">
        <f>+SUM(F756:F760)</f>
        <v>12365.32766299359</v>
      </c>
      <c r="G761" s="45"/>
      <c r="H761" s="45">
        <f>+SUM(H756:H760)</f>
        <v>4161.4245647835323</v>
      </c>
      <c r="I761" s="359"/>
      <c r="J761" s="360"/>
      <c r="K761" s="196"/>
      <c r="L761" s="196"/>
      <c r="M761" s="196"/>
      <c r="N761" s="196"/>
      <c r="O761" s="196"/>
      <c r="P761" s="304"/>
      <c r="Q761" s="304"/>
      <c r="R761" s="37" t="s">
        <v>275</v>
      </c>
    </row>
    <row r="762" spans="1:18" ht="16.5" thickBot="1">
      <c r="A762" s="3"/>
      <c r="B762" s="3"/>
      <c r="C762" s="3"/>
      <c r="D762" s="3"/>
      <c r="E762" s="3"/>
      <c r="F762" s="3"/>
      <c r="G762" s="3"/>
      <c r="H762" s="3"/>
      <c r="I762" s="3"/>
      <c r="J762" s="3"/>
      <c r="K762" s="3"/>
      <c r="L762" s="3"/>
      <c r="M762" s="3"/>
      <c r="N762" s="3"/>
      <c r="O762" s="4"/>
      <c r="P762" s="4"/>
      <c r="Q762" s="4"/>
      <c r="R762" s="4"/>
    </row>
    <row r="763" spans="1:18" ht="30.75" customHeight="1" thickBot="1">
      <c r="A763" s="347">
        <f>1+A748</f>
        <v>54</v>
      </c>
      <c r="B763" s="347"/>
      <c r="C763" s="347"/>
      <c r="D763" s="347"/>
      <c r="E763" s="361" t="str">
        <f>VLOOKUP(A763,'REQUISITOS HAB. TECNICOS'!$A$5:$B$66,2,FALSE)</f>
        <v>CONSORCIO  MALLA VIAL FDLF</v>
      </c>
      <c r="F763" s="361"/>
      <c r="G763" s="361"/>
      <c r="H763" s="361"/>
      <c r="I763" s="361"/>
      <c r="J763" s="361"/>
      <c r="K763" s="361"/>
      <c r="L763" s="361"/>
      <c r="M763" s="361"/>
      <c r="N763" s="361"/>
      <c r="O763" s="361"/>
      <c r="P763" s="361"/>
      <c r="Q763" s="361"/>
      <c r="R763" s="361"/>
    </row>
    <row r="764" spans="1:18" ht="50.25" customHeight="1" thickBot="1">
      <c r="A764" s="11" t="s">
        <v>247</v>
      </c>
      <c r="B764" s="76">
        <v>7</v>
      </c>
      <c r="C764" s="288" t="s">
        <v>248</v>
      </c>
      <c r="D764" s="344">
        <f>$D$899</f>
        <v>618.89671538461539</v>
      </c>
      <c r="E764" s="361"/>
      <c r="F764" s="361"/>
      <c r="G764" s="361"/>
      <c r="H764" s="361"/>
      <c r="I764" s="361"/>
      <c r="J764" s="361"/>
      <c r="K764" s="361"/>
      <c r="L764" s="361"/>
      <c r="M764" s="361"/>
      <c r="N764" s="361"/>
      <c r="O764" s="361"/>
      <c r="P764" s="361"/>
      <c r="Q764" s="361"/>
      <c r="R764" s="361"/>
    </row>
    <row r="765" spans="1:18" ht="23.25" customHeight="1" thickBot="1">
      <c r="A765" s="348" t="s">
        <v>249</v>
      </c>
      <c r="B765" s="348"/>
      <c r="C765" s="289">
        <f>+AVERAGE(H771:H778)</f>
        <v>832.62047460899282</v>
      </c>
      <c r="D765" s="345"/>
      <c r="E765" s="361"/>
      <c r="F765" s="361"/>
      <c r="G765" s="361"/>
      <c r="H765" s="361"/>
      <c r="I765" s="361"/>
      <c r="J765" s="361"/>
      <c r="K765" s="361"/>
      <c r="L765" s="361"/>
      <c r="M765" s="361"/>
      <c r="N765" s="361"/>
      <c r="O765" s="361"/>
      <c r="P765" s="361"/>
      <c r="Q765" s="361"/>
      <c r="R765" s="361"/>
    </row>
    <row r="766" spans="1:18" ht="23.25" customHeight="1" thickBot="1">
      <c r="A766" s="349" t="s">
        <v>250</v>
      </c>
      <c r="B766" s="349"/>
      <c r="C766" s="350">
        <v>45631</v>
      </c>
      <c r="D766" s="350"/>
      <c r="E766" s="361"/>
      <c r="F766" s="361"/>
      <c r="G766" s="361"/>
      <c r="H766" s="361"/>
      <c r="I766" s="361"/>
      <c r="J766" s="361"/>
      <c r="K766" s="361"/>
      <c r="L766" s="361"/>
      <c r="M766" s="361"/>
      <c r="N766" s="361"/>
      <c r="O766" s="361"/>
      <c r="P766" s="361"/>
      <c r="Q766" s="361"/>
      <c r="R766" s="361"/>
    </row>
    <row r="767" spans="1:18" ht="38.25" customHeight="1" thickBot="1">
      <c r="A767" s="351" t="s">
        <v>251</v>
      </c>
      <c r="B767" s="351"/>
      <c r="C767" s="352" t="str">
        <f>+IF(H779&gt;D764,"CUMPLE","NO CUMPLE")</f>
        <v>CUMPLE</v>
      </c>
      <c r="D767" s="352"/>
      <c r="E767" s="361"/>
      <c r="F767" s="361"/>
      <c r="G767" s="361"/>
      <c r="H767" s="361"/>
      <c r="I767" s="361"/>
      <c r="J767" s="361"/>
      <c r="K767" s="361"/>
      <c r="L767" s="361"/>
      <c r="M767" s="361"/>
      <c r="N767" s="361"/>
      <c r="O767" s="361"/>
      <c r="P767" s="361"/>
      <c r="Q767" s="361"/>
      <c r="R767" s="361"/>
    </row>
    <row r="768" spans="1:18" ht="85.5" customHeight="1" thickBot="1">
      <c r="A768" s="353" t="s">
        <v>252</v>
      </c>
      <c r="B768" s="353"/>
      <c r="C768" s="353"/>
      <c r="D768" s="353"/>
      <c r="E768" s="353"/>
      <c r="F768" s="353"/>
      <c r="G768" s="311"/>
      <c r="H768" s="311"/>
      <c r="I768" s="143" t="s">
        <v>253</v>
      </c>
      <c r="J768" s="305" t="s">
        <v>254</v>
      </c>
      <c r="K768" s="363" t="s">
        <v>255</v>
      </c>
      <c r="L768" s="364"/>
      <c r="M768" s="357" t="s">
        <v>256</v>
      </c>
      <c r="N768" s="357" t="s">
        <v>257</v>
      </c>
      <c r="O768" s="357" t="s">
        <v>258</v>
      </c>
      <c r="P768" s="357" t="s">
        <v>259</v>
      </c>
      <c r="Q768" s="357" t="s">
        <v>260</v>
      </c>
      <c r="R768" s="362" t="s">
        <v>261</v>
      </c>
    </row>
    <row r="769" spans="1:18" ht="77.25" customHeight="1">
      <c r="A769" s="144" t="s">
        <v>262</v>
      </c>
      <c r="B769" s="354" t="s">
        <v>263</v>
      </c>
      <c r="C769" s="354"/>
      <c r="D769" s="145" t="s">
        <v>264</v>
      </c>
      <c r="E769" s="145" t="s">
        <v>265</v>
      </c>
      <c r="F769" s="145" t="s">
        <v>266</v>
      </c>
      <c r="G769" s="146" t="s">
        <v>267</v>
      </c>
      <c r="H769" s="146" t="s">
        <v>268</v>
      </c>
      <c r="I769" s="147" t="s">
        <v>269</v>
      </c>
      <c r="J769" s="147" t="s">
        <v>270</v>
      </c>
      <c r="K769" s="198" t="s">
        <v>271</v>
      </c>
      <c r="L769" s="198" t="s">
        <v>272</v>
      </c>
      <c r="M769" s="358"/>
      <c r="N769" s="358"/>
      <c r="O769" s="358"/>
      <c r="P769" s="358"/>
      <c r="Q769" s="358"/>
      <c r="R769" s="362"/>
    </row>
    <row r="770" spans="1:18">
      <c r="A770" s="34" t="str">
        <f>VLOOKUP(A763,'LISTA DE OFERENTES'!$A$4:$F$65,5,FALSE)</f>
        <v>INPROTEKTO LIMITADA N (90%)</v>
      </c>
      <c r="B770" s="35"/>
      <c r="C770" s="35"/>
      <c r="D770" s="35"/>
      <c r="E770" s="35"/>
      <c r="F770" s="35"/>
      <c r="G770" s="35"/>
      <c r="H770" s="35"/>
      <c r="I770" s="35"/>
      <c r="J770" s="35"/>
      <c r="K770" s="35"/>
      <c r="L770" s="35"/>
      <c r="M770" s="35"/>
      <c r="N770" s="35"/>
      <c r="O770" s="35"/>
      <c r="P770" s="35"/>
      <c r="Q770" s="35"/>
      <c r="R770" s="36"/>
    </row>
    <row r="771" spans="1:18" s="14" customFormat="1" ht="75">
      <c r="A771" s="207" t="s">
        <v>663</v>
      </c>
      <c r="B771" s="343" t="s">
        <v>451</v>
      </c>
      <c r="C771" s="343"/>
      <c r="D771" s="179">
        <v>3263327284</v>
      </c>
      <c r="E771" s="208">
        <v>2009</v>
      </c>
      <c r="F771" s="180">
        <f>D771/(VLOOKUP(E771,$D$929:$E$961,2,FALSE))</f>
        <v>6567.3722761118934</v>
      </c>
      <c r="G771" s="209">
        <v>0.33</v>
      </c>
      <c r="H771" s="180">
        <f>F771*G771</f>
        <v>2167.2328511169248</v>
      </c>
      <c r="I771" s="210">
        <v>40008</v>
      </c>
      <c r="J771" s="213" t="s">
        <v>275</v>
      </c>
      <c r="K771" s="213" t="s">
        <v>275</v>
      </c>
      <c r="L771" s="212">
        <f>IF(K771="CUMPLE",H771,0)</f>
        <v>2167.2328511169248</v>
      </c>
      <c r="M771" s="213" t="s">
        <v>275</v>
      </c>
      <c r="N771" s="213" t="s">
        <v>275</v>
      </c>
      <c r="O771" s="303" t="s">
        <v>275</v>
      </c>
      <c r="P771" s="239" t="s">
        <v>275</v>
      </c>
      <c r="Q771" s="239" t="s">
        <v>276</v>
      </c>
      <c r="R771" s="241" t="s">
        <v>393</v>
      </c>
    </row>
    <row r="772" spans="1:18" s="14" customFormat="1" ht="60" customHeight="1">
      <c r="A772" s="214" t="s">
        <v>664</v>
      </c>
      <c r="B772" s="343" t="s">
        <v>451</v>
      </c>
      <c r="C772" s="343"/>
      <c r="D772" s="179">
        <v>488637331</v>
      </c>
      <c r="E772" s="208">
        <v>2002</v>
      </c>
      <c r="F772" s="180">
        <f>D772/(VLOOKUP(E772,$D$929:$E$961,2,FALSE))</f>
        <v>1581.3505857605178</v>
      </c>
      <c r="G772" s="215">
        <v>0.5</v>
      </c>
      <c r="H772" s="180">
        <f t="shared" ref="H772:H774" si="84">F772*G772</f>
        <v>790.67529288025889</v>
      </c>
      <c r="I772" s="210">
        <v>37404</v>
      </c>
      <c r="J772" s="213" t="s">
        <v>275</v>
      </c>
      <c r="K772" s="213" t="s">
        <v>275</v>
      </c>
      <c r="L772" s="212">
        <f t="shared" ref="L772:L778" si="85">IF(K772="CUMPLE",H772,0)</f>
        <v>790.67529288025889</v>
      </c>
      <c r="M772" s="213" t="s">
        <v>275</v>
      </c>
      <c r="N772" s="213" t="s">
        <v>275</v>
      </c>
      <c r="O772" s="303" t="s">
        <v>275</v>
      </c>
      <c r="P772" s="239" t="s">
        <v>275</v>
      </c>
      <c r="Q772" s="239" t="s">
        <v>276</v>
      </c>
      <c r="R772" s="241" t="s">
        <v>393</v>
      </c>
    </row>
    <row r="773" spans="1:18" s="14" customFormat="1" ht="60" customHeight="1">
      <c r="A773" s="214" t="s">
        <v>665</v>
      </c>
      <c r="B773" s="343" t="s">
        <v>451</v>
      </c>
      <c r="C773" s="343"/>
      <c r="D773" s="179">
        <v>153550000</v>
      </c>
      <c r="E773" s="208">
        <v>2002</v>
      </c>
      <c r="F773" s="180">
        <f>D773/(VLOOKUP(E773,$D$929:$E$961,2,FALSE))</f>
        <v>496.92556634304208</v>
      </c>
      <c r="G773" s="215">
        <v>1</v>
      </c>
      <c r="H773" s="180">
        <f t="shared" si="84"/>
        <v>496.92556634304208</v>
      </c>
      <c r="I773" s="210">
        <v>37512</v>
      </c>
      <c r="J773" s="213" t="s">
        <v>275</v>
      </c>
      <c r="K773" s="213" t="s">
        <v>275</v>
      </c>
      <c r="L773" s="212">
        <f t="shared" si="85"/>
        <v>496.92556634304208</v>
      </c>
      <c r="M773" s="213" t="s">
        <v>275</v>
      </c>
      <c r="N773" s="213" t="s">
        <v>275</v>
      </c>
      <c r="O773" s="303" t="s">
        <v>275</v>
      </c>
      <c r="P773" s="239" t="s">
        <v>275</v>
      </c>
      <c r="Q773" s="239" t="s">
        <v>276</v>
      </c>
      <c r="R773" s="241" t="s">
        <v>393</v>
      </c>
    </row>
    <row r="774" spans="1:18" s="14" customFormat="1" ht="45">
      <c r="A774" s="214" t="s">
        <v>666</v>
      </c>
      <c r="B774" s="343" t="s">
        <v>667</v>
      </c>
      <c r="C774" s="343"/>
      <c r="D774" s="179">
        <v>41000000.25</v>
      </c>
      <c r="E774" s="208">
        <v>1998</v>
      </c>
      <c r="F774" s="180">
        <f>D774/(VLOOKUP(E774,$D$929:$E$961,2,FALSE))</f>
        <v>201.15196417532601</v>
      </c>
      <c r="G774" s="215">
        <v>1</v>
      </c>
      <c r="H774" s="180">
        <f t="shared" si="84"/>
        <v>201.15196417532601</v>
      </c>
      <c r="I774" s="210">
        <v>36002</v>
      </c>
      <c r="J774" s="213" t="s">
        <v>275</v>
      </c>
      <c r="K774" s="213" t="s">
        <v>275</v>
      </c>
      <c r="L774" s="212">
        <f t="shared" si="85"/>
        <v>201.15196417532601</v>
      </c>
      <c r="M774" s="213" t="s">
        <v>275</v>
      </c>
      <c r="N774" s="213" t="s">
        <v>275</v>
      </c>
      <c r="O774" s="303" t="s">
        <v>275</v>
      </c>
      <c r="P774" s="239" t="s">
        <v>275</v>
      </c>
      <c r="Q774" s="239" t="s">
        <v>276</v>
      </c>
      <c r="R774" s="241" t="s">
        <v>393</v>
      </c>
    </row>
    <row r="775" spans="1:18" s="14" customFormat="1" ht="75" customHeight="1">
      <c r="A775" s="214" t="s">
        <v>668</v>
      </c>
      <c r="B775" s="343" t="s">
        <v>669</v>
      </c>
      <c r="C775" s="343"/>
      <c r="D775" s="179">
        <v>206903613</v>
      </c>
      <c r="E775" s="208">
        <v>2006</v>
      </c>
      <c r="F775" s="180">
        <f>D775/(VLOOKUP(E775,$D$929:$E$961,2,FALSE))</f>
        <v>507.11669852941179</v>
      </c>
      <c r="G775" s="215">
        <v>1</v>
      </c>
      <c r="H775" s="180">
        <f>F775*G775</f>
        <v>507.11669852941179</v>
      </c>
      <c r="I775" s="210">
        <v>38947</v>
      </c>
      <c r="J775" s="213" t="s">
        <v>275</v>
      </c>
      <c r="K775" s="213" t="s">
        <v>275</v>
      </c>
      <c r="L775" s="212">
        <f t="shared" si="85"/>
        <v>507.11669852941179</v>
      </c>
      <c r="M775" s="213" t="s">
        <v>275</v>
      </c>
      <c r="N775" s="213" t="s">
        <v>275</v>
      </c>
      <c r="O775" s="303" t="s">
        <v>275</v>
      </c>
      <c r="P775" s="239" t="s">
        <v>275</v>
      </c>
      <c r="Q775" s="239" t="s">
        <v>275</v>
      </c>
      <c r="R775" s="241"/>
    </row>
    <row r="776" spans="1:18">
      <c r="A776" s="36" t="str">
        <f>VLOOKUP(A763,'LISTA DE OFERENTES'!$A$4:$F$65,6,FALSE)</f>
        <v>BRAIN INGENIERÍA VIAL S.A.S. (10%)</v>
      </c>
      <c r="B776" s="36"/>
      <c r="C776" s="36"/>
      <c r="D776" s="36"/>
      <c r="E776" s="36"/>
      <c r="F776" s="36"/>
      <c r="G776" s="36"/>
      <c r="H776" s="36"/>
      <c r="I776" s="36"/>
      <c r="J776" s="36"/>
      <c r="K776" s="36"/>
      <c r="L776" s="36"/>
      <c r="M776" s="36"/>
      <c r="N776" s="36"/>
      <c r="O776" s="36"/>
      <c r="P776" s="36"/>
      <c r="Q776" s="35"/>
      <c r="R776" s="187"/>
    </row>
    <row r="777" spans="1:18" s="14" customFormat="1" ht="93" customHeight="1">
      <c r="A777" s="207" t="s">
        <v>670</v>
      </c>
      <c r="B777" s="343" t="s">
        <v>671</v>
      </c>
      <c r="C777" s="343"/>
      <c r="D777" s="179">
        <v>5591107630</v>
      </c>
      <c r="E777" s="208">
        <v>2024</v>
      </c>
      <c r="F777" s="180">
        <f>D777/(VLOOKUP(E777,$D$929:$E$962,2,FALSE))</f>
        <v>4300.8520230769227</v>
      </c>
      <c r="G777" s="209">
        <v>0.1</v>
      </c>
      <c r="H777" s="180"/>
      <c r="I777" s="210">
        <v>45382</v>
      </c>
      <c r="J777" s="213" t="s">
        <v>275</v>
      </c>
      <c r="K777" s="239" t="s">
        <v>276</v>
      </c>
      <c r="L777" s="212">
        <f t="shared" si="85"/>
        <v>0</v>
      </c>
      <c r="M777" s="303" t="s">
        <v>276</v>
      </c>
      <c r="N777" s="303" t="s">
        <v>276</v>
      </c>
      <c r="O777" s="303" t="s">
        <v>276</v>
      </c>
      <c r="P777" s="303" t="s">
        <v>276</v>
      </c>
      <c r="Q777" s="303" t="s">
        <v>276</v>
      </c>
      <c r="R777" s="241" t="s">
        <v>672</v>
      </c>
    </row>
    <row r="778" spans="1:18" s="14" customFormat="1" ht="75">
      <c r="A778" s="207" t="s">
        <v>673</v>
      </c>
      <c r="B778" s="343" t="s">
        <v>671</v>
      </c>
      <c r="C778" s="343"/>
      <c r="D778" s="179">
        <v>4569576370</v>
      </c>
      <c r="E778" s="208">
        <v>2024</v>
      </c>
      <c r="F778" s="180">
        <f>D778/(VLOOKUP(E778,$D$929:$E$962,2,FALSE))</f>
        <v>3515.0587461538462</v>
      </c>
      <c r="G778" s="209">
        <v>0.25</v>
      </c>
      <c r="H778" s="180"/>
      <c r="I778" s="210">
        <v>45445</v>
      </c>
      <c r="J778" s="213" t="s">
        <v>275</v>
      </c>
      <c r="K778" s="239" t="s">
        <v>276</v>
      </c>
      <c r="L778" s="212">
        <f t="shared" si="85"/>
        <v>0</v>
      </c>
      <c r="M778" s="303" t="s">
        <v>276</v>
      </c>
      <c r="N778" s="303" t="s">
        <v>276</v>
      </c>
      <c r="O778" s="303" t="s">
        <v>276</v>
      </c>
      <c r="P778" s="303" t="s">
        <v>276</v>
      </c>
      <c r="Q778" s="303" t="s">
        <v>276</v>
      </c>
      <c r="R778" s="241" t="s">
        <v>674</v>
      </c>
    </row>
    <row r="779" spans="1:18" s="14" customFormat="1" ht="48" customHeight="1">
      <c r="A779" s="346" t="s">
        <v>284</v>
      </c>
      <c r="B779" s="346"/>
      <c r="C779" s="346"/>
      <c r="D779" s="346"/>
      <c r="E779" s="346"/>
      <c r="F779" s="45">
        <f>+SUM(F771:F778)</f>
        <v>17169.827860150959</v>
      </c>
      <c r="G779" s="45"/>
      <c r="H779" s="45">
        <f>+SUM(H771:H778)</f>
        <v>4163.1023730449642</v>
      </c>
      <c r="I779" s="359"/>
      <c r="J779" s="360"/>
      <c r="K779" s="196"/>
      <c r="L779" s="196"/>
      <c r="M779" s="196"/>
      <c r="N779" s="196"/>
      <c r="O779" s="196"/>
      <c r="P779" s="304"/>
      <c r="Q779" s="304"/>
      <c r="R779" s="37" t="s">
        <v>275</v>
      </c>
    </row>
    <row r="780" spans="1:18">
      <c r="A780" s="3"/>
      <c r="B780" s="3"/>
      <c r="C780" s="3"/>
      <c r="D780" s="3"/>
      <c r="E780" s="3"/>
      <c r="F780" s="3"/>
      <c r="G780" s="3"/>
      <c r="H780" s="3"/>
      <c r="I780" s="3"/>
      <c r="J780" s="3"/>
      <c r="K780" s="3"/>
      <c r="L780" s="3"/>
      <c r="M780" s="3"/>
      <c r="N780" s="3"/>
      <c r="O780" s="4"/>
      <c r="P780" s="4"/>
      <c r="Q780" s="4"/>
      <c r="R780" s="4"/>
    </row>
    <row r="781" spans="1:18" ht="30.75" customHeight="1" thickBot="1">
      <c r="A781" s="347">
        <f>1+A763</f>
        <v>55</v>
      </c>
      <c r="B781" s="347"/>
      <c r="C781" s="347"/>
      <c r="D781" s="347"/>
      <c r="E781" s="361" t="str">
        <f>VLOOKUP(A781,'REQUISITOS HAB. TECNICOS'!$A$5:$B$66,2,FALSE)</f>
        <v>CONSORCIO INTER FONTIBON</v>
      </c>
      <c r="F781" s="361"/>
      <c r="G781" s="361"/>
      <c r="H781" s="361"/>
      <c r="I781" s="361"/>
      <c r="J781" s="361"/>
      <c r="K781" s="361"/>
      <c r="L781" s="361"/>
      <c r="M781" s="361"/>
      <c r="N781" s="361"/>
      <c r="O781" s="361"/>
      <c r="P781" s="361"/>
      <c r="Q781" s="361"/>
      <c r="R781" s="361"/>
    </row>
    <row r="782" spans="1:18" ht="50.25" customHeight="1" thickBot="1">
      <c r="A782" s="11" t="s">
        <v>247</v>
      </c>
      <c r="B782" s="76">
        <v>5</v>
      </c>
      <c r="C782" s="288" t="s">
        <v>248</v>
      </c>
      <c r="D782" s="344">
        <f>$D$899</f>
        <v>618.89671538461539</v>
      </c>
      <c r="E782" s="361"/>
      <c r="F782" s="361"/>
      <c r="G782" s="361"/>
      <c r="H782" s="361"/>
      <c r="I782" s="361"/>
      <c r="J782" s="361"/>
      <c r="K782" s="361"/>
      <c r="L782" s="361"/>
      <c r="M782" s="361"/>
      <c r="N782" s="361"/>
      <c r="O782" s="361"/>
      <c r="P782" s="361"/>
      <c r="Q782" s="361"/>
      <c r="R782" s="361"/>
    </row>
    <row r="783" spans="1:18" ht="23.25" customHeight="1" thickBot="1">
      <c r="A783" s="348" t="s">
        <v>249</v>
      </c>
      <c r="B783" s="348"/>
      <c r="C783" s="289">
        <f>+AVERAGE(H789:H794)</f>
        <v>1600.3383759045232</v>
      </c>
      <c r="D783" s="345"/>
      <c r="E783" s="361"/>
      <c r="F783" s="361"/>
      <c r="G783" s="361"/>
      <c r="H783" s="361"/>
      <c r="I783" s="361"/>
      <c r="J783" s="361"/>
      <c r="K783" s="361"/>
      <c r="L783" s="361"/>
      <c r="M783" s="361"/>
      <c r="N783" s="361"/>
      <c r="O783" s="361"/>
      <c r="P783" s="361"/>
      <c r="Q783" s="361"/>
      <c r="R783" s="361"/>
    </row>
    <row r="784" spans="1:18" ht="23.25" customHeight="1" thickBot="1">
      <c r="A784" s="349" t="s">
        <v>250</v>
      </c>
      <c r="B784" s="349"/>
      <c r="C784" s="350">
        <v>45631</v>
      </c>
      <c r="D784" s="350"/>
      <c r="E784" s="361"/>
      <c r="F784" s="361"/>
      <c r="G784" s="361"/>
      <c r="H784" s="361"/>
      <c r="I784" s="361"/>
      <c r="J784" s="361"/>
      <c r="K784" s="361"/>
      <c r="L784" s="361"/>
      <c r="M784" s="361"/>
      <c r="N784" s="361"/>
      <c r="O784" s="361"/>
      <c r="P784" s="361"/>
      <c r="Q784" s="361"/>
      <c r="R784" s="361"/>
    </row>
    <row r="785" spans="1:18" ht="38.25" customHeight="1" thickBot="1">
      <c r="A785" s="351" t="s">
        <v>251</v>
      </c>
      <c r="B785" s="351"/>
      <c r="C785" s="352" t="str">
        <f>+IF(H795&gt;D782,"CUMPLE","NO CUMPLE")</f>
        <v>CUMPLE</v>
      </c>
      <c r="D785" s="352"/>
      <c r="E785" s="361"/>
      <c r="F785" s="361"/>
      <c r="G785" s="361"/>
      <c r="H785" s="361"/>
      <c r="I785" s="361"/>
      <c r="J785" s="361"/>
      <c r="K785" s="361"/>
      <c r="L785" s="361"/>
      <c r="M785" s="361"/>
      <c r="N785" s="361"/>
      <c r="O785" s="361"/>
      <c r="P785" s="361"/>
      <c r="Q785" s="361"/>
      <c r="R785" s="361"/>
    </row>
    <row r="786" spans="1:18" ht="87.75" customHeight="1" thickBot="1">
      <c r="A786" s="353" t="s">
        <v>252</v>
      </c>
      <c r="B786" s="353"/>
      <c r="C786" s="353"/>
      <c r="D786" s="353"/>
      <c r="E786" s="353"/>
      <c r="F786" s="353"/>
      <c r="G786" s="311"/>
      <c r="H786" s="311"/>
      <c r="I786" s="143" t="s">
        <v>253</v>
      </c>
      <c r="J786" s="305" t="s">
        <v>254</v>
      </c>
      <c r="K786" s="363" t="s">
        <v>255</v>
      </c>
      <c r="L786" s="364"/>
      <c r="M786" s="357" t="s">
        <v>256</v>
      </c>
      <c r="N786" s="357" t="s">
        <v>257</v>
      </c>
      <c r="O786" s="357" t="s">
        <v>258</v>
      </c>
      <c r="P786" s="357" t="s">
        <v>259</v>
      </c>
      <c r="Q786" s="357" t="s">
        <v>260</v>
      </c>
      <c r="R786" s="362" t="s">
        <v>261</v>
      </c>
    </row>
    <row r="787" spans="1:18" ht="77.25" customHeight="1">
      <c r="A787" s="144" t="s">
        <v>262</v>
      </c>
      <c r="B787" s="354" t="s">
        <v>263</v>
      </c>
      <c r="C787" s="354"/>
      <c r="D787" s="145" t="s">
        <v>264</v>
      </c>
      <c r="E787" s="145" t="s">
        <v>265</v>
      </c>
      <c r="F787" s="145" t="s">
        <v>266</v>
      </c>
      <c r="G787" s="146" t="s">
        <v>267</v>
      </c>
      <c r="H787" s="146" t="s">
        <v>268</v>
      </c>
      <c r="I787" s="147" t="s">
        <v>269</v>
      </c>
      <c r="J787" s="147" t="s">
        <v>270</v>
      </c>
      <c r="K787" s="198" t="s">
        <v>271</v>
      </c>
      <c r="L787" s="198" t="s">
        <v>272</v>
      </c>
      <c r="M787" s="358"/>
      <c r="N787" s="358"/>
      <c r="O787" s="358"/>
      <c r="P787" s="358"/>
      <c r="Q787" s="358"/>
      <c r="R787" s="362"/>
    </row>
    <row r="788" spans="1:18">
      <c r="A788" s="34" t="str">
        <f>VLOOKUP(A781,'LISTA DE OFERENTES'!$A$4:$F$65,5,FALSE)</f>
        <v xml:space="preserve">INGE PR SAS </v>
      </c>
      <c r="B788" s="35"/>
      <c r="C788" s="35"/>
      <c r="D788" s="35"/>
      <c r="E788" s="35"/>
      <c r="F788" s="35"/>
      <c r="G788" s="35"/>
      <c r="H788" s="35"/>
      <c r="I788" s="35"/>
      <c r="J788" s="35"/>
      <c r="K788" s="35"/>
      <c r="L788" s="35"/>
      <c r="M788" s="35"/>
      <c r="N788" s="35"/>
      <c r="O788" s="35"/>
      <c r="P788" s="35"/>
      <c r="Q788" s="35"/>
      <c r="R788" s="36"/>
    </row>
    <row r="789" spans="1:18" s="14" customFormat="1" ht="105">
      <c r="A789" s="207" t="s">
        <v>675</v>
      </c>
      <c r="B789" s="343" t="s">
        <v>676</v>
      </c>
      <c r="C789" s="343"/>
      <c r="D789" s="179">
        <v>2481637126</v>
      </c>
      <c r="E789" s="208">
        <v>2019</v>
      </c>
      <c r="F789" s="180">
        <f>D789/(VLOOKUP(E789,$D$929:$E$961,2,FALSE))</f>
        <v>2996.7264561969578</v>
      </c>
      <c r="G789" s="209">
        <v>0.1</v>
      </c>
      <c r="H789" s="180"/>
      <c r="I789" s="210">
        <v>43519</v>
      </c>
      <c r="J789" s="213" t="s">
        <v>275</v>
      </c>
      <c r="K789" s="211" t="s">
        <v>276</v>
      </c>
      <c r="L789" s="212">
        <f>IF(K789="CUMPLE",H789,0)</f>
        <v>0</v>
      </c>
      <c r="M789" s="213" t="s">
        <v>276</v>
      </c>
      <c r="N789" s="213" t="s">
        <v>276</v>
      </c>
      <c r="O789" s="213" t="s">
        <v>276</v>
      </c>
      <c r="P789" s="213" t="s">
        <v>276</v>
      </c>
      <c r="Q789" s="213" t="s">
        <v>276</v>
      </c>
      <c r="R789" s="216" t="s">
        <v>677</v>
      </c>
    </row>
    <row r="790" spans="1:18" s="14" customFormat="1" ht="105">
      <c r="A790" s="214" t="s">
        <v>678</v>
      </c>
      <c r="B790" s="343" t="s">
        <v>679</v>
      </c>
      <c r="C790" s="343"/>
      <c r="D790" s="179">
        <v>38500400</v>
      </c>
      <c r="E790" s="208">
        <v>2014</v>
      </c>
      <c r="F790" s="180">
        <f>D790/(VLOOKUP(E790,$D$929:$E$961,2,FALSE))</f>
        <v>62.500649350649354</v>
      </c>
      <c r="G790" s="215">
        <v>0.5</v>
      </c>
      <c r="H790" s="180">
        <f>F790*G790</f>
        <v>31.250324675324677</v>
      </c>
      <c r="I790" s="210">
        <v>42003</v>
      </c>
      <c r="J790" s="213" t="s">
        <v>275</v>
      </c>
      <c r="K790" s="213" t="s">
        <v>275</v>
      </c>
      <c r="L790" s="212">
        <f t="shared" ref="L790:L794" si="86">IF(K790="CUMPLE",H790,0)</f>
        <v>31.250324675324677</v>
      </c>
      <c r="M790" s="213" t="s">
        <v>275</v>
      </c>
      <c r="N790" s="213" t="s">
        <v>275</v>
      </c>
      <c r="O790" s="303" t="s">
        <v>276</v>
      </c>
      <c r="P790" s="239" t="s">
        <v>275</v>
      </c>
      <c r="Q790" s="239" t="s">
        <v>276</v>
      </c>
      <c r="R790" s="216" t="s">
        <v>393</v>
      </c>
    </row>
    <row r="791" spans="1:18" ht="31.5">
      <c r="A791" s="36" t="str">
        <f>VLOOKUP(A781,'LISTA DE OFERENTES'!$A$4:$F$65,6,FALSE)</f>
        <v xml:space="preserve">INTERVENTORIA Y 
GESTION INTERGES SAS </v>
      </c>
      <c r="B791" s="36"/>
      <c r="C791" s="36"/>
      <c r="D791" s="36"/>
      <c r="E791" s="36"/>
      <c r="F791" s="36"/>
      <c r="G791" s="36"/>
      <c r="H791" s="36"/>
      <c r="I791" s="36"/>
      <c r="J791" s="36"/>
      <c r="K791" s="36"/>
      <c r="L791" s="36"/>
      <c r="M791" s="36"/>
      <c r="N791" s="36"/>
      <c r="O791" s="36"/>
      <c r="P791" s="36"/>
      <c r="Q791" s="36"/>
      <c r="R791" s="36"/>
    </row>
    <row r="792" spans="1:18" s="14" customFormat="1" ht="60">
      <c r="A792" s="207" t="s">
        <v>680</v>
      </c>
      <c r="B792" s="343" t="s">
        <v>681</v>
      </c>
      <c r="C792" s="343"/>
      <c r="D792" s="179">
        <v>813900760</v>
      </c>
      <c r="E792" s="208">
        <v>2013</v>
      </c>
      <c r="F792" s="180">
        <f>D792/(VLOOKUP(E792,$D$929:$E$961,2,FALSE))</f>
        <v>1380.6628668363019</v>
      </c>
      <c r="G792" s="209">
        <v>1</v>
      </c>
      <c r="H792" s="180">
        <f>F792*G792</f>
        <v>1380.6628668363019</v>
      </c>
      <c r="I792" s="210">
        <v>41552</v>
      </c>
      <c r="J792" s="213" t="s">
        <v>275</v>
      </c>
      <c r="K792" s="213" t="s">
        <v>275</v>
      </c>
      <c r="L792" s="212">
        <f t="shared" si="86"/>
        <v>1380.6628668363019</v>
      </c>
      <c r="M792" s="213" t="s">
        <v>682</v>
      </c>
      <c r="N792" s="213" t="s">
        <v>275</v>
      </c>
      <c r="O792" s="303" t="s">
        <v>275</v>
      </c>
      <c r="P792" s="239" t="s">
        <v>275</v>
      </c>
      <c r="Q792" s="239" t="s">
        <v>276</v>
      </c>
      <c r="R792" s="216" t="s">
        <v>393</v>
      </c>
    </row>
    <row r="793" spans="1:18" s="14" customFormat="1" ht="90">
      <c r="A793" s="207" t="s">
        <v>683</v>
      </c>
      <c r="B793" s="343" t="s">
        <v>684</v>
      </c>
      <c r="C793" s="343"/>
      <c r="D793" s="179">
        <v>1046806272</v>
      </c>
      <c r="E793" s="208">
        <v>2018</v>
      </c>
      <c r="F793" s="180">
        <f>D793/(VLOOKUP(E793,$D$929:$E$961,2,FALSE))</f>
        <v>1339.9257489996698</v>
      </c>
      <c r="G793" s="209">
        <v>1</v>
      </c>
      <c r="H793" s="180">
        <f>F793*G793</f>
        <v>1339.9257489996698</v>
      </c>
      <c r="I793" s="210">
        <v>43300</v>
      </c>
      <c r="J793" s="213" t="s">
        <v>275</v>
      </c>
      <c r="K793" s="213" t="s">
        <v>275</v>
      </c>
      <c r="L793" s="212">
        <f t="shared" si="86"/>
        <v>1339.9257489996698</v>
      </c>
      <c r="M793" s="213" t="s">
        <v>275</v>
      </c>
      <c r="N793" s="213" t="s">
        <v>275</v>
      </c>
      <c r="O793" s="303" t="s">
        <v>276</v>
      </c>
      <c r="P793" s="239" t="s">
        <v>275</v>
      </c>
      <c r="Q793" s="239" t="s">
        <v>276</v>
      </c>
      <c r="R793" s="216" t="s">
        <v>393</v>
      </c>
    </row>
    <row r="794" spans="1:18" s="14" customFormat="1" ht="75">
      <c r="A794" s="207" t="s">
        <v>685</v>
      </c>
      <c r="B794" s="343" t="s">
        <v>686</v>
      </c>
      <c r="C794" s="343"/>
      <c r="D794" s="179">
        <v>1879500000</v>
      </c>
      <c r="E794" s="208">
        <v>2010</v>
      </c>
      <c r="F794" s="180">
        <f>D794/(VLOOKUP(E794,$D$929:$E$961,2,FALSE))</f>
        <v>3649.5145631067962</v>
      </c>
      <c r="G794" s="209">
        <v>1</v>
      </c>
      <c r="H794" s="180">
        <f>F794*G794</f>
        <v>3649.5145631067962</v>
      </c>
      <c r="I794" s="210">
        <v>40374</v>
      </c>
      <c r="J794" s="213" t="s">
        <v>275</v>
      </c>
      <c r="K794" s="213" t="s">
        <v>275</v>
      </c>
      <c r="L794" s="212">
        <f t="shared" si="86"/>
        <v>3649.5145631067962</v>
      </c>
      <c r="M794" s="213" t="s">
        <v>275</v>
      </c>
      <c r="N794" s="213" t="s">
        <v>275</v>
      </c>
      <c r="O794" s="303" t="s">
        <v>275</v>
      </c>
      <c r="P794" s="239" t="s">
        <v>275</v>
      </c>
      <c r="Q794" s="239" t="s">
        <v>276</v>
      </c>
      <c r="R794" s="216" t="s">
        <v>393</v>
      </c>
    </row>
    <row r="795" spans="1:18" s="14" customFormat="1" ht="48" customHeight="1" thickBot="1">
      <c r="A795" s="346" t="s">
        <v>284</v>
      </c>
      <c r="B795" s="346"/>
      <c r="C795" s="346"/>
      <c r="D795" s="346"/>
      <c r="E795" s="346"/>
      <c r="F795" s="45">
        <f>+SUM(F789:F794)</f>
        <v>9429.3302844903756</v>
      </c>
      <c r="G795" s="45"/>
      <c r="H795" s="45">
        <f>+SUM(H789:H794)</f>
        <v>6401.3535036180929</v>
      </c>
      <c r="I795" s="359"/>
      <c r="J795" s="360"/>
      <c r="K795" s="196"/>
      <c r="L795" s="196"/>
      <c r="M795" s="196"/>
      <c r="N795" s="196"/>
      <c r="O795" s="196"/>
      <c r="P795" s="304"/>
      <c r="Q795" s="304"/>
      <c r="R795" s="37" t="s">
        <v>276</v>
      </c>
    </row>
    <row r="796" spans="1:18" ht="16.5" thickBot="1">
      <c r="A796" s="3"/>
      <c r="B796" s="3"/>
      <c r="C796" s="3"/>
      <c r="D796" s="3"/>
      <c r="E796" s="3"/>
      <c r="F796" s="3"/>
      <c r="G796" s="3"/>
      <c r="H796" s="3"/>
      <c r="I796" s="3"/>
      <c r="J796" s="3"/>
      <c r="K796" s="3"/>
      <c r="L796" s="3"/>
      <c r="M796" s="3"/>
      <c r="N796" s="3"/>
      <c r="O796" s="4"/>
      <c r="P796" s="4"/>
      <c r="Q796" s="4"/>
      <c r="R796" s="4"/>
    </row>
    <row r="797" spans="1:18" ht="30.75" customHeight="1" thickBot="1">
      <c r="A797" s="347">
        <f>1+A781</f>
        <v>56</v>
      </c>
      <c r="B797" s="347"/>
      <c r="C797" s="347"/>
      <c r="D797" s="347"/>
      <c r="E797" s="361" t="str">
        <f>VLOOKUP(A797,'REQUISITOS HAB. TECNICOS'!$A$5:$B$66,2,FALSE)</f>
        <v>CONSORCIO VIAS IC 2024</v>
      </c>
      <c r="F797" s="361"/>
      <c r="G797" s="361"/>
      <c r="H797" s="361"/>
      <c r="I797" s="361"/>
      <c r="J797" s="361"/>
      <c r="K797" s="361"/>
      <c r="L797" s="361"/>
      <c r="M797" s="361"/>
      <c r="N797" s="361"/>
      <c r="O797" s="361"/>
      <c r="P797" s="361"/>
      <c r="Q797" s="361"/>
      <c r="R797" s="361"/>
    </row>
    <row r="798" spans="1:18" ht="50.25" customHeight="1" thickBot="1">
      <c r="A798" s="11" t="s">
        <v>247</v>
      </c>
      <c r="B798" s="76">
        <v>3</v>
      </c>
      <c r="C798" s="288" t="s">
        <v>248</v>
      </c>
      <c r="D798" s="344">
        <f>$D$899</f>
        <v>618.89671538461539</v>
      </c>
      <c r="E798" s="361"/>
      <c r="F798" s="361"/>
      <c r="G798" s="361"/>
      <c r="H798" s="361"/>
      <c r="I798" s="361"/>
      <c r="J798" s="361"/>
      <c r="K798" s="361"/>
      <c r="L798" s="361"/>
      <c r="M798" s="361"/>
      <c r="N798" s="361"/>
      <c r="O798" s="361"/>
      <c r="P798" s="361"/>
      <c r="Q798" s="361"/>
      <c r="R798" s="361"/>
    </row>
    <row r="799" spans="1:18" ht="23.25" customHeight="1" thickBot="1">
      <c r="A799" s="348" t="s">
        <v>249</v>
      </c>
      <c r="B799" s="348"/>
      <c r="C799" s="289">
        <f>+AVERAGE(H805:H808)</f>
        <v>1362.2831385367208</v>
      </c>
      <c r="D799" s="345"/>
      <c r="E799" s="361"/>
      <c r="F799" s="361"/>
      <c r="G799" s="361"/>
      <c r="H799" s="361"/>
      <c r="I799" s="361"/>
      <c r="J799" s="361"/>
      <c r="K799" s="361"/>
      <c r="L799" s="361"/>
      <c r="M799" s="361"/>
      <c r="N799" s="361"/>
      <c r="O799" s="361"/>
      <c r="P799" s="361"/>
      <c r="Q799" s="361"/>
      <c r="R799" s="361"/>
    </row>
    <row r="800" spans="1:18" ht="23.25" customHeight="1" thickBot="1">
      <c r="A800" s="349" t="s">
        <v>250</v>
      </c>
      <c r="B800" s="349"/>
      <c r="C800" s="350">
        <v>45631</v>
      </c>
      <c r="D800" s="350"/>
      <c r="E800" s="361"/>
      <c r="F800" s="361"/>
      <c r="G800" s="361"/>
      <c r="H800" s="361"/>
      <c r="I800" s="361"/>
      <c r="J800" s="361"/>
      <c r="K800" s="361"/>
      <c r="L800" s="361"/>
      <c r="M800" s="361"/>
      <c r="N800" s="361"/>
      <c r="O800" s="361"/>
      <c r="P800" s="361"/>
      <c r="Q800" s="361"/>
      <c r="R800" s="361"/>
    </row>
    <row r="801" spans="1:18" ht="38.25" customHeight="1" thickBot="1">
      <c r="A801" s="351" t="s">
        <v>251</v>
      </c>
      <c r="B801" s="351"/>
      <c r="C801" s="352" t="str">
        <f>+IF(H809&gt;D798,"CUMPLE","NO CUMPLE")</f>
        <v>CUMPLE</v>
      </c>
      <c r="D801" s="352"/>
      <c r="E801" s="361"/>
      <c r="F801" s="361"/>
      <c r="G801" s="361"/>
      <c r="H801" s="361"/>
      <c r="I801" s="361"/>
      <c r="J801" s="361"/>
      <c r="K801" s="361"/>
      <c r="L801" s="361"/>
      <c r="M801" s="361"/>
      <c r="N801" s="361"/>
      <c r="O801" s="361"/>
      <c r="P801" s="361"/>
      <c r="Q801" s="361"/>
      <c r="R801" s="361"/>
    </row>
    <row r="802" spans="1:18" ht="86.25" customHeight="1" thickBot="1">
      <c r="A802" s="353" t="s">
        <v>252</v>
      </c>
      <c r="B802" s="353"/>
      <c r="C802" s="353"/>
      <c r="D802" s="353"/>
      <c r="E802" s="353"/>
      <c r="F802" s="353"/>
      <c r="G802" s="311"/>
      <c r="H802" s="311"/>
      <c r="I802" s="143" t="s">
        <v>253</v>
      </c>
      <c r="J802" s="305" t="s">
        <v>254</v>
      </c>
      <c r="K802" s="363" t="s">
        <v>255</v>
      </c>
      <c r="L802" s="364"/>
      <c r="M802" s="357" t="s">
        <v>256</v>
      </c>
      <c r="N802" s="357" t="s">
        <v>257</v>
      </c>
      <c r="O802" s="357" t="s">
        <v>258</v>
      </c>
      <c r="P802" s="357" t="s">
        <v>259</v>
      </c>
      <c r="Q802" s="357" t="s">
        <v>260</v>
      </c>
      <c r="R802" s="362" t="s">
        <v>261</v>
      </c>
    </row>
    <row r="803" spans="1:18" ht="77.25" customHeight="1">
      <c r="A803" s="144" t="s">
        <v>262</v>
      </c>
      <c r="B803" s="354" t="s">
        <v>263</v>
      </c>
      <c r="C803" s="354"/>
      <c r="D803" s="145" t="s">
        <v>264</v>
      </c>
      <c r="E803" s="145" t="s">
        <v>265</v>
      </c>
      <c r="F803" s="145" t="s">
        <v>266</v>
      </c>
      <c r="G803" s="146" t="s">
        <v>267</v>
      </c>
      <c r="H803" s="146" t="s">
        <v>268</v>
      </c>
      <c r="I803" s="147" t="s">
        <v>269</v>
      </c>
      <c r="J803" s="147" t="s">
        <v>270</v>
      </c>
      <c r="K803" s="198" t="s">
        <v>271</v>
      </c>
      <c r="L803" s="198" t="s">
        <v>272</v>
      </c>
      <c r="M803" s="358"/>
      <c r="N803" s="358"/>
      <c r="O803" s="358"/>
      <c r="P803" s="358"/>
      <c r="Q803" s="358"/>
      <c r="R803" s="362"/>
    </row>
    <row r="804" spans="1:18">
      <c r="A804" s="34" t="str">
        <f>VLOOKUP(A797,'LISTA DE OFERENTES'!$A$4:$F$65,5,FALSE)</f>
        <v xml:space="preserve">CAYCO S.A.S </v>
      </c>
      <c r="B804" s="35"/>
      <c r="C804" s="35"/>
      <c r="D804" s="35"/>
      <c r="E804" s="35"/>
      <c r="F804" s="35"/>
      <c r="G804" s="35"/>
      <c r="H804" s="35"/>
      <c r="I804" s="35"/>
      <c r="J804" s="35"/>
      <c r="K804" s="35"/>
      <c r="L804" s="35"/>
      <c r="M804" s="35"/>
      <c r="N804" s="35"/>
      <c r="O804" s="35"/>
      <c r="P804" s="35"/>
      <c r="Q804" s="35"/>
      <c r="R804" s="36"/>
    </row>
    <row r="805" spans="1:18" s="14" customFormat="1" ht="90">
      <c r="A805" s="207" t="s">
        <v>687</v>
      </c>
      <c r="B805" s="343" t="s">
        <v>377</v>
      </c>
      <c r="C805" s="343"/>
      <c r="D805" s="179">
        <v>531887693</v>
      </c>
      <c r="E805" s="208">
        <v>2007</v>
      </c>
      <c r="F805" s="180">
        <f>D805/(VLOOKUP(E805,$D$929:$E$961,2,FALSE))</f>
        <v>1226.3954184920451</v>
      </c>
      <c r="G805" s="209">
        <v>0.1</v>
      </c>
      <c r="H805" s="180">
        <f t="shared" ref="H805:H808" si="87">F805*G805</f>
        <v>122.63954184920452</v>
      </c>
      <c r="I805" s="210">
        <v>39218</v>
      </c>
      <c r="J805" s="211" t="s">
        <v>275</v>
      </c>
      <c r="K805" s="211" t="s">
        <v>275</v>
      </c>
      <c r="L805" s="212">
        <f>IF(K805="CUMPLE",H805,0)</f>
        <v>122.63954184920452</v>
      </c>
      <c r="M805" s="213" t="s">
        <v>275</v>
      </c>
      <c r="N805" s="213" t="s">
        <v>275</v>
      </c>
      <c r="O805" s="303" t="s">
        <v>275</v>
      </c>
      <c r="P805" s="239" t="s">
        <v>275</v>
      </c>
      <c r="Q805" s="239" t="s">
        <v>275</v>
      </c>
      <c r="R805" s="216"/>
    </row>
    <row r="806" spans="1:18" s="14" customFormat="1" ht="135">
      <c r="A806" s="207" t="s">
        <v>688</v>
      </c>
      <c r="B806" s="343" t="s">
        <v>377</v>
      </c>
      <c r="C806" s="343"/>
      <c r="D806" s="179">
        <v>19784751256</v>
      </c>
      <c r="E806" s="208">
        <v>2012</v>
      </c>
      <c r="F806" s="180">
        <f>D806/(VLOOKUP(E806,$D$929:$E$961,2,FALSE))</f>
        <v>34912.213262749246</v>
      </c>
      <c r="G806" s="215">
        <v>0.1</v>
      </c>
      <c r="H806" s="180">
        <f t="shared" si="87"/>
        <v>3491.2213262749246</v>
      </c>
      <c r="I806" s="210">
        <v>41152</v>
      </c>
      <c r="J806" s="211" t="s">
        <v>275</v>
      </c>
      <c r="K806" s="211" t="s">
        <v>275</v>
      </c>
      <c r="L806" s="212">
        <f t="shared" ref="L806:L808" si="88">IF(K806="CUMPLE",H806,0)</f>
        <v>3491.2213262749246</v>
      </c>
      <c r="M806" s="213" t="s">
        <v>275</v>
      </c>
      <c r="N806" s="213" t="s">
        <v>275</v>
      </c>
      <c r="O806" s="303" t="s">
        <v>275</v>
      </c>
      <c r="P806" s="239" t="s">
        <v>275</v>
      </c>
      <c r="Q806" s="239" t="s">
        <v>276</v>
      </c>
      <c r="R806" s="216" t="s">
        <v>393</v>
      </c>
    </row>
    <row r="807" spans="1:18">
      <c r="A807" s="258" t="str">
        <f>'LISTA DE OFERENTES'!F59</f>
        <v>INGEORBE SAS BIC</v>
      </c>
      <c r="B807" s="226"/>
      <c r="C807" s="226"/>
      <c r="D807" s="226"/>
      <c r="E807" s="226"/>
      <c r="F807" s="226"/>
      <c r="G807" s="226"/>
      <c r="H807" s="226"/>
      <c r="I807" s="226"/>
      <c r="J807" s="226"/>
      <c r="K807" s="226"/>
      <c r="L807" s="226"/>
      <c r="M807" s="226"/>
      <c r="N807" s="226"/>
      <c r="O807" s="226"/>
      <c r="P807" s="226"/>
      <c r="Q807" s="226"/>
      <c r="R807" s="227"/>
    </row>
    <row r="808" spans="1:18" s="14" customFormat="1" ht="72" customHeight="1">
      <c r="A808" s="207" t="s">
        <v>689</v>
      </c>
      <c r="B808" s="343" t="s">
        <v>377</v>
      </c>
      <c r="C808" s="343"/>
      <c r="D808" s="179">
        <v>423324750</v>
      </c>
      <c r="E808" s="208">
        <v>2004</v>
      </c>
      <c r="F808" s="180">
        <f>D808/(VLOOKUP(E808,$D$929:$E$961,2,FALSE))</f>
        <v>1182.4713687150838</v>
      </c>
      <c r="G808" s="209">
        <v>0.4</v>
      </c>
      <c r="H808" s="180">
        <f t="shared" si="87"/>
        <v>472.98854748603355</v>
      </c>
      <c r="I808" s="210">
        <v>38138</v>
      </c>
      <c r="J808" s="233" t="s">
        <v>275</v>
      </c>
      <c r="K808" s="211" t="s">
        <v>275</v>
      </c>
      <c r="L808" s="212">
        <f t="shared" si="88"/>
        <v>472.98854748603355</v>
      </c>
      <c r="M808" s="213" t="s">
        <v>275</v>
      </c>
      <c r="N808" s="213" t="s">
        <v>275</v>
      </c>
      <c r="O808" s="303" t="s">
        <v>275</v>
      </c>
      <c r="P808" s="239" t="s">
        <v>275</v>
      </c>
      <c r="Q808" s="239" t="s">
        <v>276</v>
      </c>
      <c r="R808" s="216" t="s">
        <v>393</v>
      </c>
    </row>
    <row r="809" spans="1:18" s="14" customFormat="1" ht="48" customHeight="1" thickBot="1">
      <c r="A809" s="346" t="s">
        <v>284</v>
      </c>
      <c r="B809" s="346"/>
      <c r="C809" s="346"/>
      <c r="D809" s="346"/>
      <c r="E809" s="346"/>
      <c r="F809" s="45">
        <f>+SUM(F805:F808)</f>
        <v>37321.080049956377</v>
      </c>
      <c r="G809" s="45"/>
      <c r="H809" s="45">
        <f>+SUM(H805:H808)</f>
        <v>4086.8494156101624</v>
      </c>
      <c r="I809" s="359"/>
      <c r="J809" s="360"/>
      <c r="K809" s="196"/>
      <c r="L809" s="196"/>
      <c r="M809" s="196"/>
      <c r="N809" s="196"/>
      <c r="O809" s="196"/>
      <c r="P809" s="304"/>
      <c r="Q809" s="304"/>
      <c r="R809" s="37" t="s">
        <v>275</v>
      </c>
    </row>
    <row r="810" spans="1:18" ht="16.5" thickBot="1">
      <c r="A810" s="3"/>
      <c r="B810" s="3"/>
      <c r="C810" s="3"/>
      <c r="D810" s="3"/>
      <c r="E810" s="3"/>
      <c r="F810" s="3"/>
      <c r="G810" s="3"/>
      <c r="H810" s="3"/>
      <c r="I810" s="3"/>
      <c r="J810" s="3"/>
      <c r="K810" s="3"/>
      <c r="L810" s="3"/>
      <c r="M810" s="3"/>
      <c r="N810" s="3"/>
      <c r="O810" s="4"/>
      <c r="P810" s="4"/>
      <c r="Q810" s="4"/>
      <c r="R810" s="4"/>
    </row>
    <row r="811" spans="1:18" ht="30.75" customHeight="1" thickBot="1">
      <c r="A811" s="347">
        <f>1+A797</f>
        <v>57</v>
      </c>
      <c r="B811" s="347"/>
      <c r="C811" s="347"/>
      <c r="D811" s="347"/>
      <c r="E811" s="361" t="str">
        <f>VLOOKUP(A811,'REQUISITOS HAB. TECNICOS'!$A$5:$B$66,2,FALSE)</f>
        <v>ORBITA DESARROLLO S.A.S. BIC</v>
      </c>
      <c r="F811" s="361"/>
      <c r="G811" s="361"/>
      <c r="H811" s="361"/>
      <c r="I811" s="361"/>
      <c r="J811" s="361"/>
      <c r="K811" s="361"/>
      <c r="L811" s="361"/>
      <c r="M811" s="361"/>
      <c r="N811" s="361"/>
      <c r="O811" s="361"/>
      <c r="P811" s="361"/>
      <c r="Q811" s="361"/>
      <c r="R811" s="361"/>
    </row>
    <row r="812" spans="1:18" ht="50.25" customHeight="1" thickBot="1">
      <c r="A812" s="11" t="s">
        <v>247</v>
      </c>
      <c r="B812" s="76">
        <v>5</v>
      </c>
      <c r="C812" s="288" t="s">
        <v>248</v>
      </c>
      <c r="D812" s="344">
        <f>$D$899</f>
        <v>618.89671538461539</v>
      </c>
      <c r="E812" s="361"/>
      <c r="F812" s="361"/>
      <c r="G812" s="361"/>
      <c r="H812" s="361"/>
      <c r="I812" s="361"/>
      <c r="J812" s="361"/>
      <c r="K812" s="361"/>
      <c r="L812" s="361"/>
      <c r="M812" s="361"/>
      <c r="N812" s="361"/>
      <c r="O812" s="361"/>
      <c r="P812" s="361"/>
      <c r="Q812" s="361"/>
      <c r="R812" s="361"/>
    </row>
    <row r="813" spans="1:18" ht="23.25" customHeight="1" thickBot="1">
      <c r="A813" s="348" t="s">
        <v>249</v>
      </c>
      <c r="B813" s="348"/>
      <c r="C813" s="289">
        <f>+AVERAGE(H819:H823)</f>
        <v>1140.7823754442577</v>
      </c>
      <c r="D813" s="345"/>
      <c r="E813" s="361"/>
      <c r="F813" s="361"/>
      <c r="G813" s="361"/>
      <c r="H813" s="361"/>
      <c r="I813" s="361"/>
      <c r="J813" s="361"/>
      <c r="K813" s="361"/>
      <c r="L813" s="361"/>
      <c r="M813" s="361"/>
      <c r="N813" s="361"/>
      <c r="O813" s="361"/>
      <c r="P813" s="361"/>
      <c r="Q813" s="361"/>
      <c r="R813" s="361"/>
    </row>
    <row r="814" spans="1:18" ht="23.25" customHeight="1" thickBot="1">
      <c r="A814" s="349" t="s">
        <v>250</v>
      </c>
      <c r="B814" s="349"/>
      <c r="C814" s="350">
        <v>45631</v>
      </c>
      <c r="D814" s="350"/>
      <c r="E814" s="361"/>
      <c r="F814" s="361"/>
      <c r="G814" s="361"/>
      <c r="H814" s="361"/>
      <c r="I814" s="361"/>
      <c r="J814" s="361"/>
      <c r="K814" s="361"/>
      <c r="L814" s="361"/>
      <c r="M814" s="361"/>
      <c r="N814" s="361"/>
      <c r="O814" s="361"/>
      <c r="P814" s="361"/>
      <c r="Q814" s="361"/>
      <c r="R814" s="361"/>
    </row>
    <row r="815" spans="1:18" ht="38.25" customHeight="1" thickBot="1">
      <c r="A815" s="351" t="s">
        <v>251</v>
      </c>
      <c r="B815" s="351"/>
      <c r="C815" s="352" t="str">
        <f>+IF(H824&gt;D812,"CUMPLE","NO CUMPLE")</f>
        <v>CUMPLE</v>
      </c>
      <c r="D815" s="352"/>
      <c r="E815" s="361"/>
      <c r="F815" s="361"/>
      <c r="G815" s="361"/>
      <c r="H815" s="361"/>
      <c r="I815" s="361"/>
      <c r="J815" s="361"/>
      <c r="K815" s="361"/>
      <c r="L815" s="361"/>
      <c r="M815" s="361"/>
      <c r="N815" s="361"/>
      <c r="O815" s="361"/>
      <c r="P815" s="361"/>
      <c r="Q815" s="361"/>
      <c r="R815" s="361"/>
    </row>
    <row r="816" spans="1:18" ht="85.5" customHeight="1" thickBot="1">
      <c r="A816" s="353" t="s">
        <v>252</v>
      </c>
      <c r="B816" s="353"/>
      <c r="C816" s="353"/>
      <c r="D816" s="353"/>
      <c r="E816" s="353"/>
      <c r="F816" s="353"/>
      <c r="G816" s="311"/>
      <c r="H816" s="311"/>
      <c r="I816" s="143" t="s">
        <v>253</v>
      </c>
      <c r="J816" s="305" t="s">
        <v>254</v>
      </c>
      <c r="K816" s="363" t="s">
        <v>255</v>
      </c>
      <c r="L816" s="364"/>
      <c r="M816" s="357" t="s">
        <v>256</v>
      </c>
      <c r="N816" s="357" t="s">
        <v>257</v>
      </c>
      <c r="O816" s="357" t="s">
        <v>258</v>
      </c>
      <c r="P816" s="357" t="s">
        <v>259</v>
      </c>
      <c r="Q816" s="357" t="s">
        <v>260</v>
      </c>
      <c r="R816" s="362" t="s">
        <v>261</v>
      </c>
    </row>
    <row r="817" spans="1:18" ht="77.25" customHeight="1">
      <c r="A817" s="144" t="s">
        <v>262</v>
      </c>
      <c r="B817" s="354" t="s">
        <v>263</v>
      </c>
      <c r="C817" s="354"/>
      <c r="D817" s="145" t="s">
        <v>264</v>
      </c>
      <c r="E817" s="145" t="s">
        <v>265</v>
      </c>
      <c r="F817" s="145" t="s">
        <v>266</v>
      </c>
      <c r="G817" s="146" t="s">
        <v>267</v>
      </c>
      <c r="H817" s="146" t="s">
        <v>268</v>
      </c>
      <c r="I817" s="147" t="s">
        <v>269</v>
      </c>
      <c r="J817" s="147" t="s">
        <v>270</v>
      </c>
      <c r="K817" s="198" t="s">
        <v>271</v>
      </c>
      <c r="L817" s="198" t="s">
        <v>272</v>
      </c>
      <c r="M817" s="358"/>
      <c r="N817" s="358"/>
      <c r="O817" s="358"/>
      <c r="P817" s="358"/>
      <c r="Q817" s="358"/>
      <c r="R817" s="362"/>
    </row>
    <row r="818" spans="1:18">
      <c r="A818" s="173" t="str">
        <f>'LISTA DE OFERENTES'!B60</f>
        <v>ORBITA DESARROLLO S.A.S. BIC</v>
      </c>
      <c r="B818" s="35"/>
      <c r="C818" s="35"/>
      <c r="D818" s="35"/>
      <c r="E818" s="35"/>
      <c r="F818" s="35"/>
      <c r="G818" s="35"/>
      <c r="H818" s="35"/>
      <c r="I818" s="35"/>
      <c r="J818" s="35"/>
      <c r="K818" s="35"/>
      <c r="L818" s="35"/>
      <c r="M818" s="35"/>
      <c r="N818" s="35"/>
      <c r="O818" s="35"/>
      <c r="P818" s="35"/>
      <c r="Q818" s="35"/>
      <c r="R818" s="36"/>
    </row>
    <row r="819" spans="1:18" s="14" customFormat="1" ht="75">
      <c r="A819" s="207" t="s">
        <v>690</v>
      </c>
      <c r="B819" s="343" t="s">
        <v>691</v>
      </c>
      <c r="C819" s="343"/>
      <c r="D819" s="179">
        <v>375832356</v>
      </c>
      <c r="E819" s="208">
        <v>2016</v>
      </c>
      <c r="F819" s="180">
        <f>D819/(VLOOKUP(E819,$D$929:$E$961,2,FALSE))</f>
        <v>545.11513586818569</v>
      </c>
      <c r="G819" s="209">
        <v>0.45</v>
      </c>
      <c r="H819" s="180">
        <f>F819*G819</f>
        <v>245.30181114068355</v>
      </c>
      <c r="I819" s="210">
        <v>42470</v>
      </c>
      <c r="J819" s="303" t="s">
        <v>275</v>
      </c>
      <c r="K819" s="303" t="s">
        <v>275</v>
      </c>
      <c r="L819" s="212">
        <f>IF(K819="CUMPLE",H819,0)</f>
        <v>245.30181114068355</v>
      </c>
      <c r="M819" s="213" t="s">
        <v>275</v>
      </c>
      <c r="N819" s="213" t="s">
        <v>275</v>
      </c>
      <c r="O819" s="303" t="s">
        <v>275</v>
      </c>
      <c r="P819" s="239" t="s">
        <v>275</v>
      </c>
      <c r="Q819" s="239" t="s">
        <v>276</v>
      </c>
      <c r="R819" s="216" t="s">
        <v>393</v>
      </c>
    </row>
    <row r="820" spans="1:18" s="14" customFormat="1" ht="60">
      <c r="A820" s="214" t="s">
        <v>692</v>
      </c>
      <c r="B820" s="343" t="s">
        <v>693</v>
      </c>
      <c r="C820" s="343"/>
      <c r="D820" s="179">
        <v>143944287</v>
      </c>
      <c r="E820" s="208">
        <v>2011</v>
      </c>
      <c r="F820" s="180">
        <f>D820/(VLOOKUP(E820,$D$929:$E$961,2,FALSE))</f>
        <v>268.75333644510829</v>
      </c>
      <c r="G820" s="215">
        <v>0.5</v>
      </c>
      <c r="H820" s="180">
        <f>F820*G820</f>
        <v>134.37666822255414</v>
      </c>
      <c r="I820" s="210">
        <v>40869</v>
      </c>
      <c r="J820" s="303" t="s">
        <v>275</v>
      </c>
      <c r="K820" s="303" t="s">
        <v>275</v>
      </c>
      <c r="L820" s="212">
        <f t="shared" ref="L820:L823" si="89">IF(K820="CUMPLE",H820,0)</f>
        <v>134.37666822255414</v>
      </c>
      <c r="M820" s="213" t="s">
        <v>275</v>
      </c>
      <c r="N820" s="213" t="s">
        <v>275</v>
      </c>
      <c r="O820" s="303" t="s">
        <v>276</v>
      </c>
      <c r="P820" s="239" t="s">
        <v>275</v>
      </c>
      <c r="Q820" s="239" t="s">
        <v>276</v>
      </c>
      <c r="R820" s="216" t="s">
        <v>393</v>
      </c>
    </row>
    <row r="821" spans="1:18" s="14" customFormat="1" ht="120">
      <c r="A821" s="214" t="s">
        <v>694</v>
      </c>
      <c r="B821" s="343" t="s">
        <v>695</v>
      </c>
      <c r="C821" s="343"/>
      <c r="D821" s="179">
        <v>15594542405.1</v>
      </c>
      <c r="E821" s="208">
        <v>2017</v>
      </c>
      <c r="F821" s="180">
        <f>D821/(VLOOKUP(E821,$D$929:$E$961,2,FALSE))</f>
        <v>21138.922385006717</v>
      </c>
      <c r="G821" s="215">
        <v>0.4</v>
      </c>
      <c r="H821" s="180"/>
      <c r="I821" s="210">
        <v>42962</v>
      </c>
      <c r="J821" s="303" t="s">
        <v>275</v>
      </c>
      <c r="K821" s="303" t="s">
        <v>276</v>
      </c>
      <c r="L821" s="212">
        <f t="shared" si="89"/>
        <v>0</v>
      </c>
      <c r="M821" s="303" t="s">
        <v>276</v>
      </c>
      <c r="N821" s="303" t="s">
        <v>276</v>
      </c>
      <c r="O821" s="303" t="s">
        <v>276</v>
      </c>
      <c r="P821" s="303" t="s">
        <v>276</v>
      </c>
      <c r="Q821" s="303" t="s">
        <v>276</v>
      </c>
      <c r="R821" s="216" t="s">
        <v>312</v>
      </c>
    </row>
    <row r="822" spans="1:18" s="14" customFormat="1" ht="75">
      <c r="A822" s="207" t="s">
        <v>696</v>
      </c>
      <c r="B822" s="343" t="s">
        <v>697</v>
      </c>
      <c r="C822" s="343"/>
      <c r="D822" s="179">
        <v>8374071342</v>
      </c>
      <c r="E822" s="208">
        <v>2023</v>
      </c>
      <c r="F822" s="180">
        <f>D822/(VLOOKUP(E822,$D$929:$E$961,2,FALSE))</f>
        <v>7219.0270189655175</v>
      </c>
      <c r="G822" s="209">
        <v>0.5</v>
      </c>
      <c r="H822" s="180">
        <f>F822*G822</f>
        <v>3609.5135094827588</v>
      </c>
      <c r="I822" s="210">
        <v>45000</v>
      </c>
      <c r="J822" s="303" t="s">
        <v>275</v>
      </c>
      <c r="K822" s="303" t="s">
        <v>275</v>
      </c>
      <c r="L822" s="212">
        <f t="shared" si="89"/>
        <v>3609.5135094827588</v>
      </c>
      <c r="M822" s="213" t="s">
        <v>275</v>
      </c>
      <c r="N822" s="213" t="s">
        <v>275</v>
      </c>
      <c r="O822" s="303" t="s">
        <v>275</v>
      </c>
      <c r="P822" s="239" t="s">
        <v>275</v>
      </c>
      <c r="Q822" s="239" t="s">
        <v>275</v>
      </c>
      <c r="R822" s="216"/>
    </row>
    <row r="823" spans="1:18" s="14" customFormat="1" ht="60">
      <c r="A823" s="207" t="s">
        <v>698</v>
      </c>
      <c r="B823" s="343" t="s">
        <v>699</v>
      </c>
      <c r="C823" s="343"/>
      <c r="D823" s="179">
        <v>665767515</v>
      </c>
      <c r="E823" s="208">
        <v>2023</v>
      </c>
      <c r="F823" s="180">
        <f>D823/(VLOOKUP(E823,$D$929:$E$961,2,FALSE))</f>
        <v>573.93751293103446</v>
      </c>
      <c r="G823" s="209">
        <v>1</v>
      </c>
      <c r="H823" s="180">
        <f>F823*G823</f>
        <v>573.93751293103446</v>
      </c>
      <c r="I823" s="210">
        <v>45219</v>
      </c>
      <c r="J823" s="303" t="s">
        <v>275</v>
      </c>
      <c r="K823" s="303" t="s">
        <v>275</v>
      </c>
      <c r="L823" s="212">
        <f t="shared" si="89"/>
        <v>573.93751293103446</v>
      </c>
      <c r="M823" s="213" t="s">
        <v>275</v>
      </c>
      <c r="N823" s="213" t="s">
        <v>275</v>
      </c>
      <c r="O823" s="303" t="s">
        <v>275</v>
      </c>
      <c r="P823" s="239" t="s">
        <v>275</v>
      </c>
      <c r="Q823" s="239" t="s">
        <v>276</v>
      </c>
      <c r="R823" s="216" t="s">
        <v>393</v>
      </c>
    </row>
    <row r="824" spans="1:18" s="14" customFormat="1" ht="48" customHeight="1" thickBot="1">
      <c r="A824" s="346" t="s">
        <v>284</v>
      </c>
      <c r="B824" s="346"/>
      <c r="C824" s="346"/>
      <c r="D824" s="346"/>
      <c r="E824" s="346"/>
      <c r="F824" s="45">
        <f>+SUM(F819:F823)</f>
        <v>29745.755389216563</v>
      </c>
      <c r="G824" s="45"/>
      <c r="H824" s="45">
        <f>+SUM(H819:H823)</f>
        <v>4563.1295017770308</v>
      </c>
      <c r="I824" s="359"/>
      <c r="J824" s="360"/>
      <c r="K824" s="196"/>
      <c r="L824" s="196"/>
      <c r="M824" s="196"/>
      <c r="N824" s="196"/>
      <c r="O824" s="196"/>
      <c r="P824" s="304"/>
      <c r="Q824" s="304"/>
      <c r="R824" s="37" t="s">
        <v>275</v>
      </c>
    </row>
    <row r="825" spans="1:18" ht="16.5" thickBot="1">
      <c r="A825" s="3"/>
      <c r="B825" s="3"/>
      <c r="C825" s="3"/>
      <c r="D825" s="3"/>
      <c r="E825" s="3"/>
      <c r="F825" s="3"/>
      <c r="G825" s="3"/>
      <c r="H825" s="3"/>
      <c r="I825" s="3"/>
      <c r="J825" s="3"/>
      <c r="K825" s="3"/>
      <c r="L825" s="3"/>
      <c r="M825" s="3"/>
      <c r="N825" s="3"/>
      <c r="O825" s="4"/>
      <c r="P825" s="4"/>
      <c r="Q825" s="4"/>
      <c r="R825" s="4"/>
    </row>
    <row r="826" spans="1:18" ht="30.75" customHeight="1" thickBot="1">
      <c r="A826" s="347">
        <f>1+A811</f>
        <v>58</v>
      </c>
      <c r="B826" s="347"/>
      <c r="C826" s="347"/>
      <c r="D826" s="347"/>
      <c r="E826" s="361" t="str">
        <f>VLOOKUP(A826,'REQUISITOS HAB. TECNICOS'!$A$5:$B$66,2,FALSE)</f>
        <v>CONSORCIO CONSTRUCCIÓN Y DESARROLLO FONTIBÓN</v>
      </c>
      <c r="F826" s="361"/>
      <c r="G826" s="361"/>
      <c r="H826" s="361"/>
      <c r="I826" s="361"/>
      <c r="J826" s="361"/>
      <c r="K826" s="361"/>
      <c r="L826" s="361"/>
      <c r="M826" s="361"/>
      <c r="N826" s="361"/>
      <c r="O826" s="361"/>
      <c r="P826" s="361"/>
      <c r="Q826" s="361"/>
      <c r="R826" s="361"/>
    </row>
    <row r="827" spans="1:18" ht="50.25" customHeight="1" thickBot="1">
      <c r="A827" s="11" t="s">
        <v>247</v>
      </c>
      <c r="B827" s="76">
        <v>3</v>
      </c>
      <c r="C827" s="288" t="s">
        <v>248</v>
      </c>
      <c r="D827" s="344">
        <f>$D$899</f>
        <v>618.89671538461539</v>
      </c>
      <c r="E827" s="361"/>
      <c r="F827" s="361"/>
      <c r="G827" s="361"/>
      <c r="H827" s="361"/>
      <c r="I827" s="361"/>
      <c r="J827" s="361"/>
      <c r="K827" s="361"/>
      <c r="L827" s="361"/>
      <c r="M827" s="361"/>
      <c r="N827" s="361"/>
      <c r="O827" s="361"/>
      <c r="P827" s="361"/>
      <c r="Q827" s="361"/>
      <c r="R827" s="361"/>
    </row>
    <row r="828" spans="1:18" ht="23.25" customHeight="1" thickBot="1">
      <c r="A828" s="348" t="s">
        <v>249</v>
      </c>
      <c r="B828" s="348"/>
      <c r="C828" s="289">
        <f>+AVERAGE(H834:H837)</f>
        <v>1332.6062703673806</v>
      </c>
      <c r="D828" s="345"/>
      <c r="E828" s="361"/>
      <c r="F828" s="361"/>
      <c r="G828" s="361"/>
      <c r="H828" s="361"/>
      <c r="I828" s="361"/>
      <c r="J828" s="361"/>
      <c r="K828" s="361"/>
      <c r="L828" s="361"/>
      <c r="M828" s="361"/>
      <c r="N828" s="361"/>
      <c r="O828" s="361"/>
      <c r="P828" s="361"/>
      <c r="Q828" s="361"/>
      <c r="R828" s="361"/>
    </row>
    <row r="829" spans="1:18" ht="23.25" customHeight="1" thickBot="1">
      <c r="A829" s="349" t="s">
        <v>250</v>
      </c>
      <c r="B829" s="349"/>
      <c r="C829" s="350">
        <v>45631</v>
      </c>
      <c r="D829" s="350"/>
      <c r="E829" s="361"/>
      <c r="F829" s="361"/>
      <c r="G829" s="361"/>
      <c r="H829" s="361"/>
      <c r="I829" s="361"/>
      <c r="J829" s="361"/>
      <c r="K829" s="361"/>
      <c r="L829" s="361"/>
      <c r="M829" s="361"/>
      <c r="N829" s="361"/>
      <c r="O829" s="361"/>
      <c r="P829" s="361"/>
      <c r="Q829" s="361"/>
      <c r="R829" s="361"/>
    </row>
    <row r="830" spans="1:18" ht="38.25" customHeight="1" thickBot="1">
      <c r="A830" s="351" t="s">
        <v>251</v>
      </c>
      <c r="B830" s="351"/>
      <c r="C830" s="352" t="str">
        <f>+IF(H838&gt;D827,"CUMPLE","NO CUMPLE")</f>
        <v>CUMPLE</v>
      </c>
      <c r="D830" s="352"/>
      <c r="E830" s="361"/>
      <c r="F830" s="361"/>
      <c r="G830" s="361"/>
      <c r="H830" s="361"/>
      <c r="I830" s="361"/>
      <c r="J830" s="361"/>
      <c r="K830" s="361"/>
      <c r="L830" s="361"/>
      <c r="M830" s="361"/>
      <c r="N830" s="361"/>
      <c r="O830" s="361"/>
      <c r="P830" s="361"/>
      <c r="Q830" s="361"/>
      <c r="R830" s="361"/>
    </row>
    <row r="831" spans="1:18" ht="87.75" customHeight="1" thickBot="1">
      <c r="A831" s="353" t="s">
        <v>252</v>
      </c>
      <c r="B831" s="353"/>
      <c r="C831" s="353"/>
      <c r="D831" s="353"/>
      <c r="E831" s="353"/>
      <c r="F831" s="353"/>
      <c r="G831" s="311"/>
      <c r="H831" s="311"/>
      <c r="I831" s="143" t="s">
        <v>253</v>
      </c>
      <c r="J831" s="305" t="s">
        <v>254</v>
      </c>
      <c r="K831" s="363" t="s">
        <v>255</v>
      </c>
      <c r="L831" s="364"/>
      <c r="M831" s="357" t="s">
        <v>256</v>
      </c>
      <c r="N831" s="357" t="s">
        <v>257</v>
      </c>
      <c r="O831" s="357" t="s">
        <v>258</v>
      </c>
      <c r="P831" s="357" t="s">
        <v>259</v>
      </c>
      <c r="Q831" s="357" t="s">
        <v>260</v>
      </c>
      <c r="R831" s="362" t="s">
        <v>261</v>
      </c>
    </row>
    <row r="832" spans="1:18" ht="77.25" customHeight="1">
      <c r="A832" s="144" t="s">
        <v>262</v>
      </c>
      <c r="B832" s="354" t="s">
        <v>263</v>
      </c>
      <c r="C832" s="354"/>
      <c r="D832" s="145" t="s">
        <v>264</v>
      </c>
      <c r="E832" s="145" t="s">
        <v>265</v>
      </c>
      <c r="F832" s="145" t="s">
        <v>266</v>
      </c>
      <c r="G832" s="146" t="s">
        <v>267</v>
      </c>
      <c r="H832" s="146" t="s">
        <v>268</v>
      </c>
      <c r="I832" s="147" t="s">
        <v>269</v>
      </c>
      <c r="J832" s="147" t="s">
        <v>270</v>
      </c>
      <c r="K832" s="198" t="s">
        <v>271</v>
      </c>
      <c r="L832" s="198" t="s">
        <v>272</v>
      </c>
      <c r="M832" s="358"/>
      <c r="N832" s="358"/>
      <c r="O832" s="358"/>
      <c r="P832" s="358"/>
      <c r="Q832" s="358"/>
      <c r="R832" s="362"/>
    </row>
    <row r="833" spans="1:18">
      <c r="A833" s="34" t="str">
        <f>VLOOKUP(A826,'LISTA DE OFERENTES'!$A$4:$F$65,5,FALSE)</f>
        <v xml:space="preserve">R&amp;M CONSTRUCCIONES E INTERVENTORIAS SAS </v>
      </c>
      <c r="B833" s="35"/>
      <c r="C833" s="35"/>
      <c r="D833" s="35"/>
      <c r="E833" s="35"/>
      <c r="F833" s="35"/>
      <c r="G833" s="35"/>
      <c r="H833" s="35"/>
      <c r="I833" s="35"/>
      <c r="J833" s="35"/>
      <c r="K833" s="35"/>
      <c r="L833" s="35"/>
      <c r="M833" s="35"/>
      <c r="N833" s="35"/>
      <c r="O833" s="35"/>
      <c r="P833" s="35"/>
      <c r="Q833" s="35"/>
      <c r="R833" s="36"/>
    </row>
    <row r="834" spans="1:18" s="14" customFormat="1" ht="75">
      <c r="A834" s="207" t="s">
        <v>700</v>
      </c>
      <c r="B834" s="343" t="s">
        <v>335</v>
      </c>
      <c r="C834" s="343"/>
      <c r="D834" s="179">
        <v>898354331</v>
      </c>
      <c r="E834" s="208">
        <v>2014</v>
      </c>
      <c r="F834" s="180">
        <f>D834/(VLOOKUP(E834,$D$929:$E$961,2,FALSE))</f>
        <v>1458.3674204545455</v>
      </c>
      <c r="G834" s="209">
        <v>1</v>
      </c>
      <c r="H834" s="180">
        <f>F834*G834</f>
        <v>1458.3674204545455</v>
      </c>
      <c r="I834" s="210">
        <v>41816</v>
      </c>
      <c r="J834" s="213" t="s">
        <v>275</v>
      </c>
      <c r="K834" s="213" t="s">
        <v>275</v>
      </c>
      <c r="L834" s="212">
        <f>IF(K834="CUMPLE",H834,0)</f>
        <v>1458.3674204545455</v>
      </c>
      <c r="M834" s="213" t="s">
        <v>275</v>
      </c>
      <c r="N834" s="213" t="s">
        <v>275</v>
      </c>
      <c r="O834" s="303" t="s">
        <v>275</v>
      </c>
      <c r="P834" s="239" t="s">
        <v>275</v>
      </c>
      <c r="Q834" s="239" t="s">
        <v>276</v>
      </c>
      <c r="R834" s="216" t="s">
        <v>393</v>
      </c>
    </row>
    <row r="835" spans="1:18" s="14" customFormat="1" ht="120">
      <c r="A835" s="214" t="s">
        <v>701</v>
      </c>
      <c r="B835" s="343" t="s">
        <v>702</v>
      </c>
      <c r="C835" s="343"/>
      <c r="D835" s="179">
        <v>127698590</v>
      </c>
      <c r="E835" s="208">
        <v>2015</v>
      </c>
      <c r="F835" s="180">
        <f>D835/(VLOOKUP(E835,$D$929:$E$961,2,FALSE))</f>
        <v>198.1820284007139</v>
      </c>
      <c r="G835" s="215">
        <v>1</v>
      </c>
      <c r="H835" s="180">
        <f>F835*G835</f>
        <v>198.1820284007139</v>
      </c>
      <c r="I835" s="210">
        <v>41816</v>
      </c>
      <c r="J835" s="213" t="s">
        <v>275</v>
      </c>
      <c r="K835" s="213" t="s">
        <v>275</v>
      </c>
      <c r="L835" s="212">
        <f t="shared" ref="L835:L837" si="90">IF(K835="CUMPLE",H835,0)</f>
        <v>198.1820284007139</v>
      </c>
      <c r="M835" s="213" t="s">
        <v>275</v>
      </c>
      <c r="N835" s="213" t="s">
        <v>275</v>
      </c>
      <c r="O835" s="303" t="s">
        <v>275</v>
      </c>
      <c r="P835" s="239" t="s">
        <v>275</v>
      </c>
      <c r="Q835" s="239" t="s">
        <v>275</v>
      </c>
      <c r="R835" s="216"/>
    </row>
    <row r="836" spans="1:18">
      <c r="A836" s="258" t="str">
        <f>VLOOKUP(A826,'LISTA DE OFERENTES'!$A$4:$F$65,6,FALSE)</f>
        <v xml:space="preserve">MAIRA ALEJANDRA PICON GARCIA </v>
      </c>
      <c r="B836" s="226"/>
      <c r="C836" s="226"/>
      <c r="D836" s="226"/>
      <c r="E836" s="226"/>
      <c r="F836" s="226"/>
      <c r="G836" s="228"/>
      <c r="H836" s="226"/>
      <c r="I836" s="226"/>
      <c r="J836" s="226"/>
      <c r="K836" s="226"/>
      <c r="L836" s="226"/>
      <c r="M836" s="226"/>
      <c r="N836" s="226"/>
      <c r="O836" s="226"/>
      <c r="P836" s="226"/>
      <c r="Q836" s="226"/>
      <c r="R836" s="227"/>
    </row>
    <row r="837" spans="1:18" s="14" customFormat="1" ht="60">
      <c r="A837" s="207" t="s">
        <v>703</v>
      </c>
      <c r="B837" s="343" t="s">
        <v>704</v>
      </c>
      <c r="C837" s="343"/>
      <c r="D837" s="179">
        <v>2777261175.6599998</v>
      </c>
      <c r="E837" s="208">
        <v>2020</v>
      </c>
      <c r="F837" s="180">
        <f>D837/(VLOOKUP(E837,$D$929:$E$961,2,FALSE))</f>
        <v>3163.8775165498409</v>
      </c>
      <c r="G837" s="209">
        <v>0.74</v>
      </c>
      <c r="H837" s="180">
        <f>F837*G837</f>
        <v>2341.2693622468823</v>
      </c>
      <c r="I837" s="210">
        <v>43834</v>
      </c>
      <c r="J837" s="213" t="s">
        <v>275</v>
      </c>
      <c r="K837" s="213" t="s">
        <v>275</v>
      </c>
      <c r="L837" s="212">
        <f t="shared" si="90"/>
        <v>2341.2693622468823</v>
      </c>
      <c r="M837" s="213" t="s">
        <v>275</v>
      </c>
      <c r="N837" s="213" t="s">
        <v>275</v>
      </c>
      <c r="O837" s="303" t="s">
        <v>275</v>
      </c>
      <c r="P837" s="239" t="s">
        <v>275</v>
      </c>
      <c r="Q837" s="239" t="s">
        <v>276</v>
      </c>
      <c r="R837" s="216" t="s">
        <v>393</v>
      </c>
    </row>
    <row r="838" spans="1:18" s="14" customFormat="1" ht="48" customHeight="1" thickBot="1">
      <c r="A838" s="346" t="s">
        <v>284</v>
      </c>
      <c r="B838" s="346"/>
      <c r="C838" s="346"/>
      <c r="D838" s="346"/>
      <c r="E838" s="346"/>
      <c r="F838" s="45">
        <f>+SUM(F834:F837)</f>
        <v>4820.4269654051004</v>
      </c>
      <c r="G838" s="45"/>
      <c r="H838" s="45">
        <f>+SUM(H834:H837)</f>
        <v>3997.8188111021418</v>
      </c>
      <c r="I838" s="359"/>
      <c r="J838" s="360"/>
      <c r="K838" s="196"/>
      <c r="L838" s="196"/>
      <c r="M838" s="196"/>
      <c r="N838" s="196"/>
      <c r="O838" s="196"/>
      <c r="P838" s="304"/>
      <c r="Q838" s="304"/>
      <c r="R838" s="37" t="s">
        <v>275</v>
      </c>
    </row>
    <row r="839" spans="1:18" ht="16.5" thickBot="1">
      <c r="A839" s="3"/>
      <c r="B839" s="3"/>
      <c r="C839" s="3"/>
      <c r="D839" s="3"/>
      <c r="E839" s="3"/>
      <c r="F839" s="3"/>
      <c r="G839" s="3"/>
      <c r="H839" s="3"/>
      <c r="I839" s="3"/>
      <c r="J839" s="3"/>
      <c r="K839" s="3"/>
      <c r="L839" s="3"/>
      <c r="M839" s="3"/>
      <c r="N839" s="3"/>
      <c r="O839" s="4"/>
      <c r="P839" s="4"/>
      <c r="Q839" s="4"/>
      <c r="R839" s="4"/>
    </row>
    <row r="840" spans="1:18" ht="30.75" customHeight="1" thickBot="1">
      <c r="A840" s="347">
        <f>1+A826</f>
        <v>59</v>
      </c>
      <c r="B840" s="347"/>
      <c r="C840" s="347"/>
      <c r="D840" s="347"/>
      <c r="E840" s="361" t="str">
        <f>VLOOKUP(A840,'REQUISITOS HAB. TECNICOS'!$A$5:$B$66,2,FALSE)</f>
        <v>CONSORCIO ESPACIO PÚBLICO INT 2024</v>
      </c>
      <c r="F840" s="361"/>
      <c r="G840" s="361"/>
      <c r="H840" s="361"/>
      <c r="I840" s="361"/>
      <c r="J840" s="361"/>
      <c r="K840" s="361"/>
      <c r="L840" s="361"/>
      <c r="M840" s="361"/>
      <c r="N840" s="361"/>
      <c r="O840" s="361"/>
      <c r="P840" s="361"/>
      <c r="Q840" s="361"/>
      <c r="R840" s="361"/>
    </row>
    <row r="841" spans="1:18" ht="50.25" customHeight="1" thickBot="1">
      <c r="A841" s="11" t="s">
        <v>247</v>
      </c>
      <c r="B841" s="76">
        <v>4</v>
      </c>
      <c r="C841" s="288" t="s">
        <v>248</v>
      </c>
      <c r="D841" s="344">
        <f>$D$899</f>
        <v>618.89671538461539</v>
      </c>
      <c r="E841" s="361"/>
      <c r="F841" s="361"/>
      <c r="G841" s="361"/>
      <c r="H841" s="361"/>
      <c r="I841" s="361"/>
      <c r="J841" s="361"/>
      <c r="K841" s="361"/>
      <c r="L841" s="361"/>
      <c r="M841" s="361"/>
      <c r="N841" s="361"/>
      <c r="O841" s="361"/>
      <c r="P841" s="361"/>
      <c r="Q841" s="361"/>
      <c r="R841" s="361"/>
    </row>
    <row r="842" spans="1:18" ht="23.25" customHeight="1" thickBot="1">
      <c r="A842" s="348" t="s">
        <v>249</v>
      </c>
      <c r="B842" s="348"/>
      <c r="C842" s="289">
        <f>+AVERAGE(H848:H853)</f>
        <v>1601.0197976623524</v>
      </c>
      <c r="D842" s="345"/>
      <c r="E842" s="361"/>
      <c r="F842" s="361"/>
      <c r="G842" s="361"/>
      <c r="H842" s="361"/>
      <c r="I842" s="361"/>
      <c r="J842" s="361"/>
      <c r="K842" s="361"/>
      <c r="L842" s="361"/>
      <c r="M842" s="361"/>
      <c r="N842" s="361"/>
      <c r="O842" s="361"/>
      <c r="P842" s="361"/>
      <c r="Q842" s="361"/>
      <c r="R842" s="361"/>
    </row>
    <row r="843" spans="1:18" ht="23.25" customHeight="1" thickBot="1">
      <c r="A843" s="349" t="s">
        <v>250</v>
      </c>
      <c r="B843" s="349"/>
      <c r="C843" s="350">
        <v>45631</v>
      </c>
      <c r="D843" s="350"/>
      <c r="E843" s="361"/>
      <c r="F843" s="361"/>
      <c r="G843" s="361"/>
      <c r="H843" s="361"/>
      <c r="I843" s="361"/>
      <c r="J843" s="361"/>
      <c r="K843" s="361"/>
      <c r="L843" s="361"/>
      <c r="M843" s="361"/>
      <c r="N843" s="361"/>
      <c r="O843" s="361"/>
      <c r="P843" s="361"/>
      <c r="Q843" s="361"/>
      <c r="R843" s="361"/>
    </row>
    <row r="844" spans="1:18" ht="38.25" customHeight="1" thickBot="1">
      <c r="A844" s="351" t="s">
        <v>251</v>
      </c>
      <c r="B844" s="351"/>
      <c r="C844" s="352" t="str">
        <f>+IF(H854&gt;D841,"CUMPLE","NO CUMPLE")</f>
        <v>CUMPLE</v>
      </c>
      <c r="D844" s="352"/>
      <c r="E844" s="361"/>
      <c r="F844" s="361"/>
      <c r="G844" s="361"/>
      <c r="H844" s="361"/>
      <c r="I844" s="361"/>
      <c r="J844" s="361"/>
      <c r="K844" s="361"/>
      <c r="L844" s="361"/>
      <c r="M844" s="361"/>
      <c r="N844" s="361"/>
      <c r="O844" s="361"/>
      <c r="P844" s="361"/>
      <c r="Q844" s="361"/>
      <c r="R844" s="361"/>
    </row>
    <row r="845" spans="1:18" ht="85.5" customHeight="1" thickBot="1">
      <c r="A845" s="353" t="s">
        <v>252</v>
      </c>
      <c r="B845" s="353"/>
      <c r="C845" s="353"/>
      <c r="D845" s="353"/>
      <c r="E845" s="353"/>
      <c r="F845" s="353"/>
      <c r="G845" s="311"/>
      <c r="H845" s="311"/>
      <c r="I845" s="143" t="s">
        <v>253</v>
      </c>
      <c r="J845" s="305" t="s">
        <v>254</v>
      </c>
      <c r="K845" s="363" t="s">
        <v>255</v>
      </c>
      <c r="L845" s="364"/>
      <c r="M845" s="357" t="s">
        <v>256</v>
      </c>
      <c r="N845" s="357" t="s">
        <v>257</v>
      </c>
      <c r="O845" s="357" t="s">
        <v>258</v>
      </c>
      <c r="P845" s="357" t="s">
        <v>259</v>
      </c>
      <c r="Q845" s="357" t="s">
        <v>260</v>
      </c>
      <c r="R845" s="362" t="s">
        <v>261</v>
      </c>
    </row>
    <row r="846" spans="1:18" ht="77.25" customHeight="1">
      <c r="A846" s="144" t="s">
        <v>262</v>
      </c>
      <c r="B846" s="354" t="s">
        <v>263</v>
      </c>
      <c r="C846" s="354"/>
      <c r="D846" s="145" t="s">
        <v>264</v>
      </c>
      <c r="E846" s="145" t="s">
        <v>265</v>
      </c>
      <c r="F846" s="145" t="s">
        <v>266</v>
      </c>
      <c r="G846" s="146" t="s">
        <v>267</v>
      </c>
      <c r="H846" s="146" t="s">
        <v>268</v>
      </c>
      <c r="I846" s="147" t="s">
        <v>269</v>
      </c>
      <c r="J846" s="147" t="s">
        <v>270</v>
      </c>
      <c r="K846" s="198" t="s">
        <v>271</v>
      </c>
      <c r="L846" s="198" t="s">
        <v>272</v>
      </c>
      <c r="M846" s="358"/>
      <c r="N846" s="358"/>
      <c r="O846" s="358"/>
      <c r="P846" s="358"/>
      <c r="Q846" s="358"/>
      <c r="R846" s="362"/>
    </row>
    <row r="847" spans="1:18">
      <c r="A847" s="34" t="str">
        <f>VLOOKUP(A840,'LISTA DE OFERENTES'!$A$4:$F$65,5,FALSE)</f>
        <v>INGENIERÍA Y GESTIÓN VIAL SAS 50%</v>
      </c>
      <c r="B847" s="35"/>
      <c r="C847" s="35"/>
      <c r="D847" s="35"/>
      <c r="E847" s="35"/>
      <c r="F847" s="35"/>
      <c r="G847" s="35"/>
      <c r="H847" s="35"/>
      <c r="I847" s="35"/>
      <c r="J847" s="35"/>
      <c r="K847" s="35"/>
      <c r="L847" s="35"/>
      <c r="M847" s="35"/>
      <c r="N847" s="35"/>
      <c r="O847" s="35"/>
      <c r="P847" s="35"/>
      <c r="Q847" s="35"/>
      <c r="R847" s="36"/>
    </row>
    <row r="848" spans="1:18" s="14" customFormat="1" ht="108.75" customHeight="1">
      <c r="A848" s="207" t="s">
        <v>705</v>
      </c>
      <c r="B848" s="343" t="s">
        <v>706</v>
      </c>
      <c r="C848" s="343"/>
      <c r="D848" s="179">
        <v>5217836324</v>
      </c>
      <c r="E848" s="208">
        <v>2015</v>
      </c>
      <c r="F848" s="180">
        <f>D848/(VLOOKUP(E848,$D$929:$E$961,2,FALSE))</f>
        <v>8097.8293225731359</v>
      </c>
      <c r="G848" s="209">
        <v>0.5</v>
      </c>
      <c r="H848" s="180">
        <f>F848*G848</f>
        <v>4048.9146612865679</v>
      </c>
      <c r="I848" s="210">
        <v>42155</v>
      </c>
      <c r="J848" s="233" t="s">
        <v>275</v>
      </c>
      <c r="K848" s="211" t="s">
        <v>275</v>
      </c>
      <c r="L848" s="212">
        <f>IF(K848="CUMPLE",H848,0)</f>
        <v>4048.9146612865679</v>
      </c>
      <c r="M848" s="213" t="s">
        <v>397</v>
      </c>
      <c r="N848" s="213" t="s">
        <v>275</v>
      </c>
      <c r="O848" s="290" t="s">
        <v>275</v>
      </c>
      <c r="P848" s="224" t="s">
        <v>275</v>
      </c>
      <c r="Q848" s="224" t="s">
        <v>276</v>
      </c>
      <c r="R848" s="216" t="s">
        <v>707</v>
      </c>
    </row>
    <row r="849" spans="1:18" s="14" customFormat="1" ht="60">
      <c r="A849" s="214" t="s">
        <v>708</v>
      </c>
      <c r="B849" s="343" t="s">
        <v>706</v>
      </c>
      <c r="C849" s="343"/>
      <c r="D849" s="179">
        <v>2483478639</v>
      </c>
      <c r="E849" s="208">
        <v>2021</v>
      </c>
      <c r="F849" s="180">
        <f>D849/(VLOOKUP(E849,$D$929:$E$961,2,FALSE))</f>
        <v>2733.5251154067137</v>
      </c>
      <c r="G849" s="215">
        <v>0.5</v>
      </c>
      <c r="H849" s="180"/>
      <c r="I849" s="210">
        <v>44721</v>
      </c>
      <c r="J849" s="233" t="s">
        <v>275</v>
      </c>
      <c r="K849" s="211" t="s">
        <v>276</v>
      </c>
      <c r="L849" s="212">
        <f t="shared" ref="L849:L853" si="91">IF(K849="CUMPLE",H849,0)</f>
        <v>0</v>
      </c>
      <c r="M849" s="213" t="s">
        <v>276</v>
      </c>
      <c r="N849" s="213" t="s">
        <v>276</v>
      </c>
      <c r="O849" s="290" t="s">
        <v>276</v>
      </c>
      <c r="P849" s="224" t="s">
        <v>276</v>
      </c>
      <c r="Q849" s="224" t="s">
        <v>276</v>
      </c>
      <c r="R849" s="216" t="s">
        <v>709</v>
      </c>
    </row>
    <row r="850" spans="1:18">
      <c r="A850" s="35" t="str">
        <f>'LISTA DE OFERENTES'!F62</f>
        <v>GEOINTERVENTORIAS SAS - GEOINTER SAS 25%</v>
      </c>
      <c r="B850" s="35"/>
      <c r="C850" s="35"/>
      <c r="D850" s="35"/>
      <c r="E850" s="35"/>
      <c r="F850" s="35"/>
      <c r="G850" s="35"/>
      <c r="H850" s="35"/>
      <c r="I850" s="35"/>
      <c r="J850" s="35"/>
      <c r="K850" s="35"/>
      <c r="L850" s="35"/>
      <c r="M850" s="35"/>
      <c r="N850" s="35"/>
      <c r="O850" s="35"/>
      <c r="P850" s="187"/>
      <c r="Q850" s="187"/>
      <c r="R850" s="35"/>
    </row>
    <row r="851" spans="1:18" s="14" customFormat="1" ht="75">
      <c r="A851" s="207" t="s">
        <v>710</v>
      </c>
      <c r="B851" s="343" t="s">
        <v>711</v>
      </c>
      <c r="C851" s="343"/>
      <c r="D851" s="179">
        <v>332539550</v>
      </c>
      <c r="E851" s="208">
        <v>2020</v>
      </c>
      <c r="F851" s="180">
        <f>D851/(VLOOKUP(E851,$D$929:$E$961,2,FALSE))</f>
        <v>378.83163990098006</v>
      </c>
      <c r="G851" s="209">
        <v>0.5</v>
      </c>
      <c r="H851" s="180">
        <f t="shared" ref="H851:H853" si="92">F851*G851</f>
        <v>189.41581995049003</v>
      </c>
      <c r="I851" s="210">
        <v>43871</v>
      </c>
      <c r="J851" s="233" t="s">
        <v>275</v>
      </c>
      <c r="K851" s="233" t="s">
        <v>275</v>
      </c>
      <c r="L851" s="212">
        <f t="shared" si="91"/>
        <v>189.41581995049003</v>
      </c>
      <c r="M851" s="213" t="s">
        <v>275</v>
      </c>
      <c r="N851" s="213" t="s">
        <v>275</v>
      </c>
      <c r="O851" s="302" t="s">
        <v>275</v>
      </c>
      <c r="P851" s="303" t="s">
        <v>275</v>
      </c>
      <c r="Q851" s="303" t="s">
        <v>276</v>
      </c>
      <c r="R851" s="216" t="s">
        <v>393</v>
      </c>
    </row>
    <row r="852" spans="1:18">
      <c r="A852" s="35" t="str">
        <f>'LISTA DE OFERENTES'!G62</f>
        <v>DISEÑOS VÍAS Y PAVIMENTOS SAS 25%</v>
      </c>
      <c r="B852" s="35"/>
      <c r="C852" s="35"/>
      <c r="D852" s="35"/>
      <c r="E852" s="35"/>
      <c r="F852" s="35"/>
      <c r="G852" s="35"/>
      <c r="H852" s="35"/>
      <c r="I852" s="35"/>
      <c r="J852" s="35"/>
      <c r="K852" s="35"/>
      <c r="L852" s="35"/>
      <c r="M852" s="35"/>
      <c r="N852" s="35"/>
      <c r="O852" s="35"/>
      <c r="P852" s="187"/>
      <c r="Q852" s="187"/>
      <c r="R852" s="35"/>
    </row>
    <row r="853" spans="1:18" s="14" customFormat="1" ht="60">
      <c r="A853" s="207" t="s">
        <v>712</v>
      </c>
      <c r="B853" s="343" t="s">
        <v>711</v>
      </c>
      <c r="C853" s="343"/>
      <c r="D853" s="179">
        <v>2258915647</v>
      </c>
      <c r="E853" s="208">
        <v>2022</v>
      </c>
      <c r="F853" s="180">
        <f>D853/(VLOOKUP(E853,$D$929:$E$961,2,FALSE))</f>
        <v>2258.9156469999998</v>
      </c>
      <c r="G853" s="209">
        <v>0.25</v>
      </c>
      <c r="H853" s="180">
        <f t="shared" si="92"/>
        <v>564.72891174999995</v>
      </c>
      <c r="I853" s="210">
        <v>44595</v>
      </c>
      <c r="J853" s="233" t="s">
        <v>275</v>
      </c>
      <c r="K853" s="233" t="s">
        <v>275</v>
      </c>
      <c r="L853" s="212">
        <f t="shared" si="91"/>
        <v>564.72891174999995</v>
      </c>
      <c r="M853" s="213" t="s">
        <v>275</v>
      </c>
      <c r="N853" s="213" t="s">
        <v>275</v>
      </c>
      <c r="O853" s="302" t="s">
        <v>276</v>
      </c>
      <c r="P853" s="303" t="s">
        <v>275</v>
      </c>
      <c r="Q853" s="303" t="s">
        <v>275</v>
      </c>
      <c r="R853" s="216" t="s">
        <v>713</v>
      </c>
    </row>
    <row r="854" spans="1:18" s="14" customFormat="1" ht="48" customHeight="1" thickBot="1">
      <c r="A854" s="346" t="s">
        <v>284</v>
      </c>
      <c r="B854" s="346"/>
      <c r="C854" s="346"/>
      <c r="D854" s="346"/>
      <c r="E854" s="346"/>
      <c r="F854" s="45">
        <f>+SUM(F848:F853)</f>
        <v>13469.101724880829</v>
      </c>
      <c r="G854" s="45"/>
      <c r="H854" s="45">
        <f>+SUM(H848:H853)</f>
        <v>4803.0593929870574</v>
      </c>
      <c r="I854" s="359"/>
      <c r="J854" s="360"/>
      <c r="K854" s="196"/>
      <c r="L854" s="196"/>
      <c r="M854" s="196"/>
      <c r="N854" s="196"/>
      <c r="O854" s="196"/>
      <c r="P854" s="304"/>
      <c r="Q854" s="304"/>
      <c r="R854" s="37" t="s">
        <v>275</v>
      </c>
    </row>
    <row r="855" spans="1:18" ht="16.5" thickBot="1">
      <c r="A855" s="3"/>
      <c r="B855" s="3"/>
      <c r="C855" s="3"/>
      <c r="D855" s="3"/>
      <c r="E855" s="3"/>
      <c r="F855" s="3"/>
      <c r="G855" s="3"/>
      <c r="H855" s="3"/>
      <c r="I855" s="3"/>
      <c r="J855" s="3"/>
      <c r="K855" s="3"/>
      <c r="L855" s="3"/>
      <c r="M855" s="3"/>
      <c r="N855" s="3"/>
      <c r="O855" s="4"/>
      <c r="P855" s="4"/>
      <c r="Q855" s="4"/>
      <c r="R855" s="4"/>
    </row>
    <row r="856" spans="1:18" ht="30.75" customHeight="1" thickBot="1">
      <c r="A856" s="347">
        <f>1+A840</f>
        <v>60</v>
      </c>
      <c r="B856" s="347"/>
      <c r="C856" s="347"/>
      <c r="D856" s="347"/>
      <c r="E856" s="361" t="str">
        <f>VLOOKUP(A856,'REQUISITOS HAB. TECNICOS'!$A$5:$B$66,2,FALSE)</f>
        <v>CONSORCIO VÍAS PROTEV</v>
      </c>
      <c r="F856" s="361"/>
      <c r="G856" s="361"/>
      <c r="H856" s="361"/>
      <c r="I856" s="361"/>
      <c r="J856" s="361"/>
      <c r="K856" s="361"/>
      <c r="L856" s="361"/>
      <c r="M856" s="361"/>
      <c r="N856" s="361"/>
      <c r="O856" s="361"/>
      <c r="P856" s="361"/>
      <c r="Q856" s="361"/>
      <c r="R856" s="361"/>
    </row>
    <row r="857" spans="1:18" ht="50.25" customHeight="1" thickBot="1">
      <c r="A857" s="11" t="s">
        <v>247</v>
      </c>
      <c r="B857" s="76">
        <v>3</v>
      </c>
      <c r="C857" s="288" t="s">
        <v>248</v>
      </c>
      <c r="D857" s="344">
        <f>$D$899</f>
        <v>618.89671538461539</v>
      </c>
      <c r="E857" s="361"/>
      <c r="F857" s="361"/>
      <c r="G857" s="361"/>
      <c r="H857" s="361"/>
      <c r="I857" s="361"/>
      <c r="J857" s="361"/>
      <c r="K857" s="361"/>
      <c r="L857" s="361"/>
      <c r="M857" s="361"/>
      <c r="N857" s="361"/>
      <c r="O857" s="361"/>
      <c r="P857" s="361"/>
      <c r="Q857" s="361"/>
      <c r="R857" s="361"/>
    </row>
    <row r="858" spans="1:18" ht="23.25" customHeight="1" thickBot="1">
      <c r="A858" s="348" t="s">
        <v>249</v>
      </c>
      <c r="B858" s="348"/>
      <c r="C858" s="289">
        <f>+AVERAGE(H864:H866)</f>
        <v>1394.2625898078693</v>
      </c>
      <c r="D858" s="345"/>
      <c r="E858" s="361"/>
      <c r="F858" s="361"/>
      <c r="G858" s="361"/>
      <c r="H858" s="361"/>
      <c r="I858" s="361"/>
      <c r="J858" s="361"/>
      <c r="K858" s="361"/>
      <c r="L858" s="361"/>
      <c r="M858" s="361"/>
      <c r="N858" s="361"/>
      <c r="O858" s="361"/>
      <c r="P858" s="361"/>
      <c r="Q858" s="361"/>
      <c r="R858" s="361"/>
    </row>
    <row r="859" spans="1:18" ht="23.25" customHeight="1" thickBot="1">
      <c r="A859" s="349" t="s">
        <v>250</v>
      </c>
      <c r="B859" s="349"/>
      <c r="C859" s="350">
        <v>45631</v>
      </c>
      <c r="D859" s="350"/>
      <c r="E859" s="361"/>
      <c r="F859" s="361"/>
      <c r="G859" s="361"/>
      <c r="H859" s="361"/>
      <c r="I859" s="361"/>
      <c r="J859" s="361"/>
      <c r="K859" s="361"/>
      <c r="L859" s="361"/>
      <c r="M859" s="361"/>
      <c r="N859" s="361"/>
      <c r="O859" s="361"/>
      <c r="P859" s="361"/>
      <c r="Q859" s="361"/>
      <c r="R859" s="361"/>
    </row>
    <row r="860" spans="1:18" ht="38.25" customHeight="1" thickBot="1">
      <c r="A860" s="351" t="s">
        <v>251</v>
      </c>
      <c r="B860" s="351"/>
      <c r="C860" s="352" t="str">
        <f>+IF(H867&gt;D857,"CUMPLE","NO CUMPLE")</f>
        <v>CUMPLE</v>
      </c>
      <c r="D860" s="352"/>
      <c r="E860" s="361"/>
      <c r="F860" s="361"/>
      <c r="G860" s="361"/>
      <c r="H860" s="361"/>
      <c r="I860" s="361"/>
      <c r="J860" s="361"/>
      <c r="K860" s="361"/>
      <c r="L860" s="361"/>
      <c r="M860" s="361"/>
      <c r="N860" s="361"/>
      <c r="O860" s="361"/>
      <c r="P860" s="361"/>
      <c r="Q860" s="361"/>
      <c r="R860" s="361"/>
    </row>
    <row r="861" spans="1:18" ht="86.25" customHeight="1" thickBot="1">
      <c r="A861" s="353" t="s">
        <v>252</v>
      </c>
      <c r="B861" s="353"/>
      <c r="C861" s="353"/>
      <c r="D861" s="353"/>
      <c r="E861" s="353"/>
      <c r="F861" s="353"/>
      <c r="G861" s="311"/>
      <c r="H861" s="311"/>
      <c r="I861" s="143" t="s">
        <v>253</v>
      </c>
      <c r="J861" s="305" t="s">
        <v>254</v>
      </c>
      <c r="K861" s="363" t="s">
        <v>255</v>
      </c>
      <c r="L861" s="364"/>
      <c r="M861" s="357" t="s">
        <v>256</v>
      </c>
      <c r="N861" s="357" t="s">
        <v>257</v>
      </c>
      <c r="O861" s="357" t="s">
        <v>258</v>
      </c>
      <c r="P861" s="357" t="s">
        <v>259</v>
      </c>
      <c r="Q861" s="357" t="s">
        <v>260</v>
      </c>
      <c r="R861" s="362" t="s">
        <v>261</v>
      </c>
    </row>
    <row r="862" spans="1:18" ht="77.25" customHeight="1">
      <c r="A862" s="144" t="s">
        <v>262</v>
      </c>
      <c r="B862" s="354" t="s">
        <v>263</v>
      </c>
      <c r="C862" s="354"/>
      <c r="D862" s="145" t="s">
        <v>264</v>
      </c>
      <c r="E862" s="145" t="s">
        <v>265</v>
      </c>
      <c r="F862" s="145" t="s">
        <v>266</v>
      </c>
      <c r="G862" s="146" t="s">
        <v>267</v>
      </c>
      <c r="H862" s="146" t="s">
        <v>268</v>
      </c>
      <c r="I862" s="147" t="s">
        <v>269</v>
      </c>
      <c r="J862" s="147" t="s">
        <v>270</v>
      </c>
      <c r="K862" s="198" t="s">
        <v>271</v>
      </c>
      <c r="L862" s="198" t="s">
        <v>272</v>
      </c>
      <c r="M862" s="358"/>
      <c r="N862" s="358"/>
      <c r="O862" s="358"/>
      <c r="P862" s="358"/>
      <c r="Q862" s="358"/>
      <c r="R862" s="362"/>
    </row>
    <row r="863" spans="1:18">
      <c r="A863" s="34" t="str">
        <f>VLOOKUP(A856,'LISTA DE OFERENTES'!$A$4:$F$65,5,FALSE)</f>
        <v>PROYECTISTAS ASOCIADOS SAS 91%</v>
      </c>
      <c r="B863" s="35"/>
      <c r="C863" s="35"/>
      <c r="D863" s="35"/>
      <c r="E863" s="35"/>
      <c r="F863" s="35"/>
      <c r="G863" s="35"/>
      <c r="H863" s="35"/>
      <c r="I863" s="35"/>
      <c r="J863" s="35"/>
      <c r="K863" s="35"/>
      <c r="L863" s="35"/>
      <c r="M863" s="35"/>
      <c r="N863" s="35"/>
      <c r="O863" s="35"/>
      <c r="P863" s="35"/>
      <c r="Q863" s="35"/>
      <c r="R863" s="36"/>
    </row>
    <row r="864" spans="1:18" s="14" customFormat="1" ht="45">
      <c r="A864" s="207" t="s">
        <v>714</v>
      </c>
      <c r="B864" s="343" t="s">
        <v>715</v>
      </c>
      <c r="C864" s="343"/>
      <c r="D864" s="179">
        <v>709152116</v>
      </c>
      <c r="E864" s="208">
        <v>2019</v>
      </c>
      <c r="F864" s="180">
        <f>D864/(VLOOKUP(E864,$D$929:$E$961,2,FALSE))</f>
        <v>856.34393732279057</v>
      </c>
      <c r="G864" s="209">
        <v>0.99</v>
      </c>
      <c r="H864" s="180">
        <f t="shared" ref="H864:H866" si="93">F864*G864</f>
        <v>847.78049794956269</v>
      </c>
      <c r="I864" s="210">
        <v>43529</v>
      </c>
      <c r="J864" s="233" t="s">
        <v>275</v>
      </c>
      <c r="K864" s="233" t="s">
        <v>275</v>
      </c>
      <c r="L864" s="212">
        <f>IF(K864="CUMPLE",H864,0)</f>
        <v>847.78049794956269</v>
      </c>
      <c r="M864" s="213" t="s">
        <v>275</v>
      </c>
      <c r="N864" s="213" t="s">
        <v>275</v>
      </c>
      <c r="O864" s="303" t="s">
        <v>275</v>
      </c>
      <c r="P864" s="239" t="s">
        <v>275</v>
      </c>
      <c r="Q864" s="239" t="s">
        <v>275</v>
      </c>
      <c r="R864" s="216"/>
    </row>
    <row r="865" spans="1:18" s="14" customFormat="1" ht="120">
      <c r="A865" s="214" t="s">
        <v>716</v>
      </c>
      <c r="B865" s="343" t="s">
        <v>717</v>
      </c>
      <c r="C865" s="343"/>
      <c r="D865" s="179">
        <v>1452338505</v>
      </c>
      <c r="E865" s="208">
        <v>2019</v>
      </c>
      <c r="F865" s="180">
        <f>D865/(VLOOKUP(E865,$D$929:$E$961,2,FALSE))</f>
        <v>1753.7863113380251</v>
      </c>
      <c r="G865" s="215">
        <v>0.8</v>
      </c>
      <c r="H865" s="180">
        <f t="shared" si="93"/>
        <v>1403.0290490704201</v>
      </c>
      <c r="I865" s="210">
        <v>43596</v>
      </c>
      <c r="J865" s="233" t="s">
        <v>275</v>
      </c>
      <c r="K865" s="233" t="s">
        <v>275</v>
      </c>
      <c r="L865" s="212">
        <f t="shared" ref="L865:L866" si="94">IF(K865="CUMPLE",H865,0)</f>
        <v>1403.0290490704201</v>
      </c>
      <c r="M865" s="213" t="s">
        <v>275</v>
      </c>
      <c r="N865" s="213" t="s">
        <v>275</v>
      </c>
      <c r="O865" s="303" t="s">
        <v>275</v>
      </c>
      <c r="P865" s="239" t="s">
        <v>275</v>
      </c>
      <c r="Q865" s="239" t="s">
        <v>276</v>
      </c>
      <c r="R865" s="216" t="s">
        <v>393</v>
      </c>
    </row>
    <row r="866" spans="1:18" s="14" customFormat="1" ht="90" customHeight="1">
      <c r="A866" s="214" t="s">
        <v>718</v>
      </c>
      <c r="B866" s="343" t="s">
        <v>715</v>
      </c>
      <c r="C866" s="343"/>
      <c r="D866" s="179">
        <v>1999877597.03</v>
      </c>
      <c r="E866" s="208">
        <v>2019</v>
      </c>
      <c r="F866" s="180">
        <f>D866/(VLOOKUP(E866,$D$929:$E$961,2,FALSE))</f>
        <v>2414.9727780045309</v>
      </c>
      <c r="G866" s="215">
        <v>0.8</v>
      </c>
      <c r="H866" s="180">
        <f t="shared" si="93"/>
        <v>1931.9782224036248</v>
      </c>
      <c r="I866" s="210">
        <v>43677</v>
      </c>
      <c r="J866" s="233" t="s">
        <v>275</v>
      </c>
      <c r="K866" s="233" t="s">
        <v>275</v>
      </c>
      <c r="L866" s="212">
        <f t="shared" si="94"/>
        <v>1931.9782224036248</v>
      </c>
      <c r="M866" s="213" t="s">
        <v>275</v>
      </c>
      <c r="N866" s="213" t="s">
        <v>275</v>
      </c>
      <c r="O866" s="303" t="s">
        <v>275</v>
      </c>
      <c r="P866" s="239" t="s">
        <v>275</v>
      </c>
      <c r="Q866" s="239" t="s">
        <v>275</v>
      </c>
      <c r="R866" s="216"/>
    </row>
    <row r="867" spans="1:18" s="14" customFormat="1" ht="48" customHeight="1" thickBot="1">
      <c r="A867" s="346" t="s">
        <v>284</v>
      </c>
      <c r="B867" s="346"/>
      <c r="C867" s="346"/>
      <c r="D867" s="346"/>
      <c r="E867" s="346"/>
      <c r="F867" s="45">
        <f>+SUM(F864:F866)</f>
        <v>5025.103026665347</v>
      </c>
      <c r="G867" s="45"/>
      <c r="H867" s="45">
        <f>+SUM(H864:H866)</f>
        <v>4182.7877694236076</v>
      </c>
      <c r="I867" s="359"/>
      <c r="J867" s="360"/>
      <c r="K867" s="196"/>
      <c r="L867" s="196"/>
      <c r="M867" s="196"/>
      <c r="N867" s="196"/>
      <c r="O867" s="196"/>
      <c r="P867" s="304"/>
      <c r="Q867" s="304"/>
      <c r="R867" s="37" t="s">
        <v>275</v>
      </c>
    </row>
    <row r="868" spans="1:18" ht="16.5" thickBot="1">
      <c r="A868" s="3"/>
      <c r="B868" s="3"/>
      <c r="C868" s="3"/>
      <c r="D868" s="3"/>
      <c r="E868" s="3"/>
      <c r="F868" s="3"/>
      <c r="G868" s="3"/>
      <c r="H868" s="3"/>
      <c r="I868" s="3"/>
      <c r="J868" s="3"/>
      <c r="K868" s="3"/>
      <c r="L868" s="3"/>
      <c r="M868" s="3"/>
      <c r="N868" s="3"/>
      <c r="O868" s="4"/>
      <c r="P868" s="4"/>
      <c r="Q868" s="4"/>
      <c r="R868" s="4"/>
    </row>
    <row r="869" spans="1:18" ht="30.75" customHeight="1" thickBot="1">
      <c r="A869" s="347">
        <f>1+A856</f>
        <v>61</v>
      </c>
      <c r="B869" s="347"/>
      <c r="C869" s="347"/>
      <c r="D869" s="347"/>
      <c r="E869" s="361" t="str">
        <f>VLOOKUP(A869,'REQUISITOS HAB. TECNICOS'!$A$5:$B$66,2,FALSE)</f>
        <v>CONSORCIO INTERVENTORES FONTIBON</v>
      </c>
      <c r="F869" s="361"/>
      <c r="G869" s="361"/>
      <c r="H869" s="361"/>
      <c r="I869" s="361"/>
      <c r="J869" s="361"/>
      <c r="K869" s="361"/>
      <c r="L869" s="361"/>
      <c r="M869" s="361"/>
      <c r="N869" s="361"/>
      <c r="O869" s="361"/>
      <c r="P869" s="361"/>
      <c r="Q869" s="361"/>
      <c r="R869" s="361"/>
    </row>
    <row r="870" spans="1:18" ht="50.25" customHeight="1" thickBot="1">
      <c r="A870" s="11" t="s">
        <v>247</v>
      </c>
      <c r="B870" s="76">
        <v>3</v>
      </c>
      <c r="C870" s="288" t="s">
        <v>248</v>
      </c>
      <c r="D870" s="344">
        <f>$D$899</f>
        <v>618.89671538461539</v>
      </c>
      <c r="E870" s="361"/>
      <c r="F870" s="361"/>
      <c r="G870" s="361"/>
      <c r="H870" s="361"/>
      <c r="I870" s="361"/>
      <c r="J870" s="361"/>
      <c r="K870" s="361"/>
      <c r="L870" s="361"/>
      <c r="M870" s="361"/>
      <c r="N870" s="361"/>
      <c r="O870" s="361"/>
      <c r="P870" s="361"/>
      <c r="Q870" s="361"/>
      <c r="R870" s="361"/>
    </row>
    <row r="871" spans="1:18" ht="23.25" customHeight="1" thickBot="1">
      <c r="A871" s="348" t="s">
        <v>249</v>
      </c>
      <c r="B871" s="348"/>
      <c r="C871" s="289">
        <f>+AVERAGE(H877:H880)</f>
        <v>1027.8093631563609</v>
      </c>
      <c r="D871" s="345"/>
      <c r="E871" s="361"/>
      <c r="F871" s="361"/>
      <c r="G871" s="361"/>
      <c r="H871" s="361"/>
      <c r="I871" s="361"/>
      <c r="J871" s="361"/>
      <c r="K871" s="361"/>
      <c r="L871" s="361"/>
      <c r="M871" s="361"/>
      <c r="N871" s="361"/>
      <c r="O871" s="361"/>
      <c r="P871" s="361"/>
      <c r="Q871" s="361"/>
      <c r="R871" s="361"/>
    </row>
    <row r="872" spans="1:18" ht="16.5" thickBot="1">
      <c r="A872" s="349" t="s">
        <v>250</v>
      </c>
      <c r="B872" s="349"/>
      <c r="C872" s="350">
        <v>45631</v>
      </c>
      <c r="D872" s="350"/>
      <c r="E872" s="361"/>
      <c r="F872" s="361"/>
      <c r="G872" s="361"/>
      <c r="H872" s="361"/>
      <c r="I872" s="361"/>
      <c r="J872" s="361"/>
      <c r="K872" s="361"/>
      <c r="L872" s="361"/>
      <c r="M872" s="361"/>
      <c r="N872" s="361"/>
      <c r="O872" s="361"/>
      <c r="P872" s="361"/>
      <c r="Q872" s="361"/>
      <c r="R872" s="361"/>
    </row>
    <row r="873" spans="1:18" ht="16.5" thickBot="1">
      <c r="A873" s="351" t="s">
        <v>251</v>
      </c>
      <c r="B873" s="351"/>
      <c r="C873" s="352" t="str">
        <f>+IF(H881&gt;D870,"CUMPLE","NO CUMPLE")</f>
        <v>CUMPLE</v>
      </c>
      <c r="D873" s="352"/>
      <c r="E873" s="361"/>
      <c r="F873" s="361"/>
      <c r="G873" s="361"/>
      <c r="H873" s="361"/>
      <c r="I873" s="361"/>
      <c r="J873" s="361"/>
      <c r="K873" s="361"/>
      <c r="L873" s="361"/>
      <c r="M873" s="361"/>
      <c r="N873" s="361"/>
      <c r="O873" s="361"/>
      <c r="P873" s="361"/>
      <c r="Q873" s="361"/>
      <c r="R873" s="361"/>
    </row>
    <row r="874" spans="1:18" ht="48" thickBot="1">
      <c r="A874" s="353" t="s">
        <v>252</v>
      </c>
      <c r="B874" s="353"/>
      <c r="C874" s="353"/>
      <c r="D874" s="353"/>
      <c r="E874" s="353"/>
      <c r="F874" s="353"/>
      <c r="G874" s="311"/>
      <c r="H874" s="311"/>
      <c r="I874" s="143" t="s">
        <v>253</v>
      </c>
      <c r="J874" s="305" t="s">
        <v>254</v>
      </c>
      <c r="K874" s="363" t="s">
        <v>255</v>
      </c>
      <c r="L874" s="364"/>
      <c r="M874" s="357" t="s">
        <v>256</v>
      </c>
      <c r="N874" s="357" t="s">
        <v>257</v>
      </c>
      <c r="O874" s="357" t="s">
        <v>258</v>
      </c>
      <c r="P874" s="357" t="s">
        <v>259</v>
      </c>
      <c r="Q874" s="357" t="s">
        <v>260</v>
      </c>
      <c r="R874" s="362" t="s">
        <v>261</v>
      </c>
    </row>
    <row r="875" spans="1:18" ht="47.25">
      <c r="A875" s="144" t="s">
        <v>262</v>
      </c>
      <c r="B875" s="354" t="s">
        <v>263</v>
      </c>
      <c r="C875" s="354"/>
      <c r="D875" s="145" t="s">
        <v>264</v>
      </c>
      <c r="E875" s="145" t="s">
        <v>265</v>
      </c>
      <c r="F875" s="145" t="s">
        <v>266</v>
      </c>
      <c r="G875" s="146" t="s">
        <v>267</v>
      </c>
      <c r="H875" s="146" t="s">
        <v>268</v>
      </c>
      <c r="I875" s="147" t="s">
        <v>269</v>
      </c>
      <c r="J875" s="147" t="s">
        <v>270</v>
      </c>
      <c r="K875" s="198" t="s">
        <v>271</v>
      </c>
      <c r="L875" s="198" t="s">
        <v>272</v>
      </c>
      <c r="M875" s="358"/>
      <c r="N875" s="358"/>
      <c r="O875" s="358"/>
      <c r="P875" s="358"/>
      <c r="Q875" s="358"/>
      <c r="R875" s="362"/>
    </row>
    <row r="876" spans="1:18">
      <c r="A876" s="34" t="str">
        <f>VLOOKUP(A869,'LISTA DE OFERENTES'!$A$4:$F$65,5,FALSE)</f>
        <v xml:space="preserve">CAP QUALITY PROJECT S.A.S </v>
      </c>
      <c r="B876" s="35"/>
      <c r="C876" s="35"/>
      <c r="D876" s="35"/>
      <c r="E876" s="35"/>
      <c r="F876" s="35"/>
      <c r="G876" s="35"/>
      <c r="H876" s="35"/>
      <c r="I876" s="35"/>
      <c r="J876" s="35"/>
      <c r="K876" s="35"/>
      <c r="L876" s="35"/>
      <c r="M876" s="35"/>
      <c r="N876" s="35"/>
      <c r="O876" s="35"/>
      <c r="P876" s="35"/>
      <c r="Q876" s="35"/>
      <c r="R876" s="36"/>
    </row>
    <row r="877" spans="1:18" s="14" customFormat="1" ht="164.25" customHeight="1">
      <c r="A877" s="142" t="s">
        <v>719</v>
      </c>
      <c r="B877" s="365" t="s">
        <v>335</v>
      </c>
      <c r="C877" s="365"/>
      <c r="D877" s="6">
        <v>1411393109</v>
      </c>
      <c r="E877" s="31">
        <v>2014</v>
      </c>
      <c r="F877" s="7">
        <f>D877/(VLOOKUP(E877,$D$929:$E$961,2,FALSE))</f>
        <v>2291.2225795454547</v>
      </c>
      <c r="G877" s="65">
        <v>0.3</v>
      </c>
      <c r="H877" s="7">
        <f>G877*F877</f>
        <v>687.36677386363635</v>
      </c>
      <c r="I877" s="5">
        <v>41928</v>
      </c>
      <c r="J877" s="12" t="s">
        <v>275</v>
      </c>
      <c r="K877" s="69" t="s">
        <v>275</v>
      </c>
      <c r="L877" s="199">
        <f>IF(K877="CUMPLE",H877,0)</f>
        <v>687.36677386363635</v>
      </c>
      <c r="M877" s="291" t="s">
        <v>275</v>
      </c>
      <c r="N877" s="292" t="s">
        <v>275</v>
      </c>
      <c r="O877" s="292" t="s">
        <v>275</v>
      </c>
      <c r="P877" s="292" t="s">
        <v>275</v>
      </c>
      <c r="Q877" s="292" t="s">
        <v>275</v>
      </c>
      <c r="R877" s="141"/>
    </row>
    <row r="878" spans="1:18">
      <c r="A878" s="34" t="str">
        <f>VLOOKUP(A869,'LISTA DE OFERENTES'!$A$4:$F$65,6,FALSE)</f>
        <v xml:space="preserve">OPH INGENIEROS ASOCIADOS SAS </v>
      </c>
      <c r="B878" s="35"/>
      <c r="C878" s="35"/>
      <c r="D878" s="35"/>
      <c r="E878" s="35"/>
      <c r="F878" s="35"/>
      <c r="G878" s="66"/>
      <c r="H878" s="35"/>
      <c r="I878" s="35"/>
      <c r="J878" s="35"/>
      <c r="K878" s="35"/>
      <c r="L878" s="35"/>
      <c r="M878" s="35"/>
      <c r="N878" s="187"/>
      <c r="O878" s="187"/>
      <c r="P878" s="187"/>
      <c r="Q878" s="187"/>
      <c r="R878" s="36"/>
    </row>
    <row r="879" spans="1:18" s="14" customFormat="1" ht="45">
      <c r="A879" s="142" t="s">
        <v>720</v>
      </c>
      <c r="B879" s="365" t="s">
        <v>721</v>
      </c>
      <c r="C879" s="365"/>
      <c r="D879" s="6">
        <v>1349015195</v>
      </c>
      <c r="E879" s="31">
        <v>2013</v>
      </c>
      <c r="F879" s="7">
        <f>D879/(VLOOKUP(E879,$D$929:$E$961,2,FALSE))</f>
        <v>2288.4057591178967</v>
      </c>
      <c r="G879" s="65">
        <v>1</v>
      </c>
      <c r="H879" s="7">
        <f>F879*G879</f>
        <v>2288.4057591178967</v>
      </c>
      <c r="I879" s="5">
        <v>41502</v>
      </c>
      <c r="J879" s="12" t="s">
        <v>275</v>
      </c>
      <c r="K879" s="12" t="s">
        <v>275</v>
      </c>
      <c r="L879" s="199">
        <f t="shared" ref="L879:L880" si="95">IF(K879="CUMPLE",H879,0)</f>
        <v>2288.4057591178967</v>
      </c>
      <c r="M879" s="291" t="s">
        <v>275</v>
      </c>
      <c r="N879" s="292" t="s">
        <v>275</v>
      </c>
      <c r="O879" s="292" t="s">
        <v>275</v>
      </c>
      <c r="P879" s="292" t="s">
        <v>275</v>
      </c>
      <c r="Q879" s="312" t="s">
        <v>276</v>
      </c>
      <c r="R879" s="141" t="s">
        <v>393</v>
      </c>
    </row>
    <row r="880" spans="1:18" s="14" customFormat="1" ht="90">
      <c r="A880" s="142" t="s">
        <v>722</v>
      </c>
      <c r="B880" s="365" t="s">
        <v>298</v>
      </c>
      <c r="C880" s="365"/>
      <c r="D880" s="6">
        <v>102676487</v>
      </c>
      <c r="E880" s="31">
        <v>2005</v>
      </c>
      <c r="F880" s="7">
        <f>D880/(VLOOKUP(E880,$D$929:$E$961,2,FALSE))</f>
        <v>269.13889121887286</v>
      </c>
      <c r="G880" s="65">
        <v>0.4</v>
      </c>
      <c r="H880" s="7">
        <f>F880*G880</f>
        <v>107.65555648754915</v>
      </c>
      <c r="I880" s="5">
        <v>38686</v>
      </c>
      <c r="J880" s="12" t="s">
        <v>275</v>
      </c>
      <c r="K880" s="12" t="s">
        <v>275</v>
      </c>
      <c r="L880" s="199">
        <f t="shared" si="95"/>
        <v>107.65555648754915</v>
      </c>
      <c r="M880" s="291" t="s">
        <v>275</v>
      </c>
      <c r="N880" s="292" t="s">
        <v>275</v>
      </c>
      <c r="O880" s="312" t="s">
        <v>275</v>
      </c>
      <c r="P880" s="312" t="s">
        <v>275</v>
      </c>
      <c r="Q880" s="312" t="s">
        <v>275</v>
      </c>
      <c r="R880" s="141"/>
    </row>
    <row r="881" spans="1:18" s="14" customFormat="1" ht="30.6" customHeight="1" thickBot="1">
      <c r="A881" s="346" t="s">
        <v>284</v>
      </c>
      <c r="B881" s="346"/>
      <c r="C881" s="346"/>
      <c r="D881" s="346"/>
      <c r="E881" s="346"/>
      <c r="F881" s="45">
        <f>+SUM(F877:F880)</f>
        <v>4848.7672298822245</v>
      </c>
      <c r="G881" s="45"/>
      <c r="H881" s="45">
        <f>+SUM(H877:H880)</f>
        <v>3083.4280894690824</v>
      </c>
      <c r="I881" s="359"/>
      <c r="J881" s="360"/>
      <c r="K881" s="196"/>
      <c r="L881" s="196"/>
      <c r="M881" s="196"/>
      <c r="N881" s="196"/>
      <c r="O881" s="196"/>
      <c r="P881" s="304"/>
      <c r="Q881" s="304"/>
      <c r="R881" s="37" t="s">
        <v>275</v>
      </c>
    </row>
    <row r="882" spans="1:18" ht="16.5" thickBot="1">
      <c r="A882" s="3"/>
      <c r="B882" s="3"/>
      <c r="C882" s="3"/>
      <c r="D882" s="3"/>
      <c r="E882" s="3"/>
      <c r="F882" s="3"/>
      <c r="G882" s="3"/>
      <c r="H882" s="3"/>
      <c r="I882" s="3"/>
      <c r="J882" s="3"/>
      <c r="K882" s="3"/>
      <c r="L882" s="3"/>
      <c r="M882" s="3"/>
      <c r="N882" s="3"/>
      <c r="O882" s="4"/>
      <c r="P882" s="4"/>
      <c r="Q882" s="4"/>
      <c r="R882" s="4"/>
    </row>
    <row r="883" spans="1:18" ht="36.75" thickBot="1">
      <c r="A883" s="347">
        <f>1+A869</f>
        <v>62</v>
      </c>
      <c r="B883" s="347"/>
      <c r="C883" s="347"/>
      <c r="D883" s="347"/>
      <c r="E883" s="361" t="str">
        <f>VLOOKUP(A883,'REQUISITOS HAB. TECNICOS'!$A$5:$B$66,2,FALSE)</f>
        <v>CONCIC SAS</v>
      </c>
      <c r="F883" s="361"/>
      <c r="G883" s="361"/>
      <c r="H883" s="361"/>
      <c r="I883" s="361"/>
      <c r="J883" s="361"/>
      <c r="K883" s="361"/>
      <c r="L883" s="361"/>
      <c r="M883" s="361"/>
      <c r="N883" s="361"/>
      <c r="O883" s="361"/>
      <c r="P883" s="361"/>
      <c r="Q883" s="361"/>
      <c r="R883" s="361"/>
    </row>
    <row r="884" spans="1:18" ht="50.25" customHeight="1" thickBot="1">
      <c r="A884" s="11" t="s">
        <v>247</v>
      </c>
      <c r="B884" s="76">
        <v>3</v>
      </c>
      <c r="C884" s="288" t="s">
        <v>248</v>
      </c>
      <c r="D884" s="344">
        <f>$D$899</f>
        <v>618.89671538461539</v>
      </c>
      <c r="E884" s="361"/>
      <c r="F884" s="361"/>
      <c r="G884" s="361"/>
      <c r="H884" s="361"/>
      <c r="I884" s="361"/>
      <c r="J884" s="361"/>
      <c r="K884" s="361"/>
      <c r="L884" s="361"/>
      <c r="M884" s="361"/>
      <c r="N884" s="361"/>
      <c r="O884" s="361"/>
      <c r="P884" s="361"/>
      <c r="Q884" s="361"/>
      <c r="R884" s="361"/>
    </row>
    <row r="885" spans="1:18" ht="16.5" thickBot="1">
      <c r="A885" s="348" t="s">
        <v>249</v>
      </c>
      <c r="B885" s="348"/>
      <c r="C885" s="289">
        <f>+AVERAGE(H891:H893)</f>
        <v>1100.0081383204149</v>
      </c>
      <c r="D885" s="345"/>
      <c r="E885" s="361"/>
      <c r="F885" s="361"/>
      <c r="G885" s="361"/>
      <c r="H885" s="361"/>
      <c r="I885" s="361"/>
      <c r="J885" s="361"/>
      <c r="K885" s="361"/>
      <c r="L885" s="361"/>
      <c r="M885" s="361"/>
      <c r="N885" s="361"/>
      <c r="O885" s="361"/>
      <c r="P885" s="361"/>
      <c r="Q885" s="361"/>
      <c r="R885" s="361"/>
    </row>
    <row r="886" spans="1:18" ht="16.5" thickBot="1">
      <c r="A886" s="349" t="s">
        <v>250</v>
      </c>
      <c r="B886" s="349"/>
      <c r="C886" s="350">
        <v>45631</v>
      </c>
      <c r="D886" s="350"/>
      <c r="E886" s="361"/>
      <c r="F886" s="361"/>
      <c r="G886" s="361"/>
      <c r="H886" s="361"/>
      <c r="I886" s="361"/>
      <c r="J886" s="361"/>
      <c r="K886" s="361"/>
      <c r="L886" s="361"/>
      <c r="M886" s="361"/>
      <c r="N886" s="361"/>
      <c r="O886" s="361"/>
      <c r="P886" s="361"/>
      <c r="Q886" s="361"/>
      <c r="R886" s="361"/>
    </row>
    <row r="887" spans="1:18" ht="16.5" thickBot="1">
      <c r="A887" s="351" t="s">
        <v>251</v>
      </c>
      <c r="B887" s="351"/>
      <c r="C887" s="352" t="str">
        <f>+IF(H894&gt;D884,"CUMPLE","NO CUMPLE")</f>
        <v>CUMPLE</v>
      </c>
      <c r="D887" s="352"/>
      <c r="E887" s="361"/>
      <c r="F887" s="361"/>
      <c r="G887" s="361"/>
      <c r="H887" s="361"/>
      <c r="I887" s="361"/>
      <c r="J887" s="361"/>
      <c r="K887" s="361"/>
      <c r="L887" s="361"/>
      <c r="M887" s="361"/>
      <c r="N887" s="361"/>
      <c r="O887" s="361"/>
      <c r="P887" s="361"/>
      <c r="Q887" s="361"/>
      <c r="R887" s="361"/>
    </row>
    <row r="888" spans="1:18" ht="48" thickBot="1">
      <c r="A888" s="353" t="s">
        <v>252</v>
      </c>
      <c r="B888" s="353"/>
      <c r="C888" s="353"/>
      <c r="D888" s="353"/>
      <c r="E888" s="353"/>
      <c r="F888" s="353"/>
      <c r="G888" s="311"/>
      <c r="H888" s="311"/>
      <c r="I888" s="143" t="s">
        <v>253</v>
      </c>
      <c r="J888" s="305" t="s">
        <v>254</v>
      </c>
      <c r="K888" s="363" t="s">
        <v>255</v>
      </c>
      <c r="L888" s="364"/>
      <c r="M888" s="357" t="s">
        <v>256</v>
      </c>
      <c r="N888" s="357" t="s">
        <v>257</v>
      </c>
      <c r="O888" s="357" t="s">
        <v>258</v>
      </c>
      <c r="P888" s="357" t="s">
        <v>259</v>
      </c>
      <c r="Q888" s="357" t="s">
        <v>260</v>
      </c>
      <c r="R888" s="362" t="s">
        <v>261</v>
      </c>
    </row>
    <row r="889" spans="1:18" ht="47.25">
      <c r="A889" s="144" t="s">
        <v>262</v>
      </c>
      <c r="B889" s="354" t="s">
        <v>263</v>
      </c>
      <c r="C889" s="354"/>
      <c r="D889" s="145" t="s">
        <v>264</v>
      </c>
      <c r="E889" s="145" t="s">
        <v>265</v>
      </c>
      <c r="F889" s="145" t="s">
        <v>266</v>
      </c>
      <c r="G889" s="146" t="s">
        <v>267</v>
      </c>
      <c r="H889" s="146" t="s">
        <v>268</v>
      </c>
      <c r="I889" s="147" t="s">
        <v>269</v>
      </c>
      <c r="J889" s="147" t="s">
        <v>270</v>
      </c>
      <c r="K889" s="198" t="s">
        <v>271</v>
      </c>
      <c r="L889" s="198" t="s">
        <v>272</v>
      </c>
      <c r="M889" s="358"/>
      <c r="N889" s="358"/>
      <c r="O889" s="358"/>
      <c r="P889" s="358"/>
      <c r="Q889" s="358"/>
      <c r="R889" s="362"/>
    </row>
    <row r="890" spans="1:18">
      <c r="A890" s="34" t="str">
        <f>'LISTA DE OFERENTES'!B65</f>
        <v>CONCIC SAS</v>
      </c>
      <c r="B890" s="35"/>
      <c r="C890" s="35"/>
      <c r="D890" s="35"/>
      <c r="E890" s="35"/>
      <c r="F890" s="35"/>
      <c r="G890" s="35"/>
      <c r="H890" s="35"/>
      <c r="I890" s="35"/>
      <c r="J890" s="35"/>
      <c r="K890" s="35"/>
      <c r="L890" s="35"/>
      <c r="M890" s="35"/>
      <c r="N890" s="35"/>
      <c r="O890" s="35"/>
      <c r="P890" s="35"/>
      <c r="Q890" s="35"/>
      <c r="R890" s="36"/>
    </row>
    <row r="891" spans="1:18" s="14" customFormat="1" ht="75">
      <c r="A891" s="178" t="s">
        <v>723</v>
      </c>
      <c r="B891" s="343" t="s">
        <v>274</v>
      </c>
      <c r="C891" s="343"/>
      <c r="D891" s="179">
        <v>3121715915</v>
      </c>
      <c r="E891" s="208">
        <v>2014</v>
      </c>
      <c r="F891" s="180">
        <f>D891/(VLOOKUP(E891,$D$929:$E$961,2,FALSE))</f>
        <v>5067.7206412337664</v>
      </c>
      <c r="G891" s="209">
        <v>0.6</v>
      </c>
      <c r="H891" s="180">
        <f>F891*G891</f>
        <v>3040.6323847402596</v>
      </c>
      <c r="I891" s="210">
        <v>41882</v>
      </c>
      <c r="J891" s="213" t="s">
        <v>275</v>
      </c>
      <c r="K891" s="213" t="s">
        <v>275</v>
      </c>
      <c r="L891" s="212">
        <f>IF(K891="CUMPLE",H891,0)</f>
        <v>3040.6323847402596</v>
      </c>
      <c r="M891" s="213" t="s">
        <v>275</v>
      </c>
      <c r="N891" s="213" t="s">
        <v>275</v>
      </c>
      <c r="O891" s="303" t="s">
        <v>275</v>
      </c>
      <c r="P891" s="303" t="s">
        <v>275</v>
      </c>
      <c r="Q891" s="303" t="s">
        <v>276</v>
      </c>
      <c r="R891" s="216" t="s">
        <v>393</v>
      </c>
    </row>
    <row r="892" spans="1:18" s="14" customFormat="1" ht="150.75" customHeight="1">
      <c r="A892" s="181" t="s">
        <v>724</v>
      </c>
      <c r="B892" s="343" t="s">
        <v>725</v>
      </c>
      <c r="C892" s="343"/>
      <c r="D892" s="179">
        <v>921903135</v>
      </c>
      <c r="E892" s="208">
        <v>2020</v>
      </c>
      <c r="F892" s="180">
        <f>D892/(VLOOKUP(E892,$D$929:$E$961,2,FALSE))</f>
        <v>1050.239216544031</v>
      </c>
      <c r="G892" s="215">
        <v>0.1</v>
      </c>
      <c r="H892" s="180">
        <f>F892*G892</f>
        <v>105.02392165440311</v>
      </c>
      <c r="I892" s="210">
        <v>44033</v>
      </c>
      <c r="J892" s="213" t="s">
        <v>275</v>
      </c>
      <c r="K892" s="213" t="s">
        <v>275</v>
      </c>
      <c r="L892" s="212">
        <f t="shared" ref="L892:L893" si="96">IF(K892="CUMPLE",H892,0)</f>
        <v>105.02392165440311</v>
      </c>
      <c r="M892" s="213" t="s">
        <v>275</v>
      </c>
      <c r="N892" s="213" t="s">
        <v>275</v>
      </c>
      <c r="O892" s="303" t="s">
        <v>275</v>
      </c>
      <c r="P892" s="303" t="s">
        <v>275</v>
      </c>
      <c r="Q892" s="303" t="s">
        <v>276</v>
      </c>
      <c r="R892" s="216" t="s">
        <v>393</v>
      </c>
    </row>
    <row r="893" spans="1:18" s="14" customFormat="1" ht="119.25" customHeight="1">
      <c r="A893" s="181" t="s">
        <v>726</v>
      </c>
      <c r="B893" s="343" t="s">
        <v>727</v>
      </c>
      <c r="C893" s="343"/>
      <c r="D893" s="179">
        <v>910000000</v>
      </c>
      <c r="E893" s="208">
        <v>2013</v>
      </c>
      <c r="F893" s="180">
        <f>D893/(VLOOKUP(E893,$D$929:$E$961,2,FALSE))</f>
        <v>1543.6810856658185</v>
      </c>
      <c r="G893" s="215">
        <v>0.1</v>
      </c>
      <c r="H893" s="180">
        <f>F893*G893</f>
        <v>154.36810856658187</v>
      </c>
      <c r="I893" s="210">
        <v>41361</v>
      </c>
      <c r="J893" s="213" t="s">
        <v>275</v>
      </c>
      <c r="K893" s="213" t="s">
        <v>275</v>
      </c>
      <c r="L893" s="212">
        <f t="shared" si="96"/>
        <v>154.36810856658187</v>
      </c>
      <c r="M893" s="213" t="s">
        <v>275</v>
      </c>
      <c r="N893" s="213" t="s">
        <v>276</v>
      </c>
      <c r="O893" s="303" t="s">
        <v>276</v>
      </c>
      <c r="P893" s="303" t="s">
        <v>276</v>
      </c>
      <c r="Q893" s="303" t="s">
        <v>276</v>
      </c>
      <c r="R893" s="216" t="s">
        <v>728</v>
      </c>
    </row>
    <row r="894" spans="1:18" s="14" customFormat="1" ht="30.6" customHeight="1" thickBot="1">
      <c r="A894" s="346" t="s">
        <v>284</v>
      </c>
      <c r="B894" s="346"/>
      <c r="C894" s="346"/>
      <c r="D894" s="346"/>
      <c r="E894" s="346"/>
      <c r="F894" s="45">
        <f>+SUM(F891:F893)</f>
        <v>7661.6409434436164</v>
      </c>
      <c r="G894" s="45"/>
      <c r="H894" s="45">
        <f>+SUM(H891:H893)</f>
        <v>3300.0244149612445</v>
      </c>
      <c r="I894" s="359"/>
      <c r="J894" s="360"/>
      <c r="K894" s="196"/>
      <c r="L894" s="196"/>
      <c r="M894" s="196"/>
      <c r="N894" s="196"/>
      <c r="O894" s="196"/>
      <c r="P894" s="304"/>
      <c r="Q894" s="304"/>
      <c r="R894" s="37" t="s">
        <v>276</v>
      </c>
    </row>
    <row r="895" spans="1:18">
      <c r="A895" s="3"/>
      <c r="B895" s="3"/>
      <c r="C895" s="3"/>
      <c r="D895" s="3"/>
      <c r="E895" s="3"/>
      <c r="F895" s="3"/>
      <c r="G895" s="3"/>
      <c r="H895" s="3"/>
      <c r="I895" s="3"/>
      <c r="J895" s="3"/>
      <c r="K895" s="3"/>
      <c r="L895" s="3"/>
      <c r="M895" s="3"/>
      <c r="N895" s="3"/>
      <c r="O895" s="4"/>
      <c r="P895" s="4"/>
      <c r="Q895" s="4"/>
      <c r="R895" s="4"/>
    </row>
    <row r="896" spans="1:18" ht="73.5" customHeight="1">
      <c r="A896" s="3"/>
      <c r="B896" s="3"/>
      <c r="C896" s="3"/>
      <c r="D896" s="3"/>
      <c r="E896" s="3"/>
      <c r="F896" s="3"/>
      <c r="G896" s="3"/>
      <c r="H896" s="3"/>
      <c r="I896" s="3"/>
      <c r="J896" s="3"/>
      <c r="K896" s="3"/>
      <c r="L896" s="3"/>
      <c r="M896" s="3"/>
      <c r="N896" s="3"/>
      <c r="O896" s="4"/>
      <c r="P896" s="4"/>
      <c r="Q896" s="4"/>
      <c r="R896" s="4"/>
    </row>
    <row r="897" spans="1:25" ht="16.5" thickBot="1">
      <c r="A897" s="3"/>
      <c r="B897" s="3"/>
      <c r="C897" s="3"/>
      <c r="D897" s="3"/>
      <c r="E897" s="3"/>
      <c r="F897" s="3"/>
      <c r="G897" s="3"/>
      <c r="H897" s="3"/>
      <c r="I897" s="3"/>
      <c r="J897" s="3"/>
      <c r="K897" s="3"/>
      <c r="L897" s="3"/>
      <c r="M897" s="3"/>
      <c r="N897" s="3"/>
      <c r="O897" s="4"/>
      <c r="P897" s="4"/>
      <c r="Q897" s="4"/>
      <c r="R897" s="4"/>
    </row>
    <row r="898" spans="1:25" ht="24" thickBot="1">
      <c r="A898" s="388" t="s">
        <v>729</v>
      </c>
      <c r="B898" s="389"/>
      <c r="C898" s="390"/>
      <c r="D898" s="159" t="s">
        <v>730</v>
      </c>
      <c r="E898" s="59"/>
      <c r="F898" s="3"/>
      <c r="G898" s="3"/>
      <c r="H898" s="3"/>
      <c r="I898" s="3"/>
      <c r="J898" s="4"/>
      <c r="K898" s="4"/>
      <c r="L898" s="4"/>
      <c r="M898" s="4"/>
      <c r="N898" s="4"/>
    </row>
    <row r="899" spans="1:25" ht="24" thickBot="1">
      <c r="A899" s="157" t="s">
        <v>731</v>
      </c>
      <c r="B899" s="386">
        <v>804565730</v>
      </c>
      <c r="C899" s="387"/>
      <c r="D899" s="158">
        <f>+$B$899/$E$962</f>
        <v>618.89671538461539</v>
      </c>
      <c r="E899" s="60"/>
      <c r="F899" s="44"/>
      <c r="G899" s="44"/>
      <c r="H899" s="44"/>
      <c r="I899" s="3"/>
      <c r="J899" s="4"/>
      <c r="K899" s="4"/>
      <c r="L899" s="4"/>
      <c r="M899" s="4"/>
      <c r="N899" s="4"/>
    </row>
    <row r="900" spans="1:25" ht="21">
      <c r="A900" s="156"/>
      <c r="B900" s="18"/>
      <c r="C900" s="15"/>
      <c r="D900" s="16"/>
      <c r="E900" s="16"/>
      <c r="F900" s="15"/>
      <c r="G900" s="15"/>
      <c r="H900" s="15"/>
      <c r="I900" s="17"/>
      <c r="J900" s="3"/>
      <c r="K900" s="3"/>
      <c r="L900" s="3"/>
      <c r="M900" s="3"/>
      <c r="N900" s="3"/>
      <c r="O900" s="4"/>
      <c r="P900" s="4"/>
      <c r="Q900" s="4"/>
      <c r="R900" s="4"/>
    </row>
    <row r="901" spans="1:25" s="39" customFormat="1" ht="23.25">
      <c r="S901" s="313"/>
      <c r="T901" s="14"/>
      <c r="U901" s="313"/>
      <c r="V901" s="313"/>
      <c r="W901" s="313"/>
      <c r="X901" s="313"/>
      <c r="Y901" s="313"/>
    </row>
    <row r="902" spans="1:25" s="39" customFormat="1" ht="23.25">
      <c r="S902" s="313"/>
      <c r="T902" s="14"/>
      <c r="U902" s="313"/>
      <c r="V902" s="313"/>
      <c r="W902" s="313"/>
      <c r="X902" s="313"/>
      <c r="Y902" s="313"/>
    </row>
    <row r="903" spans="1:25" s="39" customFormat="1" ht="23.25">
      <c r="S903" s="313"/>
      <c r="T903" s="14"/>
      <c r="U903" s="313"/>
      <c r="V903" s="313"/>
      <c r="W903" s="313"/>
      <c r="X903" s="313"/>
      <c r="Y903" s="313"/>
    </row>
    <row r="904" spans="1:25" s="39" customFormat="1" ht="23.25">
      <c r="A904" s="382" t="s">
        <v>732</v>
      </c>
      <c r="B904" s="371"/>
      <c r="C904" s="371"/>
      <c r="D904" s="371"/>
      <c r="E904" s="371"/>
      <c r="F904" s="371"/>
      <c r="G904" s="371"/>
      <c r="H904" s="371"/>
      <c r="I904" s="371"/>
      <c r="J904" s="371"/>
      <c r="K904" s="371"/>
      <c r="L904" s="371"/>
      <c r="M904" s="19"/>
      <c r="N904" s="19"/>
      <c r="O904" s="313"/>
      <c r="P904" s="313"/>
      <c r="Q904" s="313"/>
      <c r="R904" s="313"/>
      <c r="S904" s="313"/>
      <c r="T904" s="14"/>
      <c r="U904" s="313"/>
      <c r="V904" s="313"/>
      <c r="W904" s="313"/>
    </row>
    <row r="905" spans="1:25" s="39" customFormat="1" ht="23.25">
      <c r="A905" s="46"/>
      <c r="B905" s="46"/>
      <c r="C905" s="313"/>
      <c r="D905" s="1"/>
      <c r="E905" s="1"/>
      <c r="F905" s="308"/>
      <c r="G905" s="308"/>
      <c r="H905" s="308"/>
      <c r="I905" s="308"/>
      <c r="J905" s="308"/>
      <c r="K905" s="308"/>
      <c r="L905" s="308"/>
      <c r="M905" s="308"/>
      <c r="N905" s="308"/>
      <c r="O905" s="19"/>
      <c r="P905" s="19"/>
      <c r="Q905" s="19"/>
      <c r="R905" s="19"/>
      <c r="T905" s="14"/>
    </row>
    <row r="906" spans="1:25" s="39" customFormat="1" ht="23.25">
      <c r="A906" s="384" t="s">
        <v>733</v>
      </c>
      <c r="B906" s="384"/>
      <c r="C906" s="384"/>
      <c r="D906" s="384"/>
      <c r="E906" s="384"/>
      <c r="F906" s="384"/>
      <c r="G906" s="384"/>
      <c r="H906" s="384"/>
      <c r="I906" s="384"/>
      <c r="J906" s="384"/>
      <c r="K906" s="384"/>
      <c r="L906" s="384"/>
      <c r="M906" s="384"/>
      <c r="N906" s="384"/>
      <c r="O906" s="384"/>
      <c r="P906" s="384"/>
      <c r="Q906" s="384"/>
      <c r="R906" s="384"/>
      <c r="T906" s="14"/>
    </row>
    <row r="907" spans="1:25" s="39" customFormat="1" ht="32.25">
      <c r="A907" s="61" t="s">
        <v>734</v>
      </c>
      <c r="B907" s="309"/>
      <c r="C907" s="309"/>
      <c r="D907" s="309"/>
      <c r="E907" s="309"/>
      <c r="F907" s="309"/>
      <c r="G907" s="309"/>
      <c r="H907" s="309"/>
      <c r="I907" s="309"/>
      <c r="J907" s="309"/>
      <c r="K907" s="309"/>
      <c r="L907" s="309"/>
      <c r="M907" s="309"/>
      <c r="N907" s="309"/>
      <c r="O907" s="309"/>
      <c r="P907" s="309"/>
      <c r="Q907" s="309"/>
      <c r="R907" s="309"/>
      <c r="T907" s="14"/>
    </row>
    <row r="908" spans="1:25" s="39" customFormat="1" ht="23.25">
      <c r="A908" s="371" t="s">
        <v>735</v>
      </c>
      <c r="B908" s="371"/>
      <c r="C908" s="371"/>
      <c r="D908" s="371"/>
      <c r="E908" s="371"/>
      <c r="F908" s="371"/>
      <c r="G908" s="371"/>
      <c r="H908" s="371"/>
      <c r="I908" s="371"/>
      <c r="J908" s="371"/>
      <c r="K908" s="371"/>
      <c r="L908" s="371"/>
      <c r="M908" s="19"/>
      <c r="N908" s="19"/>
      <c r="O908" s="19"/>
      <c r="P908" s="19"/>
      <c r="Q908" s="19"/>
      <c r="R908" s="19"/>
      <c r="T908" s="14"/>
    </row>
    <row r="909" spans="1:25" s="39" customFormat="1" ht="23.25">
      <c r="A909" s="371" t="s">
        <v>736</v>
      </c>
      <c r="B909" s="371"/>
      <c r="C909" s="371"/>
      <c r="D909" s="371"/>
      <c r="E909" s="371"/>
      <c r="F909" s="371"/>
      <c r="G909" s="371"/>
      <c r="H909" s="371"/>
      <c r="I909" s="371"/>
      <c r="J909" s="371"/>
      <c r="K909" s="371"/>
      <c r="L909" s="371"/>
      <c r="M909" s="19"/>
      <c r="N909" s="19"/>
      <c r="O909" s="19"/>
      <c r="P909" s="19"/>
      <c r="Q909" s="19"/>
      <c r="R909" s="19"/>
      <c r="T909" s="14"/>
    </row>
    <row r="910" spans="1:25" s="39" customFormat="1" ht="23.25">
      <c r="A910" s="371"/>
      <c r="B910" s="371"/>
      <c r="C910" s="371"/>
      <c r="D910" s="371"/>
      <c r="E910" s="371"/>
      <c r="F910" s="371"/>
      <c r="G910" s="371"/>
      <c r="H910" s="371"/>
      <c r="I910" s="371"/>
      <c r="J910" s="371"/>
      <c r="K910" s="371"/>
      <c r="L910" s="371"/>
      <c r="M910" s="19"/>
      <c r="N910" s="19"/>
      <c r="O910" s="19"/>
      <c r="P910" s="19"/>
      <c r="Q910" s="19"/>
      <c r="R910" s="19"/>
      <c r="T910" s="14"/>
    </row>
    <row r="911" spans="1:25" s="39" customFormat="1" ht="23.25">
      <c r="A911" s="371" t="s">
        <v>737</v>
      </c>
      <c r="B911" s="371"/>
      <c r="C911" s="371"/>
      <c r="D911" s="371"/>
      <c r="E911" s="371"/>
      <c r="F911" s="371"/>
      <c r="G911" s="371"/>
      <c r="H911" s="371"/>
      <c r="I911" s="371"/>
      <c r="J911" s="371"/>
      <c r="K911" s="371"/>
      <c r="L911" s="371"/>
      <c r="M911" s="19"/>
      <c r="N911" s="19"/>
      <c r="O911" s="19"/>
      <c r="P911" s="19"/>
      <c r="Q911" s="19"/>
      <c r="R911" s="19"/>
      <c r="T911" s="14"/>
    </row>
    <row r="912" spans="1:25" s="39" customFormat="1" ht="23.25">
      <c r="A912" s="371" t="s">
        <v>738</v>
      </c>
      <c r="B912" s="371"/>
      <c r="C912" s="371"/>
      <c r="D912" s="371"/>
      <c r="E912" s="371"/>
      <c r="F912" s="371"/>
      <c r="G912" s="371"/>
      <c r="H912" s="371"/>
      <c r="I912" s="371"/>
      <c r="J912" s="371"/>
      <c r="K912" s="371"/>
      <c r="L912" s="371"/>
      <c r="M912" s="19"/>
      <c r="N912" s="19"/>
      <c r="O912" s="19"/>
      <c r="P912" s="19"/>
      <c r="Q912" s="19"/>
      <c r="R912" s="19"/>
      <c r="T912" s="14"/>
    </row>
    <row r="913" spans="1:20" s="39" customFormat="1" ht="32.25">
      <c r="A913" s="61" t="s">
        <v>739</v>
      </c>
      <c r="B913" s="306"/>
      <c r="C913" s="306"/>
      <c r="D913" s="306"/>
      <c r="E913" s="306"/>
      <c r="F913" s="306"/>
      <c r="G913" s="306"/>
      <c r="H913" s="306"/>
      <c r="I913" s="306"/>
      <c r="J913" s="306"/>
      <c r="K913" s="306"/>
      <c r="L913" s="306"/>
      <c r="M913" s="19"/>
      <c r="N913" s="19"/>
      <c r="O913" s="19"/>
      <c r="P913" s="19"/>
      <c r="Q913" s="19"/>
      <c r="R913" s="19"/>
      <c r="T913" s="14"/>
    </row>
    <row r="914" spans="1:20" s="39" customFormat="1" ht="23.25">
      <c r="A914" s="372" t="s">
        <v>740</v>
      </c>
      <c r="B914" s="371"/>
      <c r="C914" s="371"/>
      <c r="D914" s="371"/>
      <c r="E914" s="371"/>
      <c r="F914" s="371"/>
      <c r="G914" s="371"/>
      <c r="H914" s="371"/>
      <c r="I914" s="371"/>
      <c r="J914" s="371"/>
      <c r="K914" s="371"/>
      <c r="L914" s="371"/>
      <c r="M914" s="19"/>
      <c r="N914" s="19"/>
      <c r="O914" s="19"/>
      <c r="P914" s="19"/>
      <c r="Q914" s="19"/>
      <c r="R914" s="19"/>
      <c r="T914" s="14"/>
    </row>
    <row r="915" spans="1:20" s="39" customFormat="1" ht="23.25">
      <c r="A915" s="372" t="s">
        <v>741</v>
      </c>
      <c r="B915" s="372"/>
      <c r="C915" s="372"/>
      <c r="D915" s="372"/>
      <c r="E915" s="372"/>
      <c r="F915" s="372"/>
      <c r="G915" s="372"/>
      <c r="H915" s="372"/>
      <c r="I915" s="372"/>
      <c r="J915" s="372"/>
      <c r="K915" s="307"/>
      <c r="L915" s="306"/>
      <c r="M915" s="19"/>
      <c r="N915" s="19"/>
      <c r="O915" s="19"/>
      <c r="P915" s="19"/>
      <c r="Q915" s="19"/>
      <c r="R915" s="19"/>
      <c r="T915" s="14"/>
    </row>
    <row r="916" spans="1:20" s="39" customFormat="1" ht="23.25">
      <c r="A916" s="371" t="s">
        <v>742</v>
      </c>
      <c r="B916" s="371"/>
      <c r="C916" s="371"/>
      <c r="D916" s="371"/>
      <c r="E916" s="371"/>
      <c r="F916" s="371"/>
      <c r="G916" s="371"/>
      <c r="H916" s="371"/>
      <c r="I916" s="371"/>
      <c r="J916" s="371"/>
      <c r="K916" s="371"/>
      <c r="L916" s="371"/>
      <c r="M916" s="19"/>
      <c r="N916" s="19"/>
      <c r="O916" s="19"/>
      <c r="P916" s="19"/>
      <c r="Q916" s="19"/>
      <c r="R916" s="19"/>
      <c r="T916" s="14"/>
    </row>
    <row r="917" spans="1:20" s="39" customFormat="1" ht="23.25">
      <c r="A917" s="372" t="s">
        <v>743</v>
      </c>
      <c r="B917" s="371"/>
      <c r="C917" s="371"/>
      <c r="D917" s="371"/>
      <c r="E917" s="371"/>
      <c r="F917" s="371"/>
      <c r="G917" s="371"/>
      <c r="H917" s="371"/>
      <c r="I917" s="371"/>
      <c r="J917" s="371"/>
      <c r="K917" s="371"/>
      <c r="L917" s="371"/>
      <c r="M917" s="19"/>
      <c r="N917" s="19"/>
      <c r="O917" s="19"/>
      <c r="P917" s="19"/>
      <c r="Q917" s="19"/>
      <c r="R917" s="19"/>
      <c r="T917" s="14"/>
    </row>
    <row r="918" spans="1:20" s="39" customFormat="1" ht="23.25">
      <c r="A918" s="372"/>
      <c r="B918" s="372"/>
      <c r="C918" s="372"/>
      <c r="D918" s="372"/>
      <c r="E918" s="372"/>
      <c r="F918" s="372"/>
      <c r="G918" s="372"/>
      <c r="H918" s="372"/>
      <c r="I918" s="372"/>
      <c r="J918" s="372"/>
      <c r="K918" s="307"/>
      <c r="L918" s="306"/>
      <c r="M918" s="19"/>
      <c r="N918" s="19"/>
      <c r="O918" s="19"/>
      <c r="P918" s="19"/>
      <c r="Q918" s="19"/>
      <c r="R918" s="19"/>
      <c r="T918" s="14"/>
    </row>
    <row r="919" spans="1:20" s="39" customFormat="1" ht="23.25">
      <c r="A919" s="385" t="s">
        <v>744</v>
      </c>
      <c r="B919" s="385"/>
      <c r="C919" s="385"/>
      <c r="D919" s="385"/>
      <c r="E919" s="385"/>
      <c r="F919" s="385"/>
      <c r="G919" s="385"/>
      <c r="H919" s="385"/>
      <c r="I919" s="385"/>
      <c r="J919" s="385"/>
      <c r="K919" s="385"/>
      <c r="L919" s="385"/>
      <c r="M919" s="19"/>
      <c r="N919" s="19"/>
      <c r="O919" s="19"/>
      <c r="P919" s="19"/>
      <c r="Q919" s="19"/>
      <c r="R919" s="19"/>
      <c r="T919" s="14"/>
    </row>
    <row r="920" spans="1:20" s="39" customFormat="1" ht="23.25">
      <c r="A920" s="371"/>
      <c r="B920" s="371"/>
      <c r="C920" s="371"/>
      <c r="D920" s="371"/>
      <c r="E920" s="371"/>
      <c r="F920" s="371"/>
      <c r="G920" s="371"/>
      <c r="H920" s="371"/>
      <c r="I920" s="371"/>
      <c r="J920" s="371"/>
      <c r="K920" s="306"/>
      <c r="L920" s="308"/>
      <c r="M920" s="19"/>
      <c r="N920" s="19"/>
      <c r="O920" s="19"/>
      <c r="P920" s="19"/>
      <c r="Q920" s="19"/>
      <c r="R920" s="19"/>
      <c r="T920" s="14"/>
    </row>
    <row r="921" spans="1:20" s="39" customFormat="1" ht="23.25">
      <c r="A921" s="382" t="s">
        <v>745</v>
      </c>
      <c r="B921" s="382"/>
      <c r="C921" s="382"/>
      <c r="D921" s="382"/>
      <c r="E921" s="382"/>
      <c r="F921" s="382"/>
      <c r="G921" s="382"/>
      <c r="H921" s="382"/>
      <c r="I921" s="382"/>
      <c r="J921" s="382"/>
      <c r="K921" s="382"/>
      <c r="L921" s="382"/>
      <c r="M921" s="19"/>
      <c r="N921" s="19"/>
      <c r="O921" s="19"/>
      <c r="P921" s="19"/>
      <c r="Q921" s="19"/>
      <c r="R921" s="19"/>
      <c r="T921" s="14"/>
    </row>
    <row r="922" spans="1:20" s="39" customFormat="1" ht="23.25">
      <c r="A922" s="383" t="s">
        <v>746</v>
      </c>
      <c r="B922" s="383"/>
      <c r="C922" s="383"/>
      <c r="D922" s="383"/>
      <c r="E922" s="383"/>
      <c r="F922" s="383"/>
      <c r="G922" s="383"/>
      <c r="H922" s="383"/>
      <c r="I922" s="383"/>
      <c r="J922" s="383"/>
      <c r="K922" s="383"/>
      <c r="L922" s="383"/>
      <c r="M922" s="19"/>
      <c r="N922" s="19"/>
      <c r="O922" s="19"/>
      <c r="P922" s="19"/>
      <c r="Q922" s="19"/>
      <c r="R922" s="19"/>
      <c r="T922" s="14"/>
    </row>
    <row r="923" spans="1:20" s="39" customFormat="1" ht="23.25">
      <c r="A923" s="383" t="s">
        <v>747</v>
      </c>
      <c r="B923" s="383"/>
      <c r="C923" s="383"/>
      <c r="D923" s="383"/>
      <c r="E923" s="383"/>
      <c r="F923" s="383"/>
      <c r="G923" s="383"/>
      <c r="H923" s="383"/>
      <c r="I923" s="383"/>
      <c r="J923" s="383"/>
      <c r="K923" s="383"/>
      <c r="L923" s="383"/>
      <c r="M923" s="19"/>
      <c r="N923" s="19"/>
      <c r="O923" s="19"/>
      <c r="P923" s="19"/>
      <c r="Q923" s="19"/>
      <c r="R923" s="19"/>
      <c r="T923" s="14"/>
    </row>
    <row r="924" spans="1:20" s="39" customFormat="1" ht="23.25">
      <c r="A924" s="383" t="s">
        <v>748</v>
      </c>
      <c r="B924" s="383"/>
      <c r="C924" s="383"/>
      <c r="D924" s="383"/>
      <c r="E924" s="383"/>
      <c r="F924" s="383"/>
      <c r="G924" s="383"/>
      <c r="H924" s="383"/>
      <c r="I924" s="383"/>
      <c r="J924" s="383"/>
      <c r="K924" s="383"/>
      <c r="L924" s="383"/>
      <c r="M924" s="19"/>
      <c r="N924" s="19"/>
      <c r="O924" s="19"/>
      <c r="P924" s="19"/>
      <c r="Q924" s="19"/>
      <c r="R924" s="19"/>
      <c r="T924" s="14"/>
    </row>
    <row r="925" spans="1:20" s="39" customFormat="1" ht="23.25">
      <c r="A925" s="382" t="s">
        <v>749</v>
      </c>
      <c r="B925" s="382"/>
      <c r="C925" s="382"/>
      <c r="D925" s="382"/>
      <c r="E925" s="382"/>
      <c r="F925" s="382"/>
      <c r="G925" s="382"/>
      <c r="H925" s="382"/>
      <c r="I925" s="382"/>
      <c r="J925" s="382"/>
      <c r="K925" s="382"/>
      <c r="L925" s="382"/>
      <c r="M925" s="19"/>
      <c r="N925" s="19"/>
      <c r="O925" s="19"/>
      <c r="P925" s="19"/>
      <c r="Q925" s="19"/>
      <c r="R925" s="19"/>
      <c r="T925" s="14"/>
    </row>
    <row r="926" spans="1:20" ht="21">
      <c r="A926" s="18"/>
      <c r="B926" s="15"/>
      <c r="C926" s="16"/>
      <c r="D926" s="16"/>
      <c r="E926" s="15"/>
      <c r="F926" s="17"/>
      <c r="G926" s="17"/>
      <c r="H926" s="17"/>
      <c r="I926" s="3"/>
      <c r="J926" s="3"/>
      <c r="K926" s="3"/>
      <c r="L926" s="3"/>
      <c r="M926" s="4"/>
      <c r="N926" s="4"/>
      <c r="O926" s="4"/>
      <c r="P926" s="4"/>
      <c r="Q926" s="4"/>
    </row>
    <row r="927" spans="1:20" ht="24" thickBot="1">
      <c r="A927" s="19"/>
      <c r="B927" s="19"/>
      <c r="C927" s="20"/>
      <c r="D927" s="20"/>
      <c r="E927" s="20"/>
      <c r="F927" s="381"/>
      <c r="G927" s="381"/>
      <c r="H927" s="381"/>
      <c r="I927" s="381"/>
      <c r="M927" s="19"/>
      <c r="N927" s="19"/>
      <c r="O927" s="19"/>
      <c r="P927" s="19"/>
      <c r="Q927" s="19"/>
      <c r="R927" s="19"/>
    </row>
    <row r="928" spans="1:20" ht="24" thickBot="1">
      <c r="D928" s="115" t="s">
        <v>750</v>
      </c>
      <c r="E928" s="2" t="s">
        <v>751</v>
      </c>
      <c r="F928" s="55"/>
      <c r="G928" s="55"/>
      <c r="H928" s="55"/>
      <c r="M928" s="19"/>
      <c r="N928" s="19"/>
      <c r="O928" s="19"/>
      <c r="P928" s="19"/>
      <c r="Q928" s="19"/>
      <c r="R928" s="19"/>
    </row>
    <row r="929" spans="4:18" ht="23.25">
      <c r="D929" s="73">
        <v>1991</v>
      </c>
      <c r="E929" s="74">
        <v>51720</v>
      </c>
      <c r="F929" s="54"/>
      <c r="G929" s="54"/>
      <c r="H929" s="54"/>
      <c r="M929" s="19"/>
      <c r="N929" s="19"/>
      <c r="O929" s="19"/>
      <c r="P929" s="19"/>
      <c r="Q929" s="19"/>
      <c r="R929" s="19"/>
    </row>
    <row r="930" spans="4:18" ht="23.25">
      <c r="D930" s="53">
        <v>1992</v>
      </c>
      <c r="E930" s="56">
        <v>65190</v>
      </c>
      <c r="F930" s="54"/>
      <c r="G930" s="54"/>
      <c r="H930" s="54"/>
      <c r="M930" s="19"/>
      <c r="N930" s="19"/>
      <c r="O930" s="19"/>
      <c r="P930" s="19"/>
      <c r="Q930" s="19"/>
      <c r="R930" s="19"/>
    </row>
    <row r="931" spans="4:18" ht="23.25">
      <c r="D931" s="53">
        <v>1993</v>
      </c>
      <c r="E931" s="56">
        <v>81510</v>
      </c>
      <c r="F931" s="54"/>
      <c r="G931" s="54"/>
      <c r="H931" s="54"/>
      <c r="M931" s="19"/>
      <c r="N931" s="19"/>
      <c r="O931" s="19"/>
      <c r="P931" s="19"/>
      <c r="Q931" s="19"/>
      <c r="R931" s="19"/>
    </row>
    <row r="932" spans="4:18" ht="23.25">
      <c r="D932" s="53">
        <v>1994</v>
      </c>
      <c r="E932" s="56">
        <v>98700</v>
      </c>
      <c r="F932" s="54"/>
      <c r="G932" s="54"/>
      <c r="H932" s="54"/>
      <c r="M932" s="19"/>
      <c r="N932" s="19"/>
      <c r="O932" s="19"/>
      <c r="P932" s="19"/>
      <c r="Q932" s="19"/>
      <c r="R932" s="19"/>
    </row>
    <row r="933" spans="4:18" ht="23.25">
      <c r="D933" s="53">
        <v>1995</v>
      </c>
      <c r="E933" s="56">
        <v>118933</v>
      </c>
      <c r="F933" s="54"/>
      <c r="G933" s="54"/>
      <c r="H933" s="54"/>
      <c r="M933" s="19"/>
      <c r="N933" s="19"/>
      <c r="O933" s="19"/>
      <c r="P933" s="19"/>
      <c r="Q933" s="19"/>
      <c r="R933" s="19"/>
    </row>
    <row r="934" spans="4:18" ht="23.25">
      <c r="D934" s="53">
        <v>1996</v>
      </c>
      <c r="E934" s="56">
        <v>142125</v>
      </c>
      <c r="F934" s="54"/>
      <c r="G934" s="54"/>
      <c r="H934" s="54"/>
      <c r="M934" s="19"/>
      <c r="N934" s="19"/>
      <c r="O934" s="19"/>
      <c r="P934" s="19"/>
      <c r="Q934" s="19"/>
      <c r="R934" s="19"/>
    </row>
    <row r="935" spans="4:18" ht="15" customHeight="1">
      <c r="D935" s="53">
        <v>1997</v>
      </c>
      <c r="E935" s="56">
        <v>172005</v>
      </c>
      <c r="F935" s="54"/>
      <c r="G935" s="54"/>
      <c r="H935" s="54"/>
    </row>
    <row r="936" spans="4:18" ht="15" customHeight="1">
      <c r="D936" s="29">
        <v>1998</v>
      </c>
      <c r="E936" s="57">
        <v>203826</v>
      </c>
      <c r="F936" s="54"/>
      <c r="G936" s="54"/>
      <c r="H936" s="54"/>
    </row>
    <row r="937" spans="4:18" ht="15" customHeight="1">
      <c r="D937" s="29">
        <v>1999</v>
      </c>
      <c r="E937" s="57">
        <v>236460</v>
      </c>
      <c r="F937" s="54"/>
      <c r="G937" s="54"/>
      <c r="H937" s="54"/>
    </row>
    <row r="938" spans="4:18" ht="15" customHeight="1">
      <c r="D938" s="29">
        <v>2000</v>
      </c>
      <c r="E938" s="57">
        <v>260100</v>
      </c>
      <c r="F938" s="54"/>
      <c r="G938" s="54"/>
      <c r="H938" s="54"/>
    </row>
    <row r="939" spans="4:18" ht="15" customHeight="1">
      <c r="D939" s="29">
        <v>2001</v>
      </c>
      <c r="E939" s="57">
        <v>286000</v>
      </c>
      <c r="F939" s="54"/>
      <c r="G939" s="54"/>
      <c r="H939" s="54"/>
    </row>
    <row r="940" spans="4:18" ht="15" customHeight="1">
      <c r="D940" s="29">
        <v>2002</v>
      </c>
      <c r="E940" s="57">
        <v>309000</v>
      </c>
      <c r="F940" s="54"/>
      <c r="G940" s="54"/>
      <c r="H940" s="54"/>
    </row>
    <row r="941" spans="4:18" ht="15" customHeight="1">
      <c r="D941" s="29">
        <v>2003</v>
      </c>
      <c r="E941" s="57">
        <v>332000</v>
      </c>
      <c r="F941" s="54"/>
      <c r="G941" s="54"/>
      <c r="H941" s="54"/>
    </row>
    <row r="942" spans="4:18" ht="15" customHeight="1">
      <c r="D942" s="29">
        <v>2004</v>
      </c>
      <c r="E942" s="57">
        <v>358000</v>
      </c>
      <c r="F942" s="54"/>
      <c r="G942" s="54"/>
      <c r="H942" s="54"/>
    </row>
    <row r="943" spans="4:18" ht="15" customHeight="1">
      <c r="D943" s="29">
        <v>2005</v>
      </c>
      <c r="E943" s="57">
        <v>381500</v>
      </c>
      <c r="F943" s="54"/>
      <c r="G943" s="54"/>
      <c r="H943" s="54"/>
    </row>
    <row r="944" spans="4:18" ht="15" customHeight="1">
      <c r="D944" s="29">
        <v>2006</v>
      </c>
      <c r="E944" s="57">
        <v>408000</v>
      </c>
      <c r="F944" s="54"/>
      <c r="G944" s="54"/>
      <c r="H944" s="54"/>
    </row>
    <row r="945" spans="4:8" ht="15" customHeight="1">
      <c r="D945" s="29">
        <v>2007</v>
      </c>
      <c r="E945" s="57">
        <v>433700</v>
      </c>
      <c r="F945" s="54"/>
      <c r="G945" s="54"/>
      <c r="H945" s="54"/>
    </row>
    <row r="946" spans="4:8" ht="15" customHeight="1">
      <c r="D946" s="29">
        <v>2008</v>
      </c>
      <c r="E946" s="57">
        <v>461500</v>
      </c>
      <c r="F946" s="54"/>
      <c r="G946" s="54"/>
      <c r="H946" s="54"/>
    </row>
    <row r="947" spans="4:8" ht="15" customHeight="1">
      <c r="D947" s="29">
        <v>2009</v>
      </c>
      <c r="E947" s="57">
        <v>496900</v>
      </c>
      <c r="F947" s="54"/>
      <c r="G947" s="54"/>
      <c r="H947" s="54"/>
    </row>
    <row r="948" spans="4:8" ht="15" customHeight="1">
      <c r="D948" s="29">
        <v>2010</v>
      </c>
      <c r="E948" s="57">
        <v>515000</v>
      </c>
      <c r="F948" s="54"/>
      <c r="G948" s="54"/>
      <c r="H948" s="54"/>
    </row>
    <row r="949" spans="4:8" ht="15" customHeight="1">
      <c r="D949" s="29">
        <v>2011</v>
      </c>
      <c r="E949" s="57">
        <v>535600</v>
      </c>
      <c r="F949" s="54"/>
      <c r="G949" s="54"/>
      <c r="H949" s="54"/>
    </row>
    <row r="950" spans="4:8" ht="15" customHeight="1">
      <c r="D950" s="29">
        <v>2012</v>
      </c>
      <c r="E950" s="57">
        <v>566700</v>
      </c>
      <c r="F950" s="54"/>
      <c r="G950" s="54"/>
      <c r="H950" s="54"/>
    </row>
    <row r="951" spans="4:8" ht="15" customHeight="1">
      <c r="D951" s="29">
        <v>2013</v>
      </c>
      <c r="E951" s="57">
        <v>589500</v>
      </c>
      <c r="F951" s="54"/>
      <c r="G951" s="54"/>
      <c r="H951" s="54"/>
    </row>
    <row r="952" spans="4:8" ht="15" customHeight="1">
      <c r="D952" s="29">
        <v>2014</v>
      </c>
      <c r="E952" s="57">
        <v>616000</v>
      </c>
      <c r="F952" s="54"/>
      <c r="G952" s="54"/>
      <c r="H952" s="54"/>
    </row>
    <row r="953" spans="4:8" ht="15" customHeight="1">
      <c r="D953" s="29">
        <v>2015</v>
      </c>
      <c r="E953" s="57">
        <v>644350</v>
      </c>
      <c r="F953" s="54"/>
      <c r="G953" s="54"/>
      <c r="H953" s="54"/>
    </row>
    <row r="954" spans="4:8" ht="15" customHeight="1">
      <c r="D954" s="29">
        <v>2016</v>
      </c>
      <c r="E954" s="57">
        <v>689455</v>
      </c>
      <c r="F954" s="54"/>
      <c r="G954" s="54"/>
      <c r="H954" s="54"/>
    </row>
    <row r="955" spans="4:8" ht="15" customHeight="1">
      <c r="D955" s="29">
        <v>2017</v>
      </c>
      <c r="E955" s="57">
        <v>737717</v>
      </c>
      <c r="F955" s="54"/>
      <c r="G955" s="54"/>
      <c r="H955" s="54"/>
    </row>
    <row r="956" spans="4:8" ht="15" customHeight="1">
      <c r="D956" s="29">
        <v>2018</v>
      </c>
      <c r="E956" s="57">
        <v>781242</v>
      </c>
      <c r="F956" s="54"/>
      <c r="G956" s="54"/>
      <c r="H956" s="54"/>
    </row>
    <row r="957" spans="4:8" ht="15" customHeight="1">
      <c r="D957" s="29">
        <v>2019</v>
      </c>
      <c r="E957" s="57">
        <v>828116</v>
      </c>
      <c r="F957" s="54"/>
      <c r="G957" s="54"/>
      <c r="H957" s="54"/>
    </row>
    <row r="958" spans="4:8" ht="15" customHeight="1">
      <c r="D958" s="29">
        <v>2020</v>
      </c>
      <c r="E958" s="57">
        <v>877803</v>
      </c>
      <c r="F958" s="54"/>
      <c r="G958" s="54"/>
      <c r="H958" s="54"/>
    </row>
    <row r="959" spans="4:8" ht="15" customHeight="1">
      <c r="D959" s="29">
        <v>2021</v>
      </c>
      <c r="E959" s="57">
        <v>908526</v>
      </c>
      <c r="F959" s="54"/>
      <c r="G959" s="54"/>
      <c r="H959" s="54"/>
    </row>
    <row r="960" spans="4:8" ht="15" customHeight="1">
      <c r="D960" s="29">
        <v>2022</v>
      </c>
      <c r="E960" s="57">
        <v>1000000</v>
      </c>
      <c r="F960" s="54"/>
      <c r="G960" s="54"/>
      <c r="H960" s="54"/>
    </row>
    <row r="961" spans="4:8" ht="15" customHeight="1" thickBot="1">
      <c r="D961" s="30">
        <v>2023</v>
      </c>
      <c r="E961" s="58">
        <v>1160000</v>
      </c>
      <c r="F961" s="54"/>
      <c r="G961" s="54"/>
      <c r="H961" s="54"/>
    </row>
    <row r="962" spans="4:8" ht="15" customHeight="1">
      <c r="D962" s="29">
        <v>2024</v>
      </c>
      <c r="E962" s="170">
        <v>1300000</v>
      </c>
      <c r="F962" s="54"/>
      <c r="G962" s="54"/>
      <c r="H962" s="54"/>
    </row>
    <row r="963" spans="4:8" ht="15" customHeight="1"/>
  </sheetData>
  <sheetProtection formatCells="0" formatColumns="0" formatRows="0" insertColumns="0" insertRows="0" insertHyperlinks="0" deleteColumns="0" deleteRows="0" sort="0" autoFilter="0" pivotTables="0"/>
  <mergeCells count="1443">
    <mergeCell ref="M11:M12"/>
    <mergeCell ref="M143:M144"/>
    <mergeCell ref="B848:C848"/>
    <mergeCell ref="B849:C849"/>
    <mergeCell ref="B851:C851"/>
    <mergeCell ref="B853:C853"/>
    <mergeCell ref="A854:E854"/>
    <mergeCell ref="A840:D840"/>
    <mergeCell ref="A842:B842"/>
    <mergeCell ref="A843:B843"/>
    <mergeCell ref="C843:D843"/>
    <mergeCell ref="A844:B844"/>
    <mergeCell ref="C844:D844"/>
    <mergeCell ref="A845:F845"/>
    <mergeCell ref="B846:C846"/>
    <mergeCell ref="E840:R844"/>
    <mergeCell ref="A167:B167"/>
    <mergeCell ref="C167:D167"/>
    <mergeCell ref="B169:C169"/>
    <mergeCell ref="A233:B233"/>
    <mergeCell ref="C233:D233"/>
    <mergeCell ref="A234:B234"/>
    <mergeCell ref="C234:D234"/>
    <mergeCell ref="A235:F235"/>
    <mergeCell ref="B236:C236"/>
    <mergeCell ref="B226:C226"/>
    <mergeCell ref="R235:R236"/>
    <mergeCell ref="O223:O224"/>
    <mergeCell ref="R223:R224"/>
    <mergeCell ref="M845:M846"/>
    <mergeCell ref="N845:N846"/>
    <mergeCell ref="O845:O846"/>
    <mergeCell ref="B877:C877"/>
    <mergeCell ref="B879:C879"/>
    <mergeCell ref="B880:C880"/>
    <mergeCell ref="A881:E881"/>
    <mergeCell ref="A869:D869"/>
    <mergeCell ref="A871:B871"/>
    <mergeCell ref="A872:B872"/>
    <mergeCell ref="C872:D872"/>
    <mergeCell ref="A873:B873"/>
    <mergeCell ref="A181:F181"/>
    <mergeCell ref="M181:M182"/>
    <mergeCell ref="N181:N182"/>
    <mergeCell ref="O181:O182"/>
    <mergeCell ref="P223:P224"/>
    <mergeCell ref="Q223:Q224"/>
    <mergeCell ref="P235:P236"/>
    <mergeCell ref="Q235:Q236"/>
    <mergeCell ref="P247:P248"/>
    <mergeCell ref="Q247:Q248"/>
    <mergeCell ref="P260:P261"/>
    <mergeCell ref="Q260:Q261"/>
    <mergeCell ref="O235:O236"/>
    <mergeCell ref="A247:F247"/>
    <mergeCell ref="B248:C248"/>
    <mergeCell ref="A216:E216"/>
    <mergeCell ref="A230:D230"/>
    <mergeCell ref="E191:R195"/>
    <mergeCell ref="A193:B193"/>
    <mergeCell ref="A194:B194"/>
    <mergeCell ref="C194:D194"/>
    <mergeCell ref="A195:B195"/>
    <mergeCell ref="C195:D195"/>
    <mergeCell ref="B891:C891"/>
    <mergeCell ref="B892:C892"/>
    <mergeCell ref="B893:C893"/>
    <mergeCell ref="A894:E894"/>
    <mergeCell ref="A883:D883"/>
    <mergeCell ref="A885:B885"/>
    <mergeCell ref="A886:B886"/>
    <mergeCell ref="C886:D886"/>
    <mergeCell ref="A887:B887"/>
    <mergeCell ref="C887:D887"/>
    <mergeCell ref="A888:F888"/>
    <mergeCell ref="B889:C889"/>
    <mergeCell ref="E883:R887"/>
    <mergeCell ref="M888:M889"/>
    <mergeCell ref="N888:N889"/>
    <mergeCell ref="O888:O889"/>
    <mergeCell ref="R888:R889"/>
    <mergeCell ref="P888:P889"/>
    <mergeCell ref="Q888:Q889"/>
    <mergeCell ref="D884:D885"/>
    <mergeCell ref="K888:L888"/>
    <mergeCell ref="N874:N875"/>
    <mergeCell ref="O874:O875"/>
    <mergeCell ref="R874:R875"/>
    <mergeCell ref="P874:P875"/>
    <mergeCell ref="Q874:Q875"/>
    <mergeCell ref="K874:L874"/>
    <mergeCell ref="B864:C864"/>
    <mergeCell ref="B865:C865"/>
    <mergeCell ref="B866:C866"/>
    <mergeCell ref="A867:E867"/>
    <mergeCell ref="A856:D856"/>
    <mergeCell ref="A858:B858"/>
    <mergeCell ref="A859:B859"/>
    <mergeCell ref="C859:D859"/>
    <mergeCell ref="A860:B860"/>
    <mergeCell ref="C860:D860"/>
    <mergeCell ref="A861:F861"/>
    <mergeCell ref="B862:C862"/>
    <mergeCell ref="E856:R860"/>
    <mergeCell ref="M861:M862"/>
    <mergeCell ref="N861:N862"/>
    <mergeCell ref="O861:O862"/>
    <mergeCell ref="R861:R862"/>
    <mergeCell ref="P861:P862"/>
    <mergeCell ref="Q861:Q862"/>
    <mergeCell ref="K861:L861"/>
    <mergeCell ref="E869:R873"/>
    <mergeCell ref="M874:M875"/>
    <mergeCell ref="D857:D858"/>
    <mergeCell ref="D870:D871"/>
    <mergeCell ref="C873:D873"/>
    <mergeCell ref="A874:F874"/>
    <mergeCell ref="R845:R846"/>
    <mergeCell ref="P845:P846"/>
    <mergeCell ref="Q845:Q846"/>
    <mergeCell ref="K845:L845"/>
    <mergeCell ref="B834:C834"/>
    <mergeCell ref="B835:C835"/>
    <mergeCell ref="B837:C837"/>
    <mergeCell ref="A838:E838"/>
    <mergeCell ref="A826:D826"/>
    <mergeCell ref="A828:B828"/>
    <mergeCell ref="A829:B829"/>
    <mergeCell ref="C829:D829"/>
    <mergeCell ref="A830:B830"/>
    <mergeCell ref="C830:D830"/>
    <mergeCell ref="A831:F831"/>
    <mergeCell ref="B832:C832"/>
    <mergeCell ref="E826:R830"/>
    <mergeCell ref="M831:M832"/>
    <mergeCell ref="N831:N832"/>
    <mergeCell ref="O831:O832"/>
    <mergeCell ref="R831:R832"/>
    <mergeCell ref="P831:P832"/>
    <mergeCell ref="Q831:Q832"/>
    <mergeCell ref="K831:L831"/>
    <mergeCell ref="D827:D828"/>
    <mergeCell ref="D841:D842"/>
    <mergeCell ref="B819:C819"/>
    <mergeCell ref="B820:C820"/>
    <mergeCell ref="B821:C821"/>
    <mergeCell ref="B822:C822"/>
    <mergeCell ref="B823:C823"/>
    <mergeCell ref="A824:E824"/>
    <mergeCell ref="A811:D811"/>
    <mergeCell ref="A813:B813"/>
    <mergeCell ref="A814:B814"/>
    <mergeCell ref="C814:D814"/>
    <mergeCell ref="A815:B815"/>
    <mergeCell ref="C815:D815"/>
    <mergeCell ref="A816:F816"/>
    <mergeCell ref="B817:C817"/>
    <mergeCell ref="E811:R815"/>
    <mergeCell ref="M816:M817"/>
    <mergeCell ref="N816:N817"/>
    <mergeCell ref="O816:O817"/>
    <mergeCell ref="R816:R817"/>
    <mergeCell ref="P816:P817"/>
    <mergeCell ref="Q816:Q817"/>
    <mergeCell ref="K816:L816"/>
    <mergeCell ref="D812:D813"/>
    <mergeCell ref="B805:C805"/>
    <mergeCell ref="B806:C806"/>
    <mergeCell ref="B808:C808"/>
    <mergeCell ref="A809:E809"/>
    <mergeCell ref="A797:D797"/>
    <mergeCell ref="A799:B799"/>
    <mergeCell ref="A800:B800"/>
    <mergeCell ref="C800:D800"/>
    <mergeCell ref="A801:B801"/>
    <mergeCell ref="C801:D801"/>
    <mergeCell ref="A802:F802"/>
    <mergeCell ref="B803:C803"/>
    <mergeCell ref="E797:R801"/>
    <mergeCell ref="M802:M803"/>
    <mergeCell ref="N802:N803"/>
    <mergeCell ref="O802:O803"/>
    <mergeCell ref="R802:R803"/>
    <mergeCell ref="P802:P803"/>
    <mergeCell ref="Q802:Q803"/>
    <mergeCell ref="K802:L802"/>
    <mergeCell ref="D798:D799"/>
    <mergeCell ref="B789:C789"/>
    <mergeCell ref="B790:C790"/>
    <mergeCell ref="B792:C792"/>
    <mergeCell ref="B793:C793"/>
    <mergeCell ref="B794:C794"/>
    <mergeCell ref="A795:E795"/>
    <mergeCell ref="A781:D781"/>
    <mergeCell ref="A783:B783"/>
    <mergeCell ref="A784:B784"/>
    <mergeCell ref="C784:D784"/>
    <mergeCell ref="A785:B785"/>
    <mergeCell ref="C785:D785"/>
    <mergeCell ref="A786:F786"/>
    <mergeCell ref="B787:C787"/>
    <mergeCell ref="E781:R785"/>
    <mergeCell ref="M786:M787"/>
    <mergeCell ref="N786:N787"/>
    <mergeCell ref="O786:O787"/>
    <mergeCell ref="R786:R787"/>
    <mergeCell ref="P786:P787"/>
    <mergeCell ref="Q786:Q787"/>
    <mergeCell ref="K786:L786"/>
    <mergeCell ref="D782:D783"/>
    <mergeCell ref="B771:C771"/>
    <mergeCell ref="B775:C775"/>
    <mergeCell ref="B777:C777"/>
    <mergeCell ref="B778:C778"/>
    <mergeCell ref="A779:E779"/>
    <mergeCell ref="A763:D763"/>
    <mergeCell ref="A765:B765"/>
    <mergeCell ref="A766:B766"/>
    <mergeCell ref="C766:D766"/>
    <mergeCell ref="A767:B767"/>
    <mergeCell ref="C767:D767"/>
    <mergeCell ref="A768:F768"/>
    <mergeCell ref="B769:C769"/>
    <mergeCell ref="E763:R767"/>
    <mergeCell ref="M768:M769"/>
    <mergeCell ref="N768:N769"/>
    <mergeCell ref="O768:O769"/>
    <mergeCell ref="R768:R769"/>
    <mergeCell ref="P768:P769"/>
    <mergeCell ref="Q768:Q769"/>
    <mergeCell ref="B772:C772"/>
    <mergeCell ref="B773:C773"/>
    <mergeCell ref="B774:C774"/>
    <mergeCell ref="K768:L768"/>
    <mergeCell ref="B756:C756"/>
    <mergeCell ref="B757:C757"/>
    <mergeCell ref="B758:C758"/>
    <mergeCell ref="B760:C760"/>
    <mergeCell ref="A761:E761"/>
    <mergeCell ref="A748:D748"/>
    <mergeCell ref="A750:B750"/>
    <mergeCell ref="A751:B751"/>
    <mergeCell ref="C751:D751"/>
    <mergeCell ref="A752:B752"/>
    <mergeCell ref="C752:D752"/>
    <mergeCell ref="A753:F753"/>
    <mergeCell ref="B754:C754"/>
    <mergeCell ref="E748:R752"/>
    <mergeCell ref="M753:M754"/>
    <mergeCell ref="N753:N754"/>
    <mergeCell ref="O753:O754"/>
    <mergeCell ref="R753:R754"/>
    <mergeCell ref="P753:P754"/>
    <mergeCell ref="Q753:Q754"/>
    <mergeCell ref="K753:L753"/>
    <mergeCell ref="B741:C741"/>
    <mergeCell ref="B742:C742"/>
    <mergeCell ref="B743:C743"/>
    <mergeCell ref="A746:E746"/>
    <mergeCell ref="A733:D733"/>
    <mergeCell ref="A735:B735"/>
    <mergeCell ref="A736:B736"/>
    <mergeCell ref="C736:D736"/>
    <mergeCell ref="A737:B737"/>
    <mergeCell ref="C737:D737"/>
    <mergeCell ref="A738:F738"/>
    <mergeCell ref="B739:C739"/>
    <mergeCell ref="E733:R737"/>
    <mergeCell ref="M738:M739"/>
    <mergeCell ref="N738:N739"/>
    <mergeCell ref="O738:O739"/>
    <mergeCell ref="R738:R739"/>
    <mergeCell ref="P738:P739"/>
    <mergeCell ref="Q738:Q739"/>
    <mergeCell ref="K738:L738"/>
    <mergeCell ref="B727:C727"/>
    <mergeCell ref="B729:C729"/>
    <mergeCell ref="B730:C730"/>
    <mergeCell ref="A731:E731"/>
    <mergeCell ref="A719:D719"/>
    <mergeCell ref="A721:B721"/>
    <mergeCell ref="A722:B722"/>
    <mergeCell ref="C722:D722"/>
    <mergeCell ref="A723:B723"/>
    <mergeCell ref="C723:D723"/>
    <mergeCell ref="A724:F724"/>
    <mergeCell ref="B725:C725"/>
    <mergeCell ref="E719:R723"/>
    <mergeCell ref="M724:M725"/>
    <mergeCell ref="N724:N725"/>
    <mergeCell ref="O724:O725"/>
    <mergeCell ref="R724:R725"/>
    <mergeCell ref="P724:P725"/>
    <mergeCell ref="Q724:Q725"/>
    <mergeCell ref="K724:L724"/>
    <mergeCell ref="B710:C710"/>
    <mergeCell ref="B711:C711"/>
    <mergeCell ref="B712:C712"/>
    <mergeCell ref="B713:C713"/>
    <mergeCell ref="B715:C715"/>
    <mergeCell ref="A717:E717"/>
    <mergeCell ref="A702:D702"/>
    <mergeCell ref="A704:B704"/>
    <mergeCell ref="A705:B705"/>
    <mergeCell ref="C705:D705"/>
    <mergeCell ref="A706:B706"/>
    <mergeCell ref="C706:D706"/>
    <mergeCell ref="A707:F707"/>
    <mergeCell ref="B708:C708"/>
    <mergeCell ref="E702:R706"/>
    <mergeCell ref="M707:M708"/>
    <mergeCell ref="N707:N708"/>
    <mergeCell ref="O707:O708"/>
    <mergeCell ref="R707:R708"/>
    <mergeCell ref="P707:P708"/>
    <mergeCell ref="Q707:Q708"/>
    <mergeCell ref="K707:L707"/>
    <mergeCell ref="B716:C716"/>
    <mergeCell ref="B695:C695"/>
    <mergeCell ref="B696:C696"/>
    <mergeCell ref="B699:C699"/>
    <mergeCell ref="A700:E700"/>
    <mergeCell ref="A687:D687"/>
    <mergeCell ref="A689:B689"/>
    <mergeCell ref="A690:B690"/>
    <mergeCell ref="C690:D690"/>
    <mergeCell ref="A691:B691"/>
    <mergeCell ref="C691:D691"/>
    <mergeCell ref="A692:F692"/>
    <mergeCell ref="B693:C693"/>
    <mergeCell ref="E687:R691"/>
    <mergeCell ref="M692:M693"/>
    <mergeCell ref="N692:N693"/>
    <mergeCell ref="O692:O693"/>
    <mergeCell ref="R692:R693"/>
    <mergeCell ref="P692:P693"/>
    <mergeCell ref="Q692:Q693"/>
    <mergeCell ref="K692:L692"/>
    <mergeCell ref="B698:C698"/>
    <mergeCell ref="B678:C678"/>
    <mergeCell ref="B679:C679"/>
    <mergeCell ref="B680:C680"/>
    <mergeCell ref="B683:C683"/>
    <mergeCell ref="B684:C684"/>
    <mergeCell ref="A670:D670"/>
    <mergeCell ref="A672:B672"/>
    <mergeCell ref="A673:B673"/>
    <mergeCell ref="C673:D673"/>
    <mergeCell ref="A674:B674"/>
    <mergeCell ref="C674:D674"/>
    <mergeCell ref="A675:F675"/>
    <mergeCell ref="B676:C676"/>
    <mergeCell ref="E670:R674"/>
    <mergeCell ref="M675:M676"/>
    <mergeCell ref="N675:N676"/>
    <mergeCell ref="O675:O676"/>
    <mergeCell ref="R675:R676"/>
    <mergeCell ref="P675:P676"/>
    <mergeCell ref="Q675:Q676"/>
    <mergeCell ref="K675:L675"/>
    <mergeCell ref="B681:C681"/>
    <mergeCell ref="D671:D672"/>
    <mergeCell ref="B663:C663"/>
    <mergeCell ref="B664:C664"/>
    <mergeCell ref="B665:C665"/>
    <mergeCell ref="B667:C667"/>
    <mergeCell ref="A668:E668"/>
    <mergeCell ref="A655:D655"/>
    <mergeCell ref="A657:B657"/>
    <mergeCell ref="A658:B658"/>
    <mergeCell ref="C658:D658"/>
    <mergeCell ref="A659:B659"/>
    <mergeCell ref="C659:D659"/>
    <mergeCell ref="A660:F660"/>
    <mergeCell ref="B661:C661"/>
    <mergeCell ref="E655:R659"/>
    <mergeCell ref="M660:M661"/>
    <mergeCell ref="N660:N661"/>
    <mergeCell ref="O660:O661"/>
    <mergeCell ref="R660:R661"/>
    <mergeCell ref="P660:P661"/>
    <mergeCell ref="Q660:Q661"/>
    <mergeCell ref="K660:L660"/>
    <mergeCell ref="D656:D657"/>
    <mergeCell ref="B650:C650"/>
    <mergeCell ref="B651:C651"/>
    <mergeCell ref="B652:C652"/>
    <mergeCell ref="A653:E653"/>
    <mergeCell ref="A642:D642"/>
    <mergeCell ref="A644:B644"/>
    <mergeCell ref="A645:B645"/>
    <mergeCell ref="C645:D645"/>
    <mergeCell ref="A646:B646"/>
    <mergeCell ref="C646:D646"/>
    <mergeCell ref="A647:F647"/>
    <mergeCell ref="B648:C648"/>
    <mergeCell ref="E642:R646"/>
    <mergeCell ref="M647:M648"/>
    <mergeCell ref="N647:N648"/>
    <mergeCell ref="O647:O648"/>
    <mergeCell ref="R647:R648"/>
    <mergeCell ref="P647:P648"/>
    <mergeCell ref="Q647:Q648"/>
    <mergeCell ref="K647:L647"/>
    <mergeCell ref="D643:D644"/>
    <mergeCell ref="B636:C636"/>
    <mergeCell ref="B637:C637"/>
    <mergeCell ref="B638:C638"/>
    <mergeCell ref="A640:E640"/>
    <mergeCell ref="A628:D628"/>
    <mergeCell ref="A630:B630"/>
    <mergeCell ref="A631:B631"/>
    <mergeCell ref="C631:D631"/>
    <mergeCell ref="A632:B632"/>
    <mergeCell ref="C632:D632"/>
    <mergeCell ref="A633:F633"/>
    <mergeCell ref="B634:C634"/>
    <mergeCell ref="E628:R632"/>
    <mergeCell ref="M633:M634"/>
    <mergeCell ref="N633:N634"/>
    <mergeCell ref="O633:O634"/>
    <mergeCell ref="R633:R634"/>
    <mergeCell ref="P633:P634"/>
    <mergeCell ref="Q633:Q634"/>
    <mergeCell ref="K633:L633"/>
    <mergeCell ref="B639:C639"/>
    <mergeCell ref="D629:D630"/>
    <mergeCell ref="B620:C620"/>
    <mergeCell ref="B621:C621"/>
    <mergeCell ref="B622:C622"/>
    <mergeCell ref="B624:C624"/>
    <mergeCell ref="B625:C625"/>
    <mergeCell ref="A626:E626"/>
    <mergeCell ref="A612:D612"/>
    <mergeCell ref="A614:B614"/>
    <mergeCell ref="A615:B615"/>
    <mergeCell ref="C615:D615"/>
    <mergeCell ref="A616:B616"/>
    <mergeCell ref="C616:D616"/>
    <mergeCell ref="A617:F617"/>
    <mergeCell ref="B618:C618"/>
    <mergeCell ref="E612:R616"/>
    <mergeCell ref="M617:M618"/>
    <mergeCell ref="N617:N618"/>
    <mergeCell ref="O617:O618"/>
    <mergeCell ref="R617:R618"/>
    <mergeCell ref="P617:P618"/>
    <mergeCell ref="Q617:Q618"/>
    <mergeCell ref="K617:L617"/>
    <mergeCell ref="D613:D614"/>
    <mergeCell ref="B604:C604"/>
    <mergeCell ref="B605:C605"/>
    <mergeCell ref="B606:C606"/>
    <mergeCell ref="B607:C607"/>
    <mergeCell ref="B609:C609"/>
    <mergeCell ref="A610:E610"/>
    <mergeCell ref="A596:D596"/>
    <mergeCell ref="A598:B598"/>
    <mergeCell ref="A599:B599"/>
    <mergeCell ref="C599:D599"/>
    <mergeCell ref="A600:B600"/>
    <mergeCell ref="C600:D600"/>
    <mergeCell ref="A601:F601"/>
    <mergeCell ref="B602:C602"/>
    <mergeCell ref="E596:R600"/>
    <mergeCell ref="M601:M602"/>
    <mergeCell ref="N601:N602"/>
    <mergeCell ref="O601:O602"/>
    <mergeCell ref="R601:R602"/>
    <mergeCell ref="P601:P602"/>
    <mergeCell ref="Q601:Q602"/>
    <mergeCell ref="K601:L601"/>
    <mergeCell ref="D597:D598"/>
    <mergeCell ref="B592:C592"/>
    <mergeCell ref="B593:C593"/>
    <mergeCell ref="A594:E594"/>
    <mergeCell ref="A584:D584"/>
    <mergeCell ref="A586:B586"/>
    <mergeCell ref="A587:B587"/>
    <mergeCell ref="C587:D587"/>
    <mergeCell ref="A588:B588"/>
    <mergeCell ref="C588:D588"/>
    <mergeCell ref="A589:F589"/>
    <mergeCell ref="B590:C590"/>
    <mergeCell ref="E584:R588"/>
    <mergeCell ref="M589:M590"/>
    <mergeCell ref="N589:N590"/>
    <mergeCell ref="O589:O590"/>
    <mergeCell ref="R589:R590"/>
    <mergeCell ref="P589:P590"/>
    <mergeCell ref="Q589:Q590"/>
    <mergeCell ref="K589:L589"/>
    <mergeCell ref="D585:D586"/>
    <mergeCell ref="B579:C579"/>
    <mergeCell ref="B580:C580"/>
    <mergeCell ref="B581:C581"/>
    <mergeCell ref="A582:E582"/>
    <mergeCell ref="A571:D571"/>
    <mergeCell ref="A573:B573"/>
    <mergeCell ref="A574:B574"/>
    <mergeCell ref="C574:D574"/>
    <mergeCell ref="A575:B575"/>
    <mergeCell ref="C575:D575"/>
    <mergeCell ref="A576:F576"/>
    <mergeCell ref="B577:C577"/>
    <mergeCell ref="E571:R575"/>
    <mergeCell ref="M576:M577"/>
    <mergeCell ref="N576:N577"/>
    <mergeCell ref="O576:O577"/>
    <mergeCell ref="R576:R577"/>
    <mergeCell ref="P576:P577"/>
    <mergeCell ref="Q576:Q577"/>
    <mergeCell ref="K576:L576"/>
    <mergeCell ref="I582:J582"/>
    <mergeCell ref="D572:D573"/>
    <mergeCell ref="B565:C565"/>
    <mergeCell ref="B566:C566"/>
    <mergeCell ref="B567:C567"/>
    <mergeCell ref="B568:C568"/>
    <mergeCell ref="A569:E569"/>
    <mergeCell ref="A557:D557"/>
    <mergeCell ref="A559:B559"/>
    <mergeCell ref="A560:B560"/>
    <mergeCell ref="C560:D560"/>
    <mergeCell ref="A561:B561"/>
    <mergeCell ref="C561:D561"/>
    <mergeCell ref="A562:F562"/>
    <mergeCell ref="B563:C563"/>
    <mergeCell ref="E557:R561"/>
    <mergeCell ref="M562:M563"/>
    <mergeCell ref="N562:N563"/>
    <mergeCell ref="O562:O563"/>
    <mergeCell ref="R562:R563"/>
    <mergeCell ref="P562:P563"/>
    <mergeCell ref="Q562:Q563"/>
    <mergeCell ref="K562:L562"/>
    <mergeCell ref="I569:J569"/>
    <mergeCell ref="D558:D559"/>
    <mergeCell ref="B554:C554"/>
    <mergeCell ref="A555:E555"/>
    <mergeCell ref="A546:D546"/>
    <mergeCell ref="A548:B548"/>
    <mergeCell ref="A549:B549"/>
    <mergeCell ref="C549:D549"/>
    <mergeCell ref="A550:B550"/>
    <mergeCell ref="C550:D550"/>
    <mergeCell ref="A551:F551"/>
    <mergeCell ref="B552:C552"/>
    <mergeCell ref="E546:R550"/>
    <mergeCell ref="M551:M552"/>
    <mergeCell ref="N551:N552"/>
    <mergeCell ref="O551:O552"/>
    <mergeCell ref="R551:R552"/>
    <mergeCell ref="P551:P552"/>
    <mergeCell ref="Q551:Q552"/>
    <mergeCell ref="K551:L551"/>
    <mergeCell ref="I555:J555"/>
    <mergeCell ref="D547:D548"/>
    <mergeCell ref="B539:C539"/>
    <mergeCell ref="B540:C540"/>
    <mergeCell ref="B541:C541"/>
    <mergeCell ref="B542:C542"/>
    <mergeCell ref="B543:C543"/>
    <mergeCell ref="A531:D531"/>
    <mergeCell ref="A533:B533"/>
    <mergeCell ref="A534:B534"/>
    <mergeCell ref="C534:D534"/>
    <mergeCell ref="A535:B535"/>
    <mergeCell ref="C535:D535"/>
    <mergeCell ref="A536:F536"/>
    <mergeCell ref="B537:C537"/>
    <mergeCell ref="E531:R535"/>
    <mergeCell ref="M536:M537"/>
    <mergeCell ref="N536:N537"/>
    <mergeCell ref="O536:O537"/>
    <mergeCell ref="R536:R537"/>
    <mergeCell ref="P536:P537"/>
    <mergeCell ref="Q536:Q537"/>
    <mergeCell ref="K536:L536"/>
    <mergeCell ref="D532:D533"/>
    <mergeCell ref="B525:C525"/>
    <mergeCell ref="B526:C526"/>
    <mergeCell ref="B527:C527"/>
    <mergeCell ref="A529:E529"/>
    <mergeCell ref="A517:D517"/>
    <mergeCell ref="A519:B519"/>
    <mergeCell ref="A520:B520"/>
    <mergeCell ref="C520:D520"/>
    <mergeCell ref="A521:B521"/>
    <mergeCell ref="C521:D521"/>
    <mergeCell ref="A522:F522"/>
    <mergeCell ref="B523:C523"/>
    <mergeCell ref="E517:R521"/>
    <mergeCell ref="M522:M523"/>
    <mergeCell ref="N522:N523"/>
    <mergeCell ref="O522:O523"/>
    <mergeCell ref="R522:R523"/>
    <mergeCell ref="P522:P523"/>
    <mergeCell ref="Q522:Q523"/>
    <mergeCell ref="K522:L522"/>
    <mergeCell ref="D518:D519"/>
    <mergeCell ref="B509:C509"/>
    <mergeCell ref="B510:C510"/>
    <mergeCell ref="B511:C511"/>
    <mergeCell ref="B513:C513"/>
    <mergeCell ref="B514:C514"/>
    <mergeCell ref="A501:D501"/>
    <mergeCell ref="A503:B503"/>
    <mergeCell ref="A504:B504"/>
    <mergeCell ref="C504:D504"/>
    <mergeCell ref="A505:B505"/>
    <mergeCell ref="C505:D505"/>
    <mergeCell ref="A506:F506"/>
    <mergeCell ref="B507:C507"/>
    <mergeCell ref="E501:R505"/>
    <mergeCell ref="M506:M507"/>
    <mergeCell ref="N506:N507"/>
    <mergeCell ref="O506:O507"/>
    <mergeCell ref="R506:R507"/>
    <mergeCell ref="P506:P507"/>
    <mergeCell ref="Q506:Q507"/>
    <mergeCell ref="B512:C512"/>
    <mergeCell ref="K506:L506"/>
    <mergeCell ref="D502:D503"/>
    <mergeCell ref="B496:C496"/>
    <mergeCell ref="B497:C497"/>
    <mergeCell ref="B498:C498"/>
    <mergeCell ref="A499:E499"/>
    <mergeCell ref="A488:D488"/>
    <mergeCell ref="A490:B490"/>
    <mergeCell ref="A491:B491"/>
    <mergeCell ref="C491:D491"/>
    <mergeCell ref="A492:B492"/>
    <mergeCell ref="C492:D492"/>
    <mergeCell ref="A493:F493"/>
    <mergeCell ref="B494:C494"/>
    <mergeCell ref="E488:R492"/>
    <mergeCell ref="M493:M494"/>
    <mergeCell ref="N493:N494"/>
    <mergeCell ref="O493:O494"/>
    <mergeCell ref="R493:R494"/>
    <mergeCell ref="P493:P494"/>
    <mergeCell ref="Q493:Q494"/>
    <mergeCell ref="K493:L493"/>
    <mergeCell ref="D489:D490"/>
    <mergeCell ref="B481:C481"/>
    <mergeCell ref="B482:C482"/>
    <mergeCell ref="B483:C483"/>
    <mergeCell ref="B485:C485"/>
    <mergeCell ref="A473:D473"/>
    <mergeCell ref="A475:B475"/>
    <mergeCell ref="A476:B476"/>
    <mergeCell ref="C476:D476"/>
    <mergeCell ref="A477:B477"/>
    <mergeCell ref="C477:D477"/>
    <mergeCell ref="A478:F478"/>
    <mergeCell ref="B479:C479"/>
    <mergeCell ref="E473:R477"/>
    <mergeCell ref="M478:M479"/>
    <mergeCell ref="N478:N479"/>
    <mergeCell ref="O478:O479"/>
    <mergeCell ref="R478:R479"/>
    <mergeCell ref="P478:P479"/>
    <mergeCell ref="Q478:Q479"/>
    <mergeCell ref="K478:L478"/>
    <mergeCell ref="D474:D475"/>
    <mergeCell ref="B464:C464"/>
    <mergeCell ref="B465:C465"/>
    <mergeCell ref="B466:C466"/>
    <mergeCell ref="B468:C468"/>
    <mergeCell ref="B469:C469"/>
    <mergeCell ref="B470:C470"/>
    <mergeCell ref="A471:E471"/>
    <mergeCell ref="A456:D456"/>
    <mergeCell ref="A458:B458"/>
    <mergeCell ref="A459:B459"/>
    <mergeCell ref="C459:D459"/>
    <mergeCell ref="A460:B460"/>
    <mergeCell ref="C460:D460"/>
    <mergeCell ref="A461:F461"/>
    <mergeCell ref="B462:C462"/>
    <mergeCell ref="E456:R460"/>
    <mergeCell ref="M461:M462"/>
    <mergeCell ref="N461:N462"/>
    <mergeCell ref="O461:O462"/>
    <mergeCell ref="R461:R462"/>
    <mergeCell ref="P461:P462"/>
    <mergeCell ref="Q461:Q462"/>
    <mergeCell ref="K461:L461"/>
    <mergeCell ref="B452:C452"/>
    <mergeCell ref="B453:C453"/>
    <mergeCell ref="A454:E454"/>
    <mergeCell ref="A444:D444"/>
    <mergeCell ref="A446:B446"/>
    <mergeCell ref="A447:B447"/>
    <mergeCell ref="C447:D447"/>
    <mergeCell ref="A448:B448"/>
    <mergeCell ref="C448:D448"/>
    <mergeCell ref="A449:F449"/>
    <mergeCell ref="B450:C450"/>
    <mergeCell ref="E444:R448"/>
    <mergeCell ref="M449:M450"/>
    <mergeCell ref="N449:N450"/>
    <mergeCell ref="O449:O450"/>
    <mergeCell ref="R449:R450"/>
    <mergeCell ref="P449:P450"/>
    <mergeCell ref="Q449:Q450"/>
    <mergeCell ref="K449:L449"/>
    <mergeCell ref="B437:C437"/>
    <mergeCell ref="B438:C438"/>
    <mergeCell ref="B440:C440"/>
    <mergeCell ref="A442:E442"/>
    <mergeCell ref="A429:D429"/>
    <mergeCell ref="A431:B431"/>
    <mergeCell ref="A432:B432"/>
    <mergeCell ref="C432:D432"/>
    <mergeCell ref="A433:B433"/>
    <mergeCell ref="C433:D433"/>
    <mergeCell ref="A434:F434"/>
    <mergeCell ref="B435:C435"/>
    <mergeCell ref="E429:R433"/>
    <mergeCell ref="M434:M435"/>
    <mergeCell ref="N434:N435"/>
    <mergeCell ref="O434:O435"/>
    <mergeCell ref="R434:R435"/>
    <mergeCell ref="P434:P435"/>
    <mergeCell ref="Q434:Q435"/>
    <mergeCell ref="K434:L434"/>
    <mergeCell ref="I442:J442"/>
    <mergeCell ref="B436:C436"/>
    <mergeCell ref="I398:J398"/>
    <mergeCell ref="B425:C425"/>
    <mergeCell ref="B426:C426"/>
    <mergeCell ref="A427:E427"/>
    <mergeCell ref="A417:D417"/>
    <mergeCell ref="A419:B419"/>
    <mergeCell ref="A420:B420"/>
    <mergeCell ref="C420:D420"/>
    <mergeCell ref="A421:B421"/>
    <mergeCell ref="C421:D421"/>
    <mergeCell ref="A422:F422"/>
    <mergeCell ref="B423:C423"/>
    <mergeCell ref="E417:R421"/>
    <mergeCell ref="M422:M423"/>
    <mergeCell ref="N422:N423"/>
    <mergeCell ref="O422:O423"/>
    <mergeCell ref="R422:R423"/>
    <mergeCell ref="P422:P423"/>
    <mergeCell ref="Q422:Q423"/>
    <mergeCell ref="K422:L422"/>
    <mergeCell ref="I427:J427"/>
    <mergeCell ref="B408:C408"/>
    <mergeCell ref="B409:C409"/>
    <mergeCell ref="B410:C410"/>
    <mergeCell ref="B411:C411"/>
    <mergeCell ref="B412:C412"/>
    <mergeCell ref="B414:C414"/>
    <mergeCell ref="A415:E415"/>
    <mergeCell ref="A400:D400"/>
    <mergeCell ref="A402:B402"/>
    <mergeCell ref="A403:B403"/>
    <mergeCell ref="C403:D403"/>
    <mergeCell ref="A404:B404"/>
    <mergeCell ref="C404:D404"/>
    <mergeCell ref="A405:F405"/>
    <mergeCell ref="B406:C406"/>
    <mergeCell ref="E400:R404"/>
    <mergeCell ref="M405:M406"/>
    <mergeCell ref="N405:N406"/>
    <mergeCell ref="O405:O406"/>
    <mergeCell ref="R405:R406"/>
    <mergeCell ref="P405:P406"/>
    <mergeCell ref="Q405:Q406"/>
    <mergeCell ref="K405:L405"/>
    <mergeCell ref="I415:J415"/>
    <mergeCell ref="A371:D371"/>
    <mergeCell ref="A373:B373"/>
    <mergeCell ref="A374:B374"/>
    <mergeCell ref="C374:D374"/>
    <mergeCell ref="A375:B375"/>
    <mergeCell ref="C375:D375"/>
    <mergeCell ref="A376:F376"/>
    <mergeCell ref="B377:C377"/>
    <mergeCell ref="E371:R375"/>
    <mergeCell ref="M376:M377"/>
    <mergeCell ref="N376:N377"/>
    <mergeCell ref="O376:O377"/>
    <mergeCell ref="R376:R377"/>
    <mergeCell ref="P376:P377"/>
    <mergeCell ref="Q376:Q377"/>
    <mergeCell ref="K376:L376"/>
    <mergeCell ref="P390:P391"/>
    <mergeCell ref="Q390:Q391"/>
    <mergeCell ref="K390:L390"/>
    <mergeCell ref="B367:C367"/>
    <mergeCell ref="B368:C368"/>
    <mergeCell ref="A359:D359"/>
    <mergeCell ref="A361:B361"/>
    <mergeCell ref="A362:B362"/>
    <mergeCell ref="C362:D362"/>
    <mergeCell ref="A363:B363"/>
    <mergeCell ref="C363:D363"/>
    <mergeCell ref="A364:F364"/>
    <mergeCell ref="B365:C365"/>
    <mergeCell ref="E359:R363"/>
    <mergeCell ref="M364:M365"/>
    <mergeCell ref="N364:N365"/>
    <mergeCell ref="O364:O365"/>
    <mergeCell ref="R364:R365"/>
    <mergeCell ref="P364:P365"/>
    <mergeCell ref="Q364:Q365"/>
    <mergeCell ref="K364:L364"/>
    <mergeCell ref="B352:C352"/>
    <mergeCell ref="B353:C353"/>
    <mergeCell ref="B354:C354"/>
    <mergeCell ref="B356:C356"/>
    <mergeCell ref="A357:E357"/>
    <mergeCell ref="A344:D344"/>
    <mergeCell ref="A346:B346"/>
    <mergeCell ref="A347:B347"/>
    <mergeCell ref="C347:D347"/>
    <mergeCell ref="A348:B348"/>
    <mergeCell ref="C348:D348"/>
    <mergeCell ref="A349:F349"/>
    <mergeCell ref="B350:C350"/>
    <mergeCell ref="E344:R348"/>
    <mergeCell ref="M349:M350"/>
    <mergeCell ref="N349:N350"/>
    <mergeCell ref="O349:O350"/>
    <mergeCell ref="R349:R350"/>
    <mergeCell ref="P349:P350"/>
    <mergeCell ref="Q349:Q350"/>
    <mergeCell ref="B335:C335"/>
    <mergeCell ref="E329:R333"/>
    <mergeCell ref="M334:M335"/>
    <mergeCell ref="N334:N335"/>
    <mergeCell ref="O334:O335"/>
    <mergeCell ref="R334:R335"/>
    <mergeCell ref="P334:P335"/>
    <mergeCell ref="Q334:Q335"/>
    <mergeCell ref="B326:C326"/>
    <mergeCell ref="A327:E327"/>
    <mergeCell ref="P304:P305"/>
    <mergeCell ref="Q304:Q305"/>
    <mergeCell ref="B305:C305"/>
    <mergeCell ref="B323:C323"/>
    <mergeCell ref="A315:D315"/>
    <mergeCell ref="A317:B317"/>
    <mergeCell ref="A318:B318"/>
    <mergeCell ref="C318:D318"/>
    <mergeCell ref="A319:B319"/>
    <mergeCell ref="E315:R319"/>
    <mergeCell ref="M320:M321"/>
    <mergeCell ref="R304:R305"/>
    <mergeCell ref="N320:N321"/>
    <mergeCell ref="O320:O321"/>
    <mergeCell ref="R320:R321"/>
    <mergeCell ref="C259:D259"/>
    <mergeCell ref="A260:F260"/>
    <mergeCell ref="B261:C261"/>
    <mergeCell ref="A258:B258"/>
    <mergeCell ref="C258:D258"/>
    <mergeCell ref="A259:B259"/>
    <mergeCell ref="E299:R303"/>
    <mergeCell ref="A329:D329"/>
    <mergeCell ref="A331:B331"/>
    <mergeCell ref="A332:B332"/>
    <mergeCell ref="C332:D332"/>
    <mergeCell ref="A333:B333"/>
    <mergeCell ref="C333:D333"/>
    <mergeCell ref="A334:F334"/>
    <mergeCell ref="R290:R291"/>
    <mergeCell ref="B307:C307"/>
    <mergeCell ref="B308:C308"/>
    <mergeCell ref="B309:C309"/>
    <mergeCell ref="B311:C311"/>
    <mergeCell ref="B312:C312"/>
    <mergeCell ref="A313:E313"/>
    <mergeCell ref="A299:D299"/>
    <mergeCell ref="A301:B301"/>
    <mergeCell ref="A302:B302"/>
    <mergeCell ref="C302:D302"/>
    <mergeCell ref="A303:B303"/>
    <mergeCell ref="C303:D303"/>
    <mergeCell ref="A304:F304"/>
    <mergeCell ref="B321:C321"/>
    <mergeCell ref="Q320:Q321"/>
    <mergeCell ref="B295:C295"/>
    <mergeCell ref="A285:D285"/>
    <mergeCell ref="A287:B287"/>
    <mergeCell ref="A288:B288"/>
    <mergeCell ref="C288:D288"/>
    <mergeCell ref="A289:B289"/>
    <mergeCell ref="C289:D289"/>
    <mergeCell ref="A290:F290"/>
    <mergeCell ref="B291:C291"/>
    <mergeCell ref="E270:R274"/>
    <mergeCell ref="A270:D270"/>
    <mergeCell ref="A272:B272"/>
    <mergeCell ref="A273:B273"/>
    <mergeCell ref="C273:D273"/>
    <mergeCell ref="M275:M276"/>
    <mergeCell ref="N275:N276"/>
    <mergeCell ref="O275:O276"/>
    <mergeCell ref="R275:R276"/>
    <mergeCell ref="E285:R289"/>
    <mergeCell ref="M290:M291"/>
    <mergeCell ref="P275:P276"/>
    <mergeCell ref="Q275:Q276"/>
    <mergeCell ref="A168:F168"/>
    <mergeCell ref="M168:M169"/>
    <mergeCell ref="N168:N169"/>
    <mergeCell ref="O168:O169"/>
    <mergeCell ref="R168:R169"/>
    <mergeCell ref="B173:C173"/>
    <mergeCell ref="K168:L168"/>
    <mergeCell ref="P168:P169"/>
    <mergeCell ref="Q168:Q169"/>
    <mergeCell ref="R181:R182"/>
    <mergeCell ref="B182:C182"/>
    <mergeCell ref="Q45:Q46"/>
    <mergeCell ref="P72:P73"/>
    <mergeCell ref="Q72:Q73"/>
    <mergeCell ref="P88:P89"/>
    <mergeCell ref="Q88:Q89"/>
    <mergeCell ref="P101:P102"/>
    <mergeCell ref="Q101:Q102"/>
    <mergeCell ref="K45:L45"/>
    <mergeCell ref="K57:L57"/>
    <mergeCell ref="K72:L72"/>
    <mergeCell ref="K101:L101"/>
    <mergeCell ref="B62:C62"/>
    <mergeCell ref="B64:C64"/>
    <mergeCell ref="A65:E65"/>
    <mergeCell ref="E67:R71"/>
    <mergeCell ref="A166:B166"/>
    <mergeCell ref="C166:D166"/>
    <mergeCell ref="A70:B70"/>
    <mergeCell ref="N143:N144"/>
    <mergeCell ref="O143:O144"/>
    <mergeCell ref="E176:R180"/>
    <mergeCell ref="A1:R1"/>
    <mergeCell ref="A2:R2"/>
    <mergeCell ref="A3:R3"/>
    <mergeCell ref="A4:R4"/>
    <mergeCell ref="O11:O12"/>
    <mergeCell ref="R11:R12"/>
    <mergeCell ref="A6:D6"/>
    <mergeCell ref="E6:R10"/>
    <mergeCell ref="A8:B8"/>
    <mergeCell ref="A72:F72"/>
    <mergeCell ref="B73:C73"/>
    <mergeCell ref="C43:D43"/>
    <mergeCell ref="B117:C117"/>
    <mergeCell ref="B105:C105"/>
    <mergeCell ref="A88:F88"/>
    <mergeCell ref="A45:F45"/>
    <mergeCell ref="B60:C60"/>
    <mergeCell ref="A96:D96"/>
    <mergeCell ref="A98:B98"/>
    <mergeCell ref="A67:D67"/>
    <mergeCell ref="A69:B69"/>
    <mergeCell ref="A9:B9"/>
    <mergeCell ref="C9:D9"/>
    <mergeCell ref="A10:B10"/>
    <mergeCell ref="C10:D10"/>
    <mergeCell ref="A11:F11"/>
    <mergeCell ref="B15:C15"/>
    <mergeCell ref="B12:C12"/>
    <mergeCell ref="B14:C14"/>
    <mergeCell ref="C30:D30"/>
    <mergeCell ref="B75:C75"/>
    <mergeCell ref="B76:C76"/>
    <mergeCell ref="F927:I927"/>
    <mergeCell ref="A904:L904"/>
    <mergeCell ref="A922:L922"/>
    <mergeCell ref="A923:L923"/>
    <mergeCell ref="A924:L924"/>
    <mergeCell ref="A925:L925"/>
    <mergeCell ref="A906:R906"/>
    <mergeCell ref="A908:L908"/>
    <mergeCell ref="A911:L911"/>
    <mergeCell ref="A919:L919"/>
    <mergeCell ref="A921:L921"/>
    <mergeCell ref="A912:L912"/>
    <mergeCell ref="A914:L914"/>
    <mergeCell ref="B899:C899"/>
    <mergeCell ref="A898:C898"/>
    <mergeCell ref="B158:C158"/>
    <mergeCell ref="A38:E38"/>
    <mergeCell ref="A40:D40"/>
    <mergeCell ref="A42:B42"/>
    <mergeCell ref="A43:B43"/>
    <mergeCell ref="A99:B99"/>
    <mergeCell ref="A176:D176"/>
    <mergeCell ref="B134:C134"/>
    <mergeCell ref="B135:C135"/>
    <mergeCell ref="A127:B127"/>
    <mergeCell ref="C127:D127"/>
    <mergeCell ref="P57:P58"/>
    <mergeCell ref="Q57:Q58"/>
    <mergeCell ref="B61:C61"/>
    <mergeCell ref="B79:C79"/>
    <mergeCell ref="B80:C80"/>
    <mergeCell ref="A81:E81"/>
    <mergeCell ref="A31:F31"/>
    <mergeCell ref="M31:M32"/>
    <mergeCell ref="N31:N32"/>
    <mergeCell ref="O31:O32"/>
    <mergeCell ref="R31:R32"/>
    <mergeCell ref="B32:C32"/>
    <mergeCell ref="B34:C34"/>
    <mergeCell ref="B37:C37"/>
    <mergeCell ref="N11:N12"/>
    <mergeCell ref="P11:P12"/>
    <mergeCell ref="Q11:Q12"/>
    <mergeCell ref="E40:R44"/>
    <mergeCell ref="A44:B44"/>
    <mergeCell ref="C44:D44"/>
    <mergeCell ref="M45:M46"/>
    <mergeCell ref="N45:N46"/>
    <mergeCell ref="O45:O46"/>
    <mergeCell ref="R45:R46"/>
    <mergeCell ref="B46:C46"/>
    <mergeCell ref="A29:B29"/>
    <mergeCell ref="C29:D29"/>
    <mergeCell ref="A30:B30"/>
    <mergeCell ref="A24:E24"/>
    <mergeCell ref="P31:P32"/>
    <mergeCell ref="Q31:Q32"/>
    <mergeCell ref="B35:C35"/>
    <mergeCell ref="A26:D26"/>
    <mergeCell ref="E26:R30"/>
    <mergeCell ref="A28:B28"/>
    <mergeCell ref="K11:L11"/>
    <mergeCell ref="K31:L31"/>
    <mergeCell ref="P45:P46"/>
    <mergeCell ref="C70:D70"/>
    <mergeCell ref="A71:B71"/>
    <mergeCell ref="C71:D71"/>
    <mergeCell ref="M72:M73"/>
    <mergeCell ref="N72:N73"/>
    <mergeCell ref="O72:O73"/>
    <mergeCell ref="R72:R73"/>
    <mergeCell ref="B48:C48"/>
    <mergeCell ref="B49:C49"/>
    <mergeCell ref="A50:E50"/>
    <mergeCell ref="A52:D52"/>
    <mergeCell ref="E52:R56"/>
    <mergeCell ref="A54:B54"/>
    <mergeCell ref="A55:B55"/>
    <mergeCell ref="C55:D55"/>
    <mergeCell ref="A56:B56"/>
    <mergeCell ref="C56:D56"/>
    <mergeCell ref="A57:F57"/>
    <mergeCell ref="M57:M58"/>
    <mergeCell ref="N57:N58"/>
    <mergeCell ref="O57:O58"/>
    <mergeCell ref="R57:R58"/>
    <mergeCell ref="B58:C58"/>
    <mergeCell ref="I65:J65"/>
    <mergeCell ref="I50:J50"/>
    <mergeCell ref="A83:D83"/>
    <mergeCell ref="E83:R87"/>
    <mergeCell ref="A85:B85"/>
    <mergeCell ref="A86:B86"/>
    <mergeCell ref="C86:D86"/>
    <mergeCell ref="A87:B87"/>
    <mergeCell ref="C87:D87"/>
    <mergeCell ref="M88:M89"/>
    <mergeCell ref="N88:N89"/>
    <mergeCell ref="O88:O89"/>
    <mergeCell ref="R88:R89"/>
    <mergeCell ref="B89:C89"/>
    <mergeCell ref="B92:C92"/>
    <mergeCell ref="B93:C93"/>
    <mergeCell ref="B91:C91"/>
    <mergeCell ref="B106:C106"/>
    <mergeCell ref="I94:J94"/>
    <mergeCell ref="K88:L88"/>
    <mergeCell ref="C100:D100"/>
    <mergeCell ref="A94:E94"/>
    <mergeCell ref="E96:R100"/>
    <mergeCell ref="C99:D99"/>
    <mergeCell ref="A100:B100"/>
    <mergeCell ref="A101:F101"/>
    <mergeCell ref="M101:M102"/>
    <mergeCell ref="N101:N102"/>
    <mergeCell ref="O101:O102"/>
    <mergeCell ref="R101:R102"/>
    <mergeCell ref="B102:C102"/>
    <mergeCell ref="A107:E107"/>
    <mergeCell ref="A109:D109"/>
    <mergeCell ref="E109:R113"/>
    <mergeCell ref="A111:B111"/>
    <mergeCell ref="A112:B112"/>
    <mergeCell ref="C112:D112"/>
    <mergeCell ref="A113:B113"/>
    <mergeCell ref="C113:D113"/>
    <mergeCell ref="M114:M115"/>
    <mergeCell ref="N114:N115"/>
    <mergeCell ref="O114:O115"/>
    <mergeCell ref="R114:R115"/>
    <mergeCell ref="A114:F114"/>
    <mergeCell ref="B115:C115"/>
    <mergeCell ref="B104:C104"/>
    <mergeCell ref="P114:P115"/>
    <mergeCell ref="Q114:Q115"/>
    <mergeCell ref="I107:J107"/>
    <mergeCell ref="K114:L114"/>
    <mergeCell ref="B118:C118"/>
    <mergeCell ref="B121:C121"/>
    <mergeCell ref="A124:D124"/>
    <mergeCell ref="E124:R128"/>
    <mergeCell ref="A126:B126"/>
    <mergeCell ref="M129:M130"/>
    <mergeCell ref="N129:N130"/>
    <mergeCell ref="O129:O130"/>
    <mergeCell ref="R129:R130"/>
    <mergeCell ref="A136:E136"/>
    <mergeCell ref="E138:R142"/>
    <mergeCell ref="B120:C120"/>
    <mergeCell ref="A138:D138"/>
    <mergeCell ref="A140:B140"/>
    <mergeCell ref="A141:B141"/>
    <mergeCell ref="C141:D141"/>
    <mergeCell ref="A142:B142"/>
    <mergeCell ref="C142:D142"/>
    <mergeCell ref="A128:B128"/>
    <mergeCell ref="C128:D128"/>
    <mergeCell ref="B132:C132"/>
    <mergeCell ref="A129:F129"/>
    <mergeCell ref="B130:C130"/>
    <mergeCell ref="P129:P130"/>
    <mergeCell ref="Q129:Q130"/>
    <mergeCell ref="I136:J136"/>
    <mergeCell ref="I122:J122"/>
    <mergeCell ref="K129:L129"/>
    <mergeCell ref="B197:C197"/>
    <mergeCell ref="P181:P182"/>
    <mergeCell ref="Q181:Q182"/>
    <mergeCell ref="B186:C186"/>
    <mergeCell ref="B188:C188"/>
    <mergeCell ref="A189:E189"/>
    <mergeCell ref="A191:D191"/>
    <mergeCell ref="A178:B178"/>
    <mergeCell ref="A179:B179"/>
    <mergeCell ref="K181:L181"/>
    <mergeCell ref="A196:F196"/>
    <mergeCell ref="M196:M197"/>
    <mergeCell ref="N196:N197"/>
    <mergeCell ref="O196:O197"/>
    <mergeCell ref="I174:J174"/>
    <mergeCell ref="R143:R144"/>
    <mergeCell ref="B144:C144"/>
    <mergeCell ref="B146:C146"/>
    <mergeCell ref="B147:C147"/>
    <mergeCell ref="A148:E148"/>
    <mergeCell ref="E150:R154"/>
    <mergeCell ref="M155:M156"/>
    <mergeCell ref="N155:N156"/>
    <mergeCell ref="O155:O156"/>
    <mergeCell ref="R155:R156"/>
    <mergeCell ref="B156:C156"/>
    <mergeCell ref="A161:E161"/>
    <mergeCell ref="A143:F143"/>
    <mergeCell ref="A150:D150"/>
    <mergeCell ref="A152:B152"/>
    <mergeCell ref="A153:B153"/>
    <mergeCell ref="C154:D154"/>
    <mergeCell ref="B199:C199"/>
    <mergeCell ref="B200:C200"/>
    <mergeCell ref="A201:E201"/>
    <mergeCell ref="E203:R207"/>
    <mergeCell ref="M208:M209"/>
    <mergeCell ref="N208:N209"/>
    <mergeCell ref="O208:O209"/>
    <mergeCell ref="R208:R209"/>
    <mergeCell ref="B211:C211"/>
    <mergeCell ref="A203:D203"/>
    <mergeCell ref="A205:B205"/>
    <mergeCell ref="A206:B206"/>
    <mergeCell ref="C206:D206"/>
    <mergeCell ref="A207:B207"/>
    <mergeCell ref="C207:D207"/>
    <mergeCell ref="A208:F208"/>
    <mergeCell ref="B209:C209"/>
    <mergeCell ref="C221:D221"/>
    <mergeCell ref="A222:B222"/>
    <mergeCell ref="C222:D222"/>
    <mergeCell ref="A223:F223"/>
    <mergeCell ref="B224:C224"/>
    <mergeCell ref="B227:C227"/>
    <mergeCell ref="A228:E228"/>
    <mergeCell ref="B528:C528"/>
    <mergeCell ref="R390:R391"/>
    <mergeCell ref="I881:J881"/>
    <mergeCell ref="I867:J867"/>
    <mergeCell ref="I854:J854"/>
    <mergeCell ref="I838:J838"/>
    <mergeCell ref="I824:J824"/>
    <mergeCell ref="I809:J809"/>
    <mergeCell ref="I795:J795"/>
    <mergeCell ref="I779:J779"/>
    <mergeCell ref="I761:J761"/>
    <mergeCell ref="I746:J746"/>
    <mergeCell ref="I731:J731"/>
    <mergeCell ref="I717:J717"/>
    <mergeCell ref="I700:J700"/>
    <mergeCell ref="I685:J685"/>
    <mergeCell ref="D688:D689"/>
    <mergeCell ref="D703:D704"/>
    <mergeCell ref="D720:D721"/>
    <mergeCell ref="D734:D735"/>
    <mergeCell ref="D749:D750"/>
    <mergeCell ref="D764:D765"/>
    <mergeCell ref="A232:B232"/>
    <mergeCell ref="B293:C293"/>
    <mergeCell ref="B294:C294"/>
    <mergeCell ref="B875:C875"/>
    <mergeCell ref="B338:C338"/>
    <mergeCell ref="B339:C339"/>
    <mergeCell ref="A920:J920"/>
    <mergeCell ref="B745:C745"/>
    <mergeCell ref="A909:L910"/>
    <mergeCell ref="A916:L916"/>
    <mergeCell ref="A917:L917"/>
    <mergeCell ref="B379:C379"/>
    <mergeCell ref="B380:C380"/>
    <mergeCell ref="A383:E383"/>
    <mergeCell ref="B393:C393"/>
    <mergeCell ref="B394:C394"/>
    <mergeCell ref="B395:C395"/>
    <mergeCell ref="B396:C396"/>
    <mergeCell ref="B397:C397"/>
    <mergeCell ref="A398:E398"/>
    <mergeCell ref="A385:D385"/>
    <mergeCell ref="A387:B387"/>
    <mergeCell ref="A388:B388"/>
    <mergeCell ref="C388:D388"/>
    <mergeCell ref="A389:B389"/>
    <mergeCell ref="C389:D389"/>
    <mergeCell ref="A390:F390"/>
    <mergeCell ref="B391:C391"/>
    <mergeCell ref="E385:R389"/>
    <mergeCell ref="M390:M391"/>
    <mergeCell ref="N390:N391"/>
    <mergeCell ref="O390:O391"/>
    <mergeCell ref="A915:J915"/>
    <mergeCell ref="A918:J918"/>
    <mergeCell ref="I894:J894"/>
    <mergeCell ref="A515:E515"/>
    <mergeCell ref="B340:C340"/>
    <mergeCell ref="B212:C212"/>
    <mergeCell ref="A486:E486"/>
    <mergeCell ref="K223:L223"/>
    <mergeCell ref="K235:L235"/>
    <mergeCell ref="K247:L247"/>
    <mergeCell ref="K260:L260"/>
    <mergeCell ref="K275:L275"/>
    <mergeCell ref="K290:L290"/>
    <mergeCell ref="K304:L304"/>
    <mergeCell ref="K320:L320"/>
    <mergeCell ref="K334:L334"/>
    <mergeCell ref="K349:L349"/>
    <mergeCell ref="A685:E685"/>
    <mergeCell ref="I544:J544"/>
    <mergeCell ref="I529:J529"/>
    <mergeCell ref="I515:J515"/>
    <mergeCell ref="I499:J499"/>
    <mergeCell ref="I486:J486"/>
    <mergeCell ref="I471:J471"/>
    <mergeCell ref="I454:J454"/>
    <mergeCell ref="B239:C239"/>
    <mergeCell ref="I668:J668"/>
    <mergeCell ref="I653:J653"/>
    <mergeCell ref="I640:J640"/>
    <mergeCell ref="I626:J626"/>
    <mergeCell ref="I610:J610"/>
    <mergeCell ref="I594:J594"/>
    <mergeCell ref="B623:C623"/>
    <mergeCell ref="B296:C296"/>
    <mergeCell ref="B324:C324"/>
    <mergeCell ref="A297:E297"/>
    <mergeCell ref="B278:C278"/>
    <mergeCell ref="B439:C439"/>
    <mergeCell ref="P290:P291"/>
    <mergeCell ref="Q290:Q291"/>
    <mergeCell ref="I81:J81"/>
    <mergeCell ref="I357:J357"/>
    <mergeCell ref="I342:J342"/>
    <mergeCell ref="I327:J327"/>
    <mergeCell ref="I313:J313"/>
    <mergeCell ref="I297:J297"/>
    <mergeCell ref="I283:J283"/>
    <mergeCell ref="I268:J268"/>
    <mergeCell ref="I253:J253"/>
    <mergeCell ref="I240:J240"/>
    <mergeCell ref="I228:J228"/>
    <mergeCell ref="I216:J216"/>
    <mergeCell ref="E230:R234"/>
    <mergeCell ref="M235:M236"/>
    <mergeCell ref="N235:N236"/>
    <mergeCell ref="B238:C238"/>
    <mergeCell ref="C319:D319"/>
    <mergeCell ref="A320:F320"/>
    <mergeCell ref="A342:E342"/>
    <mergeCell ref="A369:E369"/>
    <mergeCell ref="B382:C382"/>
    <mergeCell ref="N290:N291"/>
    <mergeCell ref="O290:O291"/>
    <mergeCell ref="P320:P321"/>
    <mergeCell ref="A218:D218"/>
    <mergeCell ref="A220:B220"/>
    <mergeCell ref="A221:B221"/>
    <mergeCell ref="D7:D8"/>
    <mergeCell ref="D27:D28"/>
    <mergeCell ref="D41:D42"/>
    <mergeCell ref="D53:D54"/>
    <mergeCell ref="D68:D69"/>
    <mergeCell ref="D84:D85"/>
    <mergeCell ref="I24:K24"/>
    <mergeCell ref="D97:D98"/>
    <mergeCell ref="D110:D111"/>
    <mergeCell ref="D125:D126"/>
    <mergeCell ref="D139:D140"/>
    <mergeCell ref="D151:D152"/>
    <mergeCell ref="D164:D165"/>
    <mergeCell ref="D177:D178"/>
    <mergeCell ref="D192:D193"/>
    <mergeCell ref="D204:D205"/>
    <mergeCell ref="D219:D220"/>
    <mergeCell ref="I38:J38"/>
    <mergeCell ref="K196:L196"/>
    <mergeCell ref="A155:F155"/>
    <mergeCell ref="B159:C159"/>
    <mergeCell ref="B160:C160"/>
    <mergeCell ref="I189:J189"/>
    <mergeCell ref="B16:C16"/>
    <mergeCell ref="B19:C19"/>
    <mergeCell ref="B20:C20"/>
    <mergeCell ref="B63:C63"/>
    <mergeCell ref="B78:C78"/>
    <mergeCell ref="A122:E122"/>
    <mergeCell ref="A174:E174"/>
    <mergeCell ref="B185:C185"/>
    <mergeCell ref="C179:D179"/>
    <mergeCell ref="D386:D387"/>
    <mergeCell ref="D401:D402"/>
    <mergeCell ref="I383:J383"/>
    <mergeCell ref="I369:J369"/>
    <mergeCell ref="M304:M305"/>
    <mergeCell ref="N304:N305"/>
    <mergeCell ref="O304:O305"/>
    <mergeCell ref="I201:J201"/>
    <mergeCell ref="K155:L155"/>
    <mergeCell ref="K143:L143"/>
    <mergeCell ref="Q155:Q156"/>
    <mergeCell ref="I161:J161"/>
    <mergeCell ref="A163:D163"/>
    <mergeCell ref="A165:B165"/>
    <mergeCell ref="B171:C171"/>
    <mergeCell ref="B172:C172"/>
    <mergeCell ref="E163:R167"/>
    <mergeCell ref="B213:C213"/>
    <mergeCell ref="E218:R222"/>
    <mergeCell ref="M223:M224"/>
    <mergeCell ref="N223:N224"/>
    <mergeCell ref="R196:R197"/>
    <mergeCell ref="P196:P197"/>
    <mergeCell ref="Q196:Q197"/>
    <mergeCell ref="P143:P144"/>
    <mergeCell ref="B279:C279"/>
    <mergeCell ref="B280:C280"/>
    <mergeCell ref="B281:C281"/>
    <mergeCell ref="B282:C282"/>
    <mergeCell ref="A283:E283"/>
    <mergeCell ref="A180:B180"/>
    <mergeCell ref="C180:D180"/>
    <mergeCell ref="Q143:Q144"/>
    <mergeCell ref="P155:P156"/>
    <mergeCell ref="I148:J148"/>
    <mergeCell ref="D231:D232"/>
    <mergeCell ref="D243:D244"/>
    <mergeCell ref="D256:D257"/>
    <mergeCell ref="D271:D272"/>
    <mergeCell ref="D286:D287"/>
    <mergeCell ref="D300:D301"/>
    <mergeCell ref="D316:D317"/>
    <mergeCell ref="D330:D331"/>
    <mergeCell ref="D345:D346"/>
    <mergeCell ref="D360:D361"/>
    <mergeCell ref="D372:D373"/>
    <mergeCell ref="B184:C184"/>
    <mergeCell ref="C153:D153"/>
    <mergeCell ref="A154:B154"/>
    <mergeCell ref="B215:C215"/>
    <mergeCell ref="E242:R246"/>
    <mergeCell ref="M247:M248"/>
    <mergeCell ref="N247:N248"/>
    <mergeCell ref="O247:O248"/>
    <mergeCell ref="R247:R248"/>
    <mergeCell ref="E255:R259"/>
    <mergeCell ref="M260:M261"/>
    <mergeCell ref="N260:N261"/>
    <mergeCell ref="O260:O261"/>
    <mergeCell ref="R260:R261"/>
    <mergeCell ref="K208:L208"/>
    <mergeCell ref="B337:C337"/>
    <mergeCell ref="P208:P209"/>
    <mergeCell ref="Q208:Q209"/>
    <mergeCell ref="B18:C18"/>
    <mergeCell ref="B21:C21"/>
    <mergeCell ref="B23:C23"/>
    <mergeCell ref="D418:D419"/>
    <mergeCell ref="D430:D431"/>
    <mergeCell ref="D445:D446"/>
    <mergeCell ref="D457:D458"/>
    <mergeCell ref="A240:E240"/>
    <mergeCell ref="B250:C250"/>
    <mergeCell ref="B251:C251"/>
    <mergeCell ref="B252:C252"/>
    <mergeCell ref="A253:E253"/>
    <mergeCell ref="A242:D242"/>
    <mergeCell ref="A244:B244"/>
    <mergeCell ref="A245:B245"/>
    <mergeCell ref="C245:D245"/>
    <mergeCell ref="A246:B246"/>
    <mergeCell ref="C246:D246"/>
    <mergeCell ref="A274:B274"/>
    <mergeCell ref="C274:D274"/>
    <mergeCell ref="A275:F275"/>
    <mergeCell ref="B276:C276"/>
    <mergeCell ref="B441:C441"/>
    <mergeCell ref="B451:C451"/>
    <mergeCell ref="B341:C341"/>
    <mergeCell ref="B263:C263"/>
    <mergeCell ref="B264:C264"/>
    <mergeCell ref="B265:C265"/>
    <mergeCell ref="B267:C267"/>
    <mergeCell ref="A268:E268"/>
    <mergeCell ref="A255:D255"/>
    <mergeCell ref="A257:B257"/>
  </mergeCells>
  <conditionalFormatting sqref="R24">
    <cfRule type="containsText" dxfId="643" priority="9" operator="containsText" text="NO CUMPLE">
      <formula>NOT(ISERROR(SEARCH("NO CUMPLE",R24)))</formula>
    </cfRule>
    <cfRule type="containsText" dxfId="642" priority="10" operator="containsText" text="CUMPLE">
      <formula>NOT(ISERROR(SEARCH("CUMPLE",R24)))</formula>
    </cfRule>
  </conditionalFormatting>
  <conditionalFormatting sqref="R38">
    <cfRule type="containsText" dxfId="641" priority="11" operator="containsText" text="NO CUMPLE">
      <formula>NOT(ISERROR(SEARCH("NO CUMPLE",R38)))</formula>
    </cfRule>
    <cfRule type="containsText" dxfId="640" priority="12" operator="containsText" text="CUMPLE">
      <formula>NOT(ISERROR(SEARCH("CUMPLE",R38)))</formula>
    </cfRule>
  </conditionalFormatting>
  <conditionalFormatting sqref="R50">
    <cfRule type="containsText" dxfId="639" priority="13" operator="containsText" text="NO CUMPLE">
      <formula>NOT(ISERROR(SEARCH("NO CUMPLE",R50)))</formula>
    </cfRule>
    <cfRule type="containsText" dxfId="638" priority="14" operator="containsText" text="CUMPLE">
      <formula>NOT(ISERROR(SEARCH("CUMPLE",R50)))</formula>
    </cfRule>
  </conditionalFormatting>
  <conditionalFormatting sqref="R65">
    <cfRule type="containsText" dxfId="637" priority="15" operator="containsText" text="NO CUMPLE">
      <formula>NOT(ISERROR(SEARCH("NO CUMPLE",R65)))</formula>
    </cfRule>
    <cfRule type="containsText" dxfId="636" priority="16" operator="containsText" text="CUMPLE">
      <formula>NOT(ISERROR(SEARCH("CUMPLE",R65)))</formula>
    </cfRule>
  </conditionalFormatting>
  <conditionalFormatting sqref="R81">
    <cfRule type="containsText" dxfId="635" priority="17" operator="containsText" text="NO CUMPLE">
      <formula>NOT(ISERROR(SEARCH("NO CUMPLE",R81)))</formula>
    </cfRule>
    <cfRule type="containsText" dxfId="634" priority="18" operator="containsText" text="CUMPLE">
      <formula>NOT(ISERROR(SEARCH("CUMPLE",R81)))</formula>
    </cfRule>
  </conditionalFormatting>
  <conditionalFormatting sqref="R94">
    <cfRule type="containsText" dxfId="633" priority="19" operator="containsText" text="NO CUMPLE">
      <formula>NOT(ISERROR(SEARCH("NO CUMPLE",R94)))</formula>
    </cfRule>
    <cfRule type="containsText" dxfId="632" priority="20" operator="containsText" text="CUMPLE">
      <formula>NOT(ISERROR(SEARCH("CUMPLE",R94)))</formula>
    </cfRule>
  </conditionalFormatting>
  <conditionalFormatting sqref="R107">
    <cfRule type="containsText" dxfId="631" priority="21" operator="containsText" text="NO CUMPLE">
      <formula>NOT(ISERROR(SEARCH("NO CUMPLE",R107)))</formula>
    </cfRule>
    <cfRule type="containsText" dxfId="630" priority="22" operator="containsText" text="CUMPLE">
      <formula>NOT(ISERROR(SEARCH("CUMPLE",R107)))</formula>
    </cfRule>
  </conditionalFormatting>
  <conditionalFormatting sqref="R122">
    <cfRule type="containsText" dxfId="629" priority="23" operator="containsText" text="NO CUMPLE">
      <formula>NOT(ISERROR(SEARCH("NO CUMPLE",R122)))</formula>
    </cfRule>
    <cfRule type="containsText" dxfId="628" priority="24" operator="containsText" text="CUMPLE">
      <formula>NOT(ISERROR(SEARCH("CUMPLE",R122)))</formula>
    </cfRule>
  </conditionalFormatting>
  <conditionalFormatting sqref="R136">
    <cfRule type="containsText" dxfId="627" priority="25" operator="containsText" text="NO CUMPLE">
      <formula>NOT(ISERROR(SEARCH("NO CUMPLE",R136)))</formula>
    </cfRule>
    <cfRule type="containsText" dxfId="626" priority="26" operator="containsText" text="CUMPLE">
      <formula>NOT(ISERROR(SEARCH("CUMPLE",R136)))</formula>
    </cfRule>
  </conditionalFormatting>
  <conditionalFormatting sqref="R148">
    <cfRule type="containsText" dxfId="625" priority="27" operator="containsText" text="NO CUMPLE">
      <formula>NOT(ISERROR(SEARCH("NO CUMPLE",R148)))</formula>
    </cfRule>
    <cfRule type="containsText" dxfId="624" priority="28" operator="containsText" text="CUMPLE">
      <formula>NOT(ISERROR(SEARCH("CUMPLE",R148)))</formula>
    </cfRule>
  </conditionalFormatting>
  <conditionalFormatting sqref="R161">
    <cfRule type="containsText" dxfId="623" priority="49" operator="containsText" text="NO CUMPLE">
      <formula>NOT(ISERROR(SEARCH("NO CUMPLE",R161)))</formula>
    </cfRule>
    <cfRule type="containsText" dxfId="622" priority="50" operator="containsText" text="CUMPLE">
      <formula>NOT(ISERROR(SEARCH("CUMPLE",R161)))</formula>
    </cfRule>
  </conditionalFormatting>
  <conditionalFormatting sqref="R174">
    <cfRule type="containsText" dxfId="621" priority="47" operator="containsText" text="NO CUMPLE">
      <formula>NOT(ISERROR(SEARCH("NO CUMPLE",R174)))</formula>
    </cfRule>
    <cfRule type="containsText" dxfId="620" priority="48" operator="containsText" text="CUMPLE">
      <formula>NOT(ISERROR(SEARCH("CUMPLE",R174)))</formula>
    </cfRule>
  </conditionalFormatting>
  <conditionalFormatting sqref="R189">
    <cfRule type="containsText" dxfId="619" priority="45" operator="containsText" text="NO CUMPLE">
      <formula>NOT(ISERROR(SEARCH("NO CUMPLE",R189)))</formula>
    </cfRule>
    <cfRule type="containsText" dxfId="618" priority="46" operator="containsText" text="CUMPLE">
      <formula>NOT(ISERROR(SEARCH("CUMPLE",R189)))</formula>
    </cfRule>
  </conditionalFormatting>
  <conditionalFormatting sqref="R201">
    <cfRule type="containsText" dxfId="617" priority="43" operator="containsText" text="NO CUMPLE">
      <formula>NOT(ISERROR(SEARCH("NO CUMPLE",R201)))</formula>
    </cfRule>
    <cfRule type="containsText" dxfId="616" priority="44" operator="containsText" text="CUMPLE">
      <formula>NOT(ISERROR(SEARCH("CUMPLE",R201)))</formula>
    </cfRule>
  </conditionalFormatting>
  <conditionalFormatting sqref="R216">
    <cfRule type="containsText" dxfId="615" priority="41" operator="containsText" text="NO CUMPLE">
      <formula>NOT(ISERROR(SEARCH("NO CUMPLE",R216)))</formula>
    </cfRule>
    <cfRule type="containsText" dxfId="614" priority="42" operator="containsText" text="CUMPLE">
      <formula>NOT(ISERROR(SEARCH("CUMPLE",R216)))</formula>
    </cfRule>
  </conditionalFormatting>
  <conditionalFormatting sqref="R228">
    <cfRule type="containsText" dxfId="613" priority="243" operator="containsText" text="NO CUMPLE">
      <formula>NOT(ISERROR(SEARCH("NO CUMPLE",R228)))</formula>
    </cfRule>
    <cfRule type="containsText" dxfId="612" priority="244" operator="containsText" text="CUMPLE">
      <formula>NOT(ISERROR(SEARCH("CUMPLE",R228)))</formula>
    </cfRule>
  </conditionalFormatting>
  <conditionalFormatting sqref="R240">
    <cfRule type="containsText" dxfId="611" priority="39" operator="containsText" text="NO CUMPLE">
      <formula>NOT(ISERROR(SEARCH("NO CUMPLE",R240)))</formula>
    </cfRule>
    <cfRule type="containsText" dxfId="610" priority="40" operator="containsText" text="CUMPLE">
      <formula>NOT(ISERROR(SEARCH("CUMPLE",R240)))</formula>
    </cfRule>
  </conditionalFormatting>
  <conditionalFormatting sqref="R253">
    <cfRule type="containsText" dxfId="609" priority="37" operator="containsText" text="NO CUMPLE">
      <formula>NOT(ISERROR(SEARCH("NO CUMPLE",R253)))</formula>
    </cfRule>
    <cfRule type="containsText" dxfId="608" priority="38" operator="containsText" text="CUMPLE">
      <formula>NOT(ISERROR(SEARCH("CUMPLE",R253)))</formula>
    </cfRule>
  </conditionalFormatting>
  <conditionalFormatting sqref="R268">
    <cfRule type="containsText" dxfId="607" priority="35" operator="containsText" text="NO CUMPLE">
      <formula>NOT(ISERROR(SEARCH("NO CUMPLE",R268)))</formula>
    </cfRule>
    <cfRule type="containsText" dxfId="606" priority="36" operator="containsText" text="CUMPLE">
      <formula>NOT(ISERROR(SEARCH("CUMPLE",R268)))</formula>
    </cfRule>
  </conditionalFormatting>
  <conditionalFormatting sqref="R283">
    <cfRule type="containsText" dxfId="605" priority="33" operator="containsText" text="NO CUMPLE">
      <formula>NOT(ISERROR(SEARCH("NO CUMPLE",R283)))</formula>
    </cfRule>
    <cfRule type="containsText" dxfId="604" priority="34" operator="containsText" text="CUMPLE">
      <formula>NOT(ISERROR(SEARCH("CUMPLE",R283)))</formula>
    </cfRule>
  </conditionalFormatting>
  <conditionalFormatting sqref="R297">
    <cfRule type="containsText" dxfId="603" priority="111" operator="containsText" text="NO CUMPLE">
      <formula>NOT(ISERROR(SEARCH("NO CUMPLE",R297)))</formula>
    </cfRule>
    <cfRule type="containsText" dxfId="602" priority="112" operator="containsText" text="CUMPLE">
      <formula>NOT(ISERROR(SEARCH("CUMPLE",R297)))</formula>
    </cfRule>
  </conditionalFormatting>
  <conditionalFormatting sqref="R313">
    <cfRule type="containsText" dxfId="601" priority="109" operator="containsText" text="NO CUMPLE">
      <formula>NOT(ISERROR(SEARCH("NO CUMPLE",R313)))</formula>
    </cfRule>
    <cfRule type="containsText" dxfId="600" priority="110" operator="containsText" text="CUMPLE">
      <formula>NOT(ISERROR(SEARCH("CUMPLE",R313)))</formula>
    </cfRule>
  </conditionalFormatting>
  <conditionalFormatting sqref="R327">
    <cfRule type="containsText" dxfId="599" priority="107" operator="containsText" text="NO CUMPLE">
      <formula>NOT(ISERROR(SEARCH("NO CUMPLE",R327)))</formula>
    </cfRule>
    <cfRule type="containsText" dxfId="598" priority="108" operator="containsText" text="CUMPLE">
      <formula>NOT(ISERROR(SEARCH("CUMPLE",R327)))</formula>
    </cfRule>
  </conditionalFormatting>
  <conditionalFormatting sqref="R342">
    <cfRule type="containsText" dxfId="597" priority="105" operator="containsText" text="NO CUMPLE">
      <formula>NOT(ISERROR(SEARCH("NO CUMPLE",R342)))</formula>
    </cfRule>
    <cfRule type="containsText" dxfId="596" priority="106" operator="containsText" text="CUMPLE">
      <formula>NOT(ISERROR(SEARCH("CUMPLE",R342)))</formula>
    </cfRule>
  </conditionalFormatting>
  <conditionalFormatting sqref="R357">
    <cfRule type="containsText" dxfId="595" priority="103" operator="containsText" text="NO CUMPLE">
      <formula>NOT(ISERROR(SEARCH("NO CUMPLE",R357)))</formula>
    </cfRule>
    <cfRule type="containsText" dxfId="594" priority="104" operator="containsText" text="CUMPLE">
      <formula>NOT(ISERROR(SEARCH("CUMPLE",R357)))</formula>
    </cfRule>
  </conditionalFormatting>
  <conditionalFormatting sqref="R369">
    <cfRule type="containsText" dxfId="593" priority="101" operator="containsText" text="NO CUMPLE">
      <formula>NOT(ISERROR(SEARCH("NO CUMPLE",R369)))</formula>
    </cfRule>
    <cfRule type="containsText" dxfId="592" priority="102" operator="containsText" text="CUMPLE">
      <formula>NOT(ISERROR(SEARCH("CUMPLE",R369)))</formula>
    </cfRule>
  </conditionalFormatting>
  <conditionalFormatting sqref="R383">
    <cfRule type="containsText" dxfId="591" priority="99" operator="containsText" text="NO CUMPLE">
      <formula>NOT(ISERROR(SEARCH("NO CUMPLE",R383)))</formula>
    </cfRule>
    <cfRule type="containsText" dxfId="590" priority="100" operator="containsText" text="CUMPLE">
      <formula>NOT(ISERROR(SEARCH("CUMPLE",R383)))</formula>
    </cfRule>
  </conditionalFormatting>
  <conditionalFormatting sqref="R398">
    <cfRule type="containsText" dxfId="589" priority="97" operator="containsText" text="NO CUMPLE">
      <formula>NOT(ISERROR(SEARCH("NO CUMPLE",R398)))</formula>
    </cfRule>
    <cfRule type="containsText" dxfId="588" priority="98" operator="containsText" text="CUMPLE">
      <formula>NOT(ISERROR(SEARCH("CUMPLE",R398)))</formula>
    </cfRule>
  </conditionalFormatting>
  <conditionalFormatting sqref="R415">
    <cfRule type="containsText" dxfId="587" priority="95" operator="containsText" text="NO CUMPLE">
      <formula>NOT(ISERROR(SEARCH("NO CUMPLE",R415)))</formula>
    </cfRule>
    <cfRule type="containsText" dxfId="586" priority="96" operator="containsText" text="CUMPLE">
      <formula>NOT(ISERROR(SEARCH("CUMPLE",R415)))</formula>
    </cfRule>
  </conditionalFormatting>
  <conditionalFormatting sqref="R427">
    <cfRule type="containsText" dxfId="585" priority="93" operator="containsText" text="NO CUMPLE">
      <formula>NOT(ISERROR(SEARCH("NO CUMPLE",R427)))</formula>
    </cfRule>
    <cfRule type="containsText" dxfId="584" priority="94" operator="containsText" text="CUMPLE">
      <formula>NOT(ISERROR(SEARCH("CUMPLE",R427)))</formula>
    </cfRule>
  </conditionalFormatting>
  <conditionalFormatting sqref="R442">
    <cfRule type="containsText" dxfId="583" priority="91" operator="containsText" text="NO CUMPLE">
      <formula>NOT(ISERROR(SEARCH("NO CUMPLE",R442)))</formula>
    </cfRule>
    <cfRule type="containsText" dxfId="582" priority="92" operator="containsText" text="CUMPLE">
      <formula>NOT(ISERROR(SEARCH("CUMPLE",R442)))</formula>
    </cfRule>
  </conditionalFormatting>
  <conditionalFormatting sqref="R454">
    <cfRule type="containsText" dxfId="581" priority="211" operator="containsText" text="NO CUMPLE">
      <formula>NOT(ISERROR(SEARCH("NO CUMPLE",R454)))</formula>
    </cfRule>
    <cfRule type="containsText" dxfId="580" priority="212" operator="containsText" text="CUMPLE">
      <formula>NOT(ISERROR(SEARCH("CUMPLE",R454)))</formula>
    </cfRule>
  </conditionalFormatting>
  <conditionalFormatting sqref="R471">
    <cfRule type="containsText" dxfId="579" priority="209" operator="containsText" text="NO CUMPLE">
      <formula>NOT(ISERROR(SEARCH("NO CUMPLE",R471)))</formula>
    </cfRule>
    <cfRule type="containsText" dxfId="578" priority="210" operator="containsText" text="CUMPLE">
      <formula>NOT(ISERROR(SEARCH("CUMPLE",R471)))</formula>
    </cfRule>
  </conditionalFormatting>
  <conditionalFormatting sqref="R486">
    <cfRule type="containsText" dxfId="577" priority="89" operator="containsText" text="NO CUMPLE">
      <formula>NOT(ISERROR(SEARCH("NO CUMPLE",R486)))</formula>
    </cfRule>
    <cfRule type="containsText" dxfId="576" priority="90" operator="containsText" text="CUMPLE">
      <formula>NOT(ISERROR(SEARCH("CUMPLE",R486)))</formula>
    </cfRule>
  </conditionalFormatting>
  <conditionalFormatting sqref="R499">
    <cfRule type="containsText" dxfId="575" priority="87" operator="containsText" text="NO CUMPLE">
      <formula>NOT(ISERROR(SEARCH("NO CUMPLE",R499)))</formula>
    </cfRule>
    <cfRule type="containsText" dxfId="574" priority="88" operator="containsText" text="CUMPLE">
      <formula>NOT(ISERROR(SEARCH("CUMPLE",R499)))</formula>
    </cfRule>
  </conditionalFormatting>
  <conditionalFormatting sqref="R515">
    <cfRule type="containsText" dxfId="573" priority="85" operator="containsText" text="NO CUMPLE">
      <formula>NOT(ISERROR(SEARCH("NO CUMPLE",R515)))</formula>
    </cfRule>
    <cfRule type="containsText" dxfId="572" priority="86" operator="containsText" text="CUMPLE">
      <formula>NOT(ISERROR(SEARCH("CUMPLE",R515)))</formula>
    </cfRule>
  </conditionalFormatting>
  <conditionalFormatting sqref="R529">
    <cfRule type="containsText" dxfId="571" priority="83" operator="containsText" text="NO CUMPLE">
      <formula>NOT(ISERROR(SEARCH("NO CUMPLE",R529)))</formula>
    </cfRule>
    <cfRule type="containsText" dxfId="570" priority="84" operator="containsText" text="CUMPLE">
      <formula>NOT(ISERROR(SEARCH("CUMPLE",R529)))</formula>
    </cfRule>
  </conditionalFormatting>
  <conditionalFormatting sqref="R544">
    <cfRule type="containsText" dxfId="569" priority="81" operator="containsText" text="NO CUMPLE">
      <formula>NOT(ISERROR(SEARCH("NO CUMPLE",R544)))</formula>
    </cfRule>
    <cfRule type="containsText" dxfId="568" priority="82" operator="containsText" text="CUMPLE">
      <formula>NOT(ISERROR(SEARCH("CUMPLE",R544)))</formula>
    </cfRule>
  </conditionalFormatting>
  <conditionalFormatting sqref="R555">
    <cfRule type="containsText" dxfId="567" priority="197" operator="containsText" text="NO CUMPLE">
      <formula>NOT(ISERROR(SEARCH("NO CUMPLE",R555)))</formula>
    </cfRule>
    <cfRule type="containsText" dxfId="566" priority="198" operator="containsText" text="CUMPLE">
      <formula>NOT(ISERROR(SEARCH("CUMPLE",R555)))</formula>
    </cfRule>
  </conditionalFormatting>
  <conditionalFormatting sqref="R569">
    <cfRule type="containsText" dxfId="565" priority="79" operator="containsText" text="NO CUMPLE">
      <formula>NOT(ISERROR(SEARCH("NO CUMPLE",R569)))</formula>
    </cfRule>
    <cfRule type="containsText" dxfId="564" priority="80" operator="containsText" text="CUMPLE">
      <formula>NOT(ISERROR(SEARCH("CUMPLE",R569)))</formula>
    </cfRule>
  </conditionalFormatting>
  <conditionalFormatting sqref="R582">
    <cfRule type="containsText" dxfId="563" priority="193" operator="containsText" text="NO CUMPLE">
      <formula>NOT(ISERROR(SEARCH("NO CUMPLE",R582)))</formula>
    </cfRule>
    <cfRule type="containsText" dxfId="562" priority="194" operator="containsText" text="CUMPLE">
      <formula>NOT(ISERROR(SEARCH("CUMPLE",R582)))</formula>
    </cfRule>
  </conditionalFormatting>
  <conditionalFormatting sqref="R594">
    <cfRule type="containsText" dxfId="561" priority="191" operator="containsText" text="NO CUMPLE">
      <formula>NOT(ISERROR(SEARCH("NO CUMPLE",R594)))</formula>
    </cfRule>
    <cfRule type="containsText" dxfId="560" priority="192" operator="containsText" text="CUMPLE">
      <formula>NOT(ISERROR(SEARCH("CUMPLE",R594)))</formula>
    </cfRule>
  </conditionalFormatting>
  <conditionalFormatting sqref="R610">
    <cfRule type="containsText" dxfId="559" priority="189" operator="containsText" text="NO CUMPLE">
      <formula>NOT(ISERROR(SEARCH("NO CUMPLE",R610)))</formula>
    </cfRule>
    <cfRule type="containsText" dxfId="558" priority="190" operator="containsText" text="CUMPLE">
      <formula>NOT(ISERROR(SEARCH("CUMPLE",R610)))</formula>
    </cfRule>
  </conditionalFormatting>
  <conditionalFormatting sqref="R626">
    <cfRule type="containsText" dxfId="557" priority="187" operator="containsText" text="NO CUMPLE">
      <formula>NOT(ISERROR(SEARCH("NO CUMPLE",R626)))</formula>
    </cfRule>
    <cfRule type="containsText" dxfId="556" priority="188" operator="containsText" text="CUMPLE">
      <formula>NOT(ISERROR(SEARCH("CUMPLE",R626)))</formula>
    </cfRule>
  </conditionalFormatting>
  <conditionalFormatting sqref="R640">
    <cfRule type="containsText" dxfId="555" priority="185" operator="containsText" text="NO CUMPLE">
      <formula>NOT(ISERROR(SEARCH("NO CUMPLE",R640)))</formula>
    </cfRule>
    <cfRule type="containsText" dxfId="554" priority="186" operator="containsText" text="CUMPLE">
      <formula>NOT(ISERROR(SEARCH("CUMPLE",R640)))</formula>
    </cfRule>
  </conditionalFormatting>
  <conditionalFormatting sqref="R653">
    <cfRule type="containsText" dxfId="553" priority="183" operator="containsText" text="NO CUMPLE">
      <formula>NOT(ISERROR(SEARCH("NO CUMPLE",R653)))</formula>
    </cfRule>
    <cfRule type="containsText" dxfId="552" priority="184" operator="containsText" text="CUMPLE">
      <formula>NOT(ISERROR(SEARCH("CUMPLE",R653)))</formula>
    </cfRule>
  </conditionalFormatting>
  <conditionalFormatting sqref="R668">
    <cfRule type="containsText" dxfId="551" priority="181" operator="containsText" text="NO CUMPLE">
      <formula>NOT(ISERROR(SEARCH("NO CUMPLE",R668)))</formula>
    </cfRule>
    <cfRule type="containsText" dxfId="550" priority="182" operator="containsText" text="CUMPLE">
      <formula>NOT(ISERROR(SEARCH("CUMPLE",R668)))</formula>
    </cfRule>
  </conditionalFormatting>
  <conditionalFormatting sqref="R685">
    <cfRule type="containsText" dxfId="549" priority="179" operator="containsText" text="NO CUMPLE">
      <formula>NOT(ISERROR(SEARCH("NO CUMPLE",R685)))</formula>
    </cfRule>
    <cfRule type="containsText" dxfId="548" priority="180" operator="containsText" text="CUMPLE">
      <formula>NOT(ISERROR(SEARCH("CUMPLE",R685)))</formula>
    </cfRule>
  </conditionalFormatting>
  <conditionalFormatting sqref="R700">
    <cfRule type="containsText" dxfId="547" priority="177" operator="containsText" text="NO CUMPLE">
      <formula>NOT(ISERROR(SEARCH("NO CUMPLE",R700)))</formula>
    </cfRule>
    <cfRule type="containsText" dxfId="546" priority="178" operator="containsText" text="CUMPLE">
      <formula>NOT(ISERROR(SEARCH("CUMPLE",R700)))</formula>
    </cfRule>
  </conditionalFormatting>
  <conditionalFormatting sqref="R717">
    <cfRule type="containsText" dxfId="545" priority="175" operator="containsText" text="NO CUMPLE">
      <formula>NOT(ISERROR(SEARCH("NO CUMPLE",R717)))</formula>
    </cfRule>
    <cfRule type="containsText" dxfId="544" priority="176" operator="containsText" text="CUMPLE">
      <formula>NOT(ISERROR(SEARCH("CUMPLE",R717)))</formula>
    </cfRule>
  </conditionalFormatting>
  <conditionalFormatting sqref="R731">
    <cfRule type="containsText" dxfId="543" priority="173" operator="containsText" text="NO CUMPLE">
      <formula>NOT(ISERROR(SEARCH("NO CUMPLE",R731)))</formula>
    </cfRule>
    <cfRule type="containsText" dxfId="542" priority="174" operator="containsText" text="CUMPLE">
      <formula>NOT(ISERROR(SEARCH("CUMPLE",R731)))</formula>
    </cfRule>
  </conditionalFormatting>
  <conditionalFormatting sqref="R746">
    <cfRule type="containsText" dxfId="541" priority="171" operator="containsText" text="NO CUMPLE">
      <formula>NOT(ISERROR(SEARCH("NO CUMPLE",R746)))</formula>
    </cfRule>
    <cfRule type="containsText" dxfId="540" priority="172" operator="containsText" text="CUMPLE">
      <formula>NOT(ISERROR(SEARCH("CUMPLE",R746)))</formula>
    </cfRule>
  </conditionalFormatting>
  <conditionalFormatting sqref="R761">
    <cfRule type="containsText" dxfId="539" priority="169" operator="containsText" text="NO CUMPLE">
      <formula>NOT(ISERROR(SEARCH("NO CUMPLE",R761)))</formula>
    </cfRule>
    <cfRule type="containsText" dxfId="538" priority="170" operator="containsText" text="CUMPLE">
      <formula>NOT(ISERROR(SEARCH("CUMPLE",R761)))</formula>
    </cfRule>
  </conditionalFormatting>
  <conditionalFormatting sqref="R779">
    <cfRule type="containsText" dxfId="537" priority="3" operator="containsText" text="NO CUMPLE">
      <formula>NOT(ISERROR(SEARCH("NO CUMPLE",R779)))</formula>
    </cfRule>
    <cfRule type="containsText" dxfId="536" priority="4" operator="containsText" text="CUMPLE">
      <formula>NOT(ISERROR(SEARCH("CUMPLE",R779)))</formula>
    </cfRule>
  </conditionalFormatting>
  <conditionalFormatting sqref="R795">
    <cfRule type="containsText" dxfId="535" priority="165" operator="containsText" text="NO CUMPLE">
      <formula>NOT(ISERROR(SEARCH("NO CUMPLE",R795)))</formula>
    </cfRule>
    <cfRule type="containsText" dxfId="534" priority="166" operator="containsText" text="CUMPLE">
      <formula>NOT(ISERROR(SEARCH("CUMPLE",R795)))</formula>
    </cfRule>
  </conditionalFormatting>
  <conditionalFormatting sqref="R809">
    <cfRule type="containsText" dxfId="533" priority="163" operator="containsText" text="NO CUMPLE">
      <formula>NOT(ISERROR(SEARCH("NO CUMPLE",R809)))</formula>
    </cfRule>
    <cfRule type="containsText" dxfId="532" priority="164" operator="containsText" text="CUMPLE">
      <formula>NOT(ISERROR(SEARCH("CUMPLE",R809)))</formula>
    </cfRule>
  </conditionalFormatting>
  <conditionalFormatting sqref="R824">
    <cfRule type="containsText" dxfId="531" priority="161" operator="containsText" text="NO CUMPLE">
      <formula>NOT(ISERROR(SEARCH("NO CUMPLE",R824)))</formula>
    </cfRule>
    <cfRule type="containsText" dxfId="530" priority="162" operator="containsText" text="CUMPLE">
      <formula>NOT(ISERROR(SEARCH("CUMPLE",R824)))</formula>
    </cfRule>
  </conditionalFormatting>
  <conditionalFormatting sqref="R838">
    <cfRule type="containsText" dxfId="529" priority="159" operator="containsText" text="NO CUMPLE">
      <formula>NOT(ISERROR(SEARCH("NO CUMPLE",R838)))</formula>
    </cfRule>
    <cfRule type="containsText" dxfId="528" priority="160" operator="containsText" text="CUMPLE">
      <formula>NOT(ISERROR(SEARCH("CUMPLE",R838)))</formula>
    </cfRule>
  </conditionalFormatting>
  <conditionalFormatting sqref="R854">
    <cfRule type="containsText" dxfId="527" priority="5" operator="containsText" text="NO CUMPLE">
      <formula>NOT(ISERROR(SEARCH("NO CUMPLE",R854)))</formula>
    </cfRule>
    <cfRule type="containsText" dxfId="526" priority="6" operator="containsText" text="CUMPLE">
      <formula>NOT(ISERROR(SEARCH("CUMPLE",R854)))</formula>
    </cfRule>
  </conditionalFormatting>
  <conditionalFormatting sqref="R867">
    <cfRule type="containsText" dxfId="525" priority="155" operator="containsText" text="NO CUMPLE">
      <formula>NOT(ISERROR(SEARCH("NO CUMPLE",R867)))</formula>
    </cfRule>
    <cfRule type="containsText" dxfId="524" priority="156" operator="containsText" text="CUMPLE">
      <formula>NOT(ISERROR(SEARCH("CUMPLE",R867)))</formula>
    </cfRule>
  </conditionalFormatting>
  <conditionalFormatting sqref="R881">
    <cfRule type="containsText" dxfId="523" priority="1" operator="containsText" text="NO CUMPLE">
      <formula>NOT(ISERROR(SEARCH("NO CUMPLE",R881)))</formula>
    </cfRule>
    <cfRule type="containsText" dxfId="522" priority="2" operator="containsText" text="CUMPLE">
      <formula>NOT(ISERROR(SEARCH("CUMPLE",R881)))</formula>
    </cfRule>
  </conditionalFormatting>
  <conditionalFormatting sqref="R894">
    <cfRule type="containsText" dxfId="521" priority="151" operator="containsText" text="NO CUMPLE">
      <formula>NOT(ISERROR(SEARCH("NO CUMPLE",R894)))</formula>
    </cfRule>
    <cfRule type="containsText" dxfId="520" priority="152" operator="containsText" text="CUMPLE">
      <formula>NOT(ISERROR(SEARCH("CUMPLE",R894)))</formula>
    </cfRule>
  </conditionalFormatting>
  <dataValidations disablePrompts="1" count="4">
    <dataValidation type="list" allowBlank="1" showInputMessage="1" showErrorMessage="1" sqref="O565:O567 O278:O280 P280:Q280 O485:Q485 R283 R136 R253 R240 M821:Q821 O805:Q806 O756:Q758 O539:Q543 R442 O367:Q368 O745:Q745 R894 O891:Q893 R779 O853:Q853 R867 O864:Q866 O822:Q823 O808:Q808 R838 O837:Q837 O834:Q835 R824 J819:K823 R809 O771:Q775 R795 O792:Q794 K777:K778 Q159:Q160 J539:K543 O760:Q760 R761 O729:Q730 R746 R731 O741:Q743 O727:Q727 R717 P119:Q119 R700 P323 P565:Q568 R685 R357 P36:Q36 R668 R383 R653 P77:Q77 R640 R148 R626 R569 O326:Q326 R610 R415 R594 O579:Q580 R582 O554:Q554 O525:Q528 R555 R544 R529 R515 O509:Q514 R499 R854 O481:Q483 R486 P133:Q133 P295:Q296 R471 R297 O851:Q851 R454 R427 O425:Q426 P408:Q410 O408:O409 O393:Q397 R398 O379:Q380 O382:Q382 O352:Q353 R369 O356:P356 O337:Q341 R342 R327 Q323:Q324 O323:O324 O307:Q309 O311:Q312 R313 P293:Q293 O293:O296 O880:P880 Q879:Q880 R268 R122 R107 R94 R81 R50 R161 R228 R216 R201 O199:Q199 R189 R65 R24 R38 R174 M278:M280 M282 P496:Q498 M496:O497 O498 M512:N512 J509:K514 M777:Q778 O790:Q790 O819:Q820 R881" xr:uid="{00000000-0002-0000-0100-000000000000}">
      <formula1>$T$3:$T$4</formula1>
    </dataValidation>
    <dataValidation type="list" allowBlank="1" showInputMessage="1" showErrorMessage="1" sqref="O34 O79:O80 M37:O37 M34 O117:O118 O120:O121 N48 O104 O106 O60:O64 O91:O93 O48:O49 N120" xr:uid="{FA50FB23-D0E2-4F4A-9EA6-A798F87E51D6}">
      <formula1>$R$3:$R$4</formula1>
    </dataValidation>
    <dataValidation type="list" allowBlank="1" showInputMessage="1" showErrorMessage="1" sqref="P34 Q37 Q48:Q49 P118" xr:uid="{11CAAFA6-F7E7-4855-A99A-6047B5B1B65E}">
      <formula1>$Z$3:$Z$4</formula1>
    </dataValidation>
    <dataValidation type="list" allowBlank="1" showInputMessage="1" showErrorMessage="1" sqref="Q34 P37 P61 Q61:Q64 Q75:Q76 Q79:Q80 O592:Q592 Q93 P104:Q106 Q117:Q118 P117 K78 P120:Q121 P132:Q132 P134:Q135 O452:Q453 Q250:Q252 Q147 O636:Q639 O650:Q651 O667:Q667 O663:Q665 O683:Q684 O678:Q678 O681:Q681 O609:Q609 O604:Q607 O620:Q625 O715:Q716 O468:Q469 O464:Q466 M470:Q470 M78:Q78 O251:P252" xr:uid="{4B8540F1-579B-422F-B318-778D6F3FB19D}">
      <formula1>$AB$3:$AB$4</formula1>
    </dataValidation>
  </dataValidations>
  <pageMargins left="0.7" right="0.7" top="0.75" bottom="0.75" header="0.51180555555555496" footer="0.51180555555555496"/>
  <pageSetup scale="56" firstPageNumber="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G66"/>
  <sheetViews>
    <sheetView zoomScale="50" zoomScaleNormal="70" workbookViewId="0">
      <pane xSplit="1" ySplit="4" topLeftCell="B25" activePane="bottomRight" state="frozen"/>
      <selection pane="topRight"/>
      <selection pane="bottomLeft"/>
      <selection pane="bottomRight" activeCell="E5" sqref="E5:E66"/>
    </sheetView>
  </sheetViews>
  <sheetFormatPr baseColWidth="10" defaultColWidth="11.42578125" defaultRowHeight="15"/>
  <cols>
    <col min="1" max="1" width="16" bestFit="1" customWidth="1"/>
    <col min="2" max="2" width="80" bestFit="1" customWidth="1"/>
    <col min="3" max="3" width="36" customWidth="1"/>
    <col min="4" max="5" width="41.42578125" customWidth="1"/>
    <col min="6" max="6" width="45.28515625" customWidth="1"/>
    <col min="7" max="7" width="65.7109375" bestFit="1" customWidth="1"/>
  </cols>
  <sheetData>
    <row r="1" spans="1:7" s="8" customFormat="1" ht="59.25" customHeight="1">
      <c r="A1" s="439" t="s">
        <v>0</v>
      </c>
      <c r="B1" s="439"/>
      <c r="C1" s="439"/>
      <c r="D1" s="439"/>
      <c r="E1" s="439"/>
      <c r="F1" s="439"/>
      <c r="G1" s="439"/>
    </row>
    <row r="2" spans="1:7" s="9" customFormat="1" ht="35.25" customHeight="1">
      <c r="A2" s="392" t="s">
        <v>1</v>
      </c>
      <c r="B2" s="392"/>
      <c r="C2" s="392"/>
      <c r="D2" s="392"/>
      <c r="E2" s="392"/>
      <c r="F2" s="392"/>
      <c r="G2" s="392"/>
    </row>
    <row r="3" spans="1:7" s="9" customFormat="1" ht="35.25" customHeight="1">
      <c r="A3" s="393" t="s">
        <v>758</v>
      </c>
      <c r="B3" s="393"/>
      <c r="C3" s="393"/>
      <c r="D3" s="393"/>
      <c r="E3" s="393"/>
      <c r="F3" s="393"/>
      <c r="G3" s="393"/>
    </row>
    <row r="4" spans="1:7" ht="56.25">
      <c r="A4" s="52" t="s">
        <v>2</v>
      </c>
      <c r="B4" s="52" t="s">
        <v>759</v>
      </c>
      <c r="C4" s="52" t="s">
        <v>760</v>
      </c>
      <c r="D4" s="52" t="s">
        <v>761</v>
      </c>
      <c r="E4" s="52" t="s">
        <v>762</v>
      </c>
      <c r="F4" s="52" t="s">
        <v>763</v>
      </c>
      <c r="G4" s="52" t="s">
        <v>764</v>
      </c>
    </row>
    <row r="5" spans="1:7" s="32" customFormat="1" ht="18.75">
      <c r="A5" s="88">
        <v>1</v>
      </c>
      <c r="B5" s="88" t="str">
        <f>'LISTA DE OFERENTES'!B4</f>
        <v>CONSORCIO INTERVIALES PCI-PC</v>
      </c>
      <c r="C5" s="82" t="s">
        <v>275</v>
      </c>
      <c r="D5" s="82" t="str">
        <f>+'EXPERIENCIA DEL PROPONENTE'!R24</f>
        <v>CUMPLE</v>
      </c>
      <c r="E5" s="75" t="s">
        <v>275</v>
      </c>
      <c r="F5" s="83" t="s">
        <v>275</v>
      </c>
      <c r="G5" s="84"/>
    </row>
    <row r="6" spans="1:7" ht="18.75">
      <c r="A6" s="88">
        <f>A5+1</f>
        <v>2</v>
      </c>
      <c r="B6" s="88" t="str">
        <f>'LISTA DE OFERENTES'!B5</f>
        <v>CONSORCIO VÍAS FONTIBÓN 2025</v>
      </c>
      <c r="C6" s="81" t="s">
        <v>275</v>
      </c>
      <c r="D6" s="81" t="str">
        <f>+'EXPERIENCIA DEL PROPONENTE'!R38</f>
        <v>CUMPLE</v>
      </c>
      <c r="E6" s="75" t="s">
        <v>275</v>
      </c>
      <c r="F6" s="75" t="s">
        <v>275</v>
      </c>
      <c r="G6" s="75"/>
    </row>
    <row r="7" spans="1:7" ht="18.75">
      <c r="A7" s="88">
        <f t="shared" ref="A7:A66" si="0">A6+1</f>
        <v>3</v>
      </c>
      <c r="B7" s="88" t="str">
        <f>'LISTA DE OFERENTES'!B6</f>
        <v>MORALBA SANCHEZ ORDOÑEZ</v>
      </c>
      <c r="C7" s="81" t="s">
        <v>275</v>
      </c>
      <c r="D7" s="81" t="str">
        <f>+'EXPERIENCIA DEL PROPONENTE'!R50</f>
        <v>NO CUMPLE</v>
      </c>
      <c r="E7" s="75" t="s">
        <v>275</v>
      </c>
      <c r="F7" s="75" t="s">
        <v>276</v>
      </c>
      <c r="G7" s="75"/>
    </row>
    <row r="8" spans="1:7" ht="18.75">
      <c r="A8" s="88">
        <f t="shared" si="0"/>
        <v>4</v>
      </c>
      <c r="B8" s="88" t="str">
        <f>'LISTA DE OFERENTES'!B7</f>
        <v>GRUPO METRO COLOMBIA SAS</v>
      </c>
      <c r="C8" s="81" t="s">
        <v>275</v>
      </c>
      <c r="D8" s="81" t="str">
        <f>+'EXPERIENCIA DEL PROPONENTE'!R65</f>
        <v>CUMPLE</v>
      </c>
      <c r="E8" s="75" t="s">
        <v>275</v>
      </c>
      <c r="F8" s="75" t="s">
        <v>275</v>
      </c>
      <c r="G8" s="75"/>
    </row>
    <row r="9" spans="1:7" ht="18.75">
      <c r="A9" s="88">
        <f t="shared" si="0"/>
        <v>5</v>
      </c>
      <c r="B9" s="88" t="str">
        <f>'LISTA DE OFERENTES'!B8</f>
        <v>CONSORCIO INTER CGS F1</v>
      </c>
      <c r="C9" s="85" t="s">
        <v>275</v>
      </c>
      <c r="D9" s="85" t="str">
        <f>+'EXPERIENCIA DEL PROPONENTE'!R81</f>
        <v>NO CUMPLE</v>
      </c>
      <c r="E9" s="75" t="s">
        <v>275</v>
      </c>
      <c r="F9" s="83" t="s">
        <v>276</v>
      </c>
      <c r="G9" s="84"/>
    </row>
    <row r="10" spans="1:7" ht="18.75">
      <c r="A10" s="88">
        <f t="shared" si="0"/>
        <v>6</v>
      </c>
      <c r="B10" s="88" t="str">
        <f>'LISTA DE OFERENTES'!B9</f>
        <v>INGENIEROS CONSTRUCTORES Y ASESORES SAS</v>
      </c>
      <c r="C10" s="85" t="s">
        <v>275</v>
      </c>
      <c r="D10" s="85" t="str">
        <f>+'EXPERIENCIA DEL PROPONENTE'!R94</f>
        <v>NO CUMPLE</v>
      </c>
      <c r="E10" s="75" t="s">
        <v>275</v>
      </c>
      <c r="F10" s="83" t="s">
        <v>276</v>
      </c>
      <c r="G10" s="84"/>
    </row>
    <row r="11" spans="1:7" ht="18.75">
      <c r="A11" s="88">
        <f t="shared" si="0"/>
        <v>7</v>
      </c>
      <c r="B11" s="88" t="str">
        <f>'LISTA DE OFERENTES'!B10</f>
        <v>GPM PROYECTOS DE INGENIERIA SAS</v>
      </c>
      <c r="C11" s="81" t="s">
        <v>275</v>
      </c>
      <c r="D11" s="81" t="str">
        <f>+'EXPERIENCIA DEL PROPONENTE'!R107</f>
        <v>CUMPLE</v>
      </c>
      <c r="E11" s="75" t="s">
        <v>275</v>
      </c>
      <c r="F11" s="75" t="s">
        <v>275</v>
      </c>
      <c r="G11" s="75"/>
    </row>
    <row r="12" spans="1:7" ht="18.75">
      <c r="A12" s="88">
        <f t="shared" si="0"/>
        <v>8</v>
      </c>
      <c r="B12" s="88" t="str">
        <f>'LISTA DE OFERENTES'!B11</f>
        <v>CONSORCIO MODELIA 24</v>
      </c>
      <c r="C12" s="85" t="s">
        <v>275</v>
      </c>
      <c r="D12" s="81" t="str">
        <f>+'EXPERIENCIA DEL PROPONENTE'!R122</f>
        <v>NO CUMPLE</v>
      </c>
      <c r="E12" s="75" t="s">
        <v>275</v>
      </c>
      <c r="F12" s="83" t="s">
        <v>276</v>
      </c>
      <c r="G12" s="84"/>
    </row>
    <row r="13" spans="1:7" ht="18.75">
      <c r="A13" s="88">
        <f t="shared" si="0"/>
        <v>9</v>
      </c>
      <c r="B13" s="88" t="str">
        <f>'LISTA DE OFERENTES'!B12</f>
        <v>UNIÓN TEMPORAL ROADS 402</v>
      </c>
      <c r="C13" s="81" t="s">
        <v>275</v>
      </c>
      <c r="D13" s="81" t="str">
        <f>+'EXPERIENCIA DEL PROPONENTE'!R136</f>
        <v>CUMPLE</v>
      </c>
      <c r="E13" s="75" t="s">
        <v>275</v>
      </c>
      <c r="F13" s="75" t="s">
        <v>275</v>
      </c>
      <c r="G13" s="75"/>
    </row>
    <row r="14" spans="1:7" ht="18.75">
      <c r="A14" s="88">
        <f t="shared" si="0"/>
        <v>10</v>
      </c>
      <c r="B14" s="88" t="str">
        <f>'LISTA DE OFERENTES'!B13</f>
        <v>CONSORCIO MALLA VIAL 206</v>
      </c>
      <c r="C14" s="81" t="s">
        <v>275</v>
      </c>
      <c r="D14" s="81" t="str">
        <f>+'EXPERIENCIA DEL PROPONENTE'!R148</f>
        <v>NO CUMPLE</v>
      </c>
      <c r="E14" s="75" t="s">
        <v>275</v>
      </c>
      <c r="F14" s="75" t="s">
        <v>276</v>
      </c>
      <c r="G14" s="75"/>
    </row>
    <row r="15" spans="1:7" ht="18.75">
      <c r="A15" s="88">
        <f t="shared" si="0"/>
        <v>11</v>
      </c>
      <c r="B15" s="88" t="str">
        <f>'LISTA DE OFERENTES'!B14</f>
        <v>INTERVENTORIA Y CONSTRUCIVILES SAS</v>
      </c>
      <c r="C15" s="81" t="s">
        <v>275</v>
      </c>
      <c r="D15" s="81" t="str">
        <f>+'EXPERIENCIA DEL PROPONENTE'!R161</f>
        <v>NO CUMPLE</v>
      </c>
      <c r="E15" s="75" t="s">
        <v>275</v>
      </c>
      <c r="F15" s="75" t="s">
        <v>276</v>
      </c>
      <c r="G15" s="75"/>
    </row>
    <row r="16" spans="1:7" ht="18.75">
      <c r="A16" s="88">
        <f t="shared" si="0"/>
        <v>12</v>
      </c>
      <c r="B16" s="88" t="str">
        <f>'LISTA DE OFERENTES'!B15</f>
        <v>EMPROCIV SAS</v>
      </c>
      <c r="C16" s="81" t="s">
        <v>275</v>
      </c>
      <c r="D16" s="81" t="str">
        <f>+'EXPERIENCIA DEL PROPONENTE'!R174</f>
        <v>CUMPLE</v>
      </c>
      <c r="E16" s="75" t="s">
        <v>275</v>
      </c>
      <c r="F16" s="75" t="s">
        <v>275</v>
      </c>
      <c r="G16" s="75"/>
    </row>
    <row r="17" spans="1:7" ht="18.75">
      <c r="A17" s="88">
        <f t="shared" si="0"/>
        <v>13</v>
      </c>
      <c r="B17" s="88" t="str">
        <f>'LISTA DE OFERENTES'!B16</f>
        <v>CONSORCIO NOGAALL-LITORAL</v>
      </c>
      <c r="C17" s="81" t="s">
        <v>275</v>
      </c>
      <c r="D17" s="81" t="str">
        <f>+'EXPERIENCIA DEL PROPONENTE'!R189</f>
        <v>CUMPLE</v>
      </c>
      <c r="E17" s="75" t="s">
        <v>275</v>
      </c>
      <c r="F17" s="75" t="s">
        <v>275</v>
      </c>
      <c r="G17" s="75"/>
    </row>
    <row r="18" spans="1:7" ht="18.75">
      <c r="A18" s="88">
        <f t="shared" si="0"/>
        <v>14</v>
      </c>
      <c r="B18" s="88" t="str">
        <f>'LISTA DE OFERENTES'!B17</f>
        <v>GRUCOING SAS</v>
      </c>
      <c r="C18" s="81" t="s">
        <v>275</v>
      </c>
      <c r="D18" s="81" t="str">
        <f>+'EXPERIENCIA DEL PROPONENTE'!R201</f>
        <v>CUMPLE</v>
      </c>
      <c r="E18" s="75" t="s">
        <v>275</v>
      </c>
      <c r="F18" s="75" t="s">
        <v>275</v>
      </c>
      <c r="G18" s="75"/>
    </row>
    <row r="19" spans="1:7" ht="18.75">
      <c r="A19" s="88">
        <f t="shared" si="0"/>
        <v>15</v>
      </c>
      <c r="B19" s="88" t="str">
        <f>'LISTA DE OFERENTES'!B18</f>
        <v>CONSORCIO ESPACIOS TVH</v>
      </c>
      <c r="C19" s="85" t="s">
        <v>275</v>
      </c>
      <c r="D19" s="81" t="str">
        <f>+'EXPERIENCIA DEL PROPONENTE'!R216</f>
        <v>CUMPLE</v>
      </c>
      <c r="E19" s="75" t="s">
        <v>275</v>
      </c>
      <c r="F19" s="83" t="s">
        <v>275</v>
      </c>
      <c r="G19" s="86"/>
    </row>
    <row r="20" spans="1:7" ht="18.75">
      <c r="A20" s="88">
        <f t="shared" si="0"/>
        <v>16</v>
      </c>
      <c r="B20" s="88" t="str">
        <f>'LISTA DE OFERENTES'!B19</f>
        <v>CONSORCIO VIAS Y ESP</v>
      </c>
      <c r="C20" s="81" t="s">
        <v>275</v>
      </c>
      <c r="D20" s="81" t="str">
        <f>+'EXPERIENCIA DEL PROPONENTE'!R228</f>
        <v>NO CUMPLE</v>
      </c>
      <c r="E20" s="75" t="s">
        <v>275</v>
      </c>
      <c r="F20" s="322" t="s">
        <v>276</v>
      </c>
      <c r="G20" s="75"/>
    </row>
    <row r="21" spans="1:7" ht="18.75">
      <c r="A21" s="88">
        <f t="shared" si="0"/>
        <v>17</v>
      </c>
      <c r="B21" s="88" t="str">
        <f>'LISTA DE OFERENTES'!B20</f>
        <v>CONSORCIO FONTIBON GM</v>
      </c>
      <c r="C21" s="85" t="s">
        <v>275</v>
      </c>
      <c r="D21" s="81" t="str">
        <f>+'EXPERIENCIA DEL PROPONENTE'!R240</f>
        <v>NO CUMPLE</v>
      </c>
      <c r="E21" s="75" t="s">
        <v>275</v>
      </c>
      <c r="F21" s="83" t="s">
        <v>276</v>
      </c>
      <c r="G21" s="84"/>
    </row>
    <row r="22" spans="1:7" ht="18.75">
      <c r="A22" s="88">
        <f t="shared" si="0"/>
        <v>18</v>
      </c>
      <c r="B22" s="88" t="str">
        <f>'LISTA DE OFERENTES'!B21</f>
        <v>CONSORCIO I.D. FONTIBÓN</v>
      </c>
      <c r="C22" s="81" t="s">
        <v>275</v>
      </c>
      <c r="D22" s="81" t="str">
        <f>+'EXPERIENCIA DEL PROPONENTE'!R253</f>
        <v>NO CUMPLE</v>
      </c>
      <c r="E22" s="75" t="s">
        <v>275</v>
      </c>
      <c r="F22" s="322" t="s">
        <v>276</v>
      </c>
      <c r="G22" s="75"/>
    </row>
    <row r="23" spans="1:7" ht="18.75">
      <c r="A23" s="88">
        <f t="shared" si="0"/>
        <v>19</v>
      </c>
      <c r="B23" s="88" t="str">
        <f>'LISTA DE OFERENTES'!B22</f>
        <v>CONSORCIO LG FONTIBÓN</v>
      </c>
      <c r="C23" s="81" t="s">
        <v>275</v>
      </c>
      <c r="D23" s="81" t="str">
        <f>+'EXPERIENCIA DEL PROPONENTE'!R268</f>
        <v>CUMPLE</v>
      </c>
      <c r="E23" s="75" t="s">
        <v>275</v>
      </c>
      <c r="F23" s="75" t="s">
        <v>275</v>
      </c>
      <c r="G23" s="75"/>
    </row>
    <row r="24" spans="1:7" ht="18.75">
      <c r="A24" s="88">
        <f t="shared" si="0"/>
        <v>20</v>
      </c>
      <c r="B24" s="88" t="str">
        <f>'LISTA DE OFERENTES'!B23</f>
        <v>INTERSA S.A</v>
      </c>
      <c r="C24" s="85" t="s">
        <v>275</v>
      </c>
      <c r="D24" s="81" t="str">
        <f>+'EXPERIENCIA DEL PROPONENTE'!R283</f>
        <v>NO CUMPLE</v>
      </c>
      <c r="E24" s="75" t="s">
        <v>275</v>
      </c>
      <c r="F24" s="83" t="s">
        <v>276</v>
      </c>
      <c r="G24" s="84"/>
    </row>
    <row r="25" spans="1:7" ht="18.75">
      <c r="A25" s="88">
        <f t="shared" si="0"/>
        <v>21</v>
      </c>
      <c r="B25" s="88" t="str">
        <f>'LISTA DE OFERENTES'!B24</f>
        <v>CODIPRO INGENIERIA Y ARQUITECTURA LTDA. CONSTRUCCIONES, DISEÑOS Y PROYECTOS</v>
      </c>
      <c r="C25" s="85" t="s">
        <v>275</v>
      </c>
      <c r="D25" s="81" t="str">
        <f>+'EXPERIENCIA DEL PROPONENTE'!R297</f>
        <v>NO CUMPLE</v>
      </c>
      <c r="E25" s="75" t="s">
        <v>275</v>
      </c>
      <c r="F25" s="83" t="s">
        <v>276</v>
      </c>
      <c r="G25" s="87"/>
    </row>
    <row r="26" spans="1:7" ht="18.75">
      <c r="A26" s="88">
        <f t="shared" si="0"/>
        <v>22</v>
      </c>
      <c r="B26" s="88" t="str">
        <f>'LISTA DE OFERENTES'!B25</f>
        <v>CONSORCIO INGESCOR R 2024</v>
      </c>
      <c r="C26" s="81" t="s">
        <v>275</v>
      </c>
      <c r="D26" s="81" t="str">
        <f>+'EXPERIENCIA DEL PROPONENTE'!R313</f>
        <v>NO CUMPLE</v>
      </c>
      <c r="E26" s="75" t="s">
        <v>275</v>
      </c>
      <c r="F26" s="75" t="s">
        <v>275</v>
      </c>
      <c r="G26" s="75"/>
    </row>
    <row r="27" spans="1:7" ht="18.75">
      <c r="A27" s="88">
        <f t="shared" si="0"/>
        <v>23</v>
      </c>
      <c r="B27" s="88" t="str">
        <f>'LISTA DE OFERENTES'!B26</f>
        <v>CONSORCIO INTERVIAL URBANO</v>
      </c>
      <c r="C27" s="85" t="s">
        <v>275</v>
      </c>
      <c r="D27" s="81" t="str">
        <f>+'EXPERIENCIA DEL PROPONENTE'!R327</f>
        <v>CUMPLE</v>
      </c>
      <c r="E27" s="75" t="s">
        <v>275</v>
      </c>
      <c r="F27" s="75" t="s">
        <v>275</v>
      </c>
      <c r="G27" s="87"/>
    </row>
    <row r="28" spans="1:7" ht="18.75">
      <c r="A28" s="88">
        <f t="shared" si="0"/>
        <v>24</v>
      </c>
      <c r="B28" s="88" t="str">
        <f>'LISTA DE OFERENTES'!B27</f>
        <v>VELNEC SA</v>
      </c>
      <c r="C28" s="81" t="s">
        <v>275</v>
      </c>
      <c r="D28" s="81" t="str">
        <f>+'EXPERIENCIA DEL PROPONENTE'!R342</f>
        <v>CUMPLE</v>
      </c>
      <c r="E28" s="75" t="s">
        <v>275</v>
      </c>
      <c r="F28" s="75" t="s">
        <v>275</v>
      </c>
      <c r="G28" s="75"/>
    </row>
    <row r="29" spans="1:7" ht="18.75">
      <c r="A29" s="88">
        <f t="shared" si="0"/>
        <v>25</v>
      </c>
      <c r="B29" s="88" t="str">
        <f>'LISTA DE OFERENTES'!B28</f>
        <v>CONSORCIO INTERFONTIBON 2024</v>
      </c>
      <c r="C29" s="81" t="s">
        <v>275</v>
      </c>
      <c r="D29" s="81" t="str">
        <f>+'EXPERIENCIA DEL PROPONENTE'!R357</f>
        <v>NO CUMPLE</v>
      </c>
      <c r="E29" s="75" t="s">
        <v>275</v>
      </c>
      <c r="F29" s="322" t="s">
        <v>276</v>
      </c>
      <c r="G29" s="75"/>
    </row>
    <row r="30" spans="1:7" ht="18.75">
      <c r="A30" s="88">
        <f t="shared" si="0"/>
        <v>26</v>
      </c>
      <c r="B30" s="88" t="str">
        <f>'LISTA DE OFERENTES'!B29</f>
        <v>ING INGENIERIA S.A.S</v>
      </c>
      <c r="C30" s="81" t="s">
        <v>275</v>
      </c>
      <c r="D30" s="81" t="str">
        <f>+'EXPERIENCIA DEL PROPONENTE'!R369</f>
        <v>NO CUMPLE</v>
      </c>
      <c r="E30" s="75" t="s">
        <v>275</v>
      </c>
      <c r="F30" s="322" t="s">
        <v>276</v>
      </c>
      <c r="G30" s="75"/>
    </row>
    <row r="31" spans="1:7" ht="18.75">
      <c r="A31" s="88">
        <f t="shared" si="0"/>
        <v>27</v>
      </c>
      <c r="B31" s="88" t="str">
        <f>'LISTA DE OFERENTES'!B30</f>
        <v>CONSORCIO FATIMA</v>
      </c>
      <c r="C31" s="81" t="s">
        <v>275</v>
      </c>
      <c r="D31" s="81" t="str">
        <f>+'EXPERIENCIA DEL PROPONENTE'!R383</f>
        <v>NO CUMPLE</v>
      </c>
      <c r="E31" s="75" t="s">
        <v>275</v>
      </c>
      <c r="F31" s="322" t="s">
        <v>276</v>
      </c>
      <c r="G31" s="75"/>
    </row>
    <row r="32" spans="1:7" ht="18.75">
      <c r="A32" s="88">
        <f t="shared" si="0"/>
        <v>28</v>
      </c>
      <c r="B32" s="88" t="str">
        <f>'LISTA DE OFERENTES'!B31</f>
        <v>GEOTECNIA Y CIMIENTOS INGEOCIM S.A.S.</v>
      </c>
      <c r="C32" s="85" t="s">
        <v>275</v>
      </c>
      <c r="D32" s="81" t="str">
        <f>+'EXPERIENCIA DEL PROPONENTE'!R398</f>
        <v>NO CUMPLE</v>
      </c>
      <c r="E32" s="75" t="s">
        <v>275</v>
      </c>
      <c r="F32" s="83" t="s">
        <v>276</v>
      </c>
      <c r="G32" s="87"/>
    </row>
    <row r="33" spans="1:7" ht="18.75">
      <c r="A33" s="88">
        <f t="shared" si="0"/>
        <v>29</v>
      </c>
      <c r="B33" s="88" t="str">
        <f>'LISTA DE OFERENTES'!B32</f>
        <v>CONSORCIO FONTIBON JINT 001</v>
      </c>
      <c r="C33" s="81" t="s">
        <v>275</v>
      </c>
      <c r="D33" s="81" t="str">
        <f>+'EXPERIENCIA DEL PROPONENTE'!R415</f>
        <v>NO CUMPLE</v>
      </c>
      <c r="E33" s="75" t="s">
        <v>275</v>
      </c>
      <c r="F33" s="322" t="s">
        <v>276</v>
      </c>
      <c r="G33" s="75"/>
    </row>
    <row r="34" spans="1:7" ht="18.75">
      <c r="A34" s="88">
        <f t="shared" si="0"/>
        <v>30</v>
      </c>
      <c r="B34" s="88" t="str">
        <f>'LISTA DE OFERENTES'!B33</f>
        <v>CONSORCIO ALIANZA BOGOTA</v>
      </c>
      <c r="C34" s="81" t="s">
        <v>275</v>
      </c>
      <c r="D34" s="81" t="str">
        <f>+'EXPERIENCIA DEL PROPONENTE'!R427</f>
        <v>CUMPLE</v>
      </c>
      <c r="E34" s="75" t="s">
        <v>275</v>
      </c>
      <c r="F34" s="75" t="s">
        <v>275</v>
      </c>
      <c r="G34" s="75"/>
    </row>
    <row r="35" spans="1:7" ht="31.5">
      <c r="A35" s="88">
        <f t="shared" si="0"/>
        <v>31</v>
      </c>
      <c r="B35" s="88" t="str">
        <f>'LISTA DE OFERENTES'!B34</f>
        <v>CONSORCIO FEM – 34</v>
      </c>
      <c r="C35" s="85" t="s">
        <v>275</v>
      </c>
      <c r="D35" s="81" t="str">
        <f>+'EXPERIENCIA DEL PROPONENTE'!R442</f>
        <v>CUMPLE</v>
      </c>
      <c r="E35" s="75" t="s">
        <v>276</v>
      </c>
      <c r="F35" s="75" t="s">
        <v>276</v>
      </c>
      <c r="G35" s="336" t="s">
        <v>765</v>
      </c>
    </row>
    <row r="36" spans="1:7" ht="18.75">
      <c r="A36" s="88">
        <f t="shared" si="0"/>
        <v>32</v>
      </c>
      <c r="B36" s="88" t="str">
        <f>'LISTA DE OFERENTES'!B35</f>
        <v>CONSORCIO INTER FONTIBON</v>
      </c>
      <c r="C36" s="85" t="s">
        <v>275</v>
      </c>
      <c r="D36" s="83" t="s">
        <v>276</v>
      </c>
      <c r="E36" s="75" t="s">
        <v>275</v>
      </c>
      <c r="F36" s="83" t="s">
        <v>276</v>
      </c>
      <c r="G36" s="84"/>
    </row>
    <row r="37" spans="1:7" ht="18.75">
      <c r="A37" s="88">
        <f t="shared" si="0"/>
        <v>33</v>
      </c>
      <c r="B37" s="88" t="str">
        <f>'LISTA DE OFERENTES'!B36</f>
        <v>CONSORCIO ID FONTIBON 001</v>
      </c>
      <c r="C37" s="81" t="s">
        <v>275</v>
      </c>
      <c r="D37" s="81" t="s">
        <v>275</v>
      </c>
      <c r="E37" s="75" t="s">
        <v>275</v>
      </c>
      <c r="F37" s="81" t="s">
        <v>275</v>
      </c>
      <c r="G37" s="75"/>
    </row>
    <row r="38" spans="1:7" ht="18.75">
      <c r="A38" s="88">
        <f t="shared" si="0"/>
        <v>34</v>
      </c>
      <c r="B38" s="88" t="str">
        <f>'LISTA DE OFERENTES'!B37</f>
        <v>CTV FONTIBON</v>
      </c>
      <c r="C38" s="85" t="s">
        <v>275</v>
      </c>
      <c r="D38" s="85" t="s">
        <v>275</v>
      </c>
      <c r="E38" s="75" t="s">
        <v>275</v>
      </c>
      <c r="F38" s="85" t="s">
        <v>275</v>
      </c>
      <c r="G38" s="84"/>
    </row>
    <row r="39" spans="1:7" ht="18.75">
      <c r="A39" s="88">
        <f t="shared" si="0"/>
        <v>35</v>
      </c>
      <c r="B39" s="88" t="str">
        <f>'LISTA DE OFERENTES'!B38</f>
        <v>ESTUDIOS TÉCNICOS Y CONSTRUCCIONES SAS</v>
      </c>
      <c r="C39" s="85" t="s">
        <v>275</v>
      </c>
      <c r="D39" s="83" t="s">
        <v>276</v>
      </c>
      <c r="E39" s="75" t="s">
        <v>275</v>
      </c>
      <c r="F39" s="83" t="s">
        <v>276</v>
      </c>
      <c r="G39" s="84"/>
    </row>
    <row r="40" spans="1:7" ht="18.75">
      <c r="A40" s="88">
        <f t="shared" si="0"/>
        <v>36</v>
      </c>
      <c r="B40" s="88" t="str">
        <f>'LISTA DE OFERENTES'!B39</f>
        <v>ALIANZA INTEGRAL DE PROYECTOS SAS BIC</v>
      </c>
      <c r="C40" s="85" t="s">
        <v>275</v>
      </c>
      <c r="D40" s="85" t="s">
        <v>275</v>
      </c>
      <c r="E40" s="75" t="s">
        <v>275</v>
      </c>
      <c r="F40" s="85" t="s">
        <v>275</v>
      </c>
      <c r="G40" s="86"/>
    </row>
    <row r="41" spans="1:7" ht="18.75">
      <c r="A41" s="88">
        <f t="shared" si="0"/>
        <v>37</v>
      </c>
      <c r="B41" s="88" t="str">
        <f>'LISTA DE OFERENTES'!B40</f>
        <v>CONSORCIO EPSILON FONTIBON</v>
      </c>
      <c r="C41" s="85" t="s">
        <v>275</v>
      </c>
      <c r="D41" s="83" t="s">
        <v>276</v>
      </c>
      <c r="E41" s="75" t="s">
        <v>275</v>
      </c>
      <c r="F41" s="83" t="s">
        <v>276</v>
      </c>
      <c r="G41" s="84"/>
    </row>
    <row r="42" spans="1:7" ht="18.75">
      <c r="A42" s="88">
        <f t="shared" si="0"/>
        <v>38</v>
      </c>
      <c r="B42" s="88" t="str">
        <f>'LISTA DE OFERENTES'!B41</f>
        <v>PAULO EMILIO BRAVO CONSULTORES SAS</v>
      </c>
      <c r="C42" s="81" t="s">
        <v>275</v>
      </c>
      <c r="D42" s="83" t="s">
        <v>276</v>
      </c>
      <c r="E42" s="75" t="s">
        <v>275</v>
      </c>
      <c r="F42" s="83" t="s">
        <v>276</v>
      </c>
      <c r="G42" s="75"/>
    </row>
    <row r="43" spans="1:7" ht="18.75">
      <c r="A43" s="88">
        <f t="shared" si="0"/>
        <v>39</v>
      </c>
      <c r="B43" s="88" t="str">
        <f>'LISTA DE OFERENTES'!B42</f>
        <v>ALMA Interventoría &amp; Consultoría S.A.S</v>
      </c>
      <c r="C43" s="81" t="s">
        <v>275</v>
      </c>
      <c r="D43" s="83" t="s">
        <v>276</v>
      </c>
      <c r="E43" s="75" t="s">
        <v>275</v>
      </c>
      <c r="F43" s="83" t="s">
        <v>276</v>
      </c>
      <c r="G43" s="75"/>
    </row>
    <row r="44" spans="1:7" ht="18.75">
      <c r="A44" s="88">
        <f t="shared" si="0"/>
        <v>40</v>
      </c>
      <c r="B44" s="88" t="str">
        <f>'LISTA DE OFERENTES'!B43</f>
        <v>CONSORCIO COING F001</v>
      </c>
      <c r="C44" s="81" t="s">
        <v>275</v>
      </c>
      <c r="D44" s="81" t="s">
        <v>275</v>
      </c>
      <c r="E44" s="75" t="s">
        <v>275</v>
      </c>
      <c r="F44" s="81" t="s">
        <v>275</v>
      </c>
      <c r="G44" s="75"/>
    </row>
    <row r="45" spans="1:7" ht="18.75">
      <c r="A45" s="88">
        <f t="shared" si="0"/>
        <v>41</v>
      </c>
      <c r="B45" s="88" t="str">
        <f>'LISTA DE OFERENTES'!B44</f>
        <v>CONSORCIO FONTIBÓN KM 2024</v>
      </c>
      <c r="C45" s="85" t="s">
        <v>275</v>
      </c>
      <c r="D45" s="83" t="s">
        <v>276</v>
      </c>
      <c r="E45" s="75" t="s">
        <v>275</v>
      </c>
      <c r="F45" s="83" t="s">
        <v>276</v>
      </c>
      <c r="G45" s="84"/>
    </row>
    <row r="46" spans="1:7" ht="18.75">
      <c r="A46" s="88">
        <f t="shared" si="0"/>
        <v>42</v>
      </c>
      <c r="B46" s="88" t="str">
        <f>'LISTA DE OFERENTES'!B45</f>
        <v>CONSORCIO INTER FONTIBON JG</v>
      </c>
      <c r="C46" s="85" t="s">
        <v>275</v>
      </c>
      <c r="D46" s="83" t="s">
        <v>276</v>
      </c>
      <c r="E46" s="75" t="s">
        <v>275</v>
      </c>
      <c r="F46" s="83" t="s">
        <v>276</v>
      </c>
      <c r="G46" s="84"/>
    </row>
    <row r="47" spans="1:7" ht="18.75">
      <c r="A47" s="88">
        <f t="shared" si="0"/>
        <v>43</v>
      </c>
      <c r="B47" s="88" t="str">
        <f>'LISTA DE OFERENTES'!B46</f>
        <v>CONSORCIO INTER VÍAL G&amp;L</v>
      </c>
      <c r="C47" s="85" t="s">
        <v>275</v>
      </c>
      <c r="D47" s="81" t="s">
        <v>275</v>
      </c>
      <c r="E47" s="75" t="s">
        <v>275</v>
      </c>
      <c r="F47" s="81" t="s">
        <v>275</v>
      </c>
      <c r="G47" s="87"/>
    </row>
    <row r="48" spans="1:7" ht="18.75">
      <c r="A48" s="88">
        <f t="shared" si="0"/>
        <v>44</v>
      </c>
      <c r="B48" s="88" t="str">
        <f>'LISTA DE OFERENTES'!B47</f>
        <v>ECOVIAS SAS</v>
      </c>
      <c r="C48" s="81" t="s">
        <v>275</v>
      </c>
      <c r="D48" s="81" t="s">
        <v>275</v>
      </c>
      <c r="E48" s="75" t="s">
        <v>275</v>
      </c>
      <c r="F48" s="81" t="s">
        <v>275</v>
      </c>
      <c r="G48" s="75"/>
    </row>
    <row r="49" spans="1:7" ht="18.75">
      <c r="A49" s="88">
        <f t="shared" si="0"/>
        <v>45</v>
      </c>
      <c r="B49" s="88" t="str">
        <f>'LISTA DE OFERENTES'!B48</f>
        <v>PROJEKTA LTDA INGENIEROS CONSULTORES</v>
      </c>
      <c r="C49" s="81" t="s">
        <v>275</v>
      </c>
      <c r="D49" s="81" t="s">
        <v>275</v>
      </c>
      <c r="E49" s="75" t="s">
        <v>275</v>
      </c>
      <c r="F49" s="81" t="s">
        <v>275</v>
      </c>
      <c r="G49" s="75"/>
    </row>
    <row r="50" spans="1:7" ht="18.75">
      <c r="A50" s="88">
        <f t="shared" si="0"/>
        <v>46</v>
      </c>
      <c r="B50" s="88" t="str">
        <f>'LISTA DE OFERENTES'!B49</f>
        <v>SOLUCIONES PARA LA INGENIERÍA S.A.S.</v>
      </c>
      <c r="C50" s="81" t="s">
        <v>275</v>
      </c>
      <c r="D50" s="83" t="s">
        <v>276</v>
      </c>
      <c r="E50" s="75" t="s">
        <v>275</v>
      </c>
      <c r="F50" s="83" t="s">
        <v>276</v>
      </c>
      <c r="G50" s="75"/>
    </row>
    <row r="51" spans="1:7" ht="18.75">
      <c r="A51" s="88">
        <f t="shared" si="0"/>
        <v>47</v>
      </c>
      <c r="B51" s="88" t="str">
        <f>'LISTA DE OFERENTES'!B50</f>
        <v>CONSORCIO INTERVIAL PH</v>
      </c>
      <c r="C51" s="85" t="s">
        <v>275</v>
      </c>
      <c r="D51" s="83" t="s">
        <v>276</v>
      </c>
      <c r="E51" s="75" t="s">
        <v>275</v>
      </c>
      <c r="F51" s="83" t="s">
        <v>276</v>
      </c>
      <c r="G51" s="87"/>
    </row>
    <row r="52" spans="1:7" ht="18.75">
      <c r="A52" s="88">
        <f t="shared" si="0"/>
        <v>48</v>
      </c>
      <c r="B52" s="88" t="str">
        <f>'LISTA DE OFERENTES'!B51</f>
        <v>CONSORCIO SETEC VIAL FONTIBON</v>
      </c>
      <c r="C52" s="85" t="s">
        <v>275</v>
      </c>
      <c r="D52" s="83" t="s">
        <v>276</v>
      </c>
      <c r="E52" s="75" t="s">
        <v>275</v>
      </c>
      <c r="F52" s="83" t="s">
        <v>276</v>
      </c>
      <c r="G52" s="84"/>
    </row>
    <row r="53" spans="1:7" ht="18.75">
      <c r="A53" s="88">
        <f t="shared" si="0"/>
        <v>49</v>
      </c>
      <c r="B53" s="88" t="str">
        <f>'LISTA DE OFERENTES'!B52</f>
        <v>CONSORCIO CCP</v>
      </c>
      <c r="C53" s="81" t="s">
        <v>275</v>
      </c>
      <c r="D53" s="83" t="s">
        <v>276</v>
      </c>
      <c r="E53" s="75" t="s">
        <v>275</v>
      </c>
      <c r="F53" s="83" t="s">
        <v>276</v>
      </c>
      <c r="G53" s="75"/>
    </row>
    <row r="54" spans="1:7" ht="18.75">
      <c r="A54" s="88">
        <f t="shared" si="0"/>
        <v>50</v>
      </c>
      <c r="B54" s="88" t="str">
        <f>'LISTA DE OFERENTES'!B53</f>
        <v>CONSORCIO FONTIBON</v>
      </c>
      <c r="C54" s="81" t="s">
        <v>275</v>
      </c>
      <c r="D54" s="83" t="s">
        <v>276</v>
      </c>
      <c r="E54" s="75" t="s">
        <v>275</v>
      </c>
      <c r="F54" s="83" t="s">
        <v>276</v>
      </c>
      <c r="G54" s="75"/>
    </row>
    <row r="55" spans="1:7" ht="31.5">
      <c r="A55" s="88">
        <f t="shared" si="0"/>
        <v>51</v>
      </c>
      <c r="B55" s="88" t="str">
        <f>'LISTA DE OFERENTES'!B54</f>
        <v>CONSORCIO TECNOLOGICO</v>
      </c>
      <c r="C55" s="85" t="s">
        <v>275</v>
      </c>
      <c r="D55" s="83" t="s">
        <v>276</v>
      </c>
      <c r="E55" s="83" t="s">
        <v>276</v>
      </c>
      <c r="F55" s="83" t="s">
        <v>276</v>
      </c>
      <c r="G55" s="86" t="s">
        <v>766</v>
      </c>
    </row>
    <row r="56" spans="1:7" ht="31.5">
      <c r="A56" s="88">
        <f t="shared" si="0"/>
        <v>52</v>
      </c>
      <c r="B56" s="88" t="str">
        <f>'LISTA DE OFERENTES'!B55</f>
        <v>CONSORCIO INTERVIAL PH</v>
      </c>
      <c r="C56" s="81" t="s">
        <v>275</v>
      </c>
      <c r="D56" s="81" t="s">
        <v>275</v>
      </c>
      <c r="E56" s="83" t="s">
        <v>276</v>
      </c>
      <c r="F56" s="81" t="s">
        <v>276</v>
      </c>
      <c r="G56" s="86" t="s">
        <v>766</v>
      </c>
    </row>
    <row r="57" spans="1:7" ht="18.75">
      <c r="A57" s="88">
        <f t="shared" si="0"/>
        <v>53</v>
      </c>
      <c r="B57" s="88" t="str">
        <f>'LISTA DE OFERENTES'!B56</f>
        <v xml:space="preserve"> CONSORCIO VIAS FONTIBON PC</v>
      </c>
      <c r="C57" s="85" t="s">
        <v>275</v>
      </c>
      <c r="D57" s="85" t="s">
        <v>275</v>
      </c>
      <c r="E57" s="75" t="s">
        <v>275</v>
      </c>
      <c r="F57" s="85" t="s">
        <v>275</v>
      </c>
      <c r="G57" s="84"/>
    </row>
    <row r="58" spans="1:7" ht="18.75">
      <c r="A58" s="88">
        <f t="shared" si="0"/>
        <v>54</v>
      </c>
      <c r="B58" s="88" t="str">
        <f>'LISTA DE OFERENTES'!B57</f>
        <v>CONSORCIO  MALLA VIAL FDLF</v>
      </c>
      <c r="C58" s="81" t="s">
        <v>275</v>
      </c>
      <c r="D58" s="81" t="s">
        <v>275</v>
      </c>
      <c r="E58" s="75" t="s">
        <v>275</v>
      </c>
      <c r="F58" s="81" t="s">
        <v>275</v>
      </c>
      <c r="G58" s="75" t="s">
        <v>767</v>
      </c>
    </row>
    <row r="59" spans="1:7" ht="18.75">
      <c r="A59" s="88">
        <f t="shared" si="0"/>
        <v>55</v>
      </c>
      <c r="B59" s="88" t="str">
        <f>'LISTA DE OFERENTES'!B58</f>
        <v>CONSORCIO INTER FONTIBON</v>
      </c>
      <c r="C59" s="81" t="s">
        <v>275</v>
      </c>
      <c r="D59" s="81" t="s">
        <v>275</v>
      </c>
      <c r="E59" s="75" t="s">
        <v>275</v>
      </c>
      <c r="F59" s="81" t="s">
        <v>275</v>
      </c>
      <c r="G59" s="75" t="s">
        <v>767</v>
      </c>
    </row>
    <row r="60" spans="1:7" ht="18.75">
      <c r="A60" s="88">
        <f t="shared" si="0"/>
        <v>56</v>
      </c>
      <c r="B60" s="88" t="str">
        <f>'LISTA DE OFERENTES'!B59</f>
        <v>CONSORCIO VIAS IC 2024</v>
      </c>
      <c r="C60" s="81" t="s">
        <v>275</v>
      </c>
      <c r="D60" s="81" t="s">
        <v>275</v>
      </c>
      <c r="E60" s="75" t="s">
        <v>275</v>
      </c>
      <c r="F60" s="81" t="s">
        <v>275</v>
      </c>
      <c r="G60" s="75" t="s">
        <v>767</v>
      </c>
    </row>
    <row r="61" spans="1:7" ht="18.75">
      <c r="A61" s="88">
        <f t="shared" si="0"/>
        <v>57</v>
      </c>
      <c r="B61" s="88" t="str">
        <f>'LISTA DE OFERENTES'!B60</f>
        <v>ORBITA DESARROLLO S.A.S. BIC</v>
      </c>
      <c r="C61" s="81" t="s">
        <v>275</v>
      </c>
      <c r="D61" s="81" t="s">
        <v>275</v>
      </c>
      <c r="E61" s="75" t="s">
        <v>275</v>
      </c>
      <c r="F61" s="81" t="s">
        <v>275</v>
      </c>
      <c r="G61" s="75" t="s">
        <v>767</v>
      </c>
    </row>
    <row r="62" spans="1:7" ht="18.75">
      <c r="A62" s="88">
        <f t="shared" si="0"/>
        <v>58</v>
      </c>
      <c r="B62" s="88" t="str">
        <f>'LISTA DE OFERENTES'!B61</f>
        <v>CONSORCIO CONSTRUCCIÓN Y DESARROLLO FONTIBÓN</v>
      </c>
      <c r="C62" s="85" t="s">
        <v>275</v>
      </c>
      <c r="D62" s="83" t="s">
        <v>276</v>
      </c>
      <c r="E62" s="75" t="s">
        <v>275</v>
      </c>
      <c r="F62" s="83" t="s">
        <v>276</v>
      </c>
      <c r="G62" s="87" t="s">
        <v>767</v>
      </c>
    </row>
    <row r="63" spans="1:7" ht="18.75">
      <c r="A63" s="88">
        <f t="shared" si="0"/>
        <v>59</v>
      </c>
      <c r="B63" s="88" t="str">
        <f>'LISTA DE OFERENTES'!B62</f>
        <v>CONSORCIO ESPACIO PÚBLICO INT 2024</v>
      </c>
      <c r="C63" s="81" t="s">
        <v>275</v>
      </c>
      <c r="D63" s="81" t="s">
        <v>275</v>
      </c>
      <c r="E63" s="75" t="s">
        <v>275</v>
      </c>
      <c r="F63" s="81" t="s">
        <v>275</v>
      </c>
      <c r="G63" s="75" t="s">
        <v>767</v>
      </c>
    </row>
    <row r="64" spans="1:7" ht="18.75">
      <c r="A64" s="88">
        <f t="shared" si="0"/>
        <v>60</v>
      </c>
      <c r="B64" s="88" t="str">
        <f>'LISTA DE OFERENTES'!B63</f>
        <v>CONSORCIO VÍAS PROTEV</v>
      </c>
      <c r="C64" s="81" t="s">
        <v>275</v>
      </c>
      <c r="D64" s="81" t="s">
        <v>275</v>
      </c>
      <c r="E64" s="75" t="s">
        <v>275</v>
      </c>
      <c r="F64" s="81" t="s">
        <v>275</v>
      </c>
      <c r="G64" s="75" t="s">
        <v>767</v>
      </c>
    </row>
    <row r="65" spans="1:7" ht="18.75">
      <c r="A65" s="88">
        <f t="shared" si="0"/>
        <v>61</v>
      </c>
      <c r="B65" s="88" t="str">
        <f>'LISTA DE OFERENTES'!B64</f>
        <v>CONSORCIO INTERVENTORES FONTIBON</v>
      </c>
      <c r="C65" s="81" t="s">
        <v>275</v>
      </c>
      <c r="D65" s="75" t="s">
        <v>275</v>
      </c>
      <c r="E65" s="75" t="s">
        <v>275</v>
      </c>
      <c r="F65" s="75" t="s">
        <v>275</v>
      </c>
      <c r="G65" s="75" t="s">
        <v>767</v>
      </c>
    </row>
    <row r="66" spans="1:7" ht="18.75">
      <c r="A66" s="88">
        <f t="shared" si="0"/>
        <v>62</v>
      </c>
      <c r="B66" s="88" t="str">
        <f>'LISTA DE OFERENTES'!B65</f>
        <v>CONCIC SAS</v>
      </c>
      <c r="C66" s="81" t="s">
        <v>275</v>
      </c>
      <c r="D66" s="83" t="s">
        <v>276</v>
      </c>
      <c r="E66" s="75" t="s">
        <v>275</v>
      </c>
      <c r="F66" s="83" t="s">
        <v>276</v>
      </c>
      <c r="G66" s="75" t="s">
        <v>767</v>
      </c>
    </row>
  </sheetData>
  <autoFilter ref="A4:G4" xr:uid="{00000000-0001-0000-0300-000000000000}"/>
  <mergeCells count="3">
    <mergeCell ref="A1:G1"/>
    <mergeCell ref="A2:G2"/>
    <mergeCell ref="A3:G3"/>
  </mergeCells>
  <conditionalFormatting sqref="C5:F66">
    <cfRule type="containsText" dxfId="519" priority="1" operator="containsText" text="NO CUMPLE">
      <formula>NOT(ISERROR(SEARCH("NO CUMPLE",C5)))</formula>
    </cfRule>
    <cfRule type="containsText" dxfId="518" priority="2" operator="containsText" text="CUMPLE">
      <formula>NOT(ISERROR(SEARCH("CUMPLE",C5)))</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3:S28"/>
  <sheetViews>
    <sheetView zoomScaleNormal="100" workbookViewId="0">
      <selection activeCell="A10" sqref="A10:K10"/>
    </sheetView>
  </sheetViews>
  <sheetFormatPr baseColWidth="10" defaultColWidth="11.42578125" defaultRowHeight="12.75"/>
  <cols>
    <col min="1" max="1" width="11.42578125" style="39"/>
    <col min="2" max="2" width="94.140625" style="39" customWidth="1"/>
    <col min="3" max="13" width="11.42578125" style="39"/>
    <col min="14" max="14" width="23.42578125" style="39" customWidth="1"/>
    <col min="15" max="16384" width="11.42578125" style="39"/>
  </cols>
  <sheetData>
    <row r="3" spans="1:19" ht="15" customHeight="1">
      <c r="M3" s="442" t="s">
        <v>768</v>
      </c>
      <c r="N3" s="442"/>
      <c r="O3" s="442"/>
      <c r="P3" s="442"/>
      <c r="Q3" s="442"/>
      <c r="R3" s="442"/>
      <c r="S3" s="442"/>
    </row>
    <row r="4" spans="1:19" ht="23.25" customHeight="1">
      <c r="M4" s="442"/>
      <c r="N4" s="442"/>
      <c r="O4" s="442"/>
      <c r="P4" s="442"/>
      <c r="Q4" s="442"/>
      <c r="R4" s="442"/>
      <c r="S4" s="442"/>
    </row>
    <row r="5" spans="1:19" ht="23.25" customHeight="1">
      <c r="M5" s="442"/>
      <c r="N5" s="442"/>
      <c r="O5" s="442"/>
      <c r="P5" s="442"/>
      <c r="Q5" s="442"/>
      <c r="R5" s="442"/>
      <c r="S5" s="442"/>
    </row>
    <row r="6" spans="1:19" ht="78" customHeight="1">
      <c r="A6" s="445" t="s">
        <v>769</v>
      </c>
      <c r="B6" s="445"/>
      <c r="C6" s="445"/>
      <c r="D6" s="445"/>
      <c r="E6" s="445"/>
      <c r="F6" s="445"/>
      <c r="G6" s="445"/>
      <c r="H6" s="445"/>
      <c r="I6" s="445"/>
      <c r="J6" s="445"/>
      <c r="K6" s="445"/>
      <c r="L6" s="38"/>
      <c r="M6" s="442"/>
      <c r="N6" s="442"/>
      <c r="O6" s="442"/>
      <c r="P6" s="442"/>
      <c r="Q6" s="442"/>
      <c r="R6" s="442"/>
      <c r="S6" s="442"/>
    </row>
    <row r="7" spans="1:19">
      <c r="C7" s="40"/>
      <c r="D7" s="40"/>
      <c r="E7" s="43"/>
      <c r="F7" s="41"/>
      <c r="G7" s="41"/>
      <c r="H7" s="42"/>
      <c r="I7" s="42"/>
      <c r="J7" s="42"/>
      <c r="K7" s="42"/>
      <c r="L7" s="42"/>
      <c r="M7" s="38"/>
      <c r="N7" s="38"/>
    </row>
    <row r="8" spans="1:19" ht="15.75">
      <c r="A8" s="443" t="s">
        <v>733</v>
      </c>
      <c r="B8" s="443"/>
      <c r="C8" s="443"/>
      <c r="D8" s="443"/>
      <c r="E8" s="443"/>
      <c r="F8" s="443"/>
      <c r="G8" s="443"/>
      <c r="H8" s="443"/>
      <c r="I8" s="443"/>
      <c r="J8" s="443"/>
      <c r="K8" s="443"/>
      <c r="L8" s="443"/>
      <c r="M8" s="443"/>
    </row>
    <row r="9" spans="1:19" ht="47.25" customHeight="1">
      <c r="A9" s="444" t="s">
        <v>734</v>
      </c>
      <c r="B9" s="444"/>
      <c r="C9" s="444"/>
      <c r="D9" s="314"/>
      <c r="E9" s="314"/>
      <c r="F9" s="314"/>
      <c r="G9" s="314"/>
      <c r="H9" s="314"/>
      <c r="I9" s="314"/>
      <c r="J9" s="314"/>
      <c r="K9" s="314"/>
      <c r="L9" s="314"/>
      <c r="M9" s="314"/>
    </row>
    <row r="10" spans="1:19" ht="66" customHeight="1">
      <c r="A10" s="445" t="s">
        <v>735</v>
      </c>
      <c r="B10" s="445"/>
      <c r="C10" s="445"/>
      <c r="D10" s="445"/>
      <c r="E10" s="445"/>
      <c r="F10" s="445"/>
      <c r="G10" s="445"/>
      <c r="H10" s="445"/>
      <c r="I10" s="445"/>
      <c r="J10" s="445"/>
      <c r="K10" s="445"/>
      <c r="L10" s="14"/>
      <c r="M10" s="14"/>
    </row>
    <row r="11" spans="1:19" ht="39.950000000000003" customHeight="1">
      <c r="A11" s="445" t="s">
        <v>737</v>
      </c>
      <c r="B11" s="445"/>
      <c r="C11" s="445"/>
      <c r="D11" s="445"/>
      <c r="E11" s="445"/>
      <c r="F11" s="445"/>
      <c r="G11" s="445"/>
      <c r="H11" s="445"/>
      <c r="I11" s="445"/>
      <c r="J11" s="445"/>
      <c r="K11" s="445"/>
      <c r="L11" s="14"/>
      <c r="M11" s="14"/>
    </row>
    <row r="12" spans="1:19" ht="39.950000000000003" customHeight="1">
      <c r="A12" s="445" t="s">
        <v>738</v>
      </c>
      <c r="B12" s="445"/>
      <c r="C12" s="445"/>
      <c r="D12" s="445"/>
      <c r="E12" s="445"/>
      <c r="F12" s="445"/>
      <c r="G12" s="445"/>
      <c r="H12" s="445"/>
      <c r="I12" s="445"/>
      <c r="J12" s="445"/>
      <c r="K12" s="445"/>
      <c r="L12" s="14"/>
      <c r="M12" s="14"/>
    </row>
    <row r="13" spans="1:19" ht="39.950000000000003" customHeight="1">
      <c r="A13" s="444" t="s">
        <v>739</v>
      </c>
      <c r="B13" s="444"/>
      <c r="C13" s="444"/>
      <c r="D13" s="316"/>
      <c r="E13" s="316"/>
      <c r="F13" s="316"/>
      <c r="G13" s="316"/>
      <c r="H13" s="316"/>
      <c r="I13" s="316"/>
      <c r="J13" s="14"/>
      <c r="K13" s="14"/>
      <c r="L13" s="14"/>
      <c r="M13" s="14"/>
    </row>
    <row r="14" spans="1:19" ht="39.950000000000003" customHeight="1">
      <c r="A14" s="445" t="s">
        <v>770</v>
      </c>
      <c r="B14" s="445"/>
      <c r="C14" s="445"/>
      <c r="D14" s="445"/>
      <c r="E14" s="445"/>
      <c r="F14" s="445"/>
      <c r="G14" s="445"/>
      <c r="H14" s="445"/>
      <c r="I14" s="445"/>
      <c r="J14" s="445"/>
      <c r="K14" s="445"/>
      <c r="L14" s="14"/>
      <c r="M14" s="14"/>
    </row>
    <row r="15" spans="1:19" ht="39.950000000000003" customHeight="1">
      <c r="A15" s="445" t="s">
        <v>742</v>
      </c>
      <c r="B15" s="445"/>
      <c r="C15" s="445"/>
      <c r="D15" s="445"/>
      <c r="E15" s="445"/>
      <c r="F15" s="445"/>
      <c r="G15" s="445"/>
      <c r="H15" s="445"/>
      <c r="I15" s="445"/>
      <c r="J15" s="445"/>
      <c r="K15" s="445"/>
      <c r="L15" s="14"/>
      <c r="M15" s="14"/>
    </row>
    <row r="16" spans="1:19" ht="39.950000000000003" customHeight="1">
      <c r="A16" s="445" t="s">
        <v>771</v>
      </c>
      <c r="B16" s="445"/>
      <c r="C16" s="445"/>
      <c r="D16" s="445"/>
      <c r="E16" s="445"/>
      <c r="F16" s="445"/>
      <c r="G16" s="445"/>
      <c r="H16" s="445"/>
      <c r="I16" s="445"/>
      <c r="J16" s="445"/>
      <c r="K16" s="445"/>
      <c r="L16" s="14"/>
      <c r="M16" s="14"/>
    </row>
    <row r="17" spans="1:13" ht="39.950000000000003" customHeight="1">
      <c r="A17" s="446" t="s">
        <v>772</v>
      </c>
      <c r="B17" s="446"/>
      <c r="C17" s="446"/>
      <c r="D17" s="446"/>
      <c r="E17" s="446"/>
      <c r="F17" s="446"/>
      <c r="G17" s="446"/>
      <c r="H17" s="446"/>
      <c r="I17" s="446"/>
      <c r="J17" s="446"/>
      <c r="K17" s="446"/>
      <c r="L17" s="14"/>
      <c r="M17" s="14"/>
    </row>
    <row r="18" spans="1:13" ht="39.950000000000003" customHeight="1">
      <c r="A18" s="62"/>
      <c r="B18" s="62"/>
      <c r="C18" s="315"/>
      <c r="D18" s="63"/>
      <c r="E18" s="63"/>
      <c r="F18" s="64"/>
      <c r="G18" s="64"/>
      <c r="H18" s="64"/>
      <c r="I18" s="64"/>
      <c r="J18" s="14"/>
      <c r="K18" s="14"/>
      <c r="L18" s="14"/>
      <c r="M18" s="14"/>
    </row>
    <row r="19" spans="1:13" ht="39.950000000000003" customHeight="1">
      <c r="A19" s="440" t="s">
        <v>773</v>
      </c>
      <c r="B19" s="440"/>
      <c r="C19" s="440"/>
      <c r="D19" s="440"/>
      <c r="E19" s="440"/>
      <c r="F19" s="440"/>
      <c r="G19" s="440"/>
      <c r="H19" s="440"/>
      <c r="I19" s="440"/>
      <c r="J19" s="440"/>
      <c r="K19" s="440"/>
      <c r="L19" s="14"/>
      <c r="M19" s="14"/>
    </row>
    <row r="20" spans="1:13" ht="39.950000000000003" customHeight="1">
      <c r="A20" s="440" t="s">
        <v>774</v>
      </c>
      <c r="B20" s="441"/>
      <c r="C20" s="441"/>
      <c r="D20" s="441"/>
      <c r="E20" s="441"/>
      <c r="F20" s="441"/>
      <c r="G20" s="441"/>
      <c r="H20" s="441"/>
      <c r="I20" s="441"/>
      <c r="J20" s="441"/>
      <c r="K20" s="441"/>
      <c r="L20" s="14"/>
      <c r="M20" s="14"/>
    </row>
    <row r="21" spans="1:13" ht="39.950000000000003" customHeight="1">
      <c r="A21" s="440" t="s">
        <v>775</v>
      </c>
      <c r="B21" s="441"/>
      <c r="C21" s="441"/>
      <c r="D21" s="441"/>
      <c r="E21" s="441"/>
      <c r="F21" s="441"/>
      <c r="G21" s="441"/>
      <c r="H21" s="441"/>
      <c r="I21" s="441"/>
      <c r="J21" s="441"/>
      <c r="K21" s="441"/>
      <c r="L21" s="14"/>
      <c r="M21" s="14"/>
    </row>
    <row r="22" spans="1:13" ht="146.25" customHeight="1">
      <c r="A22" s="440" t="s">
        <v>776</v>
      </c>
      <c r="B22" s="441"/>
      <c r="C22" s="441"/>
      <c r="D22" s="441"/>
      <c r="E22" s="441"/>
      <c r="F22" s="441"/>
      <c r="G22" s="441"/>
      <c r="H22" s="441"/>
      <c r="I22" s="441"/>
      <c r="J22" s="441"/>
      <c r="K22" s="441"/>
      <c r="L22" s="14"/>
      <c r="M22" s="14"/>
    </row>
    <row r="23" spans="1:13" ht="105.75" customHeight="1">
      <c r="A23" s="440" t="s">
        <v>749</v>
      </c>
      <c r="B23" s="440"/>
      <c r="C23" s="440"/>
      <c r="D23" s="440"/>
      <c r="E23" s="440"/>
      <c r="F23" s="440"/>
      <c r="G23" s="440"/>
      <c r="H23" s="440"/>
      <c r="I23" s="440"/>
      <c r="J23" s="440"/>
      <c r="K23" s="440"/>
      <c r="L23" s="14"/>
      <c r="M23" s="14"/>
    </row>
    <row r="25" spans="1:13">
      <c r="B25" s="206"/>
    </row>
    <row r="28" spans="1:13">
      <c r="B28" s="206"/>
    </row>
  </sheetData>
  <mergeCells count="17">
    <mergeCell ref="M3:S6"/>
    <mergeCell ref="A8:M8"/>
    <mergeCell ref="A13:C13"/>
    <mergeCell ref="A14:K14"/>
    <mergeCell ref="A17:K17"/>
    <mergeCell ref="A9:C9"/>
    <mergeCell ref="A6:K6"/>
    <mergeCell ref="A10:K10"/>
    <mergeCell ref="A11:K11"/>
    <mergeCell ref="A12:K12"/>
    <mergeCell ref="A15:K15"/>
    <mergeCell ref="A16:K16"/>
    <mergeCell ref="A21:K21"/>
    <mergeCell ref="A22:K22"/>
    <mergeCell ref="A23:K23"/>
    <mergeCell ref="A19:K19"/>
    <mergeCell ref="A20:K20"/>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tint="-0.249977111117893"/>
  </sheetPr>
  <dimension ref="A1:H67"/>
  <sheetViews>
    <sheetView tabSelected="1" zoomScale="85" zoomScaleNormal="85" workbookViewId="0">
      <selection activeCell="H66" sqref="H66"/>
    </sheetView>
  </sheetViews>
  <sheetFormatPr baseColWidth="10" defaultColWidth="9.140625" defaultRowHeight="15"/>
  <cols>
    <col min="1" max="1" width="5.140625" style="9" customWidth="1"/>
    <col min="2" max="2" width="80" style="22" bestFit="1" customWidth="1"/>
    <col min="3" max="3" width="17.7109375" style="9" customWidth="1"/>
    <col min="4" max="4" width="17.28515625" style="9" customWidth="1"/>
    <col min="5" max="6" width="16.42578125" style="9" customWidth="1"/>
    <col min="7" max="7" width="19.140625" style="9" bestFit="1" customWidth="1"/>
    <col min="8" max="8" width="63.7109375" style="21" customWidth="1"/>
    <col min="9" max="9" width="9.140625" style="9"/>
    <col min="10" max="10" width="49" style="9" customWidth="1"/>
    <col min="11" max="11" width="18.42578125" style="9" customWidth="1"/>
    <col min="12" max="16384" width="9.140625" style="9"/>
  </cols>
  <sheetData>
    <row r="1" spans="1:8" ht="31.5" customHeight="1" thickBot="1">
      <c r="A1" s="447" t="s">
        <v>0</v>
      </c>
      <c r="B1" s="448"/>
      <c r="C1" s="448"/>
      <c r="D1" s="448"/>
      <c r="E1" s="448"/>
      <c r="F1" s="448"/>
      <c r="G1" s="449"/>
      <c r="H1" s="450"/>
    </row>
    <row r="2" spans="1:8" ht="31.5" customHeight="1" thickBot="1">
      <c r="A2" s="447" t="s">
        <v>245</v>
      </c>
      <c r="B2" s="448"/>
      <c r="C2" s="448"/>
      <c r="D2" s="448"/>
      <c r="E2" s="448"/>
      <c r="F2" s="448"/>
      <c r="G2" s="449"/>
      <c r="H2" s="450"/>
    </row>
    <row r="3" spans="1:8" ht="75" customHeight="1" thickBot="1">
      <c r="A3" s="451" t="s">
        <v>777</v>
      </c>
      <c r="B3" s="452"/>
      <c r="C3" s="452"/>
      <c r="D3" s="452"/>
      <c r="E3" s="452"/>
      <c r="F3" s="452"/>
      <c r="G3" s="453"/>
      <c r="H3" s="454"/>
    </row>
    <row r="4" spans="1:8" ht="14.1" customHeight="1" thickBot="1">
      <c r="A4" s="130"/>
      <c r="B4" s="28"/>
      <c r="C4" s="27"/>
      <c r="D4" s="27"/>
      <c r="E4" s="26"/>
      <c r="F4" s="26"/>
      <c r="G4" s="25"/>
      <c r="H4" s="24"/>
    </row>
    <row r="5" spans="1:8" ht="43.35" customHeight="1" thickBot="1">
      <c r="A5" s="126" t="s">
        <v>2</v>
      </c>
      <c r="B5" s="161" t="s">
        <v>778</v>
      </c>
      <c r="C5" s="126" t="s">
        <v>779</v>
      </c>
      <c r="D5" s="126" t="s">
        <v>780</v>
      </c>
      <c r="E5" s="126" t="s">
        <v>781</v>
      </c>
      <c r="F5" s="165" t="s">
        <v>762</v>
      </c>
      <c r="G5" s="165" t="s">
        <v>782</v>
      </c>
      <c r="H5" s="126" t="s">
        <v>10</v>
      </c>
    </row>
    <row r="6" spans="1:8" ht="45">
      <c r="A6" s="164">
        <v>1</v>
      </c>
      <c r="B6" s="162" t="str">
        <f>'LISTA DE OFERENTES'!B4</f>
        <v>CONSORCIO INTERVIALES PCI-PC</v>
      </c>
      <c r="C6" s="160" t="s">
        <v>275</v>
      </c>
      <c r="D6" s="23" t="str">
        <f>+'EXPERIENCIA DEL PROPONENTE'!Q48</f>
        <v>NO CUMPLE</v>
      </c>
      <c r="E6" s="160" t="str">
        <f>+'EXPERIENCIA DEL PROPONENTE'!R24</f>
        <v>CUMPLE</v>
      </c>
      <c r="F6" s="75" t="s">
        <v>275</v>
      </c>
      <c r="G6" s="488" t="s">
        <v>805</v>
      </c>
      <c r="H6" s="490" t="s">
        <v>807</v>
      </c>
    </row>
    <row r="7" spans="1:8" ht="18.75">
      <c r="A7" s="164">
        <v>2</v>
      </c>
      <c r="B7" s="163" t="str">
        <f>'LISTA DE OFERENTES'!B5</f>
        <v>CONSORCIO VÍAS FONTIBÓN 2025</v>
      </c>
      <c r="C7" s="23" t="s">
        <v>275</v>
      </c>
      <c r="D7" s="23" t="s">
        <v>275</v>
      </c>
      <c r="E7" s="23" t="str">
        <f>+'EXPERIENCIA DEL PROPONENTE'!R38</f>
        <v>CUMPLE</v>
      </c>
      <c r="F7" s="75" t="s">
        <v>275</v>
      </c>
      <c r="G7" s="489" t="s">
        <v>806</v>
      </c>
      <c r="H7" s="166"/>
    </row>
    <row r="8" spans="1:8" ht="45">
      <c r="A8" s="164">
        <v>3</v>
      </c>
      <c r="B8" s="163" t="str">
        <f>'LISTA DE OFERENTES'!B6</f>
        <v>MORALBA SANCHEZ ORDOÑEZ</v>
      </c>
      <c r="C8" s="23" t="s">
        <v>275</v>
      </c>
      <c r="D8" s="23" t="s">
        <v>275</v>
      </c>
      <c r="E8" s="23" t="str">
        <f>+'EXPERIENCIA DEL PROPONENTE'!R50</f>
        <v>NO CUMPLE</v>
      </c>
      <c r="F8" s="75" t="s">
        <v>275</v>
      </c>
      <c r="G8" s="488" t="s">
        <v>805</v>
      </c>
      <c r="H8" s="490" t="s">
        <v>807</v>
      </c>
    </row>
    <row r="9" spans="1:8" ht="18.75">
      <c r="A9" s="164">
        <v>4</v>
      </c>
      <c r="B9" s="163" t="str">
        <f>'LISTA DE OFERENTES'!B7</f>
        <v>GRUPO METRO COLOMBIA SAS</v>
      </c>
      <c r="C9" s="23" t="s">
        <v>275</v>
      </c>
      <c r="D9" s="23" t="s">
        <v>275</v>
      </c>
      <c r="E9" s="23" t="str">
        <f>+'EXPERIENCIA DEL PROPONENTE'!R65</f>
        <v>CUMPLE</v>
      </c>
      <c r="F9" s="75" t="s">
        <v>275</v>
      </c>
      <c r="G9" s="489" t="s">
        <v>806</v>
      </c>
      <c r="H9" s="168"/>
    </row>
    <row r="10" spans="1:8" ht="45">
      <c r="A10" s="164">
        <v>5</v>
      </c>
      <c r="B10" s="163" t="str">
        <f>'LISTA DE OFERENTES'!B8</f>
        <v>CONSORCIO INTER CGS F1</v>
      </c>
      <c r="C10" s="23" t="s">
        <v>275</v>
      </c>
      <c r="D10" s="23" t="s">
        <v>276</v>
      </c>
      <c r="E10" s="23" t="str">
        <f>+'EXPERIENCIA DEL PROPONENTE'!R81</f>
        <v>NO CUMPLE</v>
      </c>
      <c r="F10" s="75" t="s">
        <v>275</v>
      </c>
      <c r="G10" s="488" t="s">
        <v>805</v>
      </c>
      <c r="H10" s="490" t="s">
        <v>807</v>
      </c>
    </row>
    <row r="11" spans="1:8" ht="45">
      <c r="A11" s="164">
        <v>6</v>
      </c>
      <c r="B11" s="163" t="str">
        <f>'LISTA DE OFERENTES'!B9</f>
        <v>INGENIEROS CONSTRUCTORES Y ASESORES SAS</v>
      </c>
      <c r="C11" s="23" t="s">
        <v>275</v>
      </c>
      <c r="D11" s="23" t="s">
        <v>276</v>
      </c>
      <c r="E11" s="23" t="s">
        <v>276</v>
      </c>
      <c r="F11" s="75" t="s">
        <v>275</v>
      </c>
      <c r="G11" s="488" t="s">
        <v>805</v>
      </c>
      <c r="H11" s="490" t="s">
        <v>807</v>
      </c>
    </row>
    <row r="12" spans="1:8" ht="45">
      <c r="A12" s="164">
        <v>7</v>
      </c>
      <c r="B12" s="163" t="str">
        <f>'LISTA DE OFERENTES'!B10</f>
        <v>GPM PROYECTOS DE INGENIERIA SAS</v>
      </c>
      <c r="C12" s="23" t="s">
        <v>275</v>
      </c>
      <c r="D12" s="23" t="s">
        <v>276</v>
      </c>
      <c r="E12" s="23" t="s">
        <v>275</v>
      </c>
      <c r="F12" s="75" t="s">
        <v>275</v>
      </c>
      <c r="G12" s="488" t="s">
        <v>805</v>
      </c>
      <c r="H12" s="490" t="s">
        <v>807</v>
      </c>
    </row>
    <row r="13" spans="1:8" ht="45">
      <c r="A13" s="164">
        <v>8</v>
      </c>
      <c r="B13" s="163" t="str">
        <f>'LISTA DE OFERENTES'!B11</f>
        <v>CONSORCIO MODELIA 24</v>
      </c>
      <c r="C13" s="23" t="s">
        <v>275</v>
      </c>
      <c r="D13" s="23" t="s">
        <v>276</v>
      </c>
      <c r="E13" s="23" t="s">
        <v>276</v>
      </c>
      <c r="F13" s="75" t="s">
        <v>275</v>
      </c>
      <c r="G13" s="488" t="s">
        <v>805</v>
      </c>
      <c r="H13" s="490" t="s">
        <v>807</v>
      </c>
    </row>
    <row r="14" spans="1:8" ht="18.75">
      <c r="A14" s="164">
        <v>9</v>
      </c>
      <c r="B14" s="163" t="str">
        <f>'LISTA DE OFERENTES'!B12</f>
        <v>UNIÓN TEMPORAL ROADS 402</v>
      </c>
      <c r="C14" s="23" t="s">
        <v>275</v>
      </c>
      <c r="D14" s="23" t="s">
        <v>275</v>
      </c>
      <c r="E14" s="23" t="s">
        <v>275</v>
      </c>
      <c r="F14" s="75" t="s">
        <v>275</v>
      </c>
      <c r="G14" s="489" t="s">
        <v>806</v>
      </c>
      <c r="H14" s="167"/>
    </row>
    <row r="15" spans="1:8" ht="18.75">
      <c r="A15" s="164">
        <v>10</v>
      </c>
      <c r="B15" s="163" t="str">
        <f>'LISTA DE OFERENTES'!B13</f>
        <v>CONSORCIO MALLA VIAL 206</v>
      </c>
      <c r="C15" s="23" t="s">
        <v>275</v>
      </c>
      <c r="D15" s="23" t="s">
        <v>275</v>
      </c>
      <c r="E15" s="23" t="s">
        <v>275</v>
      </c>
      <c r="F15" s="75" t="s">
        <v>275</v>
      </c>
      <c r="G15" s="489" t="s">
        <v>806</v>
      </c>
      <c r="H15" s="167"/>
    </row>
    <row r="16" spans="1:8" ht="45">
      <c r="A16" s="164">
        <v>11</v>
      </c>
      <c r="B16" s="163" t="str">
        <f>'LISTA DE OFERENTES'!B14</f>
        <v>INTERVENTORIA Y CONSTRUCIVILES SAS</v>
      </c>
      <c r="C16" s="23" t="s">
        <v>275</v>
      </c>
      <c r="D16" s="23" t="s">
        <v>276</v>
      </c>
      <c r="E16" s="23" t="s">
        <v>275</v>
      </c>
      <c r="F16" s="75" t="s">
        <v>275</v>
      </c>
      <c r="G16" s="488" t="s">
        <v>805</v>
      </c>
      <c r="H16" s="490" t="s">
        <v>807</v>
      </c>
    </row>
    <row r="17" spans="1:8" ht="18.75">
      <c r="A17" s="164">
        <v>12</v>
      </c>
      <c r="B17" s="163" t="str">
        <f>'LISTA DE OFERENTES'!B15</f>
        <v>EMPROCIV SAS</v>
      </c>
      <c r="C17" s="23" t="s">
        <v>275</v>
      </c>
      <c r="D17" s="23" t="s">
        <v>275</v>
      </c>
      <c r="E17" s="23" t="s">
        <v>275</v>
      </c>
      <c r="F17" s="75" t="s">
        <v>275</v>
      </c>
      <c r="G17" s="489" t="s">
        <v>806</v>
      </c>
      <c r="H17" s="167"/>
    </row>
    <row r="18" spans="1:8" ht="45">
      <c r="A18" s="164">
        <v>13</v>
      </c>
      <c r="B18" s="163" t="str">
        <f>'LISTA DE OFERENTES'!B16</f>
        <v>CONSORCIO NOGAALL-LITORAL</v>
      </c>
      <c r="C18" s="23" t="s">
        <v>275</v>
      </c>
      <c r="D18" s="23" t="s">
        <v>276</v>
      </c>
      <c r="E18" s="23" t="s">
        <v>275</v>
      </c>
      <c r="F18" s="75" t="s">
        <v>275</v>
      </c>
      <c r="G18" s="488" t="s">
        <v>805</v>
      </c>
      <c r="H18" s="490" t="s">
        <v>807</v>
      </c>
    </row>
    <row r="19" spans="1:8" ht="18.75">
      <c r="A19" s="164">
        <v>14</v>
      </c>
      <c r="B19" s="163" t="str">
        <f>'LISTA DE OFERENTES'!B17</f>
        <v>GRUCOING SAS</v>
      </c>
      <c r="C19" s="23" t="s">
        <v>275</v>
      </c>
      <c r="D19" s="23" t="s">
        <v>275</v>
      </c>
      <c r="E19" s="23" t="s">
        <v>275</v>
      </c>
      <c r="F19" s="75" t="s">
        <v>275</v>
      </c>
      <c r="G19" s="489" t="s">
        <v>806</v>
      </c>
      <c r="H19" s="167"/>
    </row>
    <row r="20" spans="1:8" ht="45">
      <c r="A20" s="164">
        <v>15</v>
      </c>
      <c r="B20" s="163" t="str">
        <f>'LISTA DE OFERENTES'!B18</f>
        <v>CONSORCIO ESPACIOS TVH</v>
      </c>
      <c r="C20" s="23" t="s">
        <v>275</v>
      </c>
      <c r="D20" s="23" t="s">
        <v>275</v>
      </c>
      <c r="E20" s="23" t="s">
        <v>276</v>
      </c>
      <c r="F20" s="75" t="s">
        <v>275</v>
      </c>
      <c r="G20" s="488" t="s">
        <v>805</v>
      </c>
      <c r="H20" s="490" t="s">
        <v>807</v>
      </c>
    </row>
    <row r="21" spans="1:8" ht="18.75">
      <c r="A21" s="164">
        <v>16</v>
      </c>
      <c r="B21" s="163" t="str">
        <f>'LISTA DE OFERENTES'!B19</f>
        <v>CONSORCIO VIAS Y ESP</v>
      </c>
      <c r="C21" s="23" t="s">
        <v>275</v>
      </c>
      <c r="D21" s="23" t="s">
        <v>275</v>
      </c>
      <c r="E21" s="23" t="s">
        <v>275</v>
      </c>
      <c r="F21" s="75" t="s">
        <v>275</v>
      </c>
      <c r="G21" s="489" t="s">
        <v>806</v>
      </c>
      <c r="H21" s="168"/>
    </row>
    <row r="22" spans="1:8" ht="45">
      <c r="A22" s="164">
        <v>17</v>
      </c>
      <c r="B22" s="163" t="str">
        <f>'LISTA DE OFERENTES'!B20</f>
        <v>CONSORCIO FONTIBON GM</v>
      </c>
      <c r="C22" s="23" t="s">
        <v>275</v>
      </c>
      <c r="D22" s="23" t="s">
        <v>275</v>
      </c>
      <c r="E22" s="23" t="s">
        <v>276</v>
      </c>
      <c r="F22" s="75" t="s">
        <v>275</v>
      </c>
      <c r="G22" s="488" t="s">
        <v>805</v>
      </c>
      <c r="H22" s="490" t="s">
        <v>807</v>
      </c>
    </row>
    <row r="23" spans="1:8" ht="18.75">
      <c r="A23" s="164">
        <v>18</v>
      </c>
      <c r="B23" s="163" t="str">
        <f>'LISTA DE OFERENTES'!B21</f>
        <v>CONSORCIO I.D. FONTIBÓN</v>
      </c>
      <c r="C23" s="23" t="s">
        <v>275</v>
      </c>
      <c r="D23" s="23" t="s">
        <v>275</v>
      </c>
      <c r="E23" s="23" t="s">
        <v>275</v>
      </c>
      <c r="F23" s="75" t="s">
        <v>275</v>
      </c>
      <c r="G23" s="489" t="s">
        <v>806</v>
      </c>
      <c r="H23" s="169"/>
    </row>
    <row r="24" spans="1:8" ht="18.75">
      <c r="A24" s="164">
        <v>19</v>
      </c>
      <c r="B24" s="163" t="str">
        <f>'LISTA DE OFERENTES'!B22</f>
        <v>CONSORCIO LG FONTIBÓN</v>
      </c>
      <c r="C24" s="23" t="s">
        <v>275</v>
      </c>
      <c r="D24" s="23" t="s">
        <v>275</v>
      </c>
      <c r="E24" s="23" t="s">
        <v>275</v>
      </c>
      <c r="F24" s="75" t="s">
        <v>275</v>
      </c>
      <c r="G24" s="489" t="s">
        <v>806</v>
      </c>
      <c r="H24" s="169"/>
    </row>
    <row r="25" spans="1:8" ht="45">
      <c r="A25" s="164">
        <v>20</v>
      </c>
      <c r="B25" s="163" t="str">
        <f>'LISTA DE OFERENTES'!B23</f>
        <v>INTERSA S.A</v>
      </c>
      <c r="C25" s="23" t="s">
        <v>275</v>
      </c>
      <c r="D25" s="23" t="s">
        <v>275</v>
      </c>
      <c r="E25" s="23" t="s">
        <v>276</v>
      </c>
      <c r="F25" s="75" t="s">
        <v>275</v>
      </c>
      <c r="G25" s="488" t="s">
        <v>805</v>
      </c>
      <c r="H25" s="490" t="s">
        <v>807</v>
      </c>
    </row>
    <row r="26" spans="1:8" ht="45">
      <c r="A26" s="164">
        <v>21</v>
      </c>
      <c r="B26" s="163" t="str">
        <f>'LISTA DE OFERENTES'!B24</f>
        <v>CODIPRO INGENIERIA Y ARQUITECTURA LTDA. CONSTRUCCIONES, DISEÑOS Y PROYECTOS</v>
      </c>
      <c r="C26" s="23" t="s">
        <v>275</v>
      </c>
      <c r="D26" s="23" t="s">
        <v>275</v>
      </c>
      <c r="E26" s="23" t="s">
        <v>276</v>
      </c>
      <c r="F26" s="75" t="s">
        <v>275</v>
      </c>
      <c r="G26" s="488" t="s">
        <v>805</v>
      </c>
      <c r="H26" s="490" t="s">
        <v>807</v>
      </c>
    </row>
    <row r="27" spans="1:8" ht="45">
      <c r="A27" s="164">
        <v>22</v>
      </c>
      <c r="B27" s="163" t="str">
        <f>'LISTA DE OFERENTES'!B25</f>
        <v>CONSORCIO INGESCOR R 2024</v>
      </c>
      <c r="C27" s="23" t="s">
        <v>275</v>
      </c>
      <c r="D27" s="23" t="s">
        <v>276</v>
      </c>
      <c r="E27" s="23" t="s">
        <v>275</v>
      </c>
      <c r="F27" s="75" t="s">
        <v>275</v>
      </c>
      <c r="G27" s="488" t="s">
        <v>805</v>
      </c>
      <c r="H27" s="490" t="s">
        <v>807</v>
      </c>
    </row>
    <row r="28" spans="1:8" ht="45">
      <c r="A28" s="164">
        <v>23</v>
      </c>
      <c r="B28" s="163" t="str">
        <f>'LISTA DE OFERENTES'!B26</f>
        <v>CONSORCIO INTERVIAL URBANO</v>
      </c>
      <c r="C28" s="23" t="s">
        <v>275</v>
      </c>
      <c r="D28" s="23" t="s">
        <v>275</v>
      </c>
      <c r="E28" s="23" t="s">
        <v>276</v>
      </c>
      <c r="F28" s="75" t="s">
        <v>275</v>
      </c>
      <c r="G28" s="488" t="s">
        <v>805</v>
      </c>
      <c r="H28" s="490" t="s">
        <v>807</v>
      </c>
    </row>
    <row r="29" spans="1:8" ht="18.75">
      <c r="A29" s="164">
        <v>24</v>
      </c>
      <c r="B29" s="163" t="str">
        <f>'LISTA DE OFERENTES'!B27</f>
        <v>VELNEC SA</v>
      </c>
      <c r="C29" s="23" t="s">
        <v>275</v>
      </c>
      <c r="D29" s="23" t="s">
        <v>275</v>
      </c>
      <c r="E29" s="23" t="s">
        <v>275</v>
      </c>
      <c r="F29" s="75" t="s">
        <v>275</v>
      </c>
      <c r="G29" s="489" t="s">
        <v>806</v>
      </c>
      <c r="H29" s="169"/>
    </row>
    <row r="30" spans="1:8" ht="18.75">
      <c r="A30" s="164">
        <v>25</v>
      </c>
      <c r="B30" s="163" t="str">
        <f>'LISTA DE OFERENTES'!B28</f>
        <v>CONSORCIO INTERFONTIBON 2024</v>
      </c>
      <c r="C30" s="23" t="s">
        <v>275</v>
      </c>
      <c r="D30" s="23" t="s">
        <v>275</v>
      </c>
      <c r="E30" s="23" t="s">
        <v>275</v>
      </c>
      <c r="F30" s="75" t="s">
        <v>275</v>
      </c>
      <c r="G30" s="489" t="s">
        <v>806</v>
      </c>
      <c r="H30" s="169"/>
    </row>
    <row r="31" spans="1:8" ht="18.75">
      <c r="A31" s="164">
        <v>26</v>
      </c>
      <c r="B31" s="163" t="str">
        <f>'LISTA DE OFERENTES'!B29</f>
        <v>ING INGENIERIA S.A.S</v>
      </c>
      <c r="C31" s="23" t="s">
        <v>275</v>
      </c>
      <c r="D31" s="23" t="s">
        <v>275</v>
      </c>
      <c r="E31" s="23" t="s">
        <v>275</v>
      </c>
      <c r="F31" s="75" t="s">
        <v>275</v>
      </c>
      <c r="G31" s="489" t="s">
        <v>806</v>
      </c>
      <c r="H31" s="169"/>
    </row>
    <row r="32" spans="1:8" ht="18.75">
      <c r="A32" s="164">
        <v>27</v>
      </c>
      <c r="B32" s="163" t="str">
        <f>'LISTA DE OFERENTES'!B30</f>
        <v>CONSORCIO FATIMA</v>
      </c>
      <c r="C32" s="23" t="s">
        <v>275</v>
      </c>
      <c r="D32" s="23" t="s">
        <v>275</v>
      </c>
      <c r="E32" s="23" t="s">
        <v>275</v>
      </c>
      <c r="F32" s="75" t="s">
        <v>275</v>
      </c>
      <c r="G32" s="489" t="s">
        <v>806</v>
      </c>
      <c r="H32" s="169"/>
    </row>
    <row r="33" spans="1:8" ht="45">
      <c r="A33" s="164">
        <v>28</v>
      </c>
      <c r="B33" s="163" t="str">
        <f>'LISTA DE OFERENTES'!B31</f>
        <v>GEOTECNIA Y CIMIENTOS INGEOCIM S.A.S.</v>
      </c>
      <c r="C33" s="23" t="s">
        <v>275</v>
      </c>
      <c r="D33" s="23" t="s">
        <v>275</v>
      </c>
      <c r="E33" s="23" t="s">
        <v>276</v>
      </c>
      <c r="F33" s="75" t="s">
        <v>275</v>
      </c>
      <c r="G33" s="488" t="s">
        <v>805</v>
      </c>
      <c r="H33" s="490" t="s">
        <v>807</v>
      </c>
    </row>
    <row r="34" spans="1:8" ht="18.75">
      <c r="A34" s="164">
        <v>29</v>
      </c>
      <c r="B34" s="163" t="str">
        <f>'LISTA DE OFERENTES'!B32</f>
        <v>CONSORCIO FONTIBON JINT 001</v>
      </c>
      <c r="C34" s="23" t="s">
        <v>275</v>
      </c>
      <c r="D34" s="23" t="s">
        <v>275</v>
      </c>
      <c r="E34" s="23" t="s">
        <v>275</v>
      </c>
      <c r="F34" s="75" t="s">
        <v>275</v>
      </c>
      <c r="G34" s="489" t="s">
        <v>806</v>
      </c>
      <c r="H34" s="169"/>
    </row>
    <row r="35" spans="1:8" ht="45">
      <c r="A35" s="164">
        <v>30</v>
      </c>
      <c r="B35" s="163" t="str">
        <f>'LISTA DE OFERENTES'!B33</f>
        <v>CONSORCIO ALIANZA BOGOTA</v>
      </c>
      <c r="C35" s="23" t="s">
        <v>275</v>
      </c>
      <c r="D35" s="23" t="s">
        <v>276</v>
      </c>
      <c r="E35" s="23" t="s">
        <v>275</v>
      </c>
      <c r="F35" s="75" t="s">
        <v>275</v>
      </c>
      <c r="G35" s="488" t="s">
        <v>805</v>
      </c>
      <c r="H35" s="490" t="s">
        <v>807</v>
      </c>
    </row>
    <row r="36" spans="1:8" ht="45">
      <c r="A36" s="164">
        <v>31</v>
      </c>
      <c r="B36" s="163" t="str">
        <f>'LISTA DE OFERENTES'!B34</f>
        <v>CONSORCIO FEM – 34</v>
      </c>
      <c r="C36" s="23" t="s">
        <v>275</v>
      </c>
      <c r="D36" s="23" t="s">
        <v>275</v>
      </c>
      <c r="E36" s="23" t="s">
        <v>276</v>
      </c>
      <c r="F36" s="75" t="s">
        <v>276</v>
      </c>
      <c r="G36" s="488" t="s">
        <v>805</v>
      </c>
      <c r="H36" s="490" t="s">
        <v>807</v>
      </c>
    </row>
    <row r="37" spans="1:8" ht="45">
      <c r="A37" s="164">
        <v>32</v>
      </c>
      <c r="B37" s="163" t="str">
        <f>'LISTA DE OFERENTES'!B35</f>
        <v>CONSORCIO INTER FONTIBON</v>
      </c>
      <c r="C37" s="23" t="s">
        <v>275</v>
      </c>
      <c r="D37" s="23" t="s">
        <v>276</v>
      </c>
      <c r="E37" s="23" t="s">
        <v>276</v>
      </c>
      <c r="F37" s="75" t="s">
        <v>275</v>
      </c>
      <c r="G37" s="488" t="s">
        <v>805</v>
      </c>
      <c r="H37" s="490" t="s">
        <v>807</v>
      </c>
    </row>
    <row r="38" spans="1:8" ht="45">
      <c r="A38" s="164">
        <v>33</v>
      </c>
      <c r="B38" s="163" t="str">
        <f>'LISTA DE OFERENTES'!B36</f>
        <v>CONSORCIO ID FONTIBON 001</v>
      </c>
      <c r="C38" s="23" t="s">
        <v>275</v>
      </c>
      <c r="D38" s="23" t="s">
        <v>276</v>
      </c>
      <c r="E38" s="23" t="s">
        <v>275</v>
      </c>
      <c r="F38" s="75" t="s">
        <v>275</v>
      </c>
      <c r="G38" s="488" t="s">
        <v>805</v>
      </c>
      <c r="H38" s="490" t="s">
        <v>807</v>
      </c>
    </row>
    <row r="39" spans="1:8" ht="45">
      <c r="A39" s="164">
        <v>34</v>
      </c>
      <c r="B39" s="163" t="str">
        <f>'LISTA DE OFERENTES'!B37</f>
        <v>CTV FONTIBON</v>
      </c>
      <c r="C39" s="23" t="s">
        <v>275</v>
      </c>
      <c r="D39" s="23" t="s">
        <v>276</v>
      </c>
      <c r="E39" s="23" t="s">
        <v>276</v>
      </c>
      <c r="F39" s="75" t="s">
        <v>275</v>
      </c>
      <c r="G39" s="488" t="s">
        <v>805</v>
      </c>
      <c r="H39" s="490" t="s">
        <v>807</v>
      </c>
    </row>
    <row r="40" spans="1:8" ht="45">
      <c r="A40" s="164">
        <v>35</v>
      </c>
      <c r="B40" s="163" t="str">
        <f>'LISTA DE OFERENTES'!B38</f>
        <v>ESTUDIOS TÉCNICOS Y CONSTRUCCIONES SAS</v>
      </c>
      <c r="C40" s="23" t="s">
        <v>275</v>
      </c>
      <c r="D40" s="23" t="s">
        <v>275</v>
      </c>
      <c r="E40" s="23" t="s">
        <v>276</v>
      </c>
      <c r="F40" s="75" t="s">
        <v>275</v>
      </c>
      <c r="G40" s="488" t="s">
        <v>805</v>
      </c>
      <c r="H40" s="490" t="s">
        <v>807</v>
      </c>
    </row>
    <row r="41" spans="1:8" ht="45">
      <c r="A41" s="164">
        <v>36</v>
      </c>
      <c r="B41" s="163" t="str">
        <f>'LISTA DE OFERENTES'!B39</f>
        <v>ALIANZA INTEGRAL DE PROYECTOS SAS BIC</v>
      </c>
      <c r="C41" s="23" t="s">
        <v>275</v>
      </c>
      <c r="D41" s="23" t="s">
        <v>275</v>
      </c>
      <c r="E41" s="23" t="s">
        <v>276</v>
      </c>
      <c r="F41" s="75" t="s">
        <v>275</v>
      </c>
      <c r="G41" s="488" t="s">
        <v>805</v>
      </c>
      <c r="H41" s="490" t="s">
        <v>807</v>
      </c>
    </row>
    <row r="42" spans="1:8" ht="45">
      <c r="A42" s="164">
        <v>37</v>
      </c>
      <c r="B42" s="163" t="str">
        <f>'LISTA DE OFERENTES'!B40</f>
        <v>CONSORCIO EPSILON FONTIBON</v>
      </c>
      <c r="C42" s="23" t="s">
        <v>275</v>
      </c>
      <c r="D42" s="23" t="s">
        <v>275</v>
      </c>
      <c r="E42" s="23" t="s">
        <v>276</v>
      </c>
      <c r="F42" s="75" t="s">
        <v>275</v>
      </c>
      <c r="G42" s="488" t="s">
        <v>805</v>
      </c>
      <c r="H42" s="490" t="s">
        <v>807</v>
      </c>
    </row>
    <row r="43" spans="1:8" ht="18.75">
      <c r="A43" s="164">
        <v>38</v>
      </c>
      <c r="B43" s="163" t="str">
        <f>'LISTA DE OFERENTES'!B41</f>
        <v>PAULO EMILIO BRAVO CONSULTORES SAS</v>
      </c>
      <c r="C43" s="23" t="s">
        <v>275</v>
      </c>
      <c r="D43" s="23" t="s">
        <v>275</v>
      </c>
      <c r="E43" s="23" t="s">
        <v>275</v>
      </c>
      <c r="F43" s="75" t="s">
        <v>275</v>
      </c>
      <c r="G43" s="489" t="s">
        <v>806</v>
      </c>
      <c r="H43" s="169"/>
    </row>
    <row r="44" spans="1:8" ht="18.75">
      <c r="A44" s="164">
        <v>39</v>
      </c>
      <c r="B44" s="163" t="str">
        <f>'LISTA DE OFERENTES'!B42</f>
        <v>ALMA Interventoría &amp; Consultoría S.A.S</v>
      </c>
      <c r="C44" s="23" t="s">
        <v>275</v>
      </c>
      <c r="D44" s="23" t="s">
        <v>275</v>
      </c>
      <c r="E44" s="23" t="s">
        <v>275</v>
      </c>
      <c r="F44" s="75" t="s">
        <v>275</v>
      </c>
      <c r="G44" s="489" t="s">
        <v>806</v>
      </c>
      <c r="H44" s="169"/>
    </row>
    <row r="45" spans="1:8" ht="45">
      <c r="A45" s="164">
        <v>40</v>
      </c>
      <c r="B45" s="163" t="str">
        <f>'LISTA DE OFERENTES'!B43</f>
        <v>CONSORCIO COING F001</v>
      </c>
      <c r="C45" s="23" t="s">
        <v>275</v>
      </c>
      <c r="D45" s="23" t="s">
        <v>276</v>
      </c>
      <c r="E45" s="23" t="s">
        <v>275</v>
      </c>
      <c r="F45" s="75" t="s">
        <v>275</v>
      </c>
      <c r="G45" s="488" t="s">
        <v>805</v>
      </c>
      <c r="H45" s="490" t="s">
        <v>807</v>
      </c>
    </row>
    <row r="46" spans="1:8" ht="45">
      <c r="A46" s="164">
        <v>41</v>
      </c>
      <c r="B46" s="163" t="str">
        <f>'LISTA DE OFERENTES'!B44</f>
        <v>CONSORCIO FONTIBÓN KM 2024</v>
      </c>
      <c r="C46" s="23" t="s">
        <v>275</v>
      </c>
      <c r="D46" s="23" t="s">
        <v>276</v>
      </c>
      <c r="E46" s="23" t="s">
        <v>276</v>
      </c>
      <c r="F46" s="75" t="s">
        <v>275</v>
      </c>
      <c r="G46" s="488" t="s">
        <v>805</v>
      </c>
      <c r="H46" s="490" t="s">
        <v>807</v>
      </c>
    </row>
    <row r="47" spans="1:8" ht="45">
      <c r="A47" s="164">
        <v>42</v>
      </c>
      <c r="B47" s="163" t="str">
        <f>'LISTA DE OFERENTES'!B45</f>
        <v>CONSORCIO INTER FONTIBON JG</v>
      </c>
      <c r="C47" s="23" t="s">
        <v>275</v>
      </c>
      <c r="D47" s="23" t="s">
        <v>275</v>
      </c>
      <c r="E47" s="23" t="s">
        <v>276</v>
      </c>
      <c r="F47" s="75" t="s">
        <v>275</v>
      </c>
      <c r="G47" s="488" t="s">
        <v>805</v>
      </c>
      <c r="H47" s="490" t="s">
        <v>807</v>
      </c>
    </row>
    <row r="48" spans="1:8" ht="45">
      <c r="A48" s="164">
        <v>43</v>
      </c>
      <c r="B48" s="163" t="str">
        <f>'LISTA DE OFERENTES'!B46</f>
        <v>CONSORCIO INTER VÍAL G&amp;L</v>
      </c>
      <c r="C48" s="23" t="s">
        <v>275</v>
      </c>
      <c r="D48" s="23" t="s">
        <v>275</v>
      </c>
      <c r="E48" s="23" t="s">
        <v>276</v>
      </c>
      <c r="F48" s="75" t="s">
        <v>275</v>
      </c>
      <c r="G48" s="488" t="s">
        <v>805</v>
      </c>
      <c r="H48" s="490" t="s">
        <v>807</v>
      </c>
    </row>
    <row r="49" spans="1:8" ht="18.75">
      <c r="A49" s="164">
        <v>44</v>
      </c>
      <c r="B49" s="163" t="str">
        <f>'LISTA DE OFERENTES'!B47</f>
        <v>ECOVIAS SAS</v>
      </c>
      <c r="C49" s="23" t="s">
        <v>275</v>
      </c>
      <c r="D49" s="23" t="s">
        <v>275</v>
      </c>
      <c r="E49" s="23" t="s">
        <v>275</v>
      </c>
      <c r="F49" s="75" t="s">
        <v>275</v>
      </c>
      <c r="G49" s="489" t="s">
        <v>806</v>
      </c>
      <c r="H49" s="169"/>
    </row>
    <row r="50" spans="1:8" ht="18.75">
      <c r="A50" s="164">
        <v>45</v>
      </c>
      <c r="B50" s="163" t="str">
        <f>'LISTA DE OFERENTES'!B48</f>
        <v>PROJEKTA LTDA INGENIEROS CONSULTORES</v>
      </c>
      <c r="C50" s="23" t="s">
        <v>275</v>
      </c>
      <c r="D50" s="23" t="s">
        <v>275</v>
      </c>
      <c r="E50" s="23" t="s">
        <v>275</v>
      </c>
      <c r="F50" s="75" t="s">
        <v>275</v>
      </c>
      <c r="G50" s="489" t="s">
        <v>806</v>
      </c>
      <c r="H50" s="169"/>
    </row>
    <row r="51" spans="1:8" ht="45">
      <c r="A51" s="164">
        <v>46</v>
      </c>
      <c r="B51" s="163" t="str">
        <f>'LISTA DE OFERENTES'!B49</f>
        <v>SOLUCIONES PARA LA INGENIERÍA S.A.S.</v>
      </c>
      <c r="C51" s="23" t="s">
        <v>275</v>
      </c>
      <c r="D51" s="23" t="s">
        <v>276</v>
      </c>
      <c r="E51" s="23" t="s">
        <v>275</v>
      </c>
      <c r="F51" s="75" t="s">
        <v>275</v>
      </c>
      <c r="G51" s="488" t="s">
        <v>805</v>
      </c>
      <c r="H51" s="490" t="s">
        <v>807</v>
      </c>
    </row>
    <row r="52" spans="1:8" ht="45">
      <c r="A52" s="164">
        <v>47</v>
      </c>
      <c r="B52" s="163" t="str">
        <f>'LISTA DE OFERENTES'!B50</f>
        <v>CONSORCIO INTERVIAL PH</v>
      </c>
      <c r="C52" s="23" t="s">
        <v>275</v>
      </c>
      <c r="D52" s="23" t="s">
        <v>276</v>
      </c>
      <c r="E52" s="23" t="s">
        <v>276</v>
      </c>
      <c r="F52" s="75" t="s">
        <v>275</v>
      </c>
      <c r="G52" s="488" t="s">
        <v>805</v>
      </c>
      <c r="H52" s="490" t="s">
        <v>807</v>
      </c>
    </row>
    <row r="53" spans="1:8" ht="45">
      <c r="A53" s="164">
        <v>48</v>
      </c>
      <c r="B53" s="163" t="str">
        <f>'LISTA DE OFERENTES'!B51</f>
        <v>CONSORCIO SETEC VIAL FONTIBON</v>
      </c>
      <c r="C53" s="23" t="s">
        <v>275</v>
      </c>
      <c r="D53" s="23" t="s">
        <v>276</v>
      </c>
      <c r="E53" s="23" t="s">
        <v>276</v>
      </c>
      <c r="F53" s="75" t="s">
        <v>275</v>
      </c>
      <c r="G53" s="488" t="s">
        <v>805</v>
      </c>
      <c r="H53" s="490" t="s">
        <v>807</v>
      </c>
    </row>
    <row r="54" spans="1:8" ht="45">
      <c r="A54" s="164">
        <v>49</v>
      </c>
      <c r="B54" s="163" t="str">
        <f>'LISTA DE OFERENTES'!B52</f>
        <v>CONSORCIO CCP</v>
      </c>
      <c r="C54" s="23" t="s">
        <v>275</v>
      </c>
      <c r="D54" s="23" t="s">
        <v>276</v>
      </c>
      <c r="E54" s="23" t="s">
        <v>275</v>
      </c>
      <c r="F54" s="75" t="s">
        <v>275</v>
      </c>
      <c r="G54" s="488" t="s">
        <v>805</v>
      </c>
      <c r="H54" s="490" t="s">
        <v>807</v>
      </c>
    </row>
    <row r="55" spans="1:8" ht="45">
      <c r="A55" s="164">
        <v>50</v>
      </c>
      <c r="B55" s="163" t="str">
        <f>'LISTA DE OFERENTES'!B53</f>
        <v>CONSORCIO FONTIBON</v>
      </c>
      <c r="C55" s="23" t="s">
        <v>276</v>
      </c>
      <c r="D55" s="23" t="s">
        <v>276</v>
      </c>
      <c r="E55" s="23" t="s">
        <v>275</v>
      </c>
      <c r="F55" s="75" t="s">
        <v>275</v>
      </c>
      <c r="G55" s="488" t="s">
        <v>805</v>
      </c>
      <c r="H55" s="490" t="s">
        <v>807</v>
      </c>
    </row>
    <row r="56" spans="1:8" ht="45">
      <c r="A56" s="164">
        <v>51</v>
      </c>
      <c r="B56" s="163" t="str">
        <f>'LISTA DE OFERENTES'!B54</f>
        <v>CONSORCIO TECNOLOGICO</v>
      </c>
      <c r="C56" s="23" t="s">
        <v>275</v>
      </c>
      <c r="D56" s="23" t="s">
        <v>276</v>
      </c>
      <c r="E56" s="23" t="s">
        <v>276</v>
      </c>
      <c r="F56" s="83" t="s">
        <v>276</v>
      </c>
      <c r="G56" s="488" t="s">
        <v>805</v>
      </c>
      <c r="H56" s="490" t="s">
        <v>807</v>
      </c>
    </row>
    <row r="57" spans="1:8" ht="45">
      <c r="A57" s="164">
        <v>52</v>
      </c>
      <c r="B57" s="163" t="str">
        <f>'LISTA DE OFERENTES'!B55</f>
        <v>CONSORCIO INTERVIAL PH</v>
      </c>
      <c r="C57" s="23" t="s">
        <v>275</v>
      </c>
      <c r="D57" s="23" t="s">
        <v>276</v>
      </c>
      <c r="E57" s="23" t="s">
        <v>275</v>
      </c>
      <c r="F57" s="83" t="s">
        <v>276</v>
      </c>
      <c r="G57" s="488" t="s">
        <v>805</v>
      </c>
      <c r="H57" s="490" t="s">
        <v>807</v>
      </c>
    </row>
    <row r="58" spans="1:8" ht="45">
      <c r="A58" s="164">
        <v>53</v>
      </c>
      <c r="B58" s="163" t="str">
        <f>'LISTA DE OFERENTES'!B56</f>
        <v xml:space="preserve"> CONSORCIO VIAS FONTIBON PC</v>
      </c>
      <c r="C58" s="23" t="s">
        <v>275</v>
      </c>
      <c r="D58" s="23" t="s">
        <v>275</v>
      </c>
      <c r="E58" s="23" t="s">
        <v>276</v>
      </c>
      <c r="F58" s="75" t="s">
        <v>275</v>
      </c>
      <c r="G58" s="488" t="s">
        <v>805</v>
      </c>
      <c r="H58" s="490" t="s">
        <v>807</v>
      </c>
    </row>
    <row r="59" spans="1:8" ht="18.75">
      <c r="A59" s="164">
        <v>54</v>
      </c>
      <c r="B59" s="163" t="str">
        <f>'LISTA DE OFERENTES'!B57</f>
        <v>CONSORCIO  MALLA VIAL FDLF</v>
      </c>
      <c r="C59" s="23" t="s">
        <v>275</v>
      </c>
      <c r="D59" s="23" t="s">
        <v>275</v>
      </c>
      <c r="E59" s="23" t="s">
        <v>275</v>
      </c>
      <c r="F59" s="75" t="s">
        <v>275</v>
      </c>
      <c r="G59" s="489" t="s">
        <v>806</v>
      </c>
      <c r="H59" s="169"/>
    </row>
    <row r="60" spans="1:8" ht="45">
      <c r="A60" s="164">
        <v>55</v>
      </c>
      <c r="B60" s="163" t="str">
        <f>'LISTA DE OFERENTES'!B58</f>
        <v>CONSORCIO INTER FONTIBON</v>
      </c>
      <c r="C60" s="23" t="s">
        <v>275</v>
      </c>
      <c r="D60" s="23" t="s">
        <v>276</v>
      </c>
      <c r="E60" s="23" t="s">
        <v>275</v>
      </c>
      <c r="F60" s="75" t="s">
        <v>275</v>
      </c>
      <c r="G60" s="488" t="s">
        <v>805</v>
      </c>
      <c r="H60" s="490" t="s">
        <v>807</v>
      </c>
    </row>
    <row r="61" spans="1:8" ht="18.75">
      <c r="A61" s="164">
        <v>56</v>
      </c>
      <c r="B61" s="163" t="str">
        <f>'LISTA DE OFERENTES'!B59</f>
        <v>CONSORCIO VIAS IC 2024</v>
      </c>
      <c r="C61" s="23" t="s">
        <v>275</v>
      </c>
      <c r="D61" s="23" t="s">
        <v>275</v>
      </c>
      <c r="E61" s="23" t="s">
        <v>275</v>
      </c>
      <c r="F61" s="75" t="s">
        <v>275</v>
      </c>
      <c r="G61" s="489" t="s">
        <v>806</v>
      </c>
      <c r="H61" s="169"/>
    </row>
    <row r="62" spans="1:8" ht="18.75">
      <c r="A62" s="164">
        <v>57</v>
      </c>
      <c r="B62" s="163" t="str">
        <f>'LISTA DE OFERENTES'!B60</f>
        <v>ORBITA DESARROLLO S.A.S. BIC</v>
      </c>
      <c r="C62" s="23" t="s">
        <v>275</v>
      </c>
      <c r="D62" s="23" t="s">
        <v>275</v>
      </c>
      <c r="E62" s="23" t="s">
        <v>275</v>
      </c>
      <c r="F62" s="75" t="s">
        <v>275</v>
      </c>
      <c r="G62" s="489" t="s">
        <v>806</v>
      </c>
      <c r="H62" s="169"/>
    </row>
    <row r="63" spans="1:8" ht="45">
      <c r="A63" s="164">
        <v>58</v>
      </c>
      <c r="B63" s="163" t="str">
        <f>'LISTA DE OFERENTES'!B61</f>
        <v>CONSORCIO CONSTRUCCIÓN Y DESARROLLO FONTIBÓN</v>
      </c>
      <c r="C63" s="23" t="s">
        <v>275</v>
      </c>
      <c r="D63" s="23" t="s">
        <v>276</v>
      </c>
      <c r="E63" s="23" t="s">
        <v>276</v>
      </c>
      <c r="F63" s="75" t="s">
        <v>275</v>
      </c>
      <c r="G63" s="488" t="s">
        <v>805</v>
      </c>
      <c r="H63" s="490" t="s">
        <v>807</v>
      </c>
    </row>
    <row r="64" spans="1:8" ht="45">
      <c r="A64" s="164">
        <v>59</v>
      </c>
      <c r="B64" s="163" t="str">
        <f>'LISTA DE OFERENTES'!B62</f>
        <v>CONSORCIO ESPACIO PÚBLICO INT 2024</v>
      </c>
      <c r="C64" s="23" t="s">
        <v>275</v>
      </c>
      <c r="D64" s="23" t="s">
        <v>276</v>
      </c>
      <c r="E64" s="23" t="s">
        <v>275</v>
      </c>
      <c r="F64" s="75" t="s">
        <v>275</v>
      </c>
      <c r="G64" s="488" t="s">
        <v>805</v>
      </c>
      <c r="H64" s="490" t="s">
        <v>807</v>
      </c>
    </row>
    <row r="65" spans="1:8" ht="18.75">
      <c r="A65" s="164">
        <v>60</v>
      </c>
      <c r="B65" s="163" t="str">
        <f>'LISTA DE OFERENTES'!B63</f>
        <v>CONSORCIO VÍAS PROTEV</v>
      </c>
      <c r="C65" s="23" t="s">
        <v>275</v>
      </c>
      <c r="D65" s="23" t="s">
        <v>275</v>
      </c>
      <c r="E65" s="23" t="s">
        <v>275</v>
      </c>
      <c r="F65" s="75" t="s">
        <v>275</v>
      </c>
      <c r="G65" s="489" t="s">
        <v>806</v>
      </c>
      <c r="H65" s="169"/>
    </row>
    <row r="66" spans="1:8" ht="45">
      <c r="A66" s="164">
        <v>61</v>
      </c>
      <c r="B66" s="163" t="str">
        <f>'LISTA DE OFERENTES'!B64</f>
        <v>CONSORCIO INTERVENTORES FONTIBON</v>
      </c>
      <c r="C66" s="23" t="s">
        <v>275</v>
      </c>
      <c r="D66" s="23" t="s">
        <v>276</v>
      </c>
      <c r="E66" s="23" t="s">
        <v>275</v>
      </c>
      <c r="F66" s="75" t="s">
        <v>275</v>
      </c>
      <c r="G66" s="488" t="s">
        <v>805</v>
      </c>
      <c r="H66" s="490" t="s">
        <v>807</v>
      </c>
    </row>
    <row r="67" spans="1:8" ht="18.75">
      <c r="A67" s="164">
        <v>62</v>
      </c>
      <c r="B67" s="163" t="str">
        <f>'LISTA DE OFERENTES'!B65</f>
        <v>CONCIC SAS</v>
      </c>
      <c r="C67" s="23" t="s">
        <v>275</v>
      </c>
      <c r="D67" s="23" t="s">
        <v>275</v>
      </c>
      <c r="E67" s="23" t="s">
        <v>275</v>
      </c>
      <c r="F67" s="75" t="s">
        <v>275</v>
      </c>
      <c r="G67" s="489" t="s">
        <v>806</v>
      </c>
      <c r="H67" s="169"/>
    </row>
  </sheetData>
  <dataConsolidate link="1"/>
  <mergeCells count="3">
    <mergeCell ref="A1:H1"/>
    <mergeCell ref="A2:H2"/>
    <mergeCell ref="A3:H3"/>
  </mergeCells>
  <conditionalFormatting sqref="C6:C21">
    <cfRule type="containsText" dxfId="517" priority="936" operator="containsText" text="NO HABIL">
      <formula>NOT(ISERROR(SEARCH("NO HABIL",C6)))</formula>
    </cfRule>
    <cfRule type="containsText" dxfId="516" priority="937" operator="containsText" text="NO HABIL ">
      <formula>NOT(ISERROR(SEARCH("NO HABIL ",C6)))</formula>
    </cfRule>
  </conditionalFormatting>
  <conditionalFormatting sqref="C6:C67">
    <cfRule type="containsText" dxfId="515" priority="328" operator="containsText" text="NO HABIL">
      <formula>NOT(ISERROR(SEARCH("NO HABIL",C6)))</formula>
    </cfRule>
    <cfRule type="containsText" dxfId="514" priority="329" operator="containsText" text="NO HABIL ">
      <formula>NOT(ISERROR(SEARCH("NO HABIL ",C6)))</formula>
    </cfRule>
  </conditionalFormatting>
  <conditionalFormatting sqref="C36">
    <cfRule type="containsText" dxfId="513" priority="339" operator="containsText" text="HABILITADO">
      <formula>NOT(ISERROR(SEARCH("HABILITADO",C36)))</formula>
    </cfRule>
    <cfRule type="containsText" dxfId="512" priority="340" operator="containsText" text="NO HABIL">
      <formula>NOT(ISERROR(SEARCH("NO HABIL",C36)))</formula>
    </cfRule>
    <cfRule type="containsText" dxfId="511" priority="341" operator="containsText" text="NO HABIL ">
      <formula>NOT(ISERROR(SEARCH("NO HABIL ",C36)))</formula>
    </cfRule>
  </conditionalFormatting>
  <conditionalFormatting sqref="C36:C67">
    <cfRule type="containsText" dxfId="510" priority="326" operator="containsText" text="NO HABILITADO">
      <formula>NOT(ISERROR(SEARCH("NO HABILITADO",C36)))</formula>
    </cfRule>
  </conditionalFormatting>
  <conditionalFormatting sqref="C36:C67">
    <cfRule type="containsText" dxfId="509" priority="324" operator="containsText" text="NO HABIL">
      <formula>NOT(ISERROR(SEARCH("NO HABIL",C36)))</formula>
    </cfRule>
    <cfRule type="containsText" dxfId="508" priority="325" operator="containsText" text="NO HABIL ">
      <formula>NOT(ISERROR(SEARCH("NO HABIL ",C36)))</formula>
    </cfRule>
    <cfRule type="containsText" dxfId="507" priority="327" operator="containsText" text="HABILITADO">
      <formula>NOT(ISERROR(SEARCH("HABILITADO",C36)))</formula>
    </cfRule>
  </conditionalFormatting>
  <conditionalFormatting sqref="C6:C35 C6:E21 D19:D26 G6:G24">
    <cfRule type="containsText" dxfId="506" priority="758" operator="containsText" text="NO HABILITADO">
      <formula>NOT(ISERROR(SEARCH("NO HABILITADO",C6)))</formula>
    </cfRule>
    <cfRule type="containsText" dxfId="505" priority="759" operator="containsText" text="HABILITADO">
      <formula>NOT(ISERROR(SEARCH("HABILITADO",C6)))</formula>
    </cfRule>
  </conditionalFormatting>
  <conditionalFormatting sqref="C68:G1048576 C6:E67 G6:G67">
    <cfRule type="containsText" dxfId="504" priority="624" operator="containsText" text="NO CUMPLE">
      <formula>NOT(ISERROR(SEARCH("NO CUMPLE",C6)))</formula>
    </cfRule>
    <cfRule type="containsText" dxfId="503" priority="625" operator="containsText" text="CUMPLE">
      <formula>NOT(ISERROR(SEARCH("CUMPLE",C6)))</formula>
    </cfRule>
  </conditionalFormatting>
  <conditionalFormatting sqref="D6:D17">
    <cfRule type="containsText" dxfId="502" priority="772" operator="containsText" text="NO HABIL">
      <formula>NOT(ISERROR(SEARCH("NO HABIL",D6)))</formula>
    </cfRule>
    <cfRule type="containsText" dxfId="501" priority="773" operator="containsText" text="NO HABIL ">
      <formula>NOT(ISERROR(SEARCH("NO HABIL ",D6)))</formula>
    </cfRule>
  </conditionalFormatting>
  <conditionalFormatting sqref="D18:D21">
    <cfRule type="containsText" dxfId="500" priority="870" operator="containsText" text="NO HABIL">
      <formula>NOT(ISERROR(SEARCH("NO HABIL",D18)))</formula>
    </cfRule>
    <cfRule type="containsText" dxfId="499" priority="871" operator="containsText" text="NO HABIL ">
      <formula>NOT(ISERROR(SEARCH("NO HABIL ",D18)))</formula>
    </cfRule>
  </conditionalFormatting>
  <conditionalFormatting sqref="E6:E21">
    <cfRule type="containsText" dxfId="498" priority="760" operator="containsText" text="NO HABIL">
      <formula>NOT(ISERROR(SEARCH("NO HABIL",E6)))</formula>
    </cfRule>
    <cfRule type="containsText" dxfId="497" priority="761" operator="containsText" text="NO HABIL ">
      <formula>NOT(ISERROR(SEARCH("NO HABIL ",E6)))</formula>
    </cfRule>
  </conditionalFormatting>
  <conditionalFormatting sqref="E7:E22">
    <cfRule type="containsText" dxfId="496" priority="740" operator="containsText" text="NO HABIL">
      <formula>NOT(ISERROR(SEARCH("NO HABIL",E7)))</formula>
    </cfRule>
    <cfRule type="containsText" dxfId="495" priority="741" operator="containsText" text="NO HABIL ">
      <formula>NOT(ISERROR(SEARCH("NO HABIL ",E7)))</formula>
    </cfRule>
  </conditionalFormatting>
  <conditionalFormatting sqref="E22">
    <cfRule type="containsText" dxfId="494" priority="738" operator="containsText" text="NO HABILITADO">
      <formula>NOT(ISERROR(SEARCH("NO HABILITADO",E22)))</formula>
    </cfRule>
    <cfRule type="containsText" dxfId="493" priority="739" operator="containsText" text="HABILITADO">
      <formula>NOT(ISERROR(SEARCH("HABILITADO",E22)))</formula>
    </cfRule>
  </conditionalFormatting>
  <conditionalFormatting sqref="E23">
    <cfRule type="containsText" dxfId="492" priority="621" operator="containsText" text="HABILITADO">
      <formula>NOT(ISERROR(SEARCH("HABILITADO",E23)))</formula>
    </cfRule>
    <cfRule type="containsText" dxfId="491" priority="622" operator="containsText" text="NO HABIL">
      <formula>NOT(ISERROR(SEARCH("NO HABIL",E23)))</formula>
    </cfRule>
    <cfRule type="containsText" dxfId="490" priority="623" operator="containsText" text="NO HABIL ">
      <formula>NOT(ISERROR(SEARCH("NO HABIL ",E23)))</formula>
    </cfRule>
  </conditionalFormatting>
  <conditionalFormatting sqref="E23:E24">
    <cfRule type="containsText" dxfId="489" priority="614" operator="containsText" text="NO HABILITADO">
      <formula>NOT(ISERROR(SEARCH("NO HABILITADO",E23)))</formula>
    </cfRule>
    <cfRule type="containsText" dxfId="488" priority="616" operator="containsText" text="NO HABIL">
      <formula>NOT(ISERROR(SEARCH("NO HABIL",E23)))</formula>
    </cfRule>
    <cfRule type="containsText" dxfId="487" priority="617" operator="containsText" text="NO HABIL ">
      <formula>NOT(ISERROR(SEARCH("NO HABIL ",E23)))</formula>
    </cfRule>
  </conditionalFormatting>
  <conditionalFormatting sqref="E24">
    <cfRule type="containsText" dxfId="486" priority="612" operator="containsText" text="NO HABIL">
      <formula>NOT(ISERROR(SEARCH("NO HABIL",E24)))</formula>
    </cfRule>
    <cfRule type="containsText" dxfId="485" priority="613" operator="containsText" text="NO HABIL ">
      <formula>NOT(ISERROR(SEARCH("NO HABIL ",E24)))</formula>
    </cfRule>
    <cfRule type="containsText" dxfId="484" priority="615" operator="containsText" text="HABILITADO">
      <formula>NOT(ISERROR(SEARCH("HABILITADO",E24)))</formula>
    </cfRule>
  </conditionalFormatting>
  <conditionalFormatting sqref="E25:E26">
    <cfRule type="containsText" dxfId="483" priority="730" operator="containsText" text="NO HABILITADO">
      <formula>NOT(ISERROR(SEARCH("NO HABILITADO",E25)))</formula>
    </cfRule>
    <cfRule type="containsText" dxfId="482" priority="731" operator="containsText" text="HABILITADO">
      <formula>NOT(ISERROR(SEARCH("HABILITADO",E25)))</formula>
    </cfRule>
    <cfRule type="containsText" dxfId="481" priority="732" operator="containsText" text="NO HABIL">
      <formula>NOT(ISERROR(SEARCH("NO HABIL",E25)))</formula>
    </cfRule>
    <cfRule type="containsText" dxfId="480" priority="733" operator="containsText" text="NO HABIL ">
      <formula>NOT(ISERROR(SEARCH("NO HABIL ",E25)))</formula>
    </cfRule>
  </conditionalFormatting>
  <conditionalFormatting sqref="E27">
    <cfRule type="containsText" dxfId="479" priority="606" operator="containsText" text="NO HABIL">
      <formula>NOT(ISERROR(SEARCH("NO HABIL",E27)))</formula>
    </cfRule>
    <cfRule type="containsText" dxfId="478" priority="607" operator="containsText" text="NO HABIL ">
      <formula>NOT(ISERROR(SEARCH("NO HABIL ",E27)))</formula>
    </cfRule>
    <cfRule type="containsText" dxfId="477" priority="608" operator="containsText" text="NO HABILITADO">
      <formula>NOT(ISERROR(SEARCH("NO HABILITADO",E27)))</formula>
    </cfRule>
    <cfRule type="containsText" dxfId="476" priority="609" operator="containsText" text="HABILITADO">
      <formula>NOT(ISERROR(SEARCH("HABILITADO",E27)))</formula>
    </cfRule>
    <cfRule type="containsText" dxfId="475" priority="610" operator="containsText" text="NO HABIL">
      <formula>NOT(ISERROR(SEARCH("NO HABIL",E27)))</formula>
    </cfRule>
    <cfRule type="containsText" dxfId="474" priority="611" operator="containsText" text="NO HABIL ">
      <formula>NOT(ISERROR(SEARCH("NO HABIL ",E27)))</formula>
    </cfRule>
  </conditionalFormatting>
  <conditionalFormatting sqref="E28">
    <cfRule type="containsText" dxfId="473" priority="726" operator="containsText" text="NO HABILITADO">
      <formula>NOT(ISERROR(SEARCH("NO HABILITADO",E28)))</formula>
    </cfRule>
    <cfRule type="containsText" dxfId="472" priority="727" operator="containsText" text="HABILITADO">
      <formula>NOT(ISERROR(SEARCH("HABILITADO",E28)))</formula>
    </cfRule>
    <cfRule type="containsText" dxfId="471" priority="728" operator="containsText" text="NO HABIL">
      <formula>NOT(ISERROR(SEARCH("NO HABIL",E28)))</formula>
    </cfRule>
    <cfRule type="containsText" dxfId="470" priority="729" operator="containsText" text="NO HABIL ">
      <formula>NOT(ISERROR(SEARCH("NO HABIL ",E28)))</formula>
    </cfRule>
  </conditionalFormatting>
  <conditionalFormatting sqref="E29">
    <cfRule type="containsText" dxfId="469" priority="603" operator="containsText" text="HABILITADO">
      <formula>NOT(ISERROR(SEARCH("HABILITADO",E29)))</formula>
    </cfRule>
    <cfRule type="containsText" dxfId="468" priority="604" operator="containsText" text="NO HABIL">
      <formula>NOT(ISERROR(SEARCH("NO HABIL",E29)))</formula>
    </cfRule>
    <cfRule type="containsText" dxfId="467" priority="605" operator="containsText" text="NO HABIL ">
      <formula>NOT(ISERROR(SEARCH("NO HABIL ",E29)))</formula>
    </cfRule>
  </conditionalFormatting>
  <conditionalFormatting sqref="E29:E30">
    <cfRule type="containsText" dxfId="466" priority="598" operator="containsText" text="NO HABIL">
      <formula>NOT(ISERROR(SEARCH("NO HABIL",E29)))</formula>
    </cfRule>
    <cfRule type="containsText" dxfId="465" priority="599" operator="containsText" text="NO HABIL ">
      <formula>NOT(ISERROR(SEARCH("NO HABIL ",E29)))</formula>
    </cfRule>
  </conditionalFormatting>
  <conditionalFormatting sqref="E29:E32">
    <cfRule type="containsText" dxfId="464" priority="584" operator="containsText" text="NO HABILITADO">
      <formula>NOT(ISERROR(SEARCH("NO HABILITADO",E29)))</formula>
    </cfRule>
  </conditionalFormatting>
  <conditionalFormatting sqref="E30">
    <cfRule type="containsText" dxfId="463" priority="597" operator="containsText" text="HABILITADO">
      <formula>NOT(ISERROR(SEARCH("HABILITADO",E30)))</formula>
    </cfRule>
  </conditionalFormatting>
  <conditionalFormatting sqref="E30:E31">
    <cfRule type="containsText" dxfId="462" priority="592" operator="containsText" text="NO HABIL">
      <formula>NOT(ISERROR(SEARCH("NO HABIL",E30)))</formula>
    </cfRule>
    <cfRule type="containsText" dxfId="461" priority="593" operator="containsText" text="NO HABIL ">
      <formula>NOT(ISERROR(SEARCH("NO HABIL ",E30)))</formula>
    </cfRule>
  </conditionalFormatting>
  <conditionalFormatting sqref="E31">
    <cfRule type="containsText" dxfId="460" priority="591" operator="containsText" text="HABILITADO">
      <formula>NOT(ISERROR(SEARCH("HABILITADO",E31)))</formula>
    </cfRule>
  </conditionalFormatting>
  <conditionalFormatting sqref="E31:E32">
    <cfRule type="containsText" dxfId="459" priority="586" operator="containsText" text="NO HABIL">
      <formula>NOT(ISERROR(SEARCH("NO HABIL",E31)))</formula>
    </cfRule>
    <cfRule type="containsText" dxfId="458" priority="587" operator="containsText" text="NO HABIL ">
      <formula>NOT(ISERROR(SEARCH("NO HABIL ",E31)))</formula>
    </cfRule>
  </conditionalFormatting>
  <conditionalFormatting sqref="E32">
    <cfRule type="containsText" dxfId="457" priority="582" operator="containsText" text="NO HABIL">
      <formula>NOT(ISERROR(SEARCH("NO HABIL",E32)))</formula>
    </cfRule>
    <cfRule type="containsText" dxfId="456" priority="583" operator="containsText" text="NO HABIL ">
      <formula>NOT(ISERROR(SEARCH("NO HABIL ",E32)))</formula>
    </cfRule>
    <cfRule type="containsText" dxfId="455" priority="585" operator="containsText" text="HABILITADO">
      <formula>NOT(ISERROR(SEARCH("HABILITADO",E32)))</formula>
    </cfRule>
  </conditionalFormatting>
  <conditionalFormatting sqref="E33">
    <cfRule type="containsText" dxfId="454" priority="722" operator="containsText" text="NO HABILITADO">
      <formula>NOT(ISERROR(SEARCH("NO HABILITADO",E33)))</formula>
    </cfRule>
    <cfRule type="containsText" dxfId="453" priority="723" operator="containsText" text="HABILITADO">
      <formula>NOT(ISERROR(SEARCH("HABILITADO",E33)))</formula>
    </cfRule>
    <cfRule type="containsText" dxfId="452" priority="724" operator="containsText" text="NO HABIL">
      <formula>NOT(ISERROR(SEARCH("NO HABIL",E33)))</formula>
    </cfRule>
    <cfRule type="containsText" dxfId="451" priority="725" operator="containsText" text="NO HABIL ">
      <formula>NOT(ISERROR(SEARCH("NO HABIL ",E33)))</formula>
    </cfRule>
  </conditionalFormatting>
  <conditionalFormatting sqref="E34">
    <cfRule type="containsText" dxfId="450" priority="579" operator="containsText" text="HABILITADO">
      <formula>NOT(ISERROR(SEARCH("HABILITADO",E34)))</formula>
    </cfRule>
    <cfRule type="containsText" dxfId="449" priority="580" operator="containsText" text="NO HABIL">
      <formula>NOT(ISERROR(SEARCH("NO HABIL",E34)))</formula>
    </cfRule>
    <cfRule type="containsText" dxfId="448" priority="581" operator="containsText" text="NO HABIL ">
      <formula>NOT(ISERROR(SEARCH("NO HABIL ",E34)))</formula>
    </cfRule>
  </conditionalFormatting>
  <conditionalFormatting sqref="E34:E35">
    <cfRule type="containsText" dxfId="447" priority="572" operator="containsText" text="NO HABILITADO">
      <formula>NOT(ISERROR(SEARCH("NO HABILITADO",E34)))</formula>
    </cfRule>
    <cfRule type="containsText" dxfId="446" priority="574" operator="containsText" text="NO HABIL">
      <formula>NOT(ISERROR(SEARCH("NO HABIL",E34)))</formula>
    </cfRule>
    <cfRule type="containsText" dxfId="445" priority="575" operator="containsText" text="NO HABIL ">
      <formula>NOT(ISERROR(SEARCH("NO HABIL ",E34)))</formula>
    </cfRule>
  </conditionalFormatting>
  <conditionalFormatting sqref="E35">
    <cfRule type="containsText" dxfId="444" priority="570" operator="containsText" text="NO HABIL">
      <formula>NOT(ISERROR(SEARCH("NO HABIL",E35)))</formula>
    </cfRule>
    <cfRule type="containsText" dxfId="443" priority="571" operator="containsText" text="NO HABIL ">
      <formula>NOT(ISERROR(SEARCH("NO HABIL ",E35)))</formula>
    </cfRule>
    <cfRule type="containsText" dxfId="442" priority="573" operator="containsText" text="HABILITADO">
      <formula>NOT(ISERROR(SEARCH("HABILITADO",E35)))</formula>
    </cfRule>
  </conditionalFormatting>
  <conditionalFormatting sqref="E36:E37">
    <cfRule type="containsText" dxfId="441" priority="714" operator="containsText" text="NO HABILITADO">
      <formula>NOT(ISERROR(SEARCH("NO HABILITADO",E36)))</formula>
    </cfRule>
    <cfRule type="containsText" dxfId="440" priority="715" operator="containsText" text="HABILITADO">
      <formula>NOT(ISERROR(SEARCH("HABILITADO",E36)))</formula>
    </cfRule>
    <cfRule type="containsText" dxfId="439" priority="716" operator="containsText" text="NO HABIL">
      <formula>NOT(ISERROR(SEARCH("NO HABIL",E36)))</formula>
    </cfRule>
    <cfRule type="containsText" dxfId="438" priority="717" operator="containsText" text="NO HABIL ">
      <formula>NOT(ISERROR(SEARCH("NO HABIL ",E36)))</formula>
    </cfRule>
  </conditionalFormatting>
  <conditionalFormatting sqref="E38">
    <cfRule type="containsText" dxfId="437" priority="564" operator="containsText" text="NO HABIL">
      <formula>NOT(ISERROR(SEARCH("NO HABIL",E38)))</formula>
    </cfRule>
    <cfRule type="containsText" dxfId="436" priority="565" operator="containsText" text="NO HABIL ">
      <formula>NOT(ISERROR(SEARCH("NO HABIL ",E38)))</formula>
    </cfRule>
    <cfRule type="containsText" dxfId="435" priority="566" operator="containsText" text="NO HABILITADO">
      <formula>NOT(ISERROR(SEARCH("NO HABILITADO",E38)))</formula>
    </cfRule>
    <cfRule type="containsText" dxfId="434" priority="567" operator="containsText" text="HABILITADO">
      <formula>NOT(ISERROR(SEARCH("HABILITADO",E38)))</formula>
    </cfRule>
    <cfRule type="containsText" dxfId="433" priority="568" operator="containsText" text="NO HABIL">
      <formula>NOT(ISERROR(SEARCH("NO HABIL",E38)))</formula>
    </cfRule>
    <cfRule type="containsText" dxfId="432" priority="569" operator="containsText" text="NO HABIL ">
      <formula>NOT(ISERROR(SEARCH("NO HABIL ",E38)))</formula>
    </cfRule>
  </conditionalFormatting>
  <conditionalFormatting sqref="E39:E42">
    <cfRule type="containsText" dxfId="431" priority="698" operator="containsText" text="NO HABILITADO">
      <formula>NOT(ISERROR(SEARCH("NO HABILITADO",E39)))</formula>
    </cfRule>
    <cfRule type="containsText" dxfId="430" priority="699" operator="containsText" text="HABILITADO">
      <formula>NOT(ISERROR(SEARCH("HABILITADO",E39)))</formula>
    </cfRule>
    <cfRule type="containsText" dxfId="429" priority="700" operator="containsText" text="NO HABIL">
      <formula>NOT(ISERROR(SEARCH("NO HABIL",E39)))</formula>
    </cfRule>
    <cfRule type="containsText" dxfId="428" priority="701" operator="containsText" text="NO HABIL ">
      <formula>NOT(ISERROR(SEARCH("NO HABIL ",E39)))</formula>
    </cfRule>
  </conditionalFormatting>
  <conditionalFormatting sqref="E43">
    <cfRule type="containsText" dxfId="427" priority="561" operator="containsText" text="HABILITADO">
      <formula>NOT(ISERROR(SEARCH("HABILITADO",E43)))</formula>
    </cfRule>
    <cfRule type="containsText" dxfId="426" priority="562" operator="containsText" text="NO HABIL">
      <formula>NOT(ISERROR(SEARCH("NO HABIL",E43)))</formula>
    </cfRule>
    <cfRule type="containsText" dxfId="425" priority="563" operator="containsText" text="NO HABIL ">
      <formula>NOT(ISERROR(SEARCH("NO HABIL ",E43)))</formula>
    </cfRule>
  </conditionalFormatting>
  <conditionalFormatting sqref="E43:E44">
    <cfRule type="containsText" dxfId="424" priority="556" operator="containsText" text="NO HABIL">
      <formula>NOT(ISERROR(SEARCH("NO HABIL",E43)))</formula>
    </cfRule>
    <cfRule type="containsText" dxfId="423" priority="557" operator="containsText" text="NO HABIL ">
      <formula>NOT(ISERROR(SEARCH("NO HABIL ",E43)))</formula>
    </cfRule>
  </conditionalFormatting>
  <conditionalFormatting sqref="E43:E45">
    <cfRule type="containsText" dxfId="422" priority="548" operator="containsText" text="NO HABILITADO">
      <formula>NOT(ISERROR(SEARCH("NO HABILITADO",E43)))</formula>
    </cfRule>
  </conditionalFormatting>
  <conditionalFormatting sqref="E44">
    <cfRule type="containsText" dxfId="421" priority="555" operator="containsText" text="HABILITADO">
      <formula>NOT(ISERROR(SEARCH("HABILITADO",E44)))</formula>
    </cfRule>
  </conditionalFormatting>
  <conditionalFormatting sqref="E44:E45">
    <cfRule type="containsText" dxfId="420" priority="550" operator="containsText" text="NO HABIL">
      <formula>NOT(ISERROR(SEARCH("NO HABIL",E44)))</formula>
    </cfRule>
    <cfRule type="containsText" dxfId="419" priority="551" operator="containsText" text="NO HABIL ">
      <formula>NOT(ISERROR(SEARCH("NO HABIL ",E44)))</formula>
    </cfRule>
  </conditionalFormatting>
  <conditionalFormatting sqref="E45">
    <cfRule type="containsText" dxfId="418" priority="546" operator="containsText" text="NO HABIL">
      <formula>NOT(ISERROR(SEARCH("NO HABIL",E45)))</formula>
    </cfRule>
    <cfRule type="containsText" dxfId="417" priority="547" operator="containsText" text="NO HABIL ">
      <formula>NOT(ISERROR(SEARCH("NO HABIL ",E45)))</formula>
    </cfRule>
    <cfRule type="containsText" dxfId="416" priority="549" operator="containsText" text="HABILITADO">
      <formula>NOT(ISERROR(SEARCH("HABILITADO",E45)))</formula>
    </cfRule>
  </conditionalFormatting>
  <conditionalFormatting sqref="E46:E48">
    <cfRule type="containsText" dxfId="415" priority="686" operator="containsText" text="NO HABILITADO">
      <formula>NOT(ISERROR(SEARCH("NO HABILITADO",E46)))</formula>
    </cfRule>
    <cfRule type="containsText" dxfId="414" priority="687" operator="containsText" text="HABILITADO">
      <formula>NOT(ISERROR(SEARCH("HABILITADO",E46)))</formula>
    </cfRule>
    <cfRule type="containsText" dxfId="413" priority="688" operator="containsText" text="NO HABIL">
      <formula>NOT(ISERROR(SEARCH("NO HABIL",E46)))</formula>
    </cfRule>
    <cfRule type="containsText" dxfId="412" priority="689" operator="containsText" text="NO HABIL ">
      <formula>NOT(ISERROR(SEARCH("NO HABIL ",E46)))</formula>
    </cfRule>
  </conditionalFormatting>
  <conditionalFormatting sqref="E49">
    <cfRule type="containsText" dxfId="411" priority="543" operator="containsText" text="HABILITADO">
      <formula>NOT(ISERROR(SEARCH("HABILITADO",E49)))</formula>
    </cfRule>
    <cfRule type="containsText" dxfId="410" priority="544" operator="containsText" text="NO HABIL">
      <formula>NOT(ISERROR(SEARCH("NO HABIL",E49)))</formula>
    </cfRule>
    <cfRule type="containsText" dxfId="409" priority="545" operator="containsText" text="NO HABIL ">
      <formula>NOT(ISERROR(SEARCH("NO HABIL ",E49)))</formula>
    </cfRule>
  </conditionalFormatting>
  <conditionalFormatting sqref="E49:E50">
    <cfRule type="containsText" dxfId="408" priority="538" operator="containsText" text="NO HABIL">
      <formula>NOT(ISERROR(SEARCH("NO HABIL",E49)))</formula>
    </cfRule>
    <cfRule type="containsText" dxfId="407" priority="539" operator="containsText" text="NO HABIL ">
      <formula>NOT(ISERROR(SEARCH("NO HABIL ",E49)))</formula>
    </cfRule>
  </conditionalFormatting>
  <conditionalFormatting sqref="E49:E51">
    <cfRule type="containsText" dxfId="406" priority="530" operator="containsText" text="NO HABILITADO">
      <formula>NOT(ISERROR(SEARCH("NO HABILITADO",E49)))</formula>
    </cfRule>
  </conditionalFormatting>
  <conditionalFormatting sqref="E50">
    <cfRule type="containsText" dxfId="405" priority="537" operator="containsText" text="HABILITADO">
      <formula>NOT(ISERROR(SEARCH("HABILITADO",E50)))</formula>
    </cfRule>
  </conditionalFormatting>
  <conditionalFormatting sqref="E50:E51">
    <cfRule type="containsText" dxfId="404" priority="532" operator="containsText" text="NO HABIL">
      <formula>NOT(ISERROR(SEARCH("NO HABIL",E50)))</formula>
    </cfRule>
    <cfRule type="containsText" dxfId="403" priority="533" operator="containsText" text="NO HABIL ">
      <formula>NOT(ISERROR(SEARCH("NO HABIL ",E50)))</formula>
    </cfRule>
  </conditionalFormatting>
  <conditionalFormatting sqref="E51">
    <cfRule type="containsText" dxfId="402" priority="528" operator="containsText" text="NO HABIL">
      <formula>NOT(ISERROR(SEARCH("NO HABIL",E51)))</formula>
    </cfRule>
    <cfRule type="containsText" dxfId="401" priority="529" operator="containsText" text="NO HABIL ">
      <formula>NOT(ISERROR(SEARCH("NO HABIL ",E51)))</formula>
    </cfRule>
    <cfRule type="containsText" dxfId="400" priority="531" operator="containsText" text="HABILITADO">
      <formula>NOT(ISERROR(SEARCH("HABILITADO",E51)))</formula>
    </cfRule>
  </conditionalFormatting>
  <conditionalFormatting sqref="E52:E53">
    <cfRule type="containsText" dxfId="399" priority="678" operator="containsText" text="NO HABILITADO">
      <formula>NOT(ISERROR(SEARCH("NO HABILITADO",E52)))</formula>
    </cfRule>
    <cfRule type="containsText" dxfId="398" priority="679" operator="containsText" text="HABILITADO">
      <formula>NOT(ISERROR(SEARCH("HABILITADO",E52)))</formula>
    </cfRule>
    <cfRule type="containsText" dxfId="397" priority="680" operator="containsText" text="NO HABIL">
      <formula>NOT(ISERROR(SEARCH("NO HABIL",E52)))</formula>
    </cfRule>
    <cfRule type="containsText" dxfId="396" priority="681" operator="containsText" text="NO HABIL ">
      <formula>NOT(ISERROR(SEARCH("NO HABIL ",E52)))</formula>
    </cfRule>
  </conditionalFormatting>
  <conditionalFormatting sqref="E54">
    <cfRule type="containsText" dxfId="395" priority="525" operator="containsText" text="HABILITADO">
      <formula>NOT(ISERROR(SEARCH("HABILITADO",E54)))</formula>
    </cfRule>
    <cfRule type="containsText" dxfId="394" priority="526" operator="containsText" text="NO HABIL">
      <formula>NOT(ISERROR(SEARCH("NO HABIL",E54)))</formula>
    </cfRule>
    <cfRule type="containsText" dxfId="393" priority="527" operator="containsText" text="NO HABIL ">
      <formula>NOT(ISERROR(SEARCH("NO HABIL ",E54)))</formula>
    </cfRule>
  </conditionalFormatting>
  <conditionalFormatting sqref="E54:E55">
    <cfRule type="containsText" dxfId="392" priority="518" operator="containsText" text="NO HABILITADO">
      <formula>NOT(ISERROR(SEARCH("NO HABILITADO",E54)))</formula>
    </cfRule>
    <cfRule type="containsText" dxfId="391" priority="520" operator="containsText" text="NO HABIL">
      <formula>NOT(ISERROR(SEARCH("NO HABIL",E54)))</formula>
    </cfRule>
    <cfRule type="containsText" dxfId="390" priority="521" operator="containsText" text="NO HABIL ">
      <formula>NOT(ISERROR(SEARCH("NO HABIL ",E54)))</formula>
    </cfRule>
  </conditionalFormatting>
  <conditionalFormatting sqref="E55">
    <cfRule type="containsText" dxfId="389" priority="516" operator="containsText" text="NO HABIL">
      <formula>NOT(ISERROR(SEARCH("NO HABIL",E55)))</formula>
    </cfRule>
    <cfRule type="containsText" dxfId="388" priority="517" operator="containsText" text="NO HABIL ">
      <formula>NOT(ISERROR(SEARCH("NO HABIL ",E55)))</formula>
    </cfRule>
    <cfRule type="containsText" dxfId="387" priority="519" operator="containsText" text="HABILITADO">
      <formula>NOT(ISERROR(SEARCH("HABILITADO",E55)))</formula>
    </cfRule>
  </conditionalFormatting>
  <conditionalFormatting sqref="E56">
    <cfRule type="containsText" dxfId="386" priority="674" operator="containsText" text="NO HABILITADO">
      <formula>NOT(ISERROR(SEARCH("NO HABILITADO",E56)))</formula>
    </cfRule>
    <cfRule type="containsText" dxfId="385" priority="675" operator="containsText" text="HABILITADO">
      <formula>NOT(ISERROR(SEARCH("HABILITADO",E56)))</formula>
    </cfRule>
    <cfRule type="containsText" dxfId="384" priority="676" operator="containsText" text="NO HABIL">
      <formula>NOT(ISERROR(SEARCH("NO HABIL",E56)))</formula>
    </cfRule>
    <cfRule type="containsText" dxfId="383" priority="677" operator="containsText" text="NO HABIL ">
      <formula>NOT(ISERROR(SEARCH("NO HABIL ",E56)))</formula>
    </cfRule>
  </conditionalFormatting>
  <conditionalFormatting sqref="E57">
    <cfRule type="containsText" dxfId="382" priority="510" operator="containsText" text="NO HABIL">
      <formula>NOT(ISERROR(SEARCH("NO HABIL",E57)))</formula>
    </cfRule>
    <cfRule type="containsText" dxfId="381" priority="511" operator="containsText" text="NO HABIL ">
      <formula>NOT(ISERROR(SEARCH("NO HABIL ",E57)))</formula>
    </cfRule>
    <cfRule type="containsText" dxfId="380" priority="512" operator="containsText" text="NO HABILITADO">
      <formula>NOT(ISERROR(SEARCH("NO HABILITADO",E57)))</formula>
    </cfRule>
    <cfRule type="containsText" dxfId="379" priority="513" operator="containsText" text="HABILITADO">
      <formula>NOT(ISERROR(SEARCH("HABILITADO",E57)))</formula>
    </cfRule>
    <cfRule type="containsText" dxfId="378" priority="514" operator="containsText" text="NO HABIL">
      <formula>NOT(ISERROR(SEARCH("NO HABIL",E57)))</formula>
    </cfRule>
    <cfRule type="containsText" dxfId="377" priority="515" operator="containsText" text="NO HABIL ">
      <formula>NOT(ISERROR(SEARCH("NO HABIL ",E57)))</formula>
    </cfRule>
  </conditionalFormatting>
  <conditionalFormatting sqref="E58">
    <cfRule type="containsText" dxfId="376" priority="670" operator="containsText" text="NO HABILITADO">
      <formula>NOT(ISERROR(SEARCH("NO HABILITADO",E58)))</formula>
    </cfRule>
    <cfRule type="containsText" dxfId="375" priority="671" operator="containsText" text="HABILITADO">
      <formula>NOT(ISERROR(SEARCH("HABILITADO",E58)))</formula>
    </cfRule>
    <cfRule type="containsText" dxfId="374" priority="672" operator="containsText" text="NO HABIL">
      <formula>NOT(ISERROR(SEARCH("NO HABIL",E58)))</formula>
    </cfRule>
    <cfRule type="containsText" dxfId="373" priority="673" operator="containsText" text="NO HABIL ">
      <formula>NOT(ISERROR(SEARCH("NO HABIL ",E58)))</formula>
    </cfRule>
  </conditionalFormatting>
  <conditionalFormatting sqref="E59">
    <cfRule type="containsText" dxfId="372" priority="507" operator="containsText" text="HABILITADO">
      <formula>NOT(ISERROR(SEARCH("HABILITADO",E59)))</formula>
    </cfRule>
    <cfRule type="containsText" dxfId="371" priority="508" operator="containsText" text="NO HABIL">
      <formula>NOT(ISERROR(SEARCH("NO HABIL",E59)))</formula>
    </cfRule>
    <cfRule type="containsText" dxfId="370" priority="509" operator="containsText" text="NO HABIL ">
      <formula>NOT(ISERROR(SEARCH("NO HABIL ",E59)))</formula>
    </cfRule>
  </conditionalFormatting>
  <conditionalFormatting sqref="E59:E60">
    <cfRule type="containsText" dxfId="369" priority="502" operator="containsText" text="NO HABIL">
      <formula>NOT(ISERROR(SEARCH("NO HABIL",E59)))</formula>
    </cfRule>
    <cfRule type="containsText" dxfId="368" priority="503" operator="containsText" text="NO HABIL ">
      <formula>NOT(ISERROR(SEARCH("NO HABIL ",E59)))</formula>
    </cfRule>
  </conditionalFormatting>
  <conditionalFormatting sqref="E59:E62">
    <cfRule type="containsText" dxfId="367" priority="488" operator="containsText" text="NO HABILITADO">
      <formula>NOT(ISERROR(SEARCH("NO HABILITADO",E59)))</formula>
    </cfRule>
  </conditionalFormatting>
  <conditionalFormatting sqref="E60">
    <cfRule type="containsText" dxfId="366" priority="501" operator="containsText" text="HABILITADO">
      <formula>NOT(ISERROR(SEARCH("HABILITADO",E60)))</formula>
    </cfRule>
  </conditionalFormatting>
  <conditionalFormatting sqref="E60:E61">
    <cfRule type="containsText" dxfId="365" priority="496" operator="containsText" text="NO HABIL">
      <formula>NOT(ISERROR(SEARCH("NO HABIL",E60)))</formula>
    </cfRule>
    <cfRule type="containsText" dxfId="364" priority="497" operator="containsText" text="NO HABIL ">
      <formula>NOT(ISERROR(SEARCH("NO HABIL ",E60)))</formula>
    </cfRule>
  </conditionalFormatting>
  <conditionalFormatting sqref="E61">
    <cfRule type="containsText" dxfId="363" priority="495" operator="containsText" text="HABILITADO">
      <formula>NOT(ISERROR(SEARCH("HABILITADO",E61)))</formula>
    </cfRule>
  </conditionalFormatting>
  <conditionalFormatting sqref="E61:E62">
    <cfRule type="containsText" dxfId="362" priority="490" operator="containsText" text="NO HABIL">
      <formula>NOT(ISERROR(SEARCH("NO HABIL",E61)))</formula>
    </cfRule>
    <cfRule type="containsText" dxfId="361" priority="491" operator="containsText" text="NO HABIL ">
      <formula>NOT(ISERROR(SEARCH("NO HABIL ",E61)))</formula>
    </cfRule>
  </conditionalFormatting>
  <conditionalFormatting sqref="E62">
    <cfRule type="containsText" dxfId="360" priority="486" operator="containsText" text="NO HABIL">
      <formula>NOT(ISERROR(SEARCH("NO HABIL",E62)))</formula>
    </cfRule>
    <cfRule type="containsText" dxfId="359" priority="487" operator="containsText" text="NO HABIL ">
      <formula>NOT(ISERROR(SEARCH("NO HABIL ",E62)))</formula>
    </cfRule>
    <cfRule type="containsText" dxfId="358" priority="489" operator="containsText" text="HABILITADO">
      <formula>NOT(ISERROR(SEARCH("HABILITADO",E62)))</formula>
    </cfRule>
  </conditionalFormatting>
  <conditionalFormatting sqref="E63">
    <cfRule type="containsText" dxfId="357" priority="666" operator="containsText" text="NO HABILITADO">
      <formula>NOT(ISERROR(SEARCH("NO HABILITADO",E63)))</formula>
    </cfRule>
    <cfRule type="containsText" dxfId="356" priority="667" operator="containsText" text="HABILITADO">
      <formula>NOT(ISERROR(SEARCH("HABILITADO",E63)))</formula>
    </cfRule>
    <cfRule type="containsText" dxfId="355" priority="668" operator="containsText" text="NO HABIL">
      <formula>NOT(ISERROR(SEARCH("NO HABIL",E63)))</formula>
    </cfRule>
    <cfRule type="containsText" dxfId="354" priority="669" operator="containsText" text="NO HABIL ">
      <formula>NOT(ISERROR(SEARCH("NO HABIL ",E63)))</formula>
    </cfRule>
  </conditionalFormatting>
  <conditionalFormatting sqref="E64">
    <cfRule type="containsText" dxfId="353" priority="483" operator="containsText" text="HABILITADO">
      <formula>NOT(ISERROR(SEARCH("HABILITADO",E64)))</formula>
    </cfRule>
    <cfRule type="containsText" dxfId="352" priority="484" operator="containsText" text="NO HABIL">
      <formula>NOT(ISERROR(SEARCH("NO HABIL",E64)))</formula>
    </cfRule>
    <cfRule type="containsText" dxfId="351" priority="485" operator="containsText" text="NO HABIL ">
      <formula>NOT(ISERROR(SEARCH("NO HABIL ",E64)))</formula>
    </cfRule>
  </conditionalFormatting>
  <conditionalFormatting sqref="E64:E65">
    <cfRule type="containsText" dxfId="350" priority="478" operator="containsText" text="NO HABIL">
      <formula>NOT(ISERROR(SEARCH("NO HABIL",E64)))</formula>
    </cfRule>
    <cfRule type="containsText" dxfId="349" priority="479" operator="containsText" text="NO HABIL ">
      <formula>NOT(ISERROR(SEARCH("NO HABIL ",E64)))</formula>
    </cfRule>
  </conditionalFormatting>
  <conditionalFormatting sqref="E64:E67">
    <cfRule type="containsText" dxfId="348" priority="464" operator="containsText" text="NO HABILITADO">
      <formula>NOT(ISERROR(SEARCH("NO HABILITADO",E64)))</formula>
    </cfRule>
  </conditionalFormatting>
  <conditionalFormatting sqref="E65">
    <cfRule type="containsText" dxfId="347" priority="477" operator="containsText" text="HABILITADO">
      <formula>NOT(ISERROR(SEARCH("HABILITADO",E65)))</formula>
    </cfRule>
  </conditionalFormatting>
  <conditionalFormatting sqref="E65:E66">
    <cfRule type="containsText" dxfId="346" priority="472" operator="containsText" text="NO HABIL">
      <formula>NOT(ISERROR(SEARCH("NO HABIL",E65)))</formula>
    </cfRule>
    <cfRule type="containsText" dxfId="345" priority="473" operator="containsText" text="NO HABIL ">
      <formula>NOT(ISERROR(SEARCH("NO HABIL ",E65)))</formula>
    </cfRule>
  </conditionalFormatting>
  <conditionalFormatting sqref="E66">
    <cfRule type="containsText" dxfId="344" priority="471" operator="containsText" text="HABILITADO">
      <formula>NOT(ISERROR(SEARCH("HABILITADO",E66)))</formula>
    </cfRule>
  </conditionalFormatting>
  <conditionalFormatting sqref="E66:E67">
    <cfRule type="containsText" dxfId="343" priority="466" operator="containsText" text="NO HABIL">
      <formula>NOT(ISERROR(SEARCH("NO HABIL",E66)))</formula>
    </cfRule>
    <cfRule type="containsText" dxfId="342" priority="467" operator="containsText" text="NO HABIL ">
      <formula>NOT(ISERROR(SEARCH("NO HABIL ",E66)))</formula>
    </cfRule>
  </conditionalFormatting>
  <conditionalFormatting sqref="E67">
    <cfRule type="containsText" dxfId="341" priority="462" operator="containsText" text="NO HABIL">
      <formula>NOT(ISERROR(SEARCH("NO HABIL",E67)))</formula>
    </cfRule>
    <cfRule type="containsText" dxfId="340" priority="463" operator="containsText" text="NO HABIL ">
      <formula>NOT(ISERROR(SEARCH("NO HABIL ",E67)))</formula>
    </cfRule>
    <cfRule type="containsText" dxfId="339" priority="465" operator="containsText" text="HABILITADO">
      <formula>NOT(ISERROR(SEARCH("HABILITADO",E67)))</formula>
    </cfRule>
  </conditionalFormatting>
  <conditionalFormatting sqref="G6:G17">
    <cfRule type="containsText" dxfId="338" priority="770" operator="containsText" text="NO HABIL">
      <formula>NOT(ISERROR(SEARCH("NO HABIL",G6)))</formula>
    </cfRule>
    <cfRule type="containsText" dxfId="337" priority="771" operator="containsText" text="NO HABIL ">
      <formula>NOT(ISERROR(SEARCH("NO HABIL ",G6)))</formula>
    </cfRule>
  </conditionalFormatting>
  <conditionalFormatting sqref="G6:G24">
    <cfRule type="containsText" dxfId="336" priority="750" operator="containsText" text="NO HABIL">
      <formula>NOT(ISERROR(SEARCH("NO HABIL",G6)))</formula>
    </cfRule>
    <cfRule type="containsText" dxfId="335" priority="751" operator="containsText" text="NO HABIL ">
      <formula>NOT(ISERROR(SEARCH("NO HABIL ",G6)))</formula>
    </cfRule>
  </conditionalFormatting>
  <conditionalFormatting sqref="G18:G21">
    <cfRule type="containsText" dxfId="334" priority="868" operator="containsText" text="NO HABIL">
      <formula>NOT(ISERROR(SEARCH("NO HABIL",G18)))</formula>
    </cfRule>
    <cfRule type="containsText" dxfId="333" priority="869" operator="containsText" text="NO HABIL ">
      <formula>NOT(ISERROR(SEARCH("NO HABIL ",G18)))</formula>
    </cfRule>
  </conditionalFormatting>
  <conditionalFormatting sqref="C55">
    <cfRule type="containsText" dxfId="332" priority="321" operator="containsText" text="HABILITADO">
      <formula>NOT(ISERROR(SEARCH("HABILITADO",C55)))</formula>
    </cfRule>
    <cfRule type="containsText" dxfId="331" priority="322" operator="containsText" text="NO HABIL">
      <formula>NOT(ISERROR(SEARCH("NO HABIL",C55)))</formula>
    </cfRule>
    <cfRule type="containsText" dxfId="330" priority="323" operator="containsText" text="NO HABIL ">
      <formula>NOT(ISERROR(SEARCH("NO HABIL ",C55)))</formula>
    </cfRule>
  </conditionalFormatting>
  <conditionalFormatting sqref="D6">
    <cfRule type="containsText" dxfId="329" priority="319" operator="containsText" text="NO HABIL">
      <formula>NOT(ISERROR(SEARCH("NO HABIL",D6)))</formula>
    </cfRule>
    <cfRule type="containsText" dxfId="328" priority="320" operator="containsText" text="NO HABIL ">
      <formula>NOT(ISERROR(SEARCH("NO HABIL ",D6)))</formula>
    </cfRule>
  </conditionalFormatting>
  <conditionalFormatting sqref="D6">
    <cfRule type="containsText" dxfId="327" priority="317" operator="containsText" text="NO HABIL">
      <formula>NOT(ISERROR(SEARCH("NO HABIL",D6)))</formula>
    </cfRule>
    <cfRule type="containsText" dxfId="326" priority="318" operator="containsText" text="NO HABIL ">
      <formula>NOT(ISERROR(SEARCH("NO HABIL ",D6)))</formula>
    </cfRule>
  </conditionalFormatting>
  <conditionalFormatting sqref="D10:D13">
    <cfRule type="containsText" dxfId="325" priority="315" operator="containsText" text="NO HABIL">
      <formula>NOT(ISERROR(SEARCH("NO HABIL",D10)))</formula>
    </cfRule>
    <cfRule type="containsText" dxfId="324" priority="316" operator="containsText" text="NO HABIL ">
      <formula>NOT(ISERROR(SEARCH("NO HABIL ",D10)))</formula>
    </cfRule>
  </conditionalFormatting>
  <conditionalFormatting sqref="D10:D13">
    <cfRule type="containsText" dxfId="323" priority="313" operator="containsText" text="NO HABIL">
      <formula>NOT(ISERROR(SEARCH("NO HABIL",D10)))</formula>
    </cfRule>
    <cfRule type="containsText" dxfId="322" priority="314" operator="containsText" text="NO HABIL ">
      <formula>NOT(ISERROR(SEARCH("NO HABIL ",D10)))</formula>
    </cfRule>
  </conditionalFormatting>
  <conditionalFormatting sqref="D16">
    <cfRule type="containsText" dxfId="321" priority="311" operator="containsText" text="NO HABIL">
      <formula>NOT(ISERROR(SEARCH("NO HABIL",D16)))</formula>
    </cfRule>
    <cfRule type="containsText" dxfId="320" priority="312" operator="containsText" text="NO HABIL ">
      <formula>NOT(ISERROR(SEARCH("NO HABIL ",D16)))</formula>
    </cfRule>
  </conditionalFormatting>
  <conditionalFormatting sqref="D16">
    <cfRule type="containsText" dxfId="319" priority="309" operator="containsText" text="NO HABIL">
      <formula>NOT(ISERROR(SEARCH("NO HABIL",D16)))</formula>
    </cfRule>
    <cfRule type="containsText" dxfId="318" priority="310" operator="containsText" text="NO HABIL ">
      <formula>NOT(ISERROR(SEARCH("NO HABIL ",D16)))</formula>
    </cfRule>
  </conditionalFormatting>
  <conditionalFormatting sqref="D18">
    <cfRule type="containsText" dxfId="317" priority="307" operator="containsText" text="NO HABIL">
      <formula>NOT(ISERROR(SEARCH("NO HABIL",D18)))</formula>
    </cfRule>
    <cfRule type="containsText" dxfId="316" priority="308" operator="containsText" text="NO HABIL ">
      <formula>NOT(ISERROR(SEARCH("NO HABIL ",D18)))</formula>
    </cfRule>
  </conditionalFormatting>
  <conditionalFormatting sqref="D18">
    <cfRule type="containsText" dxfId="315" priority="305" operator="containsText" text="NO HABIL">
      <formula>NOT(ISERROR(SEARCH("NO HABIL",D18)))</formula>
    </cfRule>
    <cfRule type="containsText" dxfId="314" priority="306" operator="containsText" text="NO HABIL ">
      <formula>NOT(ISERROR(SEARCH("NO HABIL ",D18)))</formula>
    </cfRule>
  </conditionalFormatting>
  <conditionalFormatting sqref="D18">
    <cfRule type="containsText" dxfId="313" priority="303" operator="containsText" text="NO HABIL">
      <formula>NOT(ISERROR(SEARCH("NO HABIL",D18)))</formula>
    </cfRule>
    <cfRule type="containsText" dxfId="312" priority="304" operator="containsText" text="NO HABIL ">
      <formula>NOT(ISERROR(SEARCH("NO HABIL ",D18)))</formula>
    </cfRule>
  </conditionalFormatting>
  <conditionalFormatting sqref="D27">
    <cfRule type="containsText" dxfId="311" priority="299" operator="containsText" text="NO HABILITADO">
      <formula>NOT(ISERROR(SEARCH("NO HABILITADO",D27)))</formula>
    </cfRule>
    <cfRule type="containsText" dxfId="310" priority="300" operator="containsText" text="HABILITADO">
      <formula>NOT(ISERROR(SEARCH("HABILITADO",D27)))</formula>
    </cfRule>
  </conditionalFormatting>
  <conditionalFormatting sqref="D27">
    <cfRule type="containsText" dxfId="309" priority="301" operator="containsText" text="NO HABIL">
      <formula>NOT(ISERROR(SEARCH("NO HABIL",D27)))</formula>
    </cfRule>
    <cfRule type="containsText" dxfId="308" priority="302" operator="containsText" text="NO HABIL ">
      <formula>NOT(ISERROR(SEARCH("NO HABIL ",D27)))</formula>
    </cfRule>
  </conditionalFormatting>
  <conditionalFormatting sqref="D27">
    <cfRule type="containsText" dxfId="307" priority="297" operator="containsText" text="NO HABIL">
      <formula>NOT(ISERROR(SEARCH("NO HABIL",D27)))</formula>
    </cfRule>
    <cfRule type="containsText" dxfId="306" priority="298" operator="containsText" text="NO HABIL ">
      <formula>NOT(ISERROR(SEARCH("NO HABIL ",D27)))</formula>
    </cfRule>
  </conditionalFormatting>
  <conditionalFormatting sqref="D27">
    <cfRule type="containsText" dxfId="305" priority="295" operator="containsText" text="NO HABIL">
      <formula>NOT(ISERROR(SEARCH("NO HABIL",D27)))</formula>
    </cfRule>
    <cfRule type="containsText" dxfId="304" priority="296" operator="containsText" text="NO HABIL ">
      <formula>NOT(ISERROR(SEARCH("NO HABIL ",D27)))</formula>
    </cfRule>
  </conditionalFormatting>
  <conditionalFormatting sqref="D27">
    <cfRule type="containsText" dxfId="303" priority="293" operator="containsText" text="NO HABIL">
      <formula>NOT(ISERROR(SEARCH("NO HABIL",D27)))</formula>
    </cfRule>
    <cfRule type="containsText" dxfId="302" priority="294" operator="containsText" text="NO HABIL ">
      <formula>NOT(ISERROR(SEARCH("NO HABIL ",D27)))</formula>
    </cfRule>
  </conditionalFormatting>
  <conditionalFormatting sqref="D35">
    <cfRule type="containsText" dxfId="301" priority="289" operator="containsText" text="NO HABILITADO">
      <formula>NOT(ISERROR(SEARCH("NO HABILITADO",D35)))</formula>
    </cfRule>
    <cfRule type="containsText" dxfId="300" priority="290" operator="containsText" text="HABILITADO">
      <formula>NOT(ISERROR(SEARCH("HABILITADO",D35)))</formula>
    </cfRule>
  </conditionalFormatting>
  <conditionalFormatting sqref="D35">
    <cfRule type="containsText" dxfId="299" priority="291" operator="containsText" text="NO HABIL">
      <formula>NOT(ISERROR(SEARCH("NO HABIL",D35)))</formula>
    </cfRule>
    <cfRule type="containsText" dxfId="298" priority="292" operator="containsText" text="NO HABIL ">
      <formula>NOT(ISERROR(SEARCH("NO HABIL ",D35)))</formula>
    </cfRule>
  </conditionalFormatting>
  <conditionalFormatting sqref="D35">
    <cfRule type="containsText" dxfId="297" priority="287" operator="containsText" text="NO HABIL">
      <formula>NOT(ISERROR(SEARCH("NO HABIL",D35)))</formula>
    </cfRule>
    <cfRule type="containsText" dxfId="296" priority="288" operator="containsText" text="NO HABIL ">
      <formula>NOT(ISERROR(SEARCH("NO HABIL ",D35)))</formula>
    </cfRule>
  </conditionalFormatting>
  <conditionalFormatting sqref="D35">
    <cfRule type="containsText" dxfId="295" priority="285" operator="containsText" text="NO HABIL">
      <formula>NOT(ISERROR(SEARCH("NO HABIL",D35)))</formula>
    </cfRule>
    <cfRule type="containsText" dxfId="294" priority="286" operator="containsText" text="NO HABIL ">
      <formula>NOT(ISERROR(SEARCH("NO HABIL ",D35)))</formula>
    </cfRule>
  </conditionalFormatting>
  <conditionalFormatting sqref="D35">
    <cfRule type="containsText" dxfId="293" priority="283" operator="containsText" text="NO HABIL">
      <formula>NOT(ISERROR(SEARCH("NO HABIL",D35)))</formula>
    </cfRule>
    <cfRule type="containsText" dxfId="292" priority="284" operator="containsText" text="NO HABIL ">
      <formula>NOT(ISERROR(SEARCH("NO HABIL ",D35)))</formula>
    </cfRule>
  </conditionalFormatting>
  <conditionalFormatting sqref="D37:D39">
    <cfRule type="containsText" dxfId="291" priority="279" operator="containsText" text="NO HABILITADO">
      <formula>NOT(ISERROR(SEARCH("NO HABILITADO",D37)))</formula>
    </cfRule>
    <cfRule type="containsText" dxfId="290" priority="280" operator="containsText" text="HABILITADO">
      <formula>NOT(ISERROR(SEARCH("HABILITADO",D37)))</formula>
    </cfRule>
  </conditionalFormatting>
  <conditionalFormatting sqref="D37:D39">
    <cfRule type="containsText" dxfId="289" priority="281" operator="containsText" text="NO HABIL">
      <formula>NOT(ISERROR(SEARCH("NO HABIL",D37)))</formula>
    </cfRule>
    <cfRule type="containsText" dxfId="288" priority="282" operator="containsText" text="NO HABIL ">
      <formula>NOT(ISERROR(SEARCH("NO HABIL ",D37)))</formula>
    </cfRule>
  </conditionalFormatting>
  <conditionalFormatting sqref="D37:D39">
    <cfRule type="containsText" dxfId="287" priority="277" operator="containsText" text="NO HABIL">
      <formula>NOT(ISERROR(SEARCH("NO HABIL",D37)))</formula>
    </cfRule>
    <cfRule type="containsText" dxfId="286" priority="278" operator="containsText" text="NO HABIL ">
      <formula>NOT(ISERROR(SEARCH("NO HABIL ",D37)))</formula>
    </cfRule>
  </conditionalFormatting>
  <conditionalFormatting sqref="D37:D39">
    <cfRule type="containsText" dxfId="285" priority="275" operator="containsText" text="NO HABIL">
      <formula>NOT(ISERROR(SEARCH("NO HABIL",D37)))</formula>
    </cfRule>
    <cfRule type="containsText" dxfId="284" priority="276" operator="containsText" text="NO HABIL ">
      <formula>NOT(ISERROR(SEARCH("NO HABIL ",D37)))</formula>
    </cfRule>
  </conditionalFormatting>
  <conditionalFormatting sqref="D37:D39">
    <cfRule type="containsText" dxfId="283" priority="273" operator="containsText" text="NO HABIL">
      <formula>NOT(ISERROR(SEARCH("NO HABIL",D37)))</formula>
    </cfRule>
    <cfRule type="containsText" dxfId="282" priority="274" operator="containsText" text="NO HABIL ">
      <formula>NOT(ISERROR(SEARCH("NO HABIL ",D37)))</formula>
    </cfRule>
  </conditionalFormatting>
  <conditionalFormatting sqref="D45">
    <cfRule type="containsText" dxfId="281" priority="269" operator="containsText" text="NO HABILITADO">
      <formula>NOT(ISERROR(SEARCH("NO HABILITADO",D45)))</formula>
    </cfRule>
    <cfRule type="containsText" dxfId="280" priority="270" operator="containsText" text="HABILITADO">
      <formula>NOT(ISERROR(SEARCH("HABILITADO",D45)))</formula>
    </cfRule>
  </conditionalFormatting>
  <conditionalFormatting sqref="D45">
    <cfRule type="containsText" dxfId="279" priority="271" operator="containsText" text="NO HABIL">
      <formula>NOT(ISERROR(SEARCH("NO HABIL",D45)))</formula>
    </cfRule>
    <cfRule type="containsText" dxfId="278" priority="272" operator="containsText" text="NO HABIL ">
      <formula>NOT(ISERROR(SEARCH("NO HABIL ",D45)))</formula>
    </cfRule>
  </conditionalFormatting>
  <conditionalFormatting sqref="D45">
    <cfRule type="containsText" dxfId="277" priority="267" operator="containsText" text="NO HABIL">
      <formula>NOT(ISERROR(SEARCH("NO HABIL",D45)))</formula>
    </cfRule>
    <cfRule type="containsText" dxfId="276" priority="268" operator="containsText" text="NO HABIL ">
      <formula>NOT(ISERROR(SEARCH("NO HABIL ",D45)))</formula>
    </cfRule>
  </conditionalFormatting>
  <conditionalFormatting sqref="D45">
    <cfRule type="containsText" dxfId="275" priority="265" operator="containsText" text="NO HABIL">
      <formula>NOT(ISERROR(SEARCH("NO HABIL",D45)))</formula>
    </cfRule>
    <cfRule type="containsText" dxfId="274" priority="266" operator="containsText" text="NO HABIL ">
      <formula>NOT(ISERROR(SEARCH("NO HABIL ",D45)))</formula>
    </cfRule>
  </conditionalFormatting>
  <conditionalFormatting sqref="D45">
    <cfRule type="containsText" dxfId="273" priority="263" operator="containsText" text="NO HABIL">
      <formula>NOT(ISERROR(SEARCH("NO HABIL",D45)))</formula>
    </cfRule>
    <cfRule type="containsText" dxfId="272" priority="264" operator="containsText" text="NO HABIL ">
      <formula>NOT(ISERROR(SEARCH("NO HABIL ",D45)))</formula>
    </cfRule>
  </conditionalFormatting>
  <conditionalFormatting sqref="D46">
    <cfRule type="containsText" dxfId="271" priority="259" operator="containsText" text="NO HABILITADO">
      <formula>NOT(ISERROR(SEARCH("NO HABILITADO",D46)))</formula>
    </cfRule>
    <cfRule type="containsText" dxfId="270" priority="260" operator="containsText" text="HABILITADO">
      <formula>NOT(ISERROR(SEARCH("HABILITADO",D46)))</formula>
    </cfRule>
  </conditionalFormatting>
  <conditionalFormatting sqref="D46">
    <cfRule type="containsText" dxfId="269" priority="261" operator="containsText" text="NO HABIL">
      <formula>NOT(ISERROR(SEARCH("NO HABIL",D46)))</formula>
    </cfRule>
    <cfRule type="containsText" dxfId="268" priority="262" operator="containsText" text="NO HABIL ">
      <formula>NOT(ISERROR(SEARCH("NO HABIL ",D46)))</formula>
    </cfRule>
  </conditionalFormatting>
  <conditionalFormatting sqref="D46">
    <cfRule type="containsText" dxfId="267" priority="257" operator="containsText" text="NO HABIL">
      <formula>NOT(ISERROR(SEARCH("NO HABIL",D46)))</formula>
    </cfRule>
    <cfRule type="containsText" dxfId="266" priority="258" operator="containsText" text="NO HABIL ">
      <formula>NOT(ISERROR(SEARCH("NO HABIL ",D46)))</formula>
    </cfRule>
  </conditionalFormatting>
  <conditionalFormatting sqref="D46">
    <cfRule type="containsText" dxfId="265" priority="255" operator="containsText" text="NO HABIL">
      <formula>NOT(ISERROR(SEARCH("NO HABIL",D46)))</formula>
    </cfRule>
    <cfRule type="containsText" dxfId="264" priority="256" operator="containsText" text="NO HABIL ">
      <formula>NOT(ISERROR(SEARCH("NO HABIL ",D46)))</formula>
    </cfRule>
  </conditionalFormatting>
  <conditionalFormatting sqref="D46">
    <cfRule type="containsText" dxfId="263" priority="253" operator="containsText" text="NO HABIL">
      <formula>NOT(ISERROR(SEARCH("NO HABIL",D46)))</formula>
    </cfRule>
    <cfRule type="containsText" dxfId="262" priority="254" operator="containsText" text="NO HABIL ">
      <formula>NOT(ISERROR(SEARCH("NO HABIL ",D46)))</formula>
    </cfRule>
  </conditionalFormatting>
  <conditionalFormatting sqref="D51:D55">
    <cfRule type="containsText" dxfId="261" priority="249" operator="containsText" text="NO HABILITADO">
      <formula>NOT(ISERROR(SEARCH("NO HABILITADO",D51)))</formula>
    </cfRule>
    <cfRule type="containsText" dxfId="260" priority="250" operator="containsText" text="HABILITADO">
      <formula>NOT(ISERROR(SEARCH("HABILITADO",D51)))</formula>
    </cfRule>
  </conditionalFormatting>
  <conditionalFormatting sqref="D51:D55">
    <cfRule type="containsText" dxfId="259" priority="251" operator="containsText" text="NO HABIL">
      <formula>NOT(ISERROR(SEARCH("NO HABIL",D51)))</formula>
    </cfRule>
    <cfRule type="containsText" dxfId="258" priority="252" operator="containsText" text="NO HABIL ">
      <formula>NOT(ISERROR(SEARCH("NO HABIL ",D51)))</formula>
    </cfRule>
  </conditionalFormatting>
  <conditionalFormatting sqref="D51:D55">
    <cfRule type="containsText" dxfId="257" priority="247" operator="containsText" text="NO HABIL">
      <formula>NOT(ISERROR(SEARCH("NO HABIL",D51)))</formula>
    </cfRule>
    <cfRule type="containsText" dxfId="256" priority="248" operator="containsText" text="NO HABIL ">
      <formula>NOT(ISERROR(SEARCH("NO HABIL ",D51)))</formula>
    </cfRule>
  </conditionalFormatting>
  <conditionalFormatting sqref="D51:D55">
    <cfRule type="containsText" dxfId="255" priority="245" operator="containsText" text="NO HABIL">
      <formula>NOT(ISERROR(SEARCH("NO HABIL",D51)))</formula>
    </cfRule>
    <cfRule type="containsText" dxfId="254" priority="246" operator="containsText" text="NO HABIL ">
      <formula>NOT(ISERROR(SEARCH("NO HABIL ",D51)))</formula>
    </cfRule>
  </conditionalFormatting>
  <conditionalFormatting sqref="D51:D55">
    <cfRule type="containsText" dxfId="253" priority="243" operator="containsText" text="NO HABIL">
      <formula>NOT(ISERROR(SEARCH("NO HABIL",D51)))</formula>
    </cfRule>
    <cfRule type="containsText" dxfId="252" priority="244" operator="containsText" text="NO HABIL ">
      <formula>NOT(ISERROR(SEARCH("NO HABIL ",D51)))</formula>
    </cfRule>
  </conditionalFormatting>
  <conditionalFormatting sqref="D56">
    <cfRule type="containsText" dxfId="251" priority="239" operator="containsText" text="NO HABILITADO">
      <formula>NOT(ISERROR(SEARCH("NO HABILITADO",D56)))</formula>
    </cfRule>
    <cfRule type="containsText" dxfId="250" priority="240" operator="containsText" text="HABILITADO">
      <formula>NOT(ISERROR(SEARCH("HABILITADO",D56)))</formula>
    </cfRule>
  </conditionalFormatting>
  <conditionalFormatting sqref="D56">
    <cfRule type="containsText" dxfId="249" priority="241" operator="containsText" text="NO HABIL">
      <formula>NOT(ISERROR(SEARCH("NO HABIL",D56)))</formula>
    </cfRule>
    <cfRule type="containsText" dxfId="248" priority="242" operator="containsText" text="NO HABIL ">
      <formula>NOT(ISERROR(SEARCH("NO HABIL ",D56)))</formula>
    </cfRule>
  </conditionalFormatting>
  <conditionalFormatting sqref="D56">
    <cfRule type="containsText" dxfId="247" priority="237" operator="containsText" text="NO HABIL">
      <formula>NOT(ISERROR(SEARCH("NO HABIL",D56)))</formula>
    </cfRule>
    <cfRule type="containsText" dxfId="246" priority="238" operator="containsText" text="NO HABIL ">
      <formula>NOT(ISERROR(SEARCH("NO HABIL ",D56)))</formula>
    </cfRule>
  </conditionalFormatting>
  <conditionalFormatting sqref="D56">
    <cfRule type="containsText" dxfId="245" priority="235" operator="containsText" text="NO HABIL">
      <formula>NOT(ISERROR(SEARCH("NO HABIL",D56)))</formula>
    </cfRule>
    <cfRule type="containsText" dxfId="244" priority="236" operator="containsText" text="NO HABIL ">
      <formula>NOT(ISERROR(SEARCH("NO HABIL ",D56)))</formula>
    </cfRule>
  </conditionalFormatting>
  <conditionalFormatting sqref="D56">
    <cfRule type="containsText" dxfId="243" priority="233" operator="containsText" text="NO HABIL">
      <formula>NOT(ISERROR(SEARCH("NO HABIL",D56)))</formula>
    </cfRule>
    <cfRule type="containsText" dxfId="242" priority="234" operator="containsText" text="NO HABIL ">
      <formula>NOT(ISERROR(SEARCH("NO HABIL ",D56)))</formula>
    </cfRule>
  </conditionalFormatting>
  <conditionalFormatting sqref="D57">
    <cfRule type="containsText" dxfId="241" priority="229" operator="containsText" text="NO HABILITADO">
      <formula>NOT(ISERROR(SEARCH("NO HABILITADO",D57)))</formula>
    </cfRule>
    <cfRule type="containsText" dxfId="240" priority="230" operator="containsText" text="HABILITADO">
      <formula>NOT(ISERROR(SEARCH("HABILITADO",D57)))</formula>
    </cfRule>
  </conditionalFormatting>
  <conditionalFormatting sqref="D57">
    <cfRule type="containsText" dxfId="239" priority="231" operator="containsText" text="NO HABIL">
      <formula>NOT(ISERROR(SEARCH("NO HABIL",D57)))</formula>
    </cfRule>
    <cfRule type="containsText" dxfId="238" priority="232" operator="containsText" text="NO HABIL ">
      <formula>NOT(ISERROR(SEARCH("NO HABIL ",D57)))</formula>
    </cfRule>
  </conditionalFormatting>
  <conditionalFormatting sqref="D57">
    <cfRule type="containsText" dxfId="237" priority="227" operator="containsText" text="NO HABIL">
      <formula>NOT(ISERROR(SEARCH("NO HABIL",D57)))</formula>
    </cfRule>
    <cfRule type="containsText" dxfId="236" priority="228" operator="containsText" text="NO HABIL ">
      <formula>NOT(ISERROR(SEARCH("NO HABIL ",D57)))</formula>
    </cfRule>
  </conditionalFormatting>
  <conditionalFormatting sqref="D57">
    <cfRule type="containsText" dxfId="235" priority="225" operator="containsText" text="NO HABIL">
      <formula>NOT(ISERROR(SEARCH("NO HABIL",D57)))</formula>
    </cfRule>
    <cfRule type="containsText" dxfId="234" priority="226" operator="containsText" text="NO HABIL ">
      <formula>NOT(ISERROR(SEARCH("NO HABIL ",D57)))</formula>
    </cfRule>
  </conditionalFormatting>
  <conditionalFormatting sqref="D57">
    <cfRule type="containsText" dxfId="233" priority="223" operator="containsText" text="NO HABIL">
      <formula>NOT(ISERROR(SEARCH("NO HABIL",D57)))</formula>
    </cfRule>
    <cfRule type="containsText" dxfId="232" priority="224" operator="containsText" text="NO HABIL ">
      <formula>NOT(ISERROR(SEARCH("NO HABIL ",D57)))</formula>
    </cfRule>
  </conditionalFormatting>
  <conditionalFormatting sqref="D60">
    <cfRule type="containsText" dxfId="231" priority="219" operator="containsText" text="NO HABILITADO">
      <formula>NOT(ISERROR(SEARCH("NO HABILITADO",D60)))</formula>
    </cfRule>
    <cfRule type="containsText" dxfId="230" priority="220" operator="containsText" text="HABILITADO">
      <formula>NOT(ISERROR(SEARCH("HABILITADO",D60)))</formula>
    </cfRule>
  </conditionalFormatting>
  <conditionalFormatting sqref="D60">
    <cfRule type="containsText" dxfId="229" priority="221" operator="containsText" text="NO HABIL">
      <formula>NOT(ISERROR(SEARCH("NO HABIL",D60)))</formula>
    </cfRule>
    <cfRule type="containsText" dxfId="228" priority="222" operator="containsText" text="NO HABIL ">
      <formula>NOT(ISERROR(SEARCH("NO HABIL ",D60)))</formula>
    </cfRule>
  </conditionalFormatting>
  <conditionalFormatting sqref="D60">
    <cfRule type="containsText" dxfId="227" priority="217" operator="containsText" text="NO HABIL">
      <formula>NOT(ISERROR(SEARCH("NO HABIL",D60)))</formula>
    </cfRule>
    <cfRule type="containsText" dxfId="226" priority="218" operator="containsText" text="NO HABIL ">
      <formula>NOT(ISERROR(SEARCH("NO HABIL ",D60)))</formula>
    </cfRule>
  </conditionalFormatting>
  <conditionalFormatting sqref="D60">
    <cfRule type="containsText" dxfId="225" priority="215" operator="containsText" text="NO HABIL">
      <formula>NOT(ISERROR(SEARCH("NO HABIL",D60)))</formula>
    </cfRule>
    <cfRule type="containsText" dxfId="224" priority="216" operator="containsText" text="NO HABIL ">
      <formula>NOT(ISERROR(SEARCH("NO HABIL ",D60)))</formula>
    </cfRule>
  </conditionalFormatting>
  <conditionalFormatting sqref="D60">
    <cfRule type="containsText" dxfId="223" priority="213" operator="containsText" text="NO HABIL">
      <formula>NOT(ISERROR(SEARCH("NO HABIL",D60)))</formula>
    </cfRule>
    <cfRule type="containsText" dxfId="222" priority="214" operator="containsText" text="NO HABIL ">
      <formula>NOT(ISERROR(SEARCH("NO HABIL ",D60)))</formula>
    </cfRule>
  </conditionalFormatting>
  <conditionalFormatting sqref="D63">
    <cfRule type="containsText" dxfId="221" priority="209" operator="containsText" text="NO HABILITADO">
      <formula>NOT(ISERROR(SEARCH("NO HABILITADO",D63)))</formula>
    </cfRule>
    <cfRule type="containsText" dxfId="220" priority="210" operator="containsText" text="HABILITADO">
      <formula>NOT(ISERROR(SEARCH("HABILITADO",D63)))</formula>
    </cfRule>
  </conditionalFormatting>
  <conditionalFormatting sqref="D63">
    <cfRule type="containsText" dxfId="219" priority="211" operator="containsText" text="NO HABIL">
      <formula>NOT(ISERROR(SEARCH("NO HABIL",D63)))</formula>
    </cfRule>
    <cfRule type="containsText" dxfId="218" priority="212" operator="containsText" text="NO HABIL ">
      <formula>NOT(ISERROR(SEARCH("NO HABIL ",D63)))</formula>
    </cfRule>
  </conditionalFormatting>
  <conditionalFormatting sqref="D63">
    <cfRule type="containsText" dxfId="217" priority="207" operator="containsText" text="NO HABIL">
      <formula>NOT(ISERROR(SEARCH("NO HABIL",D63)))</formula>
    </cfRule>
    <cfRule type="containsText" dxfId="216" priority="208" operator="containsText" text="NO HABIL ">
      <formula>NOT(ISERROR(SEARCH("NO HABIL ",D63)))</formula>
    </cfRule>
  </conditionalFormatting>
  <conditionalFormatting sqref="D63">
    <cfRule type="containsText" dxfId="215" priority="205" operator="containsText" text="NO HABIL">
      <formula>NOT(ISERROR(SEARCH("NO HABIL",D63)))</formula>
    </cfRule>
    <cfRule type="containsText" dxfId="214" priority="206" operator="containsText" text="NO HABIL ">
      <formula>NOT(ISERROR(SEARCH("NO HABIL ",D63)))</formula>
    </cfRule>
  </conditionalFormatting>
  <conditionalFormatting sqref="D63">
    <cfRule type="containsText" dxfId="213" priority="203" operator="containsText" text="NO HABIL">
      <formula>NOT(ISERROR(SEARCH("NO HABIL",D63)))</formula>
    </cfRule>
    <cfRule type="containsText" dxfId="212" priority="204" operator="containsText" text="NO HABIL ">
      <formula>NOT(ISERROR(SEARCH("NO HABIL ",D63)))</formula>
    </cfRule>
  </conditionalFormatting>
  <conditionalFormatting sqref="D64">
    <cfRule type="containsText" dxfId="211" priority="199" operator="containsText" text="NO HABILITADO">
      <formula>NOT(ISERROR(SEARCH("NO HABILITADO",D64)))</formula>
    </cfRule>
    <cfRule type="containsText" dxfId="210" priority="200" operator="containsText" text="HABILITADO">
      <formula>NOT(ISERROR(SEARCH("HABILITADO",D64)))</formula>
    </cfRule>
  </conditionalFormatting>
  <conditionalFormatting sqref="D64">
    <cfRule type="containsText" dxfId="209" priority="201" operator="containsText" text="NO HABIL">
      <formula>NOT(ISERROR(SEARCH("NO HABIL",D64)))</formula>
    </cfRule>
    <cfRule type="containsText" dxfId="208" priority="202" operator="containsText" text="NO HABIL ">
      <formula>NOT(ISERROR(SEARCH("NO HABIL ",D64)))</formula>
    </cfRule>
  </conditionalFormatting>
  <conditionalFormatting sqref="D64">
    <cfRule type="containsText" dxfId="207" priority="197" operator="containsText" text="NO HABIL">
      <formula>NOT(ISERROR(SEARCH("NO HABIL",D64)))</formula>
    </cfRule>
    <cfRule type="containsText" dxfId="206" priority="198" operator="containsText" text="NO HABIL ">
      <formula>NOT(ISERROR(SEARCH("NO HABIL ",D64)))</formula>
    </cfRule>
  </conditionalFormatting>
  <conditionalFormatting sqref="D64">
    <cfRule type="containsText" dxfId="205" priority="195" operator="containsText" text="NO HABIL">
      <formula>NOT(ISERROR(SEARCH("NO HABIL",D64)))</formula>
    </cfRule>
    <cfRule type="containsText" dxfId="204" priority="196" operator="containsText" text="NO HABIL ">
      <formula>NOT(ISERROR(SEARCH("NO HABIL ",D64)))</formula>
    </cfRule>
  </conditionalFormatting>
  <conditionalFormatting sqref="D64">
    <cfRule type="containsText" dxfId="203" priority="193" operator="containsText" text="NO HABIL">
      <formula>NOT(ISERROR(SEARCH("NO HABIL",D64)))</formula>
    </cfRule>
    <cfRule type="containsText" dxfId="202" priority="194" operator="containsText" text="NO HABIL ">
      <formula>NOT(ISERROR(SEARCH("NO HABIL ",D64)))</formula>
    </cfRule>
  </conditionalFormatting>
  <conditionalFormatting sqref="D66">
    <cfRule type="containsText" dxfId="201" priority="189" operator="containsText" text="NO HABILITADO">
      <formula>NOT(ISERROR(SEARCH("NO HABILITADO",D66)))</formula>
    </cfRule>
    <cfRule type="containsText" dxfId="200" priority="190" operator="containsText" text="HABILITADO">
      <formula>NOT(ISERROR(SEARCH("HABILITADO",D66)))</formula>
    </cfRule>
  </conditionalFormatting>
  <conditionalFormatting sqref="D66">
    <cfRule type="containsText" dxfId="199" priority="191" operator="containsText" text="NO HABIL">
      <formula>NOT(ISERROR(SEARCH("NO HABIL",D66)))</formula>
    </cfRule>
    <cfRule type="containsText" dxfId="198" priority="192" operator="containsText" text="NO HABIL ">
      <formula>NOT(ISERROR(SEARCH("NO HABIL ",D66)))</formula>
    </cfRule>
  </conditionalFormatting>
  <conditionalFormatting sqref="D66">
    <cfRule type="containsText" dxfId="197" priority="187" operator="containsText" text="NO HABIL">
      <formula>NOT(ISERROR(SEARCH("NO HABIL",D66)))</formula>
    </cfRule>
    <cfRule type="containsText" dxfId="196" priority="188" operator="containsText" text="NO HABIL ">
      <formula>NOT(ISERROR(SEARCH("NO HABIL ",D66)))</formula>
    </cfRule>
  </conditionalFormatting>
  <conditionalFormatting sqref="D66">
    <cfRule type="containsText" dxfId="195" priority="185" operator="containsText" text="NO HABIL">
      <formula>NOT(ISERROR(SEARCH("NO HABIL",D66)))</formula>
    </cfRule>
    <cfRule type="containsText" dxfId="194" priority="186" operator="containsText" text="NO HABIL ">
      <formula>NOT(ISERROR(SEARCH("NO HABIL ",D66)))</formula>
    </cfRule>
  </conditionalFormatting>
  <conditionalFormatting sqref="D66">
    <cfRule type="containsText" dxfId="193" priority="183" operator="containsText" text="NO HABIL">
      <formula>NOT(ISERROR(SEARCH("NO HABIL",D66)))</formula>
    </cfRule>
    <cfRule type="containsText" dxfId="192" priority="184" operator="containsText" text="NO HABIL ">
      <formula>NOT(ISERROR(SEARCH("NO HABIL ",D66)))</formula>
    </cfRule>
  </conditionalFormatting>
  <conditionalFormatting sqref="D19:D26">
    <cfRule type="containsText" dxfId="191" priority="181" operator="containsText" text="NO HABIL">
      <formula>NOT(ISERROR(SEARCH("NO HABIL",D19)))</formula>
    </cfRule>
    <cfRule type="containsText" dxfId="190" priority="182" operator="containsText" text="NO HABIL ">
      <formula>NOT(ISERROR(SEARCH("NO HABIL ",D19)))</formula>
    </cfRule>
  </conditionalFormatting>
  <conditionalFormatting sqref="D28:D34">
    <cfRule type="containsText" dxfId="189" priority="177" operator="containsText" text="NO HABILITADO">
      <formula>NOT(ISERROR(SEARCH("NO HABILITADO",D28)))</formula>
    </cfRule>
    <cfRule type="containsText" dxfId="188" priority="178" operator="containsText" text="HABILITADO">
      <formula>NOT(ISERROR(SEARCH("HABILITADO",D28)))</formula>
    </cfRule>
  </conditionalFormatting>
  <conditionalFormatting sqref="D28:D34">
    <cfRule type="containsText" dxfId="187" priority="179" operator="containsText" text="NO HABIL">
      <formula>NOT(ISERROR(SEARCH("NO HABIL",D28)))</formula>
    </cfRule>
    <cfRule type="containsText" dxfId="186" priority="180" operator="containsText" text="NO HABIL ">
      <formula>NOT(ISERROR(SEARCH("NO HABIL ",D28)))</formula>
    </cfRule>
  </conditionalFormatting>
  <conditionalFormatting sqref="D36">
    <cfRule type="containsText" dxfId="185" priority="173" operator="containsText" text="NO HABILITADO">
      <formula>NOT(ISERROR(SEARCH("NO HABILITADO",D36)))</formula>
    </cfRule>
    <cfRule type="containsText" dxfId="184" priority="174" operator="containsText" text="HABILITADO">
      <formula>NOT(ISERROR(SEARCH("HABILITADO",D36)))</formula>
    </cfRule>
  </conditionalFormatting>
  <conditionalFormatting sqref="D36">
    <cfRule type="containsText" dxfId="183" priority="175" operator="containsText" text="NO HABIL">
      <formula>NOT(ISERROR(SEARCH("NO HABIL",D36)))</formula>
    </cfRule>
    <cfRule type="containsText" dxfId="182" priority="176" operator="containsText" text="NO HABIL ">
      <formula>NOT(ISERROR(SEARCH("NO HABIL ",D36)))</formula>
    </cfRule>
  </conditionalFormatting>
  <conditionalFormatting sqref="D40:D44">
    <cfRule type="containsText" dxfId="181" priority="169" operator="containsText" text="NO HABILITADO">
      <formula>NOT(ISERROR(SEARCH("NO HABILITADO",D40)))</formula>
    </cfRule>
    <cfRule type="containsText" dxfId="180" priority="170" operator="containsText" text="HABILITADO">
      <formula>NOT(ISERROR(SEARCH("HABILITADO",D40)))</formula>
    </cfRule>
  </conditionalFormatting>
  <conditionalFormatting sqref="D40:D44">
    <cfRule type="containsText" dxfId="179" priority="171" operator="containsText" text="NO HABIL">
      <formula>NOT(ISERROR(SEARCH("NO HABIL",D40)))</formula>
    </cfRule>
    <cfRule type="containsText" dxfId="178" priority="172" operator="containsText" text="NO HABIL ">
      <formula>NOT(ISERROR(SEARCH("NO HABIL ",D40)))</formula>
    </cfRule>
  </conditionalFormatting>
  <conditionalFormatting sqref="D47:D50">
    <cfRule type="containsText" dxfId="177" priority="165" operator="containsText" text="NO HABILITADO">
      <formula>NOT(ISERROR(SEARCH("NO HABILITADO",D47)))</formula>
    </cfRule>
    <cfRule type="containsText" dxfId="176" priority="166" operator="containsText" text="HABILITADO">
      <formula>NOT(ISERROR(SEARCH("HABILITADO",D47)))</formula>
    </cfRule>
  </conditionalFormatting>
  <conditionalFormatting sqref="D47:D50">
    <cfRule type="containsText" dxfId="175" priority="167" operator="containsText" text="NO HABIL">
      <formula>NOT(ISERROR(SEARCH("NO HABIL",D47)))</formula>
    </cfRule>
    <cfRule type="containsText" dxfId="174" priority="168" operator="containsText" text="NO HABIL ">
      <formula>NOT(ISERROR(SEARCH("NO HABIL ",D47)))</formula>
    </cfRule>
  </conditionalFormatting>
  <conditionalFormatting sqref="D58:D59">
    <cfRule type="containsText" dxfId="173" priority="161" operator="containsText" text="NO HABILITADO">
      <formula>NOT(ISERROR(SEARCH("NO HABILITADO",D58)))</formula>
    </cfRule>
    <cfRule type="containsText" dxfId="172" priority="162" operator="containsText" text="HABILITADO">
      <formula>NOT(ISERROR(SEARCH("HABILITADO",D58)))</formula>
    </cfRule>
  </conditionalFormatting>
  <conditionalFormatting sqref="D58:D59">
    <cfRule type="containsText" dxfId="171" priority="163" operator="containsText" text="NO HABIL">
      <formula>NOT(ISERROR(SEARCH("NO HABIL",D58)))</formula>
    </cfRule>
    <cfRule type="containsText" dxfId="170" priority="164" operator="containsText" text="NO HABIL ">
      <formula>NOT(ISERROR(SEARCH("NO HABIL ",D58)))</formula>
    </cfRule>
  </conditionalFormatting>
  <conditionalFormatting sqref="D61:D62">
    <cfRule type="containsText" dxfId="169" priority="157" operator="containsText" text="NO HABILITADO">
      <formula>NOT(ISERROR(SEARCH("NO HABILITADO",D61)))</formula>
    </cfRule>
    <cfRule type="containsText" dxfId="168" priority="158" operator="containsText" text="HABILITADO">
      <formula>NOT(ISERROR(SEARCH("HABILITADO",D61)))</formula>
    </cfRule>
  </conditionalFormatting>
  <conditionalFormatting sqref="D61:D62">
    <cfRule type="containsText" dxfId="167" priority="159" operator="containsText" text="NO HABIL">
      <formula>NOT(ISERROR(SEARCH("NO HABIL",D61)))</formula>
    </cfRule>
    <cfRule type="containsText" dxfId="166" priority="160" operator="containsText" text="NO HABIL ">
      <formula>NOT(ISERROR(SEARCH("NO HABIL ",D61)))</formula>
    </cfRule>
  </conditionalFormatting>
  <conditionalFormatting sqref="D65">
    <cfRule type="containsText" dxfId="165" priority="153" operator="containsText" text="NO HABILITADO">
      <formula>NOT(ISERROR(SEARCH("NO HABILITADO",D65)))</formula>
    </cfRule>
    <cfRule type="containsText" dxfId="164" priority="154" operator="containsText" text="HABILITADO">
      <formula>NOT(ISERROR(SEARCH("HABILITADO",D65)))</formula>
    </cfRule>
  </conditionalFormatting>
  <conditionalFormatting sqref="D65">
    <cfRule type="containsText" dxfId="163" priority="155" operator="containsText" text="NO HABIL">
      <formula>NOT(ISERROR(SEARCH("NO HABIL",D65)))</formula>
    </cfRule>
    <cfRule type="containsText" dxfId="162" priority="156" operator="containsText" text="NO HABIL ">
      <formula>NOT(ISERROR(SEARCH("NO HABIL ",D65)))</formula>
    </cfRule>
  </conditionalFormatting>
  <conditionalFormatting sqref="D67">
    <cfRule type="containsText" dxfId="161" priority="149" operator="containsText" text="NO HABILITADO">
      <formula>NOT(ISERROR(SEARCH("NO HABILITADO",D67)))</formula>
    </cfRule>
    <cfRule type="containsText" dxfId="160" priority="150" operator="containsText" text="HABILITADO">
      <formula>NOT(ISERROR(SEARCH("HABILITADO",D67)))</formula>
    </cfRule>
  </conditionalFormatting>
  <conditionalFormatting sqref="D67">
    <cfRule type="containsText" dxfId="159" priority="151" operator="containsText" text="NO HABIL">
      <formula>NOT(ISERROR(SEARCH("NO HABIL",D67)))</formula>
    </cfRule>
    <cfRule type="containsText" dxfId="158" priority="152" operator="containsText" text="NO HABIL ">
      <formula>NOT(ISERROR(SEARCH("NO HABIL ",D67)))</formula>
    </cfRule>
  </conditionalFormatting>
  <conditionalFormatting sqref="F6:F67">
    <cfRule type="containsText" dxfId="145" priority="145" operator="containsText" text="NO CUMPLE">
      <formula>NOT(ISERROR(SEARCH("NO CUMPLE",F6)))</formula>
    </cfRule>
    <cfRule type="containsText" dxfId="144" priority="146" operator="containsText" text="CUMPLE">
      <formula>NOT(ISERROR(SEARCH("CUMPLE",F6)))</formula>
    </cfRule>
  </conditionalFormatting>
  <conditionalFormatting sqref="G18">
    <cfRule type="containsText" dxfId="143" priority="143" operator="containsText" text="NO HABIL">
      <formula>NOT(ISERROR(SEARCH("NO HABIL",G18)))</formula>
    </cfRule>
    <cfRule type="containsText" dxfId="142" priority="144" operator="containsText" text="NO HABIL ">
      <formula>NOT(ISERROR(SEARCH("NO HABIL ",G18)))</formula>
    </cfRule>
  </conditionalFormatting>
  <conditionalFormatting sqref="G20">
    <cfRule type="containsText" dxfId="141" priority="141" operator="containsText" text="NO HABIL">
      <formula>NOT(ISERROR(SEARCH("NO HABIL",G20)))</formula>
    </cfRule>
    <cfRule type="containsText" dxfId="140" priority="142" operator="containsText" text="NO HABIL ">
      <formula>NOT(ISERROR(SEARCH("NO HABIL ",G20)))</formula>
    </cfRule>
  </conditionalFormatting>
  <conditionalFormatting sqref="G22">
    <cfRule type="containsText" dxfId="139" priority="139" operator="containsText" text="NO HABIL">
      <formula>NOT(ISERROR(SEARCH("NO HABIL",G22)))</formula>
    </cfRule>
    <cfRule type="containsText" dxfId="138" priority="140" operator="containsText" text="NO HABIL ">
      <formula>NOT(ISERROR(SEARCH("NO HABIL ",G22)))</formula>
    </cfRule>
  </conditionalFormatting>
  <conditionalFormatting sqref="G25:G26">
    <cfRule type="containsText" dxfId="137" priority="135" operator="containsText" text="NO HABILITADO">
      <formula>NOT(ISERROR(SEARCH("NO HABILITADO",G25)))</formula>
    </cfRule>
    <cfRule type="containsText" dxfId="136" priority="136" operator="containsText" text="HABILITADO">
      <formula>NOT(ISERROR(SEARCH("HABILITADO",G25)))</formula>
    </cfRule>
  </conditionalFormatting>
  <conditionalFormatting sqref="G25:G26">
    <cfRule type="containsText" dxfId="135" priority="137" operator="containsText" text="NO HABIL">
      <formula>NOT(ISERROR(SEARCH("NO HABIL",G25)))</formula>
    </cfRule>
    <cfRule type="containsText" dxfId="134" priority="138" operator="containsText" text="NO HABIL ">
      <formula>NOT(ISERROR(SEARCH("NO HABIL ",G25)))</formula>
    </cfRule>
  </conditionalFormatting>
  <conditionalFormatting sqref="G25:G26">
    <cfRule type="containsText" dxfId="133" priority="133" operator="containsText" text="NO HABIL">
      <formula>NOT(ISERROR(SEARCH("NO HABIL",G25)))</formula>
    </cfRule>
    <cfRule type="containsText" dxfId="132" priority="134" operator="containsText" text="NO HABIL ">
      <formula>NOT(ISERROR(SEARCH("NO HABIL ",G25)))</formula>
    </cfRule>
  </conditionalFormatting>
  <conditionalFormatting sqref="G27">
    <cfRule type="containsText" dxfId="131" priority="129" operator="containsText" text="NO HABILITADO">
      <formula>NOT(ISERROR(SEARCH("NO HABILITADO",G27)))</formula>
    </cfRule>
    <cfRule type="containsText" dxfId="130" priority="130" operator="containsText" text="HABILITADO">
      <formula>NOT(ISERROR(SEARCH("HABILITADO",G27)))</formula>
    </cfRule>
  </conditionalFormatting>
  <conditionalFormatting sqref="G27">
    <cfRule type="containsText" dxfId="129" priority="131" operator="containsText" text="NO HABIL">
      <formula>NOT(ISERROR(SEARCH("NO HABIL",G27)))</formula>
    </cfRule>
    <cfRule type="containsText" dxfId="128" priority="132" operator="containsText" text="NO HABIL ">
      <formula>NOT(ISERROR(SEARCH("NO HABIL ",G27)))</formula>
    </cfRule>
  </conditionalFormatting>
  <conditionalFormatting sqref="G27">
    <cfRule type="containsText" dxfId="127" priority="127" operator="containsText" text="NO HABIL">
      <formula>NOT(ISERROR(SEARCH("NO HABIL",G27)))</formula>
    </cfRule>
    <cfRule type="containsText" dxfId="126" priority="128" operator="containsText" text="NO HABIL ">
      <formula>NOT(ISERROR(SEARCH("NO HABIL ",G27)))</formula>
    </cfRule>
  </conditionalFormatting>
  <conditionalFormatting sqref="G28">
    <cfRule type="containsText" dxfId="125" priority="123" operator="containsText" text="NO HABILITADO">
      <formula>NOT(ISERROR(SEARCH("NO HABILITADO",G28)))</formula>
    </cfRule>
    <cfRule type="containsText" dxfId="124" priority="124" operator="containsText" text="HABILITADO">
      <formula>NOT(ISERROR(SEARCH("HABILITADO",G28)))</formula>
    </cfRule>
  </conditionalFormatting>
  <conditionalFormatting sqref="G28">
    <cfRule type="containsText" dxfId="123" priority="125" operator="containsText" text="NO HABIL">
      <formula>NOT(ISERROR(SEARCH("NO HABIL",G28)))</formula>
    </cfRule>
    <cfRule type="containsText" dxfId="122" priority="126" operator="containsText" text="NO HABIL ">
      <formula>NOT(ISERROR(SEARCH("NO HABIL ",G28)))</formula>
    </cfRule>
  </conditionalFormatting>
  <conditionalFormatting sqref="G28">
    <cfRule type="containsText" dxfId="121" priority="121" operator="containsText" text="NO HABIL">
      <formula>NOT(ISERROR(SEARCH("NO HABIL",G28)))</formula>
    </cfRule>
    <cfRule type="containsText" dxfId="120" priority="122" operator="containsText" text="NO HABIL ">
      <formula>NOT(ISERROR(SEARCH("NO HABIL ",G28)))</formula>
    </cfRule>
  </conditionalFormatting>
  <conditionalFormatting sqref="G33">
    <cfRule type="containsText" dxfId="119" priority="117" operator="containsText" text="NO HABILITADO">
      <formula>NOT(ISERROR(SEARCH("NO HABILITADO",G33)))</formula>
    </cfRule>
    <cfRule type="containsText" dxfId="118" priority="118" operator="containsText" text="HABILITADO">
      <formula>NOT(ISERROR(SEARCH("HABILITADO",G33)))</formula>
    </cfRule>
  </conditionalFormatting>
  <conditionalFormatting sqref="G33">
    <cfRule type="containsText" dxfId="117" priority="119" operator="containsText" text="NO HABIL">
      <formula>NOT(ISERROR(SEARCH("NO HABIL",G33)))</formula>
    </cfRule>
    <cfRule type="containsText" dxfId="116" priority="120" operator="containsText" text="NO HABIL ">
      <formula>NOT(ISERROR(SEARCH("NO HABIL ",G33)))</formula>
    </cfRule>
  </conditionalFormatting>
  <conditionalFormatting sqref="G33">
    <cfRule type="containsText" dxfId="115" priority="115" operator="containsText" text="NO HABIL">
      <formula>NOT(ISERROR(SEARCH("NO HABIL",G33)))</formula>
    </cfRule>
    <cfRule type="containsText" dxfId="114" priority="116" operator="containsText" text="NO HABIL ">
      <formula>NOT(ISERROR(SEARCH("NO HABIL ",G33)))</formula>
    </cfRule>
  </conditionalFormatting>
  <conditionalFormatting sqref="G35">
    <cfRule type="containsText" dxfId="113" priority="111" operator="containsText" text="NO HABILITADO">
      <formula>NOT(ISERROR(SEARCH("NO HABILITADO",G35)))</formula>
    </cfRule>
    <cfRule type="containsText" dxfId="112" priority="112" operator="containsText" text="HABILITADO">
      <formula>NOT(ISERROR(SEARCH("HABILITADO",G35)))</formula>
    </cfRule>
  </conditionalFormatting>
  <conditionalFormatting sqref="G35">
    <cfRule type="containsText" dxfId="111" priority="113" operator="containsText" text="NO HABIL">
      <formula>NOT(ISERROR(SEARCH("NO HABIL",G35)))</formula>
    </cfRule>
    <cfRule type="containsText" dxfId="110" priority="114" operator="containsText" text="NO HABIL ">
      <formula>NOT(ISERROR(SEARCH("NO HABIL ",G35)))</formula>
    </cfRule>
  </conditionalFormatting>
  <conditionalFormatting sqref="G35">
    <cfRule type="containsText" dxfId="109" priority="109" operator="containsText" text="NO HABIL">
      <formula>NOT(ISERROR(SEARCH("NO HABIL",G35)))</formula>
    </cfRule>
    <cfRule type="containsText" dxfId="108" priority="110" operator="containsText" text="NO HABIL ">
      <formula>NOT(ISERROR(SEARCH("NO HABIL ",G35)))</formula>
    </cfRule>
  </conditionalFormatting>
  <conditionalFormatting sqref="G36:G42">
    <cfRule type="containsText" dxfId="107" priority="105" operator="containsText" text="NO HABILITADO">
      <formula>NOT(ISERROR(SEARCH("NO HABILITADO",G36)))</formula>
    </cfRule>
    <cfRule type="containsText" dxfId="106" priority="106" operator="containsText" text="HABILITADO">
      <formula>NOT(ISERROR(SEARCH("HABILITADO",G36)))</formula>
    </cfRule>
  </conditionalFormatting>
  <conditionalFormatting sqref="G36:G42">
    <cfRule type="containsText" dxfId="105" priority="107" operator="containsText" text="NO HABIL">
      <formula>NOT(ISERROR(SEARCH("NO HABIL",G36)))</formula>
    </cfRule>
    <cfRule type="containsText" dxfId="104" priority="108" operator="containsText" text="NO HABIL ">
      <formula>NOT(ISERROR(SEARCH("NO HABIL ",G36)))</formula>
    </cfRule>
  </conditionalFormatting>
  <conditionalFormatting sqref="G36:G42">
    <cfRule type="containsText" dxfId="103" priority="103" operator="containsText" text="NO HABIL">
      <formula>NOT(ISERROR(SEARCH("NO HABIL",G36)))</formula>
    </cfRule>
    <cfRule type="containsText" dxfId="102" priority="104" operator="containsText" text="NO HABIL ">
      <formula>NOT(ISERROR(SEARCH("NO HABIL ",G36)))</formula>
    </cfRule>
  </conditionalFormatting>
  <conditionalFormatting sqref="G45:G48">
    <cfRule type="containsText" dxfId="101" priority="99" operator="containsText" text="NO HABILITADO">
      <formula>NOT(ISERROR(SEARCH("NO HABILITADO",G45)))</formula>
    </cfRule>
    <cfRule type="containsText" dxfId="100" priority="100" operator="containsText" text="HABILITADO">
      <formula>NOT(ISERROR(SEARCH("HABILITADO",G45)))</formula>
    </cfRule>
  </conditionalFormatting>
  <conditionalFormatting sqref="G45:G48">
    <cfRule type="containsText" dxfId="99" priority="101" operator="containsText" text="NO HABIL">
      <formula>NOT(ISERROR(SEARCH("NO HABIL",G45)))</formula>
    </cfRule>
    <cfRule type="containsText" dxfId="98" priority="102" operator="containsText" text="NO HABIL ">
      <formula>NOT(ISERROR(SEARCH("NO HABIL ",G45)))</formula>
    </cfRule>
  </conditionalFormatting>
  <conditionalFormatting sqref="G45:G48">
    <cfRule type="containsText" dxfId="97" priority="97" operator="containsText" text="NO HABIL">
      <formula>NOT(ISERROR(SEARCH("NO HABIL",G45)))</formula>
    </cfRule>
    <cfRule type="containsText" dxfId="96" priority="98" operator="containsText" text="NO HABIL ">
      <formula>NOT(ISERROR(SEARCH("NO HABIL ",G45)))</formula>
    </cfRule>
  </conditionalFormatting>
  <conditionalFormatting sqref="G51">
    <cfRule type="containsText" dxfId="95" priority="93" operator="containsText" text="NO HABILITADO">
      <formula>NOT(ISERROR(SEARCH("NO HABILITADO",G51)))</formula>
    </cfRule>
    <cfRule type="containsText" dxfId="94" priority="94" operator="containsText" text="HABILITADO">
      <formula>NOT(ISERROR(SEARCH("HABILITADO",G51)))</formula>
    </cfRule>
  </conditionalFormatting>
  <conditionalFormatting sqref="G51">
    <cfRule type="containsText" dxfId="93" priority="95" operator="containsText" text="NO HABIL">
      <formula>NOT(ISERROR(SEARCH("NO HABIL",G51)))</formula>
    </cfRule>
    <cfRule type="containsText" dxfId="92" priority="96" operator="containsText" text="NO HABIL ">
      <formula>NOT(ISERROR(SEARCH("NO HABIL ",G51)))</formula>
    </cfRule>
  </conditionalFormatting>
  <conditionalFormatting sqref="G51">
    <cfRule type="containsText" dxfId="91" priority="91" operator="containsText" text="NO HABIL">
      <formula>NOT(ISERROR(SEARCH("NO HABIL",G51)))</formula>
    </cfRule>
    <cfRule type="containsText" dxfId="90" priority="92" operator="containsText" text="NO HABIL ">
      <formula>NOT(ISERROR(SEARCH("NO HABIL ",G51)))</formula>
    </cfRule>
  </conditionalFormatting>
  <conditionalFormatting sqref="G52:G58">
    <cfRule type="containsText" dxfId="89" priority="87" operator="containsText" text="NO HABILITADO">
      <formula>NOT(ISERROR(SEARCH("NO HABILITADO",G52)))</formula>
    </cfRule>
    <cfRule type="containsText" dxfId="88" priority="88" operator="containsText" text="HABILITADO">
      <formula>NOT(ISERROR(SEARCH("HABILITADO",G52)))</formula>
    </cfRule>
  </conditionalFormatting>
  <conditionalFormatting sqref="G52:G58">
    <cfRule type="containsText" dxfId="87" priority="89" operator="containsText" text="NO HABIL">
      <formula>NOT(ISERROR(SEARCH("NO HABIL",G52)))</formula>
    </cfRule>
    <cfRule type="containsText" dxfId="86" priority="90" operator="containsText" text="NO HABIL ">
      <formula>NOT(ISERROR(SEARCH("NO HABIL ",G52)))</formula>
    </cfRule>
  </conditionalFormatting>
  <conditionalFormatting sqref="G52:G58">
    <cfRule type="containsText" dxfId="85" priority="85" operator="containsText" text="NO HABIL">
      <formula>NOT(ISERROR(SEARCH("NO HABIL",G52)))</formula>
    </cfRule>
    <cfRule type="containsText" dxfId="84" priority="86" operator="containsText" text="NO HABIL ">
      <formula>NOT(ISERROR(SEARCH("NO HABIL ",G52)))</formula>
    </cfRule>
  </conditionalFormatting>
  <conditionalFormatting sqref="G60">
    <cfRule type="containsText" dxfId="83" priority="81" operator="containsText" text="NO HABILITADO">
      <formula>NOT(ISERROR(SEARCH("NO HABILITADO",G60)))</formula>
    </cfRule>
    <cfRule type="containsText" dxfId="82" priority="82" operator="containsText" text="HABILITADO">
      <formula>NOT(ISERROR(SEARCH("HABILITADO",G60)))</formula>
    </cfRule>
  </conditionalFormatting>
  <conditionalFormatting sqref="G60">
    <cfRule type="containsText" dxfId="81" priority="83" operator="containsText" text="NO HABIL">
      <formula>NOT(ISERROR(SEARCH("NO HABIL",G60)))</formula>
    </cfRule>
    <cfRule type="containsText" dxfId="80" priority="84" operator="containsText" text="NO HABIL ">
      <formula>NOT(ISERROR(SEARCH("NO HABIL ",G60)))</formula>
    </cfRule>
  </conditionalFormatting>
  <conditionalFormatting sqref="G60">
    <cfRule type="containsText" dxfId="79" priority="79" operator="containsText" text="NO HABIL">
      <formula>NOT(ISERROR(SEARCH("NO HABIL",G60)))</formula>
    </cfRule>
    <cfRule type="containsText" dxfId="78" priority="80" operator="containsText" text="NO HABIL ">
      <formula>NOT(ISERROR(SEARCH("NO HABIL ",G60)))</formula>
    </cfRule>
  </conditionalFormatting>
  <conditionalFormatting sqref="G60">
    <cfRule type="containsText" dxfId="77" priority="75" operator="containsText" text="NO HABILITADO">
      <formula>NOT(ISERROR(SEARCH("NO HABILITADO",G60)))</formula>
    </cfRule>
    <cfRule type="containsText" dxfId="76" priority="76" operator="containsText" text="HABILITADO">
      <formula>NOT(ISERROR(SEARCH("HABILITADO",G60)))</formula>
    </cfRule>
  </conditionalFormatting>
  <conditionalFormatting sqref="G60">
    <cfRule type="containsText" dxfId="75" priority="77" operator="containsText" text="NO HABIL">
      <formula>NOT(ISERROR(SEARCH("NO HABIL",G60)))</formula>
    </cfRule>
    <cfRule type="containsText" dxfId="74" priority="78" operator="containsText" text="NO HABIL ">
      <formula>NOT(ISERROR(SEARCH("NO HABIL ",G60)))</formula>
    </cfRule>
  </conditionalFormatting>
  <conditionalFormatting sqref="G60">
    <cfRule type="containsText" dxfId="73" priority="73" operator="containsText" text="NO HABIL">
      <formula>NOT(ISERROR(SEARCH("NO HABIL",G60)))</formula>
    </cfRule>
    <cfRule type="containsText" dxfId="72" priority="74" operator="containsText" text="NO HABIL ">
      <formula>NOT(ISERROR(SEARCH("NO HABIL ",G60)))</formula>
    </cfRule>
  </conditionalFormatting>
  <conditionalFormatting sqref="G63">
    <cfRule type="containsText" dxfId="71" priority="69" operator="containsText" text="NO HABILITADO">
      <formula>NOT(ISERROR(SEARCH("NO HABILITADO",G63)))</formula>
    </cfRule>
    <cfRule type="containsText" dxfId="70" priority="70" operator="containsText" text="HABILITADO">
      <formula>NOT(ISERROR(SEARCH("HABILITADO",G63)))</formula>
    </cfRule>
  </conditionalFormatting>
  <conditionalFormatting sqref="G63">
    <cfRule type="containsText" dxfId="69" priority="71" operator="containsText" text="NO HABIL">
      <formula>NOT(ISERROR(SEARCH("NO HABIL",G63)))</formula>
    </cfRule>
    <cfRule type="containsText" dxfId="68" priority="72" operator="containsText" text="NO HABIL ">
      <formula>NOT(ISERROR(SEARCH("NO HABIL ",G63)))</formula>
    </cfRule>
  </conditionalFormatting>
  <conditionalFormatting sqref="G63">
    <cfRule type="containsText" dxfId="67" priority="67" operator="containsText" text="NO HABIL">
      <formula>NOT(ISERROR(SEARCH("NO HABIL",G63)))</formula>
    </cfRule>
    <cfRule type="containsText" dxfId="66" priority="68" operator="containsText" text="NO HABIL ">
      <formula>NOT(ISERROR(SEARCH("NO HABIL ",G63)))</formula>
    </cfRule>
  </conditionalFormatting>
  <conditionalFormatting sqref="G64">
    <cfRule type="containsText" dxfId="65" priority="63" operator="containsText" text="NO HABILITADO">
      <formula>NOT(ISERROR(SEARCH("NO HABILITADO",G64)))</formula>
    </cfRule>
    <cfRule type="containsText" dxfId="64" priority="64" operator="containsText" text="HABILITADO">
      <formula>NOT(ISERROR(SEARCH("HABILITADO",G64)))</formula>
    </cfRule>
  </conditionalFormatting>
  <conditionalFormatting sqref="G64">
    <cfRule type="containsText" dxfId="63" priority="65" operator="containsText" text="NO HABIL">
      <formula>NOT(ISERROR(SEARCH("NO HABIL",G64)))</formula>
    </cfRule>
    <cfRule type="containsText" dxfId="62" priority="66" operator="containsText" text="NO HABIL ">
      <formula>NOT(ISERROR(SEARCH("NO HABIL ",G64)))</formula>
    </cfRule>
  </conditionalFormatting>
  <conditionalFormatting sqref="G64">
    <cfRule type="containsText" dxfId="61" priority="61" operator="containsText" text="NO HABIL">
      <formula>NOT(ISERROR(SEARCH("NO HABIL",G64)))</formula>
    </cfRule>
    <cfRule type="containsText" dxfId="60" priority="62" operator="containsText" text="NO HABIL ">
      <formula>NOT(ISERROR(SEARCH("NO HABIL ",G64)))</formula>
    </cfRule>
  </conditionalFormatting>
  <conditionalFormatting sqref="G66">
    <cfRule type="containsText" dxfId="59" priority="57" operator="containsText" text="NO HABILITADO">
      <formula>NOT(ISERROR(SEARCH("NO HABILITADO",G66)))</formula>
    </cfRule>
    <cfRule type="containsText" dxfId="58" priority="58" operator="containsText" text="HABILITADO">
      <formula>NOT(ISERROR(SEARCH("HABILITADO",G66)))</formula>
    </cfRule>
  </conditionalFormatting>
  <conditionalFormatting sqref="G66">
    <cfRule type="containsText" dxfId="57" priority="59" operator="containsText" text="NO HABIL">
      <formula>NOT(ISERROR(SEARCH("NO HABIL",G66)))</formula>
    </cfRule>
    <cfRule type="containsText" dxfId="56" priority="60" operator="containsText" text="NO HABIL ">
      <formula>NOT(ISERROR(SEARCH("NO HABIL ",G66)))</formula>
    </cfRule>
  </conditionalFormatting>
  <conditionalFormatting sqref="G66">
    <cfRule type="containsText" dxfId="55" priority="55" operator="containsText" text="NO HABIL">
      <formula>NOT(ISERROR(SEARCH("NO HABIL",G66)))</formula>
    </cfRule>
    <cfRule type="containsText" dxfId="54" priority="56" operator="containsText" text="NO HABIL ">
      <formula>NOT(ISERROR(SEARCH("NO HABIL ",G66)))</formula>
    </cfRule>
  </conditionalFormatting>
  <conditionalFormatting sqref="G19">
    <cfRule type="containsText" dxfId="53" priority="53" operator="containsText" text="NO HABIL">
      <formula>NOT(ISERROR(SEARCH("NO HABIL",G19)))</formula>
    </cfRule>
    <cfRule type="containsText" dxfId="52" priority="54" operator="containsText" text="NO HABIL ">
      <formula>NOT(ISERROR(SEARCH("NO HABIL ",G19)))</formula>
    </cfRule>
  </conditionalFormatting>
  <conditionalFormatting sqref="G21">
    <cfRule type="containsText" dxfId="51" priority="51" operator="containsText" text="NO HABIL">
      <formula>NOT(ISERROR(SEARCH("NO HABIL",G21)))</formula>
    </cfRule>
    <cfRule type="containsText" dxfId="50" priority="52" operator="containsText" text="NO HABIL ">
      <formula>NOT(ISERROR(SEARCH("NO HABIL ",G21)))</formula>
    </cfRule>
  </conditionalFormatting>
  <conditionalFormatting sqref="G23:G24">
    <cfRule type="containsText" dxfId="49" priority="49" operator="containsText" text="NO HABIL">
      <formula>NOT(ISERROR(SEARCH("NO HABIL",G23)))</formula>
    </cfRule>
    <cfRule type="containsText" dxfId="48" priority="50" operator="containsText" text="NO HABIL ">
      <formula>NOT(ISERROR(SEARCH("NO HABIL ",G23)))</formula>
    </cfRule>
  </conditionalFormatting>
  <conditionalFormatting sqref="G29:G32">
    <cfRule type="containsText" dxfId="47" priority="45" operator="containsText" text="NO HABILITADO">
      <formula>NOT(ISERROR(SEARCH("NO HABILITADO",G29)))</formula>
    </cfRule>
    <cfRule type="containsText" dxfId="46" priority="46" operator="containsText" text="HABILITADO">
      <formula>NOT(ISERROR(SEARCH("HABILITADO",G29)))</formula>
    </cfRule>
  </conditionalFormatting>
  <conditionalFormatting sqref="G29:G32">
    <cfRule type="containsText" dxfId="45" priority="47" operator="containsText" text="NO HABIL">
      <formula>NOT(ISERROR(SEARCH("NO HABIL",G29)))</formula>
    </cfRule>
    <cfRule type="containsText" dxfId="44" priority="48" operator="containsText" text="NO HABIL ">
      <formula>NOT(ISERROR(SEARCH("NO HABIL ",G29)))</formula>
    </cfRule>
  </conditionalFormatting>
  <conditionalFormatting sqref="G29:G32">
    <cfRule type="containsText" dxfId="43" priority="43" operator="containsText" text="NO HABIL">
      <formula>NOT(ISERROR(SEARCH("NO HABIL",G29)))</formula>
    </cfRule>
    <cfRule type="containsText" dxfId="42" priority="44" operator="containsText" text="NO HABIL ">
      <formula>NOT(ISERROR(SEARCH("NO HABIL ",G29)))</formula>
    </cfRule>
  </conditionalFormatting>
  <conditionalFormatting sqref="G34">
    <cfRule type="containsText" dxfId="41" priority="39" operator="containsText" text="NO HABILITADO">
      <formula>NOT(ISERROR(SEARCH("NO HABILITADO",G34)))</formula>
    </cfRule>
    <cfRule type="containsText" dxfId="40" priority="40" operator="containsText" text="HABILITADO">
      <formula>NOT(ISERROR(SEARCH("HABILITADO",G34)))</formula>
    </cfRule>
  </conditionalFormatting>
  <conditionalFormatting sqref="G34">
    <cfRule type="containsText" dxfId="39" priority="41" operator="containsText" text="NO HABIL">
      <formula>NOT(ISERROR(SEARCH("NO HABIL",G34)))</formula>
    </cfRule>
    <cfRule type="containsText" dxfId="38" priority="42" operator="containsText" text="NO HABIL ">
      <formula>NOT(ISERROR(SEARCH("NO HABIL ",G34)))</formula>
    </cfRule>
  </conditionalFormatting>
  <conditionalFormatting sqref="G34">
    <cfRule type="containsText" dxfId="37" priority="37" operator="containsText" text="NO HABIL">
      <formula>NOT(ISERROR(SEARCH("NO HABIL",G34)))</formula>
    </cfRule>
    <cfRule type="containsText" dxfId="36" priority="38" operator="containsText" text="NO HABIL ">
      <formula>NOT(ISERROR(SEARCH("NO HABIL ",G34)))</formula>
    </cfRule>
  </conditionalFormatting>
  <conditionalFormatting sqref="G43:G44">
    <cfRule type="containsText" dxfId="35" priority="33" operator="containsText" text="NO HABILITADO">
      <formula>NOT(ISERROR(SEARCH("NO HABILITADO",G43)))</formula>
    </cfRule>
    <cfRule type="containsText" dxfId="34" priority="34" operator="containsText" text="HABILITADO">
      <formula>NOT(ISERROR(SEARCH("HABILITADO",G43)))</formula>
    </cfRule>
  </conditionalFormatting>
  <conditionalFormatting sqref="G43:G44">
    <cfRule type="containsText" dxfId="33" priority="35" operator="containsText" text="NO HABIL">
      <formula>NOT(ISERROR(SEARCH("NO HABIL",G43)))</formula>
    </cfRule>
    <cfRule type="containsText" dxfId="32" priority="36" operator="containsText" text="NO HABIL ">
      <formula>NOT(ISERROR(SEARCH("NO HABIL ",G43)))</formula>
    </cfRule>
  </conditionalFormatting>
  <conditionalFormatting sqref="G43:G44">
    <cfRule type="containsText" dxfId="31" priority="31" operator="containsText" text="NO HABIL">
      <formula>NOT(ISERROR(SEARCH("NO HABIL",G43)))</formula>
    </cfRule>
    <cfRule type="containsText" dxfId="30" priority="32" operator="containsText" text="NO HABIL ">
      <formula>NOT(ISERROR(SEARCH("NO HABIL ",G43)))</formula>
    </cfRule>
  </conditionalFormatting>
  <conditionalFormatting sqref="G49:G50">
    <cfRule type="containsText" dxfId="29" priority="27" operator="containsText" text="NO HABILITADO">
      <formula>NOT(ISERROR(SEARCH("NO HABILITADO",G49)))</formula>
    </cfRule>
    <cfRule type="containsText" dxfId="28" priority="28" operator="containsText" text="HABILITADO">
      <formula>NOT(ISERROR(SEARCH("HABILITADO",G49)))</formula>
    </cfRule>
  </conditionalFormatting>
  <conditionalFormatting sqref="G49:G50">
    <cfRule type="containsText" dxfId="27" priority="29" operator="containsText" text="NO HABIL">
      <formula>NOT(ISERROR(SEARCH("NO HABIL",G49)))</formula>
    </cfRule>
    <cfRule type="containsText" dxfId="26" priority="30" operator="containsText" text="NO HABIL ">
      <formula>NOT(ISERROR(SEARCH("NO HABIL ",G49)))</formula>
    </cfRule>
  </conditionalFormatting>
  <conditionalFormatting sqref="G49:G50">
    <cfRule type="containsText" dxfId="25" priority="25" operator="containsText" text="NO HABIL">
      <formula>NOT(ISERROR(SEARCH("NO HABIL",G49)))</formula>
    </cfRule>
    <cfRule type="containsText" dxfId="24" priority="26" operator="containsText" text="NO HABIL ">
      <formula>NOT(ISERROR(SEARCH("NO HABIL ",G49)))</formula>
    </cfRule>
  </conditionalFormatting>
  <conditionalFormatting sqref="G59">
    <cfRule type="containsText" dxfId="23" priority="21" operator="containsText" text="NO HABILITADO">
      <formula>NOT(ISERROR(SEARCH("NO HABILITADO",G59)))</formula>
    </cfRule>
    <cfRule type="containsText" dxfId="22" priority="22" operator="containsText" text="HABILITADO">
      <formula>NOT(ISERROR(SEARCH("HABILITADO",G59)))</formula>
    </cfRule>
  </conditionalFormatting>
  <conditionalFormatting sqref="G59">
    <cfRule type="containsText" dxfId="21" priority="23" operator="containsText" text="NO HABIL">
      <formula>NOT(ISERROR(SEARCH("NO HABIL",G59)))</formula>
    </cfRule>
    <cfRule type="containsText" dxfId="20" priority="24" operator="containsText" text="NO HABIL ">
      <formula>NOT(ISERROR(SEARCH("NO HABIL ",G59)))</formula>
    </cfRule>
  </conditionalFormatting>
  <conditionalFormatting sqref="G59">
    <cfRule type="containsText" dxfId="19" priority="19" operator="containsText" text="NO HABIL">
      <formula>NOT(ISERROR(SEARCH("NO HABIL",G59)))</formula>
    </cfRule>
    <cfRule type="containsText" dxfId="18" priority="20" operator="containsText" text="NO HABIL ">
      <formula>NOT(ISERROR(SEARCH("NO HABIL ",G59)))</formula>
    </cfRule>
  </conditionalFormatting>
  <conditionalFormatting sqref="G61:G62">
    <cfRule type="containsText" dxfId="17" priority="15" operator="containsText" text="NO HABILITADO">
      <formula>NOT(ISERROR(SEARCH("NO HABILITADO",G61)))</formula>
    </cfRule>
    <cfRule type="containsText" dxfId="16" priority="16" operator="containsText" text="HABILITADO">
      <formula>NOT(ISERROR(SEARCH("HABILITADO",G61)))</formula>
    </cfRule>
  </conditionalFormatting>
  <conditionalFormatting sqref="G61:G62">
    <cfRule type="containsText" dxfId="15" priority="17" operator="containsText" text="NO HABIL">
      <formula>NOT(ISERROR(SEARCH("NO HABIL",G61)))</formula>
    </cfRule>
    <cfRule type="containsText" dxfId="14" priority="18" operator="containsText" text="NO HABIL ">
      <formula>NOT(ISERROR(SEARCH("NO HABIL ",G61)))</formula>
    </cfRule>
  </conditionalFormatting>
  <conditionalFormatting sqref="G61:G62">
    <cfRule type="containsText" dxfId="13" priority="13" operator="containsText" text="NO HABIL">
      <formula>NOT(ISERROR(SEARCH("NO HABIL",G61)))</formula>
    </cfRule>
    <cfRule type="containsText" dxfId="12" priority="14" operator="containsText" text="NO HABIL ">
      <formula>NOT(ISERROR(SEARCH("NO HABIL ",G61)))</formula>
    </cfRule>
  </conditionalFormatting>
  <conditionalFormatting sqref="G65">
    <cfRule type="containsText" dxfId="11" priority="9" operator="containsText" text="NO HABILITADO">
      <formula>NOT(ISERROR(SEARCH("NO HABILITADO",G65)))</formula>
    </cfRule>
    <cfRule type="containsText" dxfId="10" priority="10" operator="containsText" text="HABILITADO">
      <formula>NOT(ISERROR(SEARCH("HABILITADO",G65)))</formula>
    </cfRule>
  </conditionalFormatting>
  <conditionalFormatting sqref="G65">
    <cfRule type="containsText" dxfId="9" priority="11" operator="containsText" text="NO HABIL">
      <formula>NOT(ISERROR(SEARCH("NO HABIL",G65)))</formula>
    </cfRule>
    <cfRule type="containsText" dxfId="8" priority="12" operator="containsText" text="NO HABIL ">
      <formula>NOT(ISERROR(SEARCH("NO HABIL ",G65)))</formula>
    </cfRule>
  </conditionalFormatting>
  <conditionalFormatting sqref="G65">
    <cfRule type="containsText" dxfId="7" priority="7" operator="containsText" text="NO HABIL">
      <formula>NOT(ISERROR(SEARCH("NO HABIL",G65)))</formula>
    </cfRule>
    <cfRule type="containsText" dxfId="6" priority="8" operator="containsText" text="NO HABIL ">
      <formula>NOT(ISERROR(SEARCH("NO HABIL ",G65)))</formula>
    </cfRule>
  </conditionalFormatting>
  <conditionalFormatting sqref="G67">
    <cfRule type="containsText" dxfId="5" priority="3" operator="containsText" text="NO HABILITADO">
      <formula>NOT(ISERROR(SEARCH("NO HABILITADO",G67)))</formula>
    </cfRule>
    <cfRule type="containsText" dxfId="4" priority="4" operator="containsText" text="HABILITADO">
      <formula>NOT(ISERROR(SEARCH("HABILITADO",G67)))</formula>
    </cfRule>
  </conditionalFormatting>
  <conditionalFormatting sqref="G67">
    <cfRule type="containsText" dxfId="3" priority="5" operator="containsText" text="NO HABIL">
      <formula>NOT(ISERROR(SEARCH("NO HABIL",G67)))</formula>
    </cfRule>
    <cfRule type="containsText" dxfId="2" priority="6" operator="containsText" text="NO HABIL ">
      <formula>NOT(ISERROR(SEARCH("NO HABIL ",G67)))</formula>
    </cfRule>
  </conditionalFormatting>
  <conditionalFormatting sqref="G67">
    <cfRule type="containsText" dxfId="1" priority="1" operator="containsText" text="NO HABIL">
      <formula>NOT(ISERROR(SEARCH("NO HABIL",G67)))</formula>
    </cfRule>
    <cfRule type="containsText" dxfId="0" priority="2" operator="containsText" text="NO HABIL ">
      <formula>NOT(ISERROR(SEARCH("NO HABIL ",G67)))</formula>
    </cfRule>
  </conditionalFormatting>
  <pageMargins left="0.70866141732283472" right="0.70866141732283472" top="0.74803149606299213" bottom="0.74803149606299213" header="0.51181102362204722" footer="0.51181102362204722"/>
  <pageSetup scale="50" firstPageNumber="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50"/>
  </sheetPr>
  <dimension ref="A1:I72"/>
  <sheetViews>
    <sheetView topLeftCell="A2" zoomScale="85" zoomScaleNormal="85" workbookViewId="0">
      <selection activeCell="F68" sqref="F68"/>
    </sheetView>
  </sheetViews>
  <sheetFormatPr baseColWidth="10" defaultColWidth="11.42578125" defaultRowHeight="15"/>
  <cols>
    <col min="1" max="1" width="9" style="89" customWidth="1"/>
    <col min="2" max="2" width="70.42578125" style="89" bestFit="1" customWidth="1"/>
    <col min="3" max="3" width="11.85546875" style="89" bestFit="1" customWidth="1"/>
    <col min="4" max="4" width="16.85546875" style="89" customWidth="1"/>
    <col min="5" max="5" width="41.42578125" style="89" customWidth="1"/>
    <col min="6" max="6" width="11.42578125" style="89"/>
    <col min="7" max="7" width="32.7109375" style="89" customWidth="1"/>
    <col min="8" max="8" width="20.140625" style="89" customWidth="1"/>
    <col min="9" max="16384" width="11.42578125" style="89"/>
  </cols>
  <sheetData>
    <row r="1" spans="1:9" ht="27" thickBot="1">
      <c r="A1" s="430" t="s">
        <v>383</v>
      </c>
      <c r="B1" s="431"/>
      <c r="C1" s="431"/>
      <c r="D1" s="431"/>
      <c r="E1" s="432"/>
    </row>
    <row r="2" spans="1:9" ht="16.5" customHeight="1" thickBot="1">
      <c r="A2" s="433" t="s">
        <v>752</v>
      </c>
      <c r="B2" s="434"/>
      <c r="C2" s="434"/>
      <c r="D2" s="434"/>
      <c r="E2" s="435"/>
      <c r="G2" s="480" t="s">
        <v>803</v>
      </c>
      <c r="H2" s="481">
        <v>45631</v>
      </c>
    </row>
    <row r="3" spans="1:9" ht="16.5" customHeight="1" thickBot="1">
      <c r="A3" s="433" t="s">
        <v>1</v>
      </c>
      <c r="B3" s="434"/>
      <c r="C3" s="434"/>
      <c r="D3" s="434"/>
      <c r="E3" s="435"/>
      <c r="G3" s="482" t="s">
        <v>753</v>
      </c>
      <c r="H3" s="483">
        <v>67.5</v>
      </c>
    </row>
    <row r="4" spans="1:9" ht="17.25" customHeight="1">
      <c r="A4" s="90"/>
      <c r="B4" s="91"/>
      <c r="C4" s="92"/>
      <c r="D4" s="92"/>
      <c r="E4" s="93"/>
      <c r="G4" s="482" t="s">
        <v>804</v>
      </c>
      <c r="H4" s="483">
        <v>4396.5200000000004</v>
      </c>
    </row>
    <row r="5" spans="1:9" ht="17.25" customHeight="1" thickBot="1">
      <c r="A5" s="94"/>
      <c r="B5" s="95"/>
      <c r="C5" s="96"/>
      <c r="D5" s="96"/>
      <c r="E5" s="97"/>
      <c r="G5" s="484" t="s">
        <v>754</v>
      </c>
      <c r="H5" s="485">
        <v>52</v>
      </c>
    </row>
    <row r="6" spans="1:9" ht="17.25" customHeight="1">
      <c r="A6" s="98"/>
      <c r="B6" s="95"/>
      <c r="C6" s="99"/>
      <c r="D6" s="99"/>
      <c r="E6" s="100"/>
    </row>
    <row r="7" spans="1:9" ht="17.25" customHeight="1">
      <c r="A7" s="98"/>
      <c r="B7" s="95"/>
      <c r="C7" s="99"/>
      <c r="D7" s="99"/>
      <c r="E7" s="100"/>
    </row>
    <row r="8" spans="1:9" ht="17.25" customHeight="1">
      <c r="A8" s="101"/>
      <c r="C8" s="436"/>
      <c r="D8" s="436"/>
      <c r="E8" s="102"/>
    </row>
    <row r="9" spans="1:9" ht="15.75" thickBot="1">
      <c r="A9" s="101"/>
      <c r="E9" s="103">
        <v>67.5</v>
      </c>
    </row>
    <row r="10" spans="1:9" ht="30">
      <c r="A10" s="437" t="s">
        <v>755</v>
      </c>
      <c r="B10" s="438"/>
      <c r="C10" s="108" t="s">
        <v>756</v>
      </c>
      <c r="D10" s="108" t="s">
        <v>802</v>
      </c>
      <c r="E10" s="109" t="s">
        <v>757</v>
      </c>
    </row>
    <row r="11" spans="1:9" ht="15" customHeight="1">
      <c r="A11" s="110">
        <v>1</v>
      </c>
      <c r="B11" s="105" t="str">
        <f>VLOOKUP(A11,'LISTA DE OFERENTES'!$A$4:$B$65,2,FALSE)</f>
        <v>CONSORCIO INTERVIALES PCI-PC</v>
      </c>
      <c r="C11" s="106">
        <f>+'EXPERIENCIA DEL PROPONENTE'!C8</f>
        <v>1380.2986482200527</v>
      </c>
      <c r="D11" s="428">
        <f>+GEOMEAN(C11:C72)</f>
        <v>1199.4037833817658</v>
      </c>
      <c r="E11" s="104">
        <f>+$E$9*((1-ABS($D$11-C11)/$D$11))</f>
        <v>57.319605752654333</v>
      </c>
      <c r="I11" s="107"/>
    </row>
    <row r="12" spans="1:9" ht="15" customHeight="1">
      <c r="A12" s="110">
        <v>2</v>
      </c>
      <c r="B12" s="105" t="str">
        <f>VLOOKUP(A12,'LISTA DE OFERENTES'!$A$4:$B$65,2,FALSE)</f>
        <v>CONSORCIO VÍAS FONTIBÓN 2025</v>
      </c>
      <c r="C12" s="106">
        <f>+'EXPERIENCIA DEL PROPONENTE'!C28</f>
        <v>880.85894991088844</v>
      </c>
      <c r="D12" s="429"/>
      <c r="E12" s="104">
        <f t="shared" ref="E12:E72" si="0">+$E$9*((1-ABS($D$11-C12)/$D$11))</f>
        <v>49.572946111059338</v>
      </c>
      <c r="I12" s="107"/>
    </row>
    <row r="13" spans="1:9" ht="15" customHeight="1">
      <c r="A13" s="110">
        <v>3</v>
      </c>
      <c r="B13" s="105" t="str">
        <f>VLOOKUP(A13,'LISTA DE OFERENTES'!$A$4:$B$65,2,FALSE)</f>
        <v>MORALBA SANCHEZ ORDOÑEZ</v>
      </c>
      <c r="C13" s="324"/>
      <c r="D13" s="429"/>
      <c r="E13" s="104">
        <f t="shared" si="0"/>
        <v>0</v>
      </c>
      <c r="I13" s="107"/>
    </row>
    <row r="14" spans="1:9" ht="15" customHeight="1">
      <c r="A14" s="110">
        <v>4</v>
      </c>
      <c r="B14" s="105" t="str">
        <f>VLOOKUP(A14,'LISTA DE OFERENTES'!$A$4:$B$65,2,FALSE)</f>
        <v>GRUPO METRO COLOMBIA SAS</v>
      </c>
      <c r="C14" s="106">
        <f>+'EXPERIENCIA DEL PROPONENTE'!C54</f>
        <v>2199.2607174990508</v>
      </c>
      <c r="D14" s="429"/>
      <c r="E14" s="104">
        <f t="shared" si="0"/>
        <v>11.230089909650719</v>
      </c>
      <c r="I14" s="107"/>
    </row>
    <row r="15" spans="1:9" ht="15" customHeight="1">
      <c r="A15" s="110">
        <v>5</v>
      </c>
      <c r="B15" s="105" t="str">
        <f>VLOOKUP(A15,'LISTA DE OFERENTES'!$A$4:$B$65,2,FALSE)</f>
        <v>CONSORCIO INTER CGS F1</v>
      </c>
      <c r="C15" s="324"/>
      <c r="D15" s="429"/>
      <c r="E15" s="104">
        <f t="shared" si="0"/>
        <v>0</v>
      </c>
      <c r="I15" s="107"/>
    </row>
    <row r="16" spans="1:9" ht="15" customHeight="1">
      <c r="A16" s="110">
        <v>6</v>
      </c>
      <c r="B16" s="105" t="str">
        <f>VLOOKUP(A16,'LISTA DE OFERENTES'!$A$4:$B$65,2,FALSE)</f>
        <v>INGENIEROS CONSTRUCTORES Y ASESORES SAS</v>
      </c>
      <c r="C16" s="324"/>
      <c r="D16" s="429"/>
      <c r="E16" s="104">
        <f t="shared" si="0"/>
        <v>0</v>
      </c>
      <c r="I16" s="107"/>
    </row>
    <row r="17" spans="1:9" ht="15" customHeight="1">
      <c r="A17" s="110">
        <v>7</v>
      </c>
      <c r="B17" s="105" t="str">
        <f>VLOOKUP(A17,'LISTA DE OFERENTES'!$A$4:$B$65,2,FALSE)</f>
        <v>GPM PROYECTOS DE INGENIERIA SAS</v>
      </c>
      <c r="C17" s="106">
        <f>+'EXPERIENCIA DEL PROPONENTE'!C98</f>
        <v>1427.7769798652837</v>
      </c>
      <c r="D17" s="429"/>
      <c r="E17" s="104">
        <f t="shared" si="0"/>
        <v>54.647622030027513</v>
      </c>
      <c r="F17" s="107"/>
      <c r="I17" s="107"/>
    </row>
    <row r="18" spans="1:9" ht="15" customHeight="1">
      <c r="A18" s="110">
        <v>8</v>
      </c>
      <c r="B18" s="105" t="str">
        <f>VLOOKUP(A18,'LISTA DE OFERENTES'!$A$4:$B$65,2,FALSE)</f>
        <v>CONSORCIO MODELIA 24</v>
      </c>
      <c r="C18" s="324"/>
      <c r="D18" s="429"/>
      <c r="E18" s="104">
        <f t="shared" si="0"/>
        <v>0</v>
      </c>
      <c r="I18" s="107"/>
    </row>
    <row r="19" spans="1:9" ht="15" customHeight="1">
      <c r="A19" s="110">
        <v>9</v>
      </c>
      <c r="B19" s="105" t="str">
        <f>VLOOKUP(A19,'LISTA DE OFERENTES'!$A$4:$B$65,2,FALSE)</f>
        <v>UNIÓN TEMPORAL ROADS 402</v>
      </c>
      <c r="C19" s="106">
        <f>+'EXPERIENCIA DEL PROPONENTE'!C126</f>
        <v>1123.8474525862071</v>
      </c>
      <c r="D19" s="429"/>
      <c r="E19" s="104">
        <f t="shared" si="0"/>
        <v>63.247843720885704</v>
      </c>
      <c r="I19" s="107"/>
    </row>
    <row r="20" spans="1:9" ht="15" customHeight="1">
      <c r="A20" s="110">
        <v>10</v>
      </c>
      <c r="B20" s="105" t="str">
        <f>VLOOKUP(A20,'LISTA DE OFERENTES'!$A$4:$B$65,2,FALSE)</f>
        <v>CONSORCIO MALLA VIAL 206</v>
      </c>
      <c r="C20" s="324"/>
      <c r="D20" s="429"/>
      <c r="E20" s="104">
        <f t="shared" si="0"/>
        <v>0</v>
      </c>
      <c r="I20" s="107"/>
    </row>
    <row r="21" spans="1:9" ht="15" customHeight="1">
      <c r="A21" s="110">
        <v>11</v>
      </c>
      <c r="B21" s="105" t="str">
        <f>VLOOKUP(A21,'LISTA DE OFERENTES'!$A$4:$B$65,2,FALSE)</f>
        <v>INTERVENTORIA Y CONSTRUCIVILES SAS</v>
      </c>
      <c r="C21" s="324"/>
      <c r="D21" s="429"/>
      <c r="E21" s="104">
        <f t="shared" si="0"/>
        <v>0</v>
      </c>
      <c r="I21" s="107"/>
    </row>
    <row r="22" spans="1:9" ht="15" customHeight="1">
      <c r="A22" s="110">
        <v>12</v>
      </c>
      <c r="B22" s="105" t="str">
        <f>VLOOKUP(A22,'LISTA DE OFERENTES'!$A$4:$B$65,2,FALSE)</f>
        <v>EMPROCIV SAS</v>
      </c>
      <c r="C22" s="106">
        <f>+'EXPERIENCIA DEL PROPONENTE'!C165</f>
        <v>1441.696613736575</v>
      </c>
      <c r="D22" s="429"/>
      <c r="E22" s="104">
        <f t="shared" si="0"/>
        <v>53.864253410276298</v>
      </c>
      <c r="I22" s="107"/>
    </row>
    <row r="23" spans="1:9" ht="15" customHeight="1">
      <c r="A23" s="110">
        <v>13</v>
      </c>
      <c r="B23" s="105" t="str">
        <f>VLOOKUP(A23,'LISTA DE OFERENTES'!$A$4:$B$65,2,FALSE)</f>
        <v>CONSORCIO NOGAALL-LITORAL</v>
      </c>
      <c r="C23" s="106">
        <f>+'EXPERIENCIA DEL PROPONENTE'!C178</f>
        <v>1153.4489804153102</v>
      </c>
      <c r="D23" s="429"/>
      <c r="E23" s="104">
        <f t="shared" si="0"/>
        <v>64.91375736577244</v>
      </c>
      <c r="I23" s="107"/>
    </row>
    <row r="24" spans="1:9" ht="15" customHeight="1">
      <c r="A24" s="110">
        <v>14</v>
      </c>
      <c r="B24" s="105" t="str">
        <f>VLOOKUP(A24,'LISTA DE OFERENTES'!$A$4:$B$65,2,FALSE)</f>
        <v>GRUCOING SAS</v>
      </c>
      <c r="C24" s="106">
        <f>+'EXPERIENCIA DEL PROPONENTE'!C193</f>
        <v>987.97050107387759</v>
      </c>
      <c r="D24" s="429"/>
      <c r="E24" s="104">
        <f t="shared" si="0"/>
        <v>55.600965868606231</v>
      </c>
      <c r="I24" s="107"/>
    </row>
    <row r="25" spans="1:9" ht="15" customHeight="1">
      <c r="A25" s="110">
        <v>15</v>
      </c>
      <c r="B25" s="105" t="str">
        <f>VLOOKUP(A25,'LISTA DE OFERENTES'!$A$4:$B$65,2,FALSE)</f>
        <v>CONSORCIO ESPACIOS TVH</v>
      </c>
      <c r="C25" s="106">
        <f>+'EXPERIENCIA DEL PROPONENTE'!C205</f>
        <v>1432.7822059984769</v>
      </c>
      <c r="D25" s="429"/>
      <c r="E25" s="104">
        <f t="shared" si="0"/>
        <v>54.365938106171647</v>
      </c>
      <c r="I25" s="107"/>
    </row>
    <row r="26" spans="1:9" ht="15" customHeight="1">
      <c r="A26" s="110">
        <v>16</v>
      </c>
      <c r="B26" s="105" t="str">
        <f>VLOOKUP(A26,'LISTA DE OFERENTES'!$A$4:$B$65,2,FALSE)</f>
        <v>CONSORCIO VIAS Y ESP</v>
      </c>
      <c r="C26" s="324"/>
      <c r="D26" s="429"/>
      <c r="E26" s="104">
        <f t="shared" si="0"/>
        <v>0</v>
      </c>
      <c r="I26" s="107"/>
    </row>
    <row r="27" spans="1:9" ht="15" customHeight="1">
      <c r="A27" s="110">
        <v>17</v>
      </c>
      <c r="B27" s="105" t="str">
        <f>VLOOKUP(A27,'LISTA DE OFERENTES'!$A$4:$B$65,2,FALSE)</f>
        <v>CONSORCIO FONTIBON GM</v>
      </c>
      <c r="C27" s="324"/>
      <c r="D27" s="429"/>
      <c r="E27" s="104">
        <f t="shared" si="0"/>
        <v>0</v>
      </c>
      <c r="I27" s="107"/>
    </row>
    <row r="28" spans="1:9" ht="15" customHeight="1">
      <c r="A28" s="110">
        <v>18</v>
      </c>
      <c r="B28" s="105" t="str">
        <f>VLOOKUP(A28,'LISTA DE OFERENTES'!$A$4:$B$65,2,FALSE)</f>
        <v>CONSORCIO I.D. FONTIBÓN</v>
      </c>
      <c r="C28" s="324"/>
      <c r="D28" s="429"/>
      <c r="E28" s="104">
        <f t="shared" si="0"/>
        <v>0</v>
      </c>
      <c r="I28" s="107"/>
    </row>
    <row r="29" spans="1:9" ht="15" customHeight="1">
      <c r="A29" s="110">
        <v>19</v>
      </c>
      <c r="B29" s="105" t="str">
        <f>VLOOKUP(A29,'LISTA DE OFERENTES'!$A$4:$B$65,2,FALSE)</f>
        <v>CONSORCIO LG FONTIBÓN</v>
      </c>
      <c r="C29" s="106">
        <f>+'EXPERIENCIA DEL PROPONENTE'!C257</f>
        <v>1211.9118480080276</v>
      </c>
      <c r="D29" s="429"/>
      <c r="E29" s="486">
        <v>67.5</v>
      </c>
      <c r="I29" s="107"/>
    </row>
    <row r="30" spans="1:9" ht="15" customHeight="1">
      <c r="A30" s="110">
        <v>20</v>
      </c>
      <c r="B30" s="105" t="str">
        <f>VLOOKUP(A30,'LISTA DE OFERENTES'!$A$4:$B$65,2,FALSE)</f>
        <v>INTERSA S.A</v>
      </c>
      <c r="C30" s="324"/>
      <c r="D30" s="429"/>
      <c r="E30" s="104">
        <f t="shared" si="0"/>
        <v>0</v>
      </c>
      <c r="I30" s="107"/>
    </row>
    <row r="31" spans="1:9" ht="15" customHeight="1">
      <c r="A31" s="110">
        <v>21</v>
      </c>
      <c r="B31" s="105" t="str">
        <f>VLOOKUP(A31,'LISTA DE OFERENTES'!$A$4:$B$65,2,FALSE)</f>
        <v>CODIPRO INGENIERIA Y ARQUITECTURA LTDA. CONSTRUCCIONES, DISEÑOS Y PROYECTOS</v>
      </c>
      <c r="C31" s="324"/>
      <c r="D31" s="429"/>
      <c r="E31" s="104">
        <f t="shared" si="0"/>
        <v>0</v>
      </c>
      <c r="I31" s="107"/>
    </row>
    <row r="32" spans="1:9" ht="15" customHeight="1">
      <c r="A32" s="110">
        <v>22</v>
      </c>
      <c r="B32" s="105" t="str">
        <f>VLOOKUP(A32,'LISTA DE OFERENTES'!$A$4:$B$65,2,FALSE)</f>
        <v>CONSORCIO INGESCOR R 2024</v>
      </c>
      <c r="C32" s="324"/>
      <c r="D32" s="429"/>
      <c r="E32" s="104">
        <f t="shared" si="0"/>
        <v>0</v>
      </c>
      <c r="I32" s="107"/>
    </row>
    <row r="33" spans="1:9" ht="15" customHeight="1">
      <c r="A33" s="110">
        <v>23</v>
      </c>
      <c r="B33" s="105" t="str">
        <f>VLOOKUP(A33,'LISTA DE OFERENTES'!$A$4:$B$65,2,FALSE)</f>
        <v>CONSORCIO INTERVIAL URBANO</v>
      </c>
      <c r="C33" s="106">
        <f>+'EXPERIENCIA DEL PROPONENTE'!C317</f>
        <v>1972.5971762377237</v>
      </c>
      <c r="D33" s="429"/>
      <c r="E33" s="104">
        <f t="shared" si="0"/>
        <v>23.986251968770805</v>
      </c>
      <c r="I33" s="107"/>
    </row>
    <row r="34" spans="1:9" ht="15" customHeight="1">
      <c r="A34" s="110">
        <v>24</v>
      </c>
      <c r="B34" s="105" t="str">
        <f>VLOOKUP(A34,'LISTA DE OFERENTES'!$A$4:$B$65,2,FALSE)</f>
        <v>VELNEC SA</v>
      </c>
      <c r="C34" s="106">
        <f>+'EXPERIENCIA DEL PROPONENTE'!C331</f>
        <v>1092.2884960851466</v>
      </c>
      <c r="D34" s="429"/>
      <c r="E34" s="104">
        <f t="shared" si="0"/>
        <v>61.471769980468352</v>
      </c>
      <c r="I34" s="107"/>
    </row>
    <row r="35" spans="1:9" ht="15" customHeight="1">
      <c r="A35" s="110">
        <v>25</v>
      </c>
      <c r="B35" s="105" t="str">
        <f>VLOOKUP(A35,'LISTA DE OFERENTES'!$A$4:$B$65,2,FALSE)</f>
        <v>CONSORCIO INTERFONTIBON 2024</v>
      </c>
      <c r="C35" s="324"/>
      <c r="D35" s="429"/>
      <c r="E35" s="104">
        <f t="shared" si="0"/>
        <v>0</v>
      </c>
      <c r="I35" s="107"/>
    </row>
    <row r="36" spans="1:9" ht="15" customHeight="1">
      <c r="A36" s="110">
        <v>26</v>
      </c>
      <c r="B36" s="105" t="str">
        <f>VLOOKUP(A36,'LISTA DE OFERENTES'!$A$4:$B$65,2,FALSE)</f>
        <v>ING INGENIERIA S.A.S</v>
      </c>
      <c r="C36" s="324"/>
      <c r="D36" s="429"/>
      <c r="E36" s="104">
        <f t="shared" si="0"/>
        <v>0</v>
      </c>
      <c r="I36" s="107"/>
    </row>
    <row r="37" spans="1:9" ht="15" customHeight="1">
      <c r="A37" s="110">
        <v>27</v>
      </c>
      <c r="B37" s="105" t="str">
        <f>VLOOKUP(A37,'LISTA DE OFERENTES'!$A$4:$B$65,2,FALSE)</f>
        <v>CONSORCIO FATIMA</v>
      </c>
      <c r="C37" s="324"/>
      <c r="D37" s="429"/>
      <c r="E37" s="104">
        <f t="shared" si="0"/>
        <v>0</v>
      </c>
      <c r="I37" s="107"/>
    </row>
    <row r="38" spans="1:9" ht="15" customHeight="1">
      <c r="A38" s="110">
        <v>28</v>
      </c>
      <c r="B38" s="105" t="str">
        <f>VLOOKUP(A38,'LISTA DE OFERENTES'!$A$4:$B$65,2,FALSE)</f>
        <v>GEOTECNIA Y CIMIENTOS INGEOCIM S.A.S.</v>
      </c>
      <c r="C38" s="324"/>
      <c r="D38" s="429"/>
      <c r="E38" s="104">
        <f t="shared" si="0"/>
        <v>0</v>
      </c>
      <c r="I38" s="107"/>
    </row>
    <row r="39" spans="1:9" ht="15" customHeight="1">
      <c r="A39" s="110">
        <v>29</v>
      </c>
      <c r="B39" s="105" t="str">
        <f>VLOOKUP(A39,'LISTA DE OFERENTES'!$A$4:$B$65,2,FALSE)</f>
        <v>CONSORCIO FONTIBON JINT 001</v>
      </c>
      <c r="C39" s="324"/>
      <c r="D39" s="429"/>
      <c r="E39" s="104">
        <f t="shared" si="0"/>
        <v>0</v>
      </c>
      <c r="I39" s="107"/>
    </row>
    <row r="40" spans="1:9" ht="15" customHeight="1">
      <c r="A40" s="110">
        <v>30</v>
      </c>
      <c r="B40" s="105" t="str">
        <f>VLOOKUP(A40,'LISTA DE OFERENTES'!$A$4:$B$65,2,FALSE)</f>
        <v>CONSORCIO ALIANZA BOGOTA</v>
      </c>
      <c r="C40" s="106">
        <f>+'EXPERIENCIA DEL PROPONENTE'!C419</f>
        <v>1176.9489936998389</v>
      </c>
      <c r="D40" s="429"/>
      <c r="E40" s="104">
        <f t="shared" si="0"/>
        <v>66.236290209743629</v>
      </c>
      <c r="I40" s="107"/>
    </row>
    <row r="41" spans="1:9" ht="15" customHeight="1">
      <c r="A41" s="110">
        <v>31</v>
      </c>
      <c r="B41" s="105" t="str">
        <f>VLOOKUP(A41,'LISTA DE OFERENTES'!$A$4:$B$65,2,FALSE)</f>
        <v>CONSORCIO FEM – 34</v>
      </c>
      <c r="C41" s="106">
        <f>+'EXPERIENCIA DEL PROPONENTE'!C431</f>
        <v>1646.9470944338202</v>
      </c>
      <c r="D41" s="429"/>
      <c r="E41" s="104">
        <f t="shared" si="0"/>
        <v>42.313174750176522</v>
      </c>
      <c r="I41" s="107"/>
    </row>
    <row r="42" spans="1:9" ht="15" customHeight="1">
      <c r="A42" s="110">
        <v>32</v>
      </c>
      <c r="B42" s="105" t="str">
        <f>VLOOKUP(A42,'LISTA DE OFERENTES'!$A$4:$B$65,2,FALSE)</f>
        <v>CONSORCIO INTER FONTIBON</v>
      </c>
      <c r="C42" s="324"/>
      <c r="D42" s="429"/>
      <c r="E42" s="104">
        <f t="shared" si="0"/>
        <v>0</v>
      </c>
      <c r="I42" s="107"/>
    </row>
    <row r="43" spans="1:9" ht="15" customHeight="1">
      <c r="A43" s="110">
        <v>33</v>
      </c>
      <c r="B43" s="105" t="str">
        <f>VLOOKUP(A43,'LISTA DE OFERENTES'!$A$4:$B$65,2,FALSE)</f>
        <v>CONSORCIO ID FONTIBON 001</v>
      </c>
      <c r="C43" s="106">
        <f>'EXPERIENCIA DEL PROPONENTE'!C458</f>
        <v>2245.8771567076969</v>
      </c>
      <c r="D43" s="429"/>
      <c r="E43" s="104">
        <f t="shared" si="0"/>
        <v>8.6066117364273254</v>
      </c>
      <c r="G43" s="107"/>
      <c r="I43" s="107"/>
    </row>
    <row r="44" spans="1:9" ht="15" customHeight="1">
      <c r="A44" s="110">
        <v>34</v>
      </c>
      <c r="B44" s="105" t="str">
        <f>VLOOKUP(A44,'LISTA DE OFERENTES'!$A$4:$B$65,2,FALSE)</f>
        <v>CTV FONTIBON</v>
      </c>
      <c r="C44" s="106">
        <f>'EXPERIENCIA DEL PROPONENTE'!C475</f>
        <v>267.58995722620176</v>
      </c>
      <c r="D44" s="429"/>
      <c r="E44" s="104">
        <f t="shared" si="0"/>
        <v>15.059417323031273</v>
      </c>
      <c r="G44" s="107"/>
      <c r="I44" s="107"/>
    </row>
    <row r="45" spans="1:9" ht="15" customHeight="1">
      <c r="A45" s="110">
        <v>35</v>
      </c>
      <c r="B45" s="105" t="str">
        <f>VLOOKUP(A45,'LISTA DE OFERENTES'!$A$4:$B$65,2,FALSE)</f>
        <v>ESTUDIOS TÉCNICOS Y CONSTRUCCIONES SAS</v>
      </c>
      <c r="C45" s="324"/>
      <c r="D45" s="429"/>
      <c r="E45" s="104">
        <f t="shared" si="0"/>
        <v>0</v>
      </c>
      <c r="I45" s="107"/>
    </row>
    <row r="46" spans="1:9" ht="15" customHeight="1">
      <c r="A46" s="110">
        <v>36</v>
      </c>
      <c r="B46" s="105" t="str">
        <f>VLOOKUP(A46,'LISTA DE OFERENTES'!$A$4:$B$65,2,FALSE)</f>
        <v>ALIANZA INTEGRAL DE PROYECTOS SAS BIC</v>
      </c>
      <c r="C46" s="106">
        <f>'EXPERIENCIA DEL PROPONENTE'!C503</f>
        <v>1169.218098106365</v>
      </c>
      <c r="D46" s="429"/>
      <c r="E46" s="104">
        <f t="shared" si="0"/>
        <v>65.801211164813367</v>
      </c>
      <c r="G46" s="107"/>
      <c r="I46" s="107"/>
    </row>
    <row r="47" spans="1:9" ht="15" customHeight="1">
      <c r="A47" s="110">
        <v>37</v>
      </c>
      <c r="B47" s="105" t="str">
        <f>VLOOKUP(A47,'LISTA DE OFERENTES'!$A$4:$B$65,2,FALSE)</f>
        <v>CONSORCIO EPSILON FONTIBON</v>
      </c>
      <c r="C47" s="324"/>
      <c r="D47" s="429"/>
      <c r="E47" s="104">
        <f t="shared" si="0"/>
        <v>0</v>
      </c>
      <c r="I47" s="107"/>
    </row>
    <row r="48" spans="1:9" ht="15" customHeight="1">
      <c r="A48" s="110">
        <v>38</v>
      </c>
      <c r="B48" s="105" t="str">
        <f>VLOOKUP(A48,'LISTA DE OFERENTES'!$A$4:$B$65,2,FALSE)</f>
        <v>PAULO EMILIO BRAVO CONSULTORES SAS</v>
      </c>
      <c r="C48" s="324"/>
      <c r="D48" s="429"/>
      <c r="E48" s="104">
        <f t="shared" si="0"/>
        <v>0</v>
      </c>
      <c r="I48" s="107"/>
    </row>
    <row r="49" spans="1:9" ht="15" customHeight="1">
      <c r="A49" s="110">
        <v>39</v>
      </c>
      <c r="B49" s="105" t="str">
        <f>VLOOKUP(A49,'LISTA DE OFERENTES'!$A$4:$B$65,2,FALSE)</f>
        <v>ALMA Interventoría &amp; Consultoría S.A.S</v>
      </c>
      <c r="C49" s="324"/>
      <c r="D49" s="429"/>
      <c r="E49" s="104">
        <f t="shared" si="0"/>
        <v>0</v>
      </c>
      <c r="I49" s="107"/>
    </row>
    <row r="50" spans="1:9" ht="15" customHeight="1">
      <c r="A50" s="110">
        <v>40</v>
      </c>
      <c r="B50" s="105" t="str">
        <f>VLOOKUP(A50,'LISTA DE OFERENTES'!$A$4:$B$65,2,FALSE)</f>
        <v>CONSORCIO COING F001</v>
      </c>
      <c r="C50" s="106">
        <f>'EXPERIENCIA DEL PROPONENTE'!C559</f>
        <v>1228.7922438359155</v>
      </c>
      <c r="D50" s="429"/>
      <c r="E50" s="104">
        <f t="shared" si="0"/>
        <v>65.846077352647725</v>
      </c>
      <c r="I50" s="107"/>
    </row>
    <row r="51" spans="1:9" ht="15" customHeight="1">
      <c r="A51" s="110">
        <v>41</v>
      </c>
      <c r="B51" s="105" t="str">
        <f>VLOOKUP(A51,'LISTA DE OFERENTES'!$A$4:$B$65,2,FALSE)</f>
        <v>CONSORCIO FONTIBÓN KM 2024</v>
      </c>
      <c r="C51" s="324"/>
      <c r="D51" s="429"/>
      <c r="E51" s="104">
        <f t="shared" si="0"/>
        <v>0</v>
      </c>
      <c r="I51" s="107"/>
    </row>
    <row r="52" spans="1:9" ht="15" customHeight="1">
      <c r="A52" s="110">
        <v>42</v>
      </c>
      <c r="B52" s="105" t="str">
        <f>VLOOKUP(A52,'LISTA DE OFERENTES'!$A$4:$B$65,2,FALSE)</f>
        <v>CONSORCIO INTER FONTIBON JG</v>
      </c>
      <c r="C52" s="324"/>
      <c r="D52" s="429"/>
      <c r="E52" s="104">
        <f t="shared" si="0"/>
        <v>0</v>
      </c>
      <c r="I52" s="107"/>
    </row>
    <row r="53" spans="1:9" ht="15" customHeight="1">
      <c r="A53" s="110">
        <v>43</v>
      </c>
      <c r="B53" s="105" t="str">
        <f>VLOOKUP(A53,'LISTA DE OFERENTES'!$A$4:$B$65,2,FALSE)</f>
        <v>CONSORCIO INTER VÍAL G&amp;L</v>
      </c>
      <c r="C53" s="106">
        <f>'EXPERIENCIA DEL PROPONENTE'!C598</f>
        <v>867.53033856057573</v>
      </c>
      <c r="D53" s="429"/>
      <c r="E53" s="104">
        <f t="shared" si="0"/>
        <v>48.82283903401693</v>
      </c>
      <c r="I53" s="107"/>
    </row>
    <row r="54" spans="1:9" ht="15" customHeight="1">
      <c r="A54" s="110">
        <v>44</v>
      </c>
      <c r="B54" s="105" t="str">
        <f>VLOOKUP(A54,'LISTA DE OFERENTES'!$A$4:$B$65,2,FALSE)</f>
        <v>ECOVIAS SAS</v>
      </c>
      <c r="C54" s="106">
        <f>'EXPERIENCIA DEL PROPONENTE'!C614</f>
        <v>1174.7594103617175</v>
      </c>
      <c r="D54" s="429"/>
      <c r="E54" s="104">
        <f t="shared" si="0"/>
        <v>66.113064922837765</v>
      </c>
      <c r="I54" s="107"/>
    </row>
    <row r="55" spans="1:9" ht="15" customHeight="1">
      <c r="A55" s="110">
        <v>45</v>
      </c>
      <c r="B55" s="105" t="str">
        <f>VLOOKUP(A55,'LISTA DE OFERENTES'!$A$4:$B$65,2,FALSE)</f>
        <v>PROJEKTA LTDA INGENIEROS CONSULTORES</v>
      </c>
      <c r="C55" s="106">
        <f>'EXPERIENCIA DEL PROPONENTE'!C630</f>
        <v>911.4784325911296</v>
      </c>
      <c r="D55" s="429"/>
      <c r="E55" s="104">
        <f t="shared" si="0"/>
        <v>51.296148179914596</v>
      </c>
      <c r="I55" s="107"/>
    </row>
    <row r="56" spans="1:9" ht="15" customHeight="1">
      <c r="A56" s="110">
        <v>46</v>
      </c>
      <c r="B56" s="105" t="str">
        <f>VLOOKUP(A56,'LISTA DE OFERENTES'!$A$4:$B$65,2,FALSE)</f>
        <v>SOLUCIONES PARA LA INGENIERÍA S.A.S.</v>
      </c>
      <c r="C56" s="324"/>
      <c r="D56" s="429"/>
      <c r="E56" s="104">
        <f t="shared" si="0"/>
        <v>0</v>
      </c>
      <c r="I56" s="107"/>
    </row>
    <row r="57" spans="1:9" ht="15" customHeight="1">
      <c r="A57" s="110">
        <v>47</v>
      </c>
      <c r="B57" s="105" t="str">
        <f>VLOOKUP(A57,'LISTA DE OFERENTES'!$A$4:$B$65,2,FALSE)</f>
        <v>CONSORCIO INTERVIAL PH</v>
      </c>
      <c r="C57" s="324"/>
      <c r="D57" s="429"/>
      <c r="E57" s="104">
        <f t="shared" si="0"/>
        <v>0</v>
      </c>
      <c r="G57" s="107"/>
      <c r="I57" s="107"/>
    </row>
    <row r="58" spans="1:9" ht="15" customHeight="1">
      <c r="A58" s="110">
        <v>48</v>
      </c>
      <c r="B58" s="105" t="str">
        <f>VLOOKUP(A58,'LISTA DE OFERENTES'!$A$4:$B$65,2,FALSE)</f>
        <v>CONSORCIO SETEC VIAL FONTIBON</v>
      </c>
      <c r="C58" s="324"/>
      <c r="D58" s="429"/>
      <c r="E58" s="104">
        <f t="shared" si="0"/>
        <v>0</v>
      </c>
      <c r="I58" s="107"/>
    </row>
    <row r="59" spans="1:9" ht="15" customHeight="1">
      <c r="A59" s="110">
        <v>49</v>
      </c>
      <c r="B59" s="105" t="str">
        <f>VLOOKUP(A59,'LISTA DE OFERENTES'!$A$4:$B$65,2,FALSE)</f>
        <v>CONSORCIO CCP</v>
      </c>
      <c r="C59" s="324"/>
      <c r="D59" s="429"/>
      <c r="E59" s="104">
        <f t="shared" si="0"/>
        <v>0</v>
      </c>
      <c r="I59" s="107"/>
    </row>
    <row r="60" spans="1:9" ht="15" customHeight="1">
      <c r="A60" s="110">
        <v>50</v>
      </c>
      <c r="B60" s="105" t="str">
        <f>VLOOKUP(A60,'LISTA DE OFERENTES'!$A$4:$B$65,2,FALSE)</f>
        <v>CONSORCIO FONTIBON</v>
      </c>
      <c r="C60" s="324"/>
      <c r="D60" s="429"/>
      <c r="E60" s="104">
        <f t="shared" si="0"/>
        <v>0</v>
      </c>
      <c r="I60" s="107"/>
    </row>
    <row r="61" spans="1:9" ht="15" customHeight="1">
      <c r="A61" s="110">
        <v>51</v>
      </c>
      <c r="B61" s="105" t="str">
        <f>VLOOKUP(A61,'LISTA DE OFERENTES'!$A$4:$B$65,2,FALSE)</f>
        <v>CONSORCIO TECNOLOGICO</v>
      </c>
      <c r="C61" s="324"/>
      <c r="D61" s="429"/>
      <c r="E61" s="104">
        <f t="shared" si="0"/>
        <v>0</v>
      </c>
      <c r="I61" s="107"/>
    </row>
    <row r="62" spans="1:9" ht="15" customHeight="1">
      <c r="A62" s="110">
        <v>52</v>
      </c>
      <c r="B62" s="105" t="str">
        <f>VLOOKUP(A62,'LISTA DE OFERENTES'!$A$4:$B$65,2,FALSE)</f>
        <v>CONSORCIO INTERVIAL PH</v>
      </c>
      <c r="C62" s="106">
        <f>'EXPERIENCIA DEL PROPONENTE'!C735</f>
        <v>1385.776600282579</v>
      </c>
      <c r="D62" s="429"/>
      <c r="E62" s="104">
        <f t="shared" si="0"/>
        <v>57.011317777125385</v>
      </c>
      <c r="I62" s="107"/>
    </row>
    <row r="63" spans="1:9" ht="15" customHeight="1">
      <c r="A63" s="110">
        <v>53</v>
      </c>
      <c r="B63" s="105" t="str">
        <f>VLOOKUP(A63,'LISTA DE OFERENTES'!$A$4:$B$65,2,FALSE)</f>
        <v xml:space="preserve"> CONSORCIO VIAS FONTIBON PC</v>
      </c>
      <c r="C63" s="106">
        <f>'EXPERIENCIA DEL PROPONENTE'!C750</f>
        <v>1040.3561411958831</v>
      </c>
      <c r="D63" s="429"/>
      <c r="E63" s="104">
        <f t="shared" si="0"/>
        <v>58.549122908986234</v>
      </c>
      <c r="I63" s="107"/>
    </row>
    <row r="64" spans="1:9" ht="15" customHeight="1">
      <c r="A64" s="110">
        <v>54</v>
      </c>
      <c r="B64" s="105" t="str">
        <f>VLOOKUP(A64,'LISTA DE OFERENTES'!$A$4:$B$65,2,FALSE)</f>
        <v>CONSORCIO  MALLA VIAL FDLF</v>
      </c>
      <c r="C64" s="106">
        <f>'EXPERIENCIA DEL PROPONENTE'!C765</f>
        <v>832.62047460899282</v>
      </c>
      <c r="D64" s="429"/>
      <c r="E64" s="104">
        <f t="shared" si="0"/>
        <v>46.858183052952867</v>
      </c>
      <c r="I64" s="107"/>
    </row>
    <row r="65" spans="1:9" ht="15" customHeight="1">
      <c r="A65" s="110">
        <v>55</v>
      </c>
      <c r="B65" s="105" t="str">
        <f>VLOOKUP(A65,'LISTA DE OFERENTES'!$A$4:$B$65,2,FALSE)</f>
        <v>CONSORCIO INTER FONTIBON</v>
      </c>
      <c r="C65" s="324"/>
      <c r="D65" s="429"/>
      <c r="E65" s="104">
        <f t="shared" si="0"/>
        <v>0</v>
      </c>
      <c r="I65" s="107"/>
    </row>
    <row r="66" spans="1:9" ht="15" customHeight="1">
      <c r="A66" s="110">
        <v>56</v>
      </c>
      <c r="B66" s="105" t="str">
        <f>VLOOKUP(A66,'LISTA DE OFERENTES'!$A$4:$B$65,2,FALSE)</f>
        <v>CONSORCIO VIAS IC 2024</v>
      </c>
      <c r="C66" s="106">
        <f>'EXPERIENCIA DEL PROPONENTE'!C799</f>
        <v>1362.2831385367208</v>
      </c>
      <c r="D66" s="429"/>
      <c r="E66" s="104">
        <f t="shared" si="0"/>
        <v>58.333481913855195</v>
      </c>
      <c r="I66" s="107"/>
    </row>
    <row r="67" spans="1:9" ht="15" customHeight="1">
      <c r="A67" s="110">
        <v>57</v>
      </c>
      <c r="B67" s="105" t="str">
        <f>VLOOKUP(A67,'LISTA DE OFERENTES'!$A$4:$B$65,2,FALSE)</f>
        <v>ORBITA DESARROLLO S.A.S. BIC</v>
      </c>
      <c r="C67" s="106">
        <f>'EXPERIENCIA DEL PROPONENTE'!C813</f>
        <v>1140.7823754442577</v>
      </c>
      <c r="D67" s="429"/>
      <c r="E67" s="104">
        <f t="shared" si="0"/>
        <v>64.200906658285632</v>
      </c>
      <c r="I67" s="107"/>
    </row>
    <row r="68" spans="1:9" ht="15" customHeight="1">
      <c r="A68" s="110">
        <v>58</v>
      </c>
      <c r="B68" s="105" t="str">
        <f>VLOOKUP(A68,'LISTA DE OFERENTES'!$A$4:$B$65,2,FALSE)</f>
        <v>CONSORCIO CONSTRUCCIÓN Y DESARROLLO FONTIBÓN</v>
      </c>
      <c r="C68" s="106">
        <f>'EXPERIENCIA DEL PROPONENTE'!C828</f>
        <v>1332.6062703673806</v>
      </c>
      <c r="D68" s="429"/>
      <c r="E68" s="104">
        <f t="shared" si="0"/>
        <v>60.003635559512702</v>
      </c>
      <c r="I68" s="107"/>
    </row>
    <row r="69" spans="1:9" ht="15" customHeight="1">
      <c r="A69" s="110">
        <v>59</v>
      </c>
      <c r="B69" s="105" t="str">
        <f>VLOOKUP(A69,'LISTA DE OFERENTES'!$A$4:$B$65,2,FALSE)</f>
        <v>CONSORCIO ESPACIO PÚBLICO INT 2024</v>
      </c>
      <c r="C69" s="106">
        <f>'EXPERIENCIA DEL PROPONENTE'!C842</f>
        <v>1601.0197976623524</v>
      </c>
      <c r="D69" s="429"/>
      <c r="E69" s="104">
        <f t="shared" si="0"/>
        <v>44.897869391820258</v>
      </c>
      <c r="I69" s="107"/>
    </row>
    <row r="70" spans="1:9" ht="15" customHeight="1">
      <c r="A70" s="110">
        <v>60</v>
      </c>
      <c r="B70" s="105" t="str">
        <f>VLOOKUP(A70,'LISTA DE OFERENTES'!$A$4:$B$65,2,FALSE)</f>
        <v>CONSORCIO VÍAS PROTEV</v>
      </c>
      <c r="C70" s="106">
        <f>'EXPERIENCIA DEL PROPONENTE'!C858</f>
        <v>1394.2625898078693</v>
      </c>
      <c r="D70" s="429"/>
      <c r="E70" s="104">
        <f t="shared" si="0"/>
        <v>56.533743584936282</v>
      </c>
      <c r="I70" s="107"/>
    </row>
    <row r="71" spans="1:9" ht="15" customHeight="1">
      <c r="A71" s="110">
        <v>61</v>
      </c>
      <c r="B71" s="105" t="str">
        <f>VLOOKUP(A71,'LISTA DE OFERENTES'!$A$4:$B$65,2,FALSE)</f>
        <v>CONSORCIO INTERVENTORES FONTIBON</v>
      </c>
      <c r="C71" s="335">
        <f>'EXPERIENCIA DEL PROPONENTE'!C871</f>
        <v>1027.8093631563609</v>
      </c>
      <c r="D71" s="429"/>
      <c r="E71" s="104">
        <f t="shared" si="0"/>
        <v>57.843015816944337</v>
      </c>
      <c r="I71" s="107"/>
    </row>
    <row r="72" spans="1:9" ht="15" customHeight="1">
      <c r="A72" s="110">
        <v>62</v>
      </c>
      <c r="B72" s="105" t="str">
        <f>VLOOKUP(A72,'LISTA DE OFERENTES'!$A$4:$B$65,2,FALSE)</f>
        <v>CONCIC SAS</v>
      </c>
      <c r="C72" s="324"/>
      <c r="D72" s="429"/>
      <c r="E72" s="104">
        <f t="shared" si="0"/>
        <v>0</v>
      </c>
      <c r="I72" s="107"/>
    </row>
  </sheetData>
  <autoFilter ref="A10:H10" xr:uid="{00000000-0009-0000-0000-000005000000}">
    <filterColumn colId="0" showButton="0"/>
    <sortState xmlns:xlrd2="http://schemas.microsoft.com/office/spreadsheetml/2017/richdata2" ref="A11:H68">
      <sortCondition descending="1" ref="C10"/>
    </sortState>
  </autoFilter>
  <mergeCells count="6">
    <mergeCell ref="D11:D72"/>
    <mergeCell ref="A1:E1"/>
    <mergeCell ref="A2:E2"/>
    <mergeCell ref="A3:E3"/>
    <mergeCell ref="C8:D8"/>
    <mergeCell ref="A10:B10"/>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tint="-0.249977111117893"/>
  </sheetPr>
  <dimension ref="A1:C67"/>
  <sheetViews>
    <sheetView topLeftCell="C35" zoomScale="85" zoomScaleNormal="85" workbookViewId="0">
      <selection activeCell="C21" sqref="C21"/>
    </sheetView>
  </sheetViews>
  <sheetFormatPr baseColWidth="10" defaultColWidth="9.140625" defaultRowHeight="15"/>
  <cols>
    <col min="1" max="1" width="5.7109375" style="9" customWidth="1"/>
    <col min="2" max="2" width="101" style="22" bestFit="1" customWidth="1"/>
    <col min="3" max="3" width="42.42578125" style="9" customWidth="1"/>
    <col min="4" max="4" width="9.140625" style="9"/>
    <col min="5" max="5" width="49" style="9" customWidth="1"/>
    <col min="6" max="6" width="18.42578125" style="9" customWidth="1"/>
    <col min="7" max="16384" width="9.140625" style="9"/>
  </cols>
  <sheetData>
    <row r="1" spans="1:3" ht="31.5" customHeight="1" thickBot="1">
      <c r="A1" s="447" t="s">
        <v>0</v>
      </c>
      <c r="B1" s="448"/>
      <c r="C1" s="455"/>
    </row>
    <row r="2" spans="1:3" ht="31.5" customHeight="1" thickBot="1">
      <c r="A2" s="447" t="s">
        <v>245</v>
      </c>
      <c r="B2" s="448"/>
      <c r="C2" s="455"/>
    </row>
    <row r="3" spans="1:3" ht="75" customHeight="1" thickBot="1">
      <c r="A3" s="451" t="s">
        <v>777</v>
      </c>
      <c r="B3" s="452"/>
      <c r="C3" s="456"/>
    </row>
    <row r="4" spans="1:3" ht="14.1" customHeight="1" thickBot="1">
      <c r="A4" s="114"/>
      <c r="B4" s="28"/>
      <c r="C4" s="27"/>
    </row>
    <row r="5" spans="1:3" ht="45.75" customHeight="1" thickBot="1">
      <c r="A5" s="126" t="s">
        <v>783</v>
      </c>
      <c r="B5" s="126" t="s">
        <v>778</v>
      </c>
      <c r="C5" s="126" t="s">
        <v>784</v>
      </c>
    </row>
    <row r="6" spans="1:3" ht="18.75">
      <c r="A6" s="131">
        <v>1</v>
      </c>
      <c r="B6" s="132" t="str">
        <f>'LISTA DE OFERENTES'!B4</f>
        <v>CONSORCIO INTERVIALES PCI-PC</v>
      </c>
      <c r="C6" s="113" t="s">
        <v>785</v>
      </c>
    </row>
    <row r="7" spans="1:3" ht="18.75">
      <c r="A7" s="111">
        <v>2</v>
      </c>
      <c r="B7" s="112" t="str">
        <f>'LISTA DE OFERENTES'!B5</f>
        <v>CONSORCIO VÍAS FONTIBÓN 2025</v>
      </c>
      <c r="C7" s="113" t="s">
        <v>785</v>
      </c>
    </row>
    <row r="8" spans="1:3" ht="18.75">
      <c r="A8" s="111">
        <v>3</v>
      </c>
      <c r="B8" s="112" t="str">
        <f>'LISTA DE OFERENTES'!B6</f>
        <v>MORALBA SANCHEZ ORDOÑEZ</v>
      </c>
      <c r="C8" s="113" t="s">
        <v>785</v>
      </c>
    </row>
    <row r="9" spans="1:3" ht="18.75">
      <c r="A9" s="111">
        <v>4</v>
      </c>
      <c r="B9" s="112" t="str">
        <f>'LISTA DE OFERENTES'!B7</f>
        <v>GRUPO METRO COLOMBIA SAS</v>
      </c>
      <c r="C9" s="113" t="s">
        <v>785</v>
      </c>
    </row>
    <row r="10" spans="1:3" ht="18.75">
      <c r="A10" s="111">
        <v>5</v>
      </c>
      <c r="B10" s="112" t="str">
        <f>'LISTA DE OFERENTES'!B8</f>
        <v>CONSORCIO INTER CGS F1</v>
      </c>
      <c r="C10" s="113" t="s">
        <v>785</v>
      </c>
    </row>
    <row r="11" spans="1:3" ht="18.75">
      <c r="A11" s="111">
        <v>6</v>
      </c>
      <c r="B11" s="112" t="str">
        <f>'LISTA DE OFERENTES'!B9</f>
        <v>INGENIEROS CONSTRUCTORES Y ASESORES SAS</v>
      </c>
      <c r="C11" s="113" t="s">
        <v>785</v>
      </c>
    </row>
    <row r="12" spans="1:3" ht="18.75">
      <c r="A12" s="111">
        <v>7</v>
      </c>
      <c r="B12" s="112" t="str">
        <f>'LISTA DE OFERENTES'!B10</f>
        <v>GPM PROYECTOS DE INGENIERIA SAS</v>
      </c>
      <c r="C12" s="113" t="s">
        <v>785</v>
      </c>
    </row>
    <row r="13" spans="1:3" ht="18.75">
      <c r="A13" s="111">
        <v>8</v>
      </c>
      <c r="B13" s="112" t="str">
        <f>'LISTA DE OFERENTES'!B11</f>
        <v>CONSORCIO MODELIA 24</v>
      </c>
      <c r="C13" s="113" t="s">
        <v>785</v>
      </c>
    </row>
    <row r="14" spans="1:3" ht="18.75">
      <c r="A14" s="111">
        <v>9</v>
      </c>
      <c r="B14" s="112" t="str">
        <f>'LISTA DE OFERENTES'!B12</f>
        <v>UNIÓN TEMPORAL ROADS 402</v>
      </c>
      <c r="C14" s="113" t="s">
        <v>785</v>
      </c>
    </row>
    <row r="15" spans="1:3" ht="18.75">
      <c r="A15" s="111">
        <v>10</v>
      </c>
      <c r="B15" s="112" t="str">
        <f>'LISTA DE OFERENTES'!B13</f>
        <v>CONSORCIO MALLA VIAL 206</v>
      </c>
      <c r="C15" s="113" t="s">
        <v>785</v>
      </c>
    </row>
    <row r="16" spans="1:3" ht="18.75">
      <c r="A16" s="111">
        <v>11</v>
      </c>
      <c r="B16" s="112" t="str">
        <f>'LISTA DE OFERENTES'!B14</f>
        <v>INTERVENTORIA Y CONSTRUCIVILES SAS</v>
      </c>
      <c r="C16" s="113" t="s">
        <v>785</v>
      </c>
    </row>
    <row r="17" spans="1:3" ht="18.75">
      <c r="A17" s="111">
        <v>12</v>
      </c>
      <c r="B17" s="112" t="str">
        <f>'LISTA DE OFERENTES'!B15</f>
        <v>EMPROCIV SAS</v>
      </c>
      <c r="C17" s="113" t="s">
        <v>785</v>
      </c>
    </row>
    <row r="18" spans="1:3" ht="18.75">
      <c r="A18" s="111">
        <v>13</v>
      </c>
      <c r="B18" s="112" t="str">
        <f>'LISTA DE OFERENTES'!B16</f>
        <v>CONSORCIO NOGAALL-LITORAL</v>
      </c>
      <c r="C18" s="113" t="s">
        <v>785</v>
      </c>
    </row>
    <row r="19" spans="1:3" ht="18.75">
      <c r="A19" s="111">
        <v>14</v>
      </c>
      <c r="B19" s="112" t="str">
        <f>'LISTA DE OFERENTES'!B17</f>
        <v>GRUCOING SAS</v>
      </c>
      <c r="C19" s="113" t="s">
        <v>785</v>
      </c>
    </row>
    <row r="20" spans="1:3" ht="18.75">
      <c r="A20" s="111">
        <v>15</v>
      </c>
      <c r="B20" s="112" t="str">
        <f>'LISTA DE OFERENTES'!B18</f>
        <v>CONSORCIO ESPACIOS TVH</v>
      </c>
      <c r="C20" s="113" t="s">
        <v>785</v>
      </c>
    </row>
    <row r="21" spans="1:3" ht="18.75">
      <c r="A21" s="111">
        <v>16</v>
      </c>
      <c r="B21" s="112" t="str">
        <f>'LISTA DE OFERENTES'!B19</f>
        <v>CONSORCIO VIAS Y ESP</v>
      </c>
      <c r="C21" s="113" t="s">
        <v>785</v>
      </c>
    </row>
    <row r="22" spans="1:3" ht="18.75">
      <c r="A22" s="111">
        <v>17</v>
      </c>
      <c r="B22" s="112" t="str">
        <f>'LISTA DE OFERENTES'!B20</f>
        <v>CONSORCIO FONTIBON GM</v>
      </c>
      <c r="C22" s="113" t="s">
        <v>785</v>
      </c>
    </row>
    <row r="23" spans="1:3" ht="18.75">
      <c r="A23" s="111">
        <v>18</v>
      </c>
      <c r="B23" s="112" t="str">
        <f>'LISTA DE OFERENTES'!B21</f>
        <v>CONSORCIO I.D. FONTIBÓN</v>
      </c>
      <c r="C23" s="113" t="s">
        <v>785</v>
      </c>
    </row>
    <row r="24" spans="1:3" ht="18.75">
      <c r="A24" s="111">
        <v>19</v>
      </c>
      <c r="B24" s="112" t="str">
        <f>'LISTA DE OFERENTES'!B22</f>
        <v>CONSORCIO LG FONTIBÓN</v>
      </c>
      <c r="C24" s="113" t="s">
        <v>785</v>
      </c>
    </row>
    <row r="25" spans="1:3" ht="18.75">
      <c r="A25" s="111">
        <v>20</v>
      </c>
      <c r="B25" s="112" t="str">
        <f>'LISTA DE OFERENTES'!B23</f>
        <v>INTERSA S.A</v>
      </c>
      <c r="C25" s="113" t="s">
        <v>785</v>
      </c>
    </row>
    <row r="26" spans="1:3" ht="18.75">
      <c r="A26" s="111">
        <v>21</v>
      </c>
      <c r="B26" s="112" t="str">
        <f>'LISTA DE OFERENTES'!B24</f>
        <v>CODIPRO INGENIERIA Y ARQUITECTURA LTDA. CONSTRUCCIONES, DISEÑOS Y PROYECTOS</v>
      </c>
      <c r="C26" s="113" t="s">
        <v>785</v>
      </c>
    </row>
    <row r="27" spans="1:3" ht="18.75">
      <c r="A27" s="111">
        <v>22</v>
      </c>
      <c r="B27" s="112" t="str">
        <f>'LISTA DE OFERENTES'!B25</f>
        <v>CONSORCIO INGESCOR R 2024</v>
      </c>
      <c r="C27" s="113" t="s">
        <v>785</v>
      </c>
    </row>
    <row r="28" spans="1:3" ht="18.75">
      <c r="A28" s="111">
        <v>23</v>
      </c>
      <c r="B28" s="112" t="str">
        <f>'LISTA DE OFERENTES'!B26</f>
        <v>CONSORCIO INTERVIAL URBANO</v>
      </c>
      <c r="C28" s="113" t="s">
        <v>785</v>
      </c>
    </row>
    <row r="29" spans="1:3" ht="18.75">
      <c r="A29" s="111">
        <v>24</v>
      </c>
      <c r="B29" s="112" t="str">
        <f>'LISTA DE OFERENTES'!B27</f>
        <v>VELNEC SA</v>
      </c>
      <c r="C29" s="113" t="s">
        <v>785</v>
      </c>
    </row>
    <row r="30" spans="1:3" ht="18.75">
      <c r="A30" s="111">
        <v>25</v>
      </c>
      <c r="B30" s="112" t="str">
        <f>'LISTA DE OFERENTES'!B28</f>
        <v>CONSORCIO INTERFONTIBON 2024</v>
      </c>
      <c r="C30" s="113" t="s">
        <v>785</v>
      </c>
    </row>
    <row r="31" spans="1:3" ht="18.75">
      <c r="A31" s="111">
        <v>26</v>
      </c>
      <c r="B31" s="112" t="str">
        <f>'LISTA DE OFERENTES'!B29</f>
        <v>ING INGENIERIA S.A.S</v>
      </c>
      <c r="C31" s="113" t="s">
        <v>785</v>
      </c>
    </row>
    <row r="32" spans="1:3" ht="18.75">
      <c r="A32" s="111">
        <v>27</v>
      </c>
      <c r="B32" s="112" t="str">
        <f>'LISTA DE OFERENTES'!B30</f>
        <v>CONSORCIO FATIMA</v>
      </c>
      <c r="C32" s="113" t="s">
        <v>785</v>
      </c>
    </row>
    <row r="33" spans="1:3" ht="18.75">
      <c r="A33" s="111">
        <v>28</v>
      </c>
      <c r="B33" s="112" t="str">
        <f>'LISTA DE OFERENTES'!B31</f>
        <v>GEOTECNIA Y CIMIENTOS INGEOCIM S.A.S.</v>
      </c>
      <c r="C33" s="113" t="s">
        <v>785</v>
      </c>
    </row>
    <row r="34" spans="1:3" ht="18.75">
      <c r="A34" s="111">
        <v>29</v>
      </c>
      <c r="B34" s="112" t="str">
        <f>'LISTA DE OFERENTES'!B32</f>
        <v>CONSORCIO FONTIBON JINT 001</v>
      </c>
      <c r="C34" s="113" t="s">
        <v>785</v>
      </c>
    </row>
    <row r="35" spans="1:3" ht="18.75">
      <c r="A35" s="111">
        <v>30</v>
      </c>
      <c r="B35" s="112" t="str">
        <f>'LISTA DE OFERENTES'!B33</f>
        <v>CONSORCIO ALIANZA BOGOTA</v>
      </c>
      <c r="C35" s="113" t="s">
        <v>785</v>
      </c>
    </row>
    <row r="36" spans="1:3" ht="18.75">
      <c r="A36" s="111">
        <v>31</v>
      </c>
      <c r="B36" s="112" t="str">
        <f>'LISTA DE OFERENTES'!B34</f>
        <v>CONSORCIO FEM – 34</v>
      </c>
      <c r="C36" s="113" t="s">
        <v>785</v>
      </c>
    </row>
    <row r="37" spans="1:3" ht="18.75">
      <c r="A37" s="111">
        <v>32</v>
      </c>
      <c r="B37" s="112" t="str">
        <f>'LISTA DE OFERENTES'!B35</f>
        <v>CONSORCIO INTER FONTIBON</v>
      </c>
      <c r="C37" s="113" t="s">
        <v>785</v>
      </c>
    </row>
    <row r="38" spans="1:3" ht="18.75">
      <c r="A38" s="111">
        <v>33</v>
      </c>
      <c r="B38" s="112" t="str">
        <f>'LISTA DE OFERENTES'!B36</f>
        <v>CONSORCIO ID FONTIBON 001</v>
      </c>
      <c r="C38" s="113" t="s">
        <v>785</v>
      </c>
    </row>
    <row r="39" spans="1:3" ht="18.75">
      <c r="A39" s="111">
        <v>34</v>
      </c>
      <c r="B39" s="112" t="str">
        <f>'LISTA DE OFERENTES'!B37</f>
        <v>CTV FONTIBON</v>
      </c>
      <c r="C39" s="113" t="s">
        <v>785</v>
      </c>
    </row>
    <row r="40" spans="1:3" ht="18.75">
      <c r="A40" s="111">
        <v>35</v>
      </c>
      <c r="B40" s="112" t="str">
        <f>'LISTA DE OFERENTES'!B38</f>
        <v>ESTUDIOS TÉCNICOS Y CONSTRUCCIONES SAS</v>
      </c>
      <c r="C40" s="113" t="s">
        <v>785</v>
      </c>
    </row>
    <row r="41" spans="1:3" ht="18.75">
      <c r="A41" s="111">
        <v>36</v>
      </c>
      <c r="B41" s="112" t="str">
        <f>'LISTA DE OFERENTES'!B39</f>
        <v>ALIANZA INTEGRAL DE PROYECTOS SAS BIC</v>
      </c>
      <c r="C41" s="113" t="s">
        <v>785</v>
      </c>
    </row>
    <row r="42" spans="1:3" ht="18.75">
      <c r="A42" s="111">
        <v>37</v>
      </c>
      <c r="B42" s="112" t="str">
        <f>'LISTA DE OFERENTES'!B40</f>
        <v>CONSORCIO EPSILON FONTIBON</v>
      </c>
      <c r="C42" s="113" t="s">
        <v>785</v>
      </c>
    </row>
    <row r="43" spans="1:3" ht="18.75">
      <c r="A43" s="111">
        <v>38</v>
      </c>
      <c r="B43" s="112" t="str">
        <f>'LISTA DE OFERENTES'!B41</f>
        <v>PAULO EMILIO BRAVO CONSULTORES SAS</v>
      </c>
      <c r="C43" s="113" t="s">
        <v>785</v>
      </c>
    </row>
    <row r="44" spans="1:3" ht="18.75">
      <c r="A44" s="111">
        <v>39</v>
      </c>
      <c r="B44" s="112" t="str">
        <f>'LISTA DE OFERENTES'!B42</f>
        <v>ALMA Interventoría &amp; Consultoría S.A.S</v>
      </c>
      <c r="C44" s="113" t="s">
        <v>785</v>
      </c>
    </row>
    <row r="45" spans="1:3" ht="18.75">
      <c r="A45" s="111">
        <v>40</v>
      </c>
      <c r="B45" s="112" t="str">
        <f>'LISTA DE OFERENTES'!B43</f>
        <v>CONSORCIO COING F001</v>
      </c>
      <c r="C45" s="113" t="s">
        <v>785</v>
      </c>
    </row>
    <row r="46" spans="1:3" ht="18.75">
      <c r="A46" s="111">
        <v>41</v>
      </c>
      <c r="B46" s="112" t="str">
        <f>'LISTA DE OFERENTES'!B44</f>
        <v>CONSORCIO FONTIBÓN KM 2024</v>
      </c>
      <c r="C46" s="113" t="s">
        <v>785</v>
      </c>
    </row>
    <row r="47" spans="1:3" ht="18.75">
      <c r="A47" s="111">
        <v>42</v>
      </c>
      <c r="B47" s="112" t="str">
        <f>'LISTA DE OFERENTES'!B45</f>
        <v>CONSORCIO INTER FONTIBON JG</v>
      </c>
      <c r="C47" s="113" t="s">
        <v>785</v>
      </c>
    </row>
    <row r="48" spans="1:3" ht="18.75">
      <c r="A48" s="111">
        <v>43</v>
      </c>
      <c r="B48" s="112" t="str">
        <f>'LISTA DE OFERENTES'!B46</f>
        <v>CONSORCIO INTER VÍAL G&amp;L</v>
      </c>
      <c r="C48" s="113" t="s">
        <v>785</v>
      </c>
    </row>
    <row r="49" spans="1:3" ht="18.75">
      <c r="A49" s="111">
        <v>44</v>
      </c>
      <c r="B49" s="112" t="str">
        <f>'LISTA DE OFERENTES'!B47</f>
        <v>ECOVIAS SAS</v>
      </c>
      <c r="C49" s="113" t="s">
        <v>785</v>
      </c>
    </row>
    <row r="50" spans="1:3" ht="18.75">
      <c r="A50" s="111">
        <v>45</v>
      </c>
      <c r="B50" s="112" t="str">
        <f>'LISTA DE OFERENTES'!B48</f>
        <v>PROJEKTA LTDA INGENIEROS CONSULTORES</v>
      </c>
      <c r="C50" s="113" t="s">
        <v>785</v>
      </c>
    </row>
    <row r="51" spans="1:3" ht="18.75">
      <c r="A51" s="111">
        <v>46</v>
      </c>
      <c r="B51" s="112" t="str">
        <f>'LISTA DE OFERENTES'!B49</f>
        <v>SOLUCIONES PARA LA INGENIERÍA S.A.S.</v>
      </c>
      <c r="C51" s="113" t="s">
        <v>785</v>
      </c>
    </row>
    <row r="52" spans="1:3" ht="18.75">
      <c r="A52" s="111">
        <v>47</v>
      </c>
      <c r="B52" s="112" t="str">
        <f>'LISTA DE OFERENTES'!B50</f>
        <v>CONSORCIO INTERVIAL PH</v>
      </c>
      <c r="C52" s="113" t="s">
        <v>785</v>
      </c>
    </row>
    <row r="53" spans="1:3" ht="18.75">
      <c r="A53" s="111">
        <v>48</v>
      </c>
      <c r="B53" s="112" t="str">
        <f>'LISTA DE OFERENTES'!B51</f>
        <v>CONSORCIO SETEC VIAL FONTIBON</v>
      </c>
      <c r="C53" s="113" t="s">
        <v>785</v>
      </c>
    </row>
    <row r="54" spans="1:3" ht="18.75">
      <c r="A54" s="111">
        <v>49</v>
      </c>
      <c r="B54" s="112" t="str">
        <f>'LISTA DE OFERENTES'!B52</f>
        <v>CONSORCIO CCP</v>
      </c>
      <c r="C54" s="113" t="s">
        <v>785</v>
      </c>
    </row>
    <row r="55" spans="1:3" ht="18.75">
      <c r="A55" s="111">
        <v>50</v>
      </c>
      <c r="B55" s="112" t="str">
        <f>'LISTA DE OFERENTES'!B53</f>
        <v>CONSORCIO FONTIBON</v>
      </c>
      <c r="C55" s="113" t="s">
        <v>785</v>
      </c>
    </row>
    <row r="56" spans="1:3" ht="18.75">
      <c r="A56" s="111">
        <v>51</v>
      </c>
      <c r="B56" s="112" t="str">
        <f>'LISTA DE OFERENTES'!B54</f>
        <v>CONSORCIO TECNOLOGICO</v>
      </c>
      <c r="C56" s="113" t="s">
        <v>785</v>
      </c>
    </row>
    <row r="57" spans="1:3" ht="18.75">
      <c r="A57" s="111">
        <v>52</v>
      </c>
      <c r="B57" s="112" t="str">
        <f>'LISTA DE OFERENTES'!B55</f>
        <v>CONSORCIO INTERVIAL PH</v>
      </c>
      <c r="C57" s="113" t="s">
        <v>785</v>
      </c>
    </row>
    <row r="58" spans="1:3" ht="18.75">
      <c r="A58" s="111">
        <v>53</v>
      </c>
      <c r="B58" s="112" t="str">
        <f>'LISTA DE OFERENTES'!B56</f>
        <v xml:space="preserve"> CONSORCIO VIAS FONTIBON PC</v>
      </c>
      <c r="C58" s="113" t="s">
        <v>785</v>
      </c>
    </row>
    <row r="59" spans="1:3" ht="18.75">
      <c r="A59" s="111">
        <v>54</v>
      </c>
      <c r="B59" s="112" t="str">
        <f>'LISTA DE OFERENTES'!B57</f>
        <v>CONSORCIO  MALLA VIAL FDLF</v>
      </c>
      <c r="C59" s="113" t="s">
        <v>785</v>
      </c>
    </row>
    <row r="60" spans="1:3" ht="18.75">
      <c r="A60" s="111">
        <v>55</v>
      </c>
      <c r="B60" s="112" t="str">
        <f>'LISTA DE OFERENTES'!B58</f>
        <v>CONSORCIO INTER FONTIBON</v>
      </c>
      <c r="C60" s="113" t="s">
        <v>785</v>
      </c>
    </row>
    <row r="61" spans="1:3" ht="18.75">
      <c r="A61" s="111">
        <v>56</v>
      </c>
      <c r="B61" s="112" t="str">
        <f>'LISTA DE OFERENTES'!B59</f>
        <v>CONSORCIO VIAS IC 2024</v>
      </c>
      <c r="C61" s="113" t="s">
        <v>785</v>
      </c>
    </row>
    <row r="62" spans="1:3" ht="18.75">
      <c r="A62" s="111">
        <v>57</v>
      </c>
      <c r="B62" s="112" t="str">
        <f>'LISTA DE OFERENTES'!B60</f>
        <v>ORBITA DESARROLLO S.A.S. BIC</v>
      </c>
      <c r="C62" s="113" t="s">
        <v>785</v>
      </c>
    </row>
    <row r="63" spans="1:3" ht="18.75">
      <c r="A63" s="111">
        <v>58</v>
      </c>
      <c r="B63" s="112" t="str">
        <f>'LISTA DE OFERENTES'!B61</f>
        <v>CONSORCIO CONSTRUCCIÓN Y DESARROLLO FONTIBÓN</v>
      </c>
      <c r="C63" s="113" t="s">
        <v>785</v>
      </c>
    </row>
    <row r="64" spans="1:3" ht="18.75">
      <c r="A64" s="111">
        <v>59</v>
      </c>
      <c r="B64" s="112" t="str">
        <f>'LISTA DE OFERENTES'!B62</f>
        <v>CONSORCIO ESPACIO PÚBLICO INT 2024</v>
      </c>
      <c r="C64" s="113" t="s">
        <v>785</v>
      </c>
    </row>
    <row r="65" spans="1:3" ht="18.75">
      <c r="A65" s="111">
        <v>60</v>
      </c>
      <c r="B65" s="112" t="str">
        <f>'LISTA DE OFERENTES'!B63</f>
        <v>CONSORCIO VÍAS PROTEV</v>
      </c>
      <c r="C65" s="113" t="s">
        <v>785</v>
      </c>
    </row>
    <row r="66" spans="1:3" ht="18.75">
      <c r="A66" s="111">
        <v>61</v>
      </c>
      <c r="B66" s="112" t="str">
        <f>'LISTA DE OFERENTES'!B64</f>
        <v>CONSORCIO INTERVENTORES FONTIBON</v>
      </c>
      <c r="C66" s="113" t="s">
        <v>785</v>
      </c>
    </row>
    <row r="67" spans="1:3" ht="18.75">
      <c r="A67" s="111">
        <v>62</v>
      </c>
      <c r="B67" s="112" t="str">
        <f>'LISTA DE OFERENTES'!B65</f>
        <v>CONCIC SAS</v>
      </c>
      <c r="C67" s="113" t="s">
        <v>785</v>
      </c>
    </row>
  </sheetData>
  <dataConsolidate link="1"/>
  <mergeCells count="3">
    <mergeCell ref="A1:C1"/>
    <mergeCell ref="A2:C2"/>
    <mergeCell ref="A3:C3"/>
  </mergeCells>
  <conditionalFormatting sqref="C6">
    <cfRule type="containsText" dxfId="157" priority="17" operator="containsText" text="NO HABIL">
      <formula>NOT(ISERROR(SEARCH("NO HABIL",C6)))</formula>
    </cfRule>
    <cfRule type="containsText" dxfId="156" priority="18" operator="containsText" text="NO HABIL ">
      <formula>NOT(ISERROR(SEARCH("NO HABIL ",C6)))</formula>
    </cfRule>
  </conditionalFormatting>
  <conditionalFormatting sqref="C6:C67">
    <cfRule type="containsText" dxfId="155" priority="1" operator="containsText" text="NO HABILITADO">
      <formula>NOT(ISERROR(SEARCH("NO HABILITADO",C6)))</formula>
    </cfRule>
    <cfRule type="containsText" dxfId="154" priority="2" operator="containsText" text="HABILITADO">
      <formula>NOT(ISERROR(SEARCH("HABILITADO",C6)))</formula>
    </cfRule>
  </conditionalFormatting>
  <conditionalFormatting sqref="C29">
    <cfRule type="containsText" dxfId="153" priority="11" operator="containsText" text="NO HABIL">
      <formula>NOT(ISERROR(SEARCH("NO HABIL",C29)))</formula>
    </cfRule>
    <cfRule type="containsText" dxfId="152" priority="12" operator="containsText" text="NO HABIL ">
      <formula>NOT(ISERROR(SEARCH("NO HABIL ",C29)))</formula>
    </cfRule>
  </conditionalFormatting>
  <conditionalFormatting sqref="C39">
    <cfRule type="containsText" dxfId="151" priority="7" operator="containsText" text="NO HABIL">
      <formula>NOT(ISERROR(SEARCH("NO HABIL",C39)))</formula>
    </cfRule>
    <cfRule type="containsText" dxfId="150" priority="8" operator="containsText" text="NO HABIL ">
      <formula>NOT(ISERROR(SEARCH("NO HABIL ",C39)))</formula>
    </cfRule>
  </conditionalFormatting>
  <conditionalFormatting sqref="C68:C1048576">
    <cfRule type="containsText" dxfId="149" priority="321" operator="containsText" text="NO CUMPLE">
      <formula>NOT(ISERROR(SEARCH("NO CUMPLE",C68)))</formula>
    </cfRule>
    <cfRule type="containsText" dxfId="148" priority="322" operator="containsText" text="CUMPLE">
      <formula>NOT(ISERROR(SEARCH("CUMPLE",C68)))</formula>
    </cfRule>
  </conditionalFormatting>
  <pageMargins left="0.70866141732283472" right="0.70866141732283472" top="0.74803149606299213" bottom="0.74803149606299213" header="0.51181102362204722" footer="0.51181102362204722"/>
  <pageSetup scale="50" firstPageNumber="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O69"/>
  <sheetViews>
    <sheetView topLeftCell="D1" zoomScale="85" zoomScaleNormal="85" zoomScaleSheetLayoutView="100" zoomScalePageLayoutView="70" workbookViewId="0">
      <selection activeCell="M66" sqref="M66"/>
    </sheetView>
  </sheetViews>
  <sheetFormatPr baseColWidth="10" defaultColWidth="11.42578125" defaultRowHeight="15"/>
  <cols>
    <col min="1" max="1" width="6.85546875" style="47" customWidth="1"/>
    <col min="2" max="2" width="64" style="47" customWidth="1"/>
    <col min="3" max="3" width="38.28515625" style="47" customWidth="1"/>
    <col min="4" max="5" width="22.42578125" style="47" customWidth="1"/>
    <col min="6" max="6" width="17.85546875" style="47" customWidth="1"/>
    <col min="7" max="7" width="20.28515625" style="47" customWidth="1"/>
    <col min="8" max="8" width="23" style="47" customWidth="1"/>
    <col min="9" max="11" width="20.28515625" style="47" customWidth="1"/>
    <col min="12" max="12" width="15" style="47" customWidth="1"/>
    <col min="13" max="13" width="97" style="47" bestFit="1" customWidth="1"/>
    <col min="14" max="16384" width="11.42578125" style="47"/>
  </cols>
  <sheetData>
    <row r="1" spans="1:15" ht="60.75" customHeight="1" thickBot="1">
      <c r="A1" s="457" t="s">
        <v>0</v>
      </c>
      <c r="B1" s="458"/>
      <c r="C1" s="459"/>
      <c r="D1" s="471"/>
      <c r="E1" s="472"/>
      <c r="F1" s="472"/>
      <c r="G1" s="472"/>
      <c r="H1" s="472"/>
      <c r="I1" s="472"/>
      <c r="J1" s="472"/>
      <c r="K1" s="472"/>
      <c r="L1" s="472"/>
      <c r="M1" s="473"/>
    </row>
    <row r="2" spans="1:15" ht="48.75" customHeight="1" thickBot="1">
      <c r="A2" s="457" t="s">
        <v>786</v>
      </c>
      <c r="B2" s="458"/>
      <c r="C2" s="459"/>
      <c r="D2" s="474"/>
      <c r="E2" s="475"/>
      <c r="F2" s="475"/>
      <c r="G2" s="475"/>
      <c r="H2" s="475"/>
      <c r="I2" s="475"/>
      <c r="J2" s="475"/>
      <c r="K2" s="475"/>
      <c r="L2" s="475"/>
      <c r="M2" s="476"/>
    </row>
    <row r="3" spans="1:15" ht="31.5" customHeight="1">
      <c r="A3" s="460" t="s">
        <v>787</v>
      </c>
      <c r="B3" s="461"/>
      <c r="C3" s="462"/>
      <c r="D3" s="474"/>
      <c r="E3" s="475"/>
      <c r="F3" s="475"/>
      <c r="G3" s="475"/>
      <c r="H3" s="475"/>
      <c r="I3" s="475"/>
      <c r="J3" s="475"/>
      <c r="K3" s="475"/>
      <c r="L3" s="475"/>
      <c r="M3" s="476"/>
    </row>
    <row r="4" spans="1:15" ht="38.25" customHeight="1">
      <c r="A4" s="463"/>
      <c r="B4" s="464"/>
      <c r="C4" s="465"/>
      <c r="D4" s="474"/>
      <c r="E4" s="475"/>
      <c r="F4" s="475"/>
      <c r="G4" s="475"/>
      <c r="H4" s="475"/>
      <c r="I4" s="475"/>
      <c r="J4" s="475"/>
      <c r="K4" s="475"/>
      <c r="L4" s="475"/>
      <c r="M4" s="476"/>
    </row>
    <row r="5" spans="1:15" ht="39" customHeight="1" thickBot="1">
      <c r="A5" s="466"/>
      <c r="B5" s="467"/>
      <c r="C5" s="468"/>
      <c r="D5" s="477"/>
      <c r="E5" s="478"/>
      <c r="F5" s="478"/>
      <c r="G5" s="478"/>
      <c r="H5" s="478"/>
      <c r="I5" s="478"/>
      <c r="J5" s="478"/>
      <c r="K5" s="478"/>
      <c r="L5" s="478"/>
      <c r="M5" s="479"/>
    </row>
    <row r="6" spans="1:15" ht="4.5" customHeight="1" thickBot="1">
      <c r="A6" s="116"/>
      <c r="B6" s="117"/>
      <c r="C6" s="118"/>
      <c r="L6" s="48"/>
    </row>
    <row r="7" spans="1:15" ht="111" thickBot="1">
      <c r="A7" s="469" t="s">
        <v>788</v>
      </c>
      <c r="B7" s="470"/>
      <c r="C7" s="121" t="s">
        <v>789</v>
      </c>
      <c r="D7" s="121" t="s">
        <v>790</v>
      </c>
      <c r="E7" s="121" t="s">
        <v>791</v>
      </c>
      <c r="F7" s="121" t="s">
        <v>792</v>
      </c>
      <c r="G7" s="121" t="s">
        <v>793</v>
      </c>
      <c r="H7" s="121" t="s">
        <v>794</v>
      </c>
      <c r="I7" s="121" t="s">
        <v>795</v>
      </c>
      <c r="J7" s="121" t="s">
        <v>796</v>
      </c>
      <c r="K7" s="121" t="s">
        <v>797</v>
      </c>
      <c r="L7" s="121" t="s">
        <v>798</v>
      </c>
      <c r="M7" s="121" t="s">
        <v>10</v>
      </c>
    </row>
    <row r="8" spans="1:15" ht="15.75" thickBot="1">
      <c r="A8" s="127">
        <v>1</v>
      </c>
      <c r="B8" s="49" t="str">
        <f>'LISTA DE OFERENTES'!B4</f>
        <v>CONSORCIO INTERVIALES PCI-PC</v>
      </c>
      <c r="C8" s="67">
        <f>+'MEDIA GEOMETRICA'!E11</f>
        <v>57.319605752654333</v>
      </c>
      <c r="D8" s="119">
        <v>10</v>
      </c>
      <c r="E8" s="119">
        <v>1</v>
      </c>
      <c r="F8" s="119">
        <v>20</v>
      </c>
      <c r="G8" s="119">
        <v>1</v>
      </c>
      <c r="H8" s="119">
        <v>0.25</v>
      </c>
      <c r="I8" s="119">
        <v>0.25</v>
      </c>
      <c r="J8" s="122"/>
      <c r="K8" s="122"/>
      <c r="L8" s="124">
        <f>D8+E8+F8+G8+H8+I8</f>
        <v>32.5</v>
      </c>
      <c r="M8" s="77"/>
    </row>
    <row r="9" spans="1:15" ht="15.75" thickBot="1">
      <c r="A9" s="128">
        <v>2</v>
      </c>
      <c r="B9" s="50" t="str">
        <f>'LISTA DE OFERENTES'!B5</f>
        <v>CONSORCIO VÍAS FONTIBÓN 2025</v>
      </c>
      <c r="C9" s="67">
        <f>+'MEDIA GEOMETRICA'!E12</f>
        <v>49.572946111059338</v>
      </c>
      <c r="D9" s="120">
        <v>10</v>
      </c>
      <c r="E9" s="120">
        <v>1</v>
      </c>
      <c r="F9" s="120">
        <v>20</v>
      </c>
      <c r="G9" s="120">
        <v>1</v>
      </c>
      <c r="H9" s="120">
        <v>0.25</v>
      </c>
      <c r="I9" s="120">
        <v>0.25</v>
      </c>
      <c r="J9" s="123"/>
      <c r="K9" s="123"/>
      <c r="L9" s="125">
        <f>SUM(D9:I9)</f>
        <v>32.5</v>
      </c>
      <c r="M9" s="78"/>
    </row>
    <row r="10" spans="1:15" ht="15.75" thickBot="1">
      <c r="A10" s="129">
        <v>3</v>
      </c>
      <c r="B10" s="50" t="str">
        <f>'LISTA DE OFERENTES'!B6</f>
        <v>MORALBA SANCHEZ ORDOÑEZ</v>
      </c>
      <c r="C10" s="67">
        <f>+'MEDIA GEOMETRICA'!E13</f>
        <v>0</v>
      </c>
      <c r="D10" s="120">
        <v>10</v>
      </c>
      <c r="E10" s="120">
        <v>1</v>
      </c>
      <c r="F10" s="120">
        <v>20</v>
      </c>
      <c r="G10" s="120">
        <v>1</v>
      </c>
      <c r="H10" s="120">
        <v>0.25</v>
      </c>
      <c r="I10" s="120">
        <v>0.25</v>
      </c>
      <c r="J10" s="123"/>
      <c r="K10" s="123"/>
      <c r="L10" s="125">
        <f t="shared" ref="L10:L57" si="0">SUM(D10:I10)</f>
        <v>32.5</v>
      </c>
      <c r="M10" s="79"/>
    </row>
    <row r="11" spans="1:15" ht="15.75" thickBot="1">
      <c r="A11" s="129">
        <v>4</v>
      </c>
      <c r="B11" s="50" t="str">
        <f>'LISTA DE OFERENTES'!B7</f>
        <v>GRUPO METRO COLOMBIA SAS</v>
      </c>
      <c r="C11" s="67">
        <f>+'MEDIA GEOMETRICA'!E14</f>
        <v>11.230089909650719</v>
      </c>
      <c r="D11" s="120">
        <v>10</v>
      </c>
      <c r="E11" s="120">
        <v>1</v>
      </c>
      <c r="F11" s="120">
        <v>20</v>
      </c>
      <c r="G11" s="120">
        <v>1</v>
      </c>
      <c r="H11" s="120">
        <v>0.25</v>
      </c>
      <c r="I11" s="120">
        <v>0.25</v>
      </c>
      <c r="J11" s="123"/>
      <c r="K11" s="123"/>
      <c r="L11" s="125">
        <f t="shared" si="0"/>
        <v>32.5</v>
      </c>
      <c r="M11" s="80"/>
    </row>
    <row r="12" spans="1:15" ht="15.75" thickBot="1">
      <c r="A12" s="129">
        <v>5</v>
      </c>
      <c r="B12" s="50" t="str">
        <f>'LISTA DE OFERENTES'!B8</f>
        <v>CONSORCIO INTER CGS F1</v>
      </c>
      <c r="C12" s="67">
        <f>+'MEDIA GEOMETRICA'!E15</f>
        <v>0</v>
      </c>
      <c r="D12" s="120">
        <v>10</v>
      </c>
      <c r="E12" s="120">
        <v>1</v>
      </c>
      <c r="F12" s="120">
        <v>20</v>
      </c>
      <c r="G12" s="120">
        <v>1</v>
      </c>
      <c r="H12" s="120">
        <v>0.25</v>
      </c>
      <c r="I12" s="120">
        <v>0.25</v>
      </c>
      <c r="J12" s="123"/>
      <c r="K12" s="123"/>
      <c r="L12" s="125">
        <f t="shared" si="0"/>
        <v>32.5</v>
      </c>
      <c r="M12" s="79"/>
    </row>
    <row r="13" spans="1:15" ht="15.75" thickBot="1">
      <c r="A13" s="129">
        <v>6</v>
      </c>
      <c r="B13" s="50" t="str">
        <f>'LISTA DE OFERENTES'!B9</f>
        <v>INGENIEROS CONSTRUCTORES Y ASESORES SAS</v>
      </c>
      <c r="C13" s="67">
        <f>+'MEDIA GEOMETRICA'!E16</f>
        <v>0</v>
      </c>
      <c r="D13" s="120">
        <v>10</v>
      </c>
      <c r="E13" s="120">
        <v>1</v>
      </c>
      <c r="F13" s="120">
        <v>20</v>
      </c>
      <c r="G13" s="120">
        <v>1</v>
      </c>
      <c r="H13" s="120">
        <v>0.25</v>
      </c>
      <c r="I13" s="120">
        <v>0.25</v>
      </c>
      <c r="J13" s="123"/>
      <c r="K13" s="123"/>
      <c r="L13" s="125">
        <f t="shared" si="0"/>
        <v>32.5</v>
      </c>
      <c r="M13" s="79"/>
      <c r="N13" s="317"/>
      <c r="O13" s="51"/>
    </row>
    <row r="14" spans="1:15" ht="15.75" thickBot="1">
      <c r="A14" s="128">
        <v>7</v>
      </c>
      <c r="B14" s="50" t="str">
        <f>'LISTA DE OFERENTES'!B10</f>
        <v>GPM PROYECTOS DE INGENIERIA SAS</v>
      </c>
      <c r="C14" s="67">
        <f>+'MEDIA GEOMETRICA'!E17</f>
        <v>54.647622030027513</v>
      </c>
      <c r="D14" s="120">
        <v>10</v>
      </c>
      <c r="E14" s="120">
        <v>1</v>
      </c>
      <c r="F14" s="120">
        <v>20</v>
      </c>
      <c r="G14" s="120">
        <v>1</v>
      </c>
      <c r="H14" s="120">
        <v>0.25</v>
      </c>
      <c r="I14" s="120">
        <v>0.25</v>
      </c>
      <c r="J14" s="123"/>
      <c r="K14" s="123"/>
      <c r="L14" s="323">
        <f t="shared" si="0"/>
        <v>32.5</v>
      </c>
      <c r="M14" s="79"/>
    </row>
    <row r="15" spans="1:15" ht="15.75" thickBot="1">
      <c r="A15" s="128">
        <v>8</v>
      </c>
      <c r="B15" s="50" t="str">
        <f>'LISTA DE OFERENTES'!B11</f>
        <v>CONSORCIO MODELIA 24</v>
      </c>
      <c r="C15" s="67">
        <f>+'MEDIA GEOMETRICA'!E18</f>
        <v>0</v>
      </c>
      <c r="D15" s="120">
        <v>10</v>
      </c>
      <c r="E15" s="120">
        <v>1</v>
      </c>
      <c r="F15" s="120">
        <v>20</v>
      </c>
      <c r="G15" s="120">
        <v>1</v>
      </c>
      <c r="H15" s="120">
        <v>0.25</v>
      </c>
      <c r="I15" s="120">
        <v>0.25</v>
      </c>
      <c r="J15" s="123"/>
      <c r="K15" s="123"/>
      <c r="L15" s="125">
        <f t="shared" si="0"/>
        <v>32.5</v>
      </c>
      <c r="M15" s="79"/>
    </row>
    <row r="16" spans="1:15" ht="15.75" thickBot="1">
      <c r="A16" s="129">
        <v>9</v>
      </c>
      <c r="B16" s="50" t="str">
        <f>'LISTA DE OFERENTES'!B12</f>
        <v>UNIÓN TEMPORAL ROADS 402</v>
      </c>
      <c r="C16" s="67">
        <f>+'MEDIA GEOMETRICA'!E19</f>
        <v>63.247843720885704</v>
      </c>
      <c r="D16" s="120">
        <v>10</v>
      </c>
      <c r="E16" s="120">
        <v>1</v>
      </c>
      <c r="F16" s="120">
        <v>20</v>
      </c>
      <c r="G16" s="120">
        <v>1</v>
      </c>
      <c r="H16" s="120">
        <v>0.25</v>
      </c>
      <c r="I16" s="120">
        <v>0.25</v>
      </c>
      <c r="J16" s="123"/>
      <c r="K16" s="123"/>
      <c r="L16" s="323">
        <f t="shared" si="0"/>
        <v>32.5</v>
      </c>
      <c r="M16" s="79"/>
    </row>
    <row r="17" spans="1:13" ht="15.75" thickBot="1">
      <c r="A17" s="129">
        <v>10</v>
      </c>
      <c r="B17" s="50" t="str">
        <f>'LISTA DE OFERENTES'!B13</f>
        <v>CONSORCIO MALLA VIAL 206</v>
      </c>
      <c r="C17" s="67">
        <f>+'MEDIA GEOMETRICA'!E20</f>
        <v>0</v>
      </c>
      <c r="D17" s="120">
        <v>10</v>
      </c>
      <c r="E17" s="120">
        <v>1</v>
      </c>
      <c r="F17" s="120">
        <v>20</v>
      </c>
      <c r="G17" s="120">
        <v>0</v>
      </c>
      <c r="H17" s="120">
        <v>0.25</v>
      </c>
      <c r="I17" s="120">
        <v>0.25</v>
      </c>
      <c r="J17" s="123"/>
      <c r="K17" s="123"/>
      <c r="L17" s="323">
        <f t="shared" si="0"/>
        <v>31.5</v>
      </c>
      <c r="M17" s="78" t="s">
        <v>799</v>
      </c>
    </row>
    <row r="18" spans="1:13" ht="15.75" thickBot="1">
      <c r="A18" s="128">
        <v>11</v>
      </c>
      <c r="B18" s="50" t="str">
        <f>'LISTA DE OFERENTES'!B14</f>
        <v>INTERVENTORIA Y CONSTRUCIVILES SAS</v>
      </c>
      <c r="C18" s="67">
        <f>+'MEDIA GEOMETRICA'!E21</f>
        <v>0</v>
      </c>
      <c r="D18" s="120">
        <v>10</v>
      </c>
      <c r="E18" s="120">
        <v>1</v>
      </c>
      <c r="F18" s="120">
        <v>20</v>
      </c>
      <c r="G18" s="202">
        <v>1</v>
      </c>
      <c r="H18" s="202">
        <v>0.25</v>
      </c>
      <c r="I18" s="120">
        <v>0.25</v>
      </c>
      <c r="J18" s="123"/>
      <c r="K18" s="123"/>
      <c r="L18" s="323">
        <f t="shared" si="0"/>
        <v>32.5</v>
      </c>
      <c r="M18" s="79"/>
    </row>
    <row r="19" spans="1:13" ht="15.75" thickBot="1">
      <c r="A19" s="129">
        <v>12</v>
      </c>
      <c r="B19" s="50" t="str">
        <f>'LISTA DE OFERENTES'!B15</f>
        <v>EMPROCIV SAS</v>
      </c>
      <c r="C19" s="67">
        <f>+'MEDIA GEOMETRICA'!E22</f>
        <v>53.864253410276298</v>
      </c>
      <c r="D19" s="120">
        <v>10</v>
      </c>
      <c r="E19" s="120">
        <v>1</v>
      </c>
      <c r="F19" s="120">
        <v>20</v>
      </c>
      <c r="G19" s="202">
        <v>1</v>
      </c>
      <c r="H19" s="202">
        <v>0.25</v>
      </c>
      <c r="I19" s="120">
        <v>0.25</v>
      </c>
      <c r="J19" s="123"/>
      <c r="K19" s="123"/>
      <c r="L19" s="125">
        <f t="shared" si="0"/>
        <v>32.5</v>
      </c>
      <c r="M19" s="78"/>
    </row>
    <row r="20" spans="1:13" ht="15.75" thickBot="1">
      <c r="A20" s="129">
        <v>13</v>
      </c>
      <c r="B20" s="50" t="str">
        <f>'LISTA DE OFERENTES'!B16</f>
        <v>CONSORCIO NOGAALL-LITORAL</v>
      </c>
      <c r="C20" s="67">
        <f>+'MEDIA GEOMETRICA'!E23</f>
        <v>64.91375736577244</v>
      </c>
      <c r="D20" s="120">
        <v>10</v>
      </c>
      <c r="E20" s="120">
        <v>1</v>
      </c>
      <c r="F20" s="120">
        <v>20</v>
      </c>
      <c r="G20" s="202">
        <v>1</v>
      </c>
      <c r="H20" s="202">
        <v>0.25</v>
      </c>
      <c r="I20" s="120">
        <v>0.25</v>
      </c>
      <c r="J20" s="123"/>
      <c r="K20" s="123"/>
      <c r="L20" s="125">
        <f t="shared" si="0"/>
        <v>32.5</v>
      </c>
      <c r="M20" s="78"/>
    </row>
    <row r="21" spans="1:13" ht="15.75" thickBot="1">
      <c r="A21" s="129">
        <v>14</v>
      </c>
      <c r="B21" s="50" t="str">
        <f>'LISTA DE OFERENTES'!B17</f>
        <v>GRUCOING SAS</v>
      </c>
      <c r="C21" s="67">
        <f>+'MEDIA GEOMETRICA'!E24</f>
        <v>55.600965868606231</v>
      </c>
      <c r="D21" s="120">
        <v>10</v>
      </c>
      <c r="E21" s="120">
        <v>1</v>
      </c>
      <c r="F21" s="120">
        <v>20</v>
      </c>
      <c r="G21" s="202">
        <v>1</v>
      </c>
      <c r="H21" s="202">
        <v>0.25</v>
      </c>
      <c r="I21" s="120">
        <v>0.25</v>
      </c>
      <c r="J21" s="123"/>
      <c r="K21" s="123"/>
      <c r="L21" s="125">
        <f t="shared" si="0"/>
        <v>32.5</v>
      </c>
      <c r="M21" s="79"/>
    </row>
    <row r="22" spans="1:13" ht="15.75" thickBot="1">
      <c r="A22" s="129">
        <v>15</v>
      </c>
      <c r="B22" s="50" t="str">
        <f>'LISTA DE OFERENTES'!B18</f>
        <v>CONSORCIO ESPACIOS TVH</v>
      </c>
      <c r="C22" s="67">
        <f>+'MEDIA GEOMETRICA'!E25</f>
        <v>54.365938106171647</v>
      </c>
      <c r="D22" s="120">
        <v>10</v>
      </c>
      <c r="E22" s="120">
        <v>1</v>
      </c>
      <c r="F22" s="120">
        <v>20</v>
      </c>
      <c r="G22" s="202">
        <v>1</v>
      </c>
      <c r="H22" s="202">
        <v>0.25</v>
      </c>
      <c r="I22" s="120">
        <v>0.25</v>
      </c>
      <c r="J22" s="123"/>
      <c r="K22" s="123"/>
      <c r="L22" s="323">
        <f t="shared" si="0"/>
        <v>32.5</v>
      </c>
      <c r="M22" s="79"/>
    </row>
    <row r="23" spans="1:13" ht="15.75" thickBot="1">
      <c r="A23" s="128">
        <v>16</v>
      </c>
      <c r="B23" s="50" t="str">
        <f>'LISTA DE OFERENTES'!B19</f>
        <v>CONSORCIO VIAS Y ESP</v>
      </c>
      <c r="C23" s="67">
        <f>+'MEDIA GEOMETRICA'!E26</f>
        <v>0</v>
      </c>
      <c r="D23" s="120">
        <v>10</v>
      </c>
      <c r="E23" s="120">
        <v>1</v>
      </c>
      <c r="F23" s="120">
        <v>20</v>
      </c>
      <c r="G23" s="120">
        <v>1</v>
      </c>
      <c r="H23" s="120">
        <v>0.25</v>
      </c>
      <c r="I23" s="120">
        <v>0.25</v>
      </c>
      <c r="J23" s="123"/>
      <c r="K23" s="123"/>
      <c r="L23" s="125">
        <f t="shared" si="0"/>
        <v>32.5</v>
      </c>
      <c r="M23" s="78"/>
    </row>
    <row r="24" spans="1:13" ht="15.75" thickBot="1">
      <c r="A24" s="128">
        <v>17</v>
      </c>
      <c r="B24" s="50" t="str">
        <f>'LISTA DE OFERENTES'!B20</f>
        <v>CONSORCIO FONTIBON GM</v>
      </c>
      <c r="C24" s="67">
        <f>+'MEDIA GEOMETRICA'!E27</f>
        <v>0</v>
      </c>
      <c r="D24" s="120">
        <v>10</v>
      </c>
      <c r="E24" s="120">
        <v>1</v>
      </c>
      <c r="F24" s="120">
        <v>20</v>
      </c>
      <c r="G24" s="120">
        <v>1</v>
      </c>
      <c r="H24" s="120">
        <v>0.25</v>
      </c>
      <c r="I24" s="120">
        <v>0.25</v>
      </c>
      <c r="J24" s="123"/>
      <c r="K24" s="123"/>
      <c r="L24" s="125">
        <f t="shared" si="0"/>
        <v>32.5</v>
      </c>
      <c r="M24" s="78"/>
    </row>
    <row r="25" spans="1:13" ht="15.75" thickBot="1">
      <c r="A25" s="129">
        <v>18</v>
      </c>
      <c r="B25" s="50" t="str">
        <f>'LISTA DE OFERENTES'!B21</f>
        <v>CONSORCIO I.D. FONTIBÓN</v>
      </c>
      <c r="C25" s="67">
        <f>+'MEDIA GEOMETRICA'!E28</f>
        <v>0</v>
      </c>
      <c r="D25" s="120">
        <v>10</v>
      </c>
      <c r="E25" s="120">
        <v>1</v>
      </c>
      <c r="F25" s="120">
        <v>20</v>
      </c>
      <c r="G25" s="120">
        <v>1</v>
      </c>
      <c r="H25" s="120">
        <v>0.25</v>
      </c>
      <c r="I25" s="120">
        <v>0.25</v>
      </c>
      <c r="J25" s="123"/>
      <c r="K25" s="123"/>
      <c r="L25" s="125">
        <f t="shared" si="0"/>
        <v>32.5</v>
      </c>
      <c r="M25" s="79"/>
    </row>
    <row r="26" spans="1:13" ht="15.75" thickBot="1">
      <c r="A26" s="129">
        <v>19</v>
      </c>
      <c r="B26" s="50" t="str">
        <f>'LISTA DE OFERENTES'!B22</f>
        <v>CONSORCIO LG FONTIBÓN</v>
      </c>
      <c r="C26" s="67">
        <f>+'MEDIA GEOMETRICA'!E29</f>
        <v>67.5</v>
      </c>
      <c r="D26" s="120">
        <v>10</v>
      </c>
      <c r="E26" s="120">
        <v>1</v>
      </c>
      <c r="F26" s="120">
        <v>20</v>
      </c>
      <c r="G26" s="120">
        <v>1</v>
      </c>
      <c r="H26" s="120">
        <v>0.25</v>
      </c>
      <c r="I26" s="120">
        <v>0.25</v>
      </c>
      <c r="J26" s="123"/>
      <c r="K26" s="123"/>
      <c r="L26" s="125">
        <f t="shared" si="0"/>
        <v>32.5</v>
      </c>
      <c r="M26" s="78"/>
    </row>
    <row r="27" spans="1:13" ht="15.75" thickBot="1">
      <c r="A27" s="128">
        <v>20</v>
      </c>
      <c r="B27" s="50" t="str">
        <f>'LISTA DE OFERENTES'!B23</f>
        <v>INTERSA S.A</v>
      </c>
      <c r="C27" s="67">
        <f>+'MEDIA GEOMETRICA'!E30</f>
        <v>0</v>
      </c>
      <c r="D27" s="120">
        <v>10</v>
      </c>
      <c r="E27" s="120">
        <v>1</v>
      </c>
      <c r="F27" s="120">
        <v>20</v>
      </c>
      <c r="G27" s="120">
        <v>1</v>
      </c>
      <c r="H27" s="120">
        <v>0.25</v>
      </c>
      <c r="I27" s="120">
        <v>0.25</v>
      </c>
      <c r="J27" s="123"/>
      <c r="K27" s="123"/>
      <c r="L27" s="125">
        <f t="shared" si="0"/>
        <v>32.5</v>
      </c>
      <c r="M27" s="78"/>
    </row>
    <row r="28" spans="1:13" s="287" customFormat="1" ht="30.75" thickBot="1">
      <c r="A28" s="129">
        <v>21</v>
      </c>
      <c r="B28" s="50" t="str">
        <f>'LISTA DE OFERENTES'!B24</f>
        <v>CODIPRO INGENIERIA Y ARQUITECTURA LTDA. CONSTRUCCIONES, DISEÑOS Y PROYECTOS</v>
      </c>
      <c r="C28" s="67">
        <f>+'MEDIA GEOMETRICA'!E31</f>
        <v>0</v>
      </c>
      <c r="D28" s="203">
        <v>10</v>
      </c>
      <c r="E28" s="203">
        <v>1</v>
      </c>
      <c r="F28" s="203">
        <v>20</v>
      </c>
      <c r="G28" s="203">
        <v>1</v>
      </c>
      <c r="H28" s="204">
        <v>0</v>
      </c>
      <c r="I28" s="203">
        <v>0.25</v>
      </c>
      <c r="J28" s="204"/>
      <c r="K28" s="204"/>
      <c r="L28" s="487">
        <f t="shared" si="0"/>
        <v>32.25</v>
      </c>
      <c r="M28" s="286" t="s">
        <v>800</v>
      </c>
    </row>
    <row r="29" spans="1:13" ht="15.75" thickBot="1">
      <c r="A29" s="129">
        <v>22</v>
      </c>
      <c r="B29" s="50" t="str">
        <f>'LISTA DE OFERENTES'!B25</f>
        <v>CONSORCIO INGESCOR R 2024</v>
      </c>
      <c r="C29" s="67">
        <f>+'MEDIA GEOMETRICA'!E32</f>
        <v>0</v>
      </c>
      <c r="D29" s="205">
        <v>10</v>
      </c>
      <c r="E29" s="205">
        <v>1</v>
      </c>
      <c r="F29" s="205">
        <v>20</v>
      </c>
      <c r="G29" s="205">
        <v>1</v>
      </c>
      <c r="H29" s="205">
        <v>0.25</v>
      </c>
      <c r="I29" s="205">
        <v>0.25</v>
      </c>
      <c r="J29" s="123"/>
      <c r="K29" s="123"/>
      <c r="L29" s="125">
        <f t="shared" si="0"/>
        <v>32.5</v>
      </c>
      <c r="M29" s="78"/>
    </row>
    <row r="30" spans="1:13" ht="15.75" thickBot="1">
      <c r="A30" s="129">
        <v>23</v>
      </c>
      <c r="B30" s="50" t="str">
        <f>'LISTA DE OFERENTES'!B26</f>
        <v>CONSORCIO INTERVIAL URBANO</v>
      </c>
      <c r="C30" s="67">
        <f>+'MEDIA GEOMETRICA'!E33</f>
        <v>23.986251968770805</v>
      </c>
      <c r="D30" s="120">
        <v>10</v>
      </c>
      <c r="E30" s="120">
        <v>1</v>
      </c>
      <c r="F30" s="120">
        <v>20</v>
      </c>
      <c r="G30" s="120">
        <v>1</v>
      </c>
      <c r="H30" s="120">
        <v>0.25</v>
      </c>
      <c r="I30" s="120">
        <v>0.25</v>
      </c>
      <c r="J30" s="123"/>
      <c r="K30" s="123"/>
      <c r="L30" s="125">
        <f t="shared" si="0"/>
        <v>32.5</v>
      </c>
      <c r="M30" s="78"/>
    </row>
    <row r="31" spans="1:13" ht="15.75" thickBot="1">
      <c r="A31" s="129">
        <v>24</v>
      </c>
      <c r="B31" s="50" t="str">
        <f>'LISTA DE OFERENTES'!B27</f>
        <v>VELNEC SA</v>
      </c>
      <c r="C31" s="67">
        <f>+'MEDIA GEOMETRICA'!E34</f>
        <v>61.471769980468352</v>
      </c>
      <c r="D31" s="120">
        <v>10</v>
      </c>
      <c r="E31" s="120">
        <v>1</v>
      </c>
      <c r="F31" s="120">
        <v>20</v>
      </c>
      <c r="G31" s="120">
        <v>1</v>
      </c>
      <c r="H31" s="120">
        <v>0.25</v>
      </c>
      <c r="I31" s="120">
        <v>0.25</v>
      </c>
      <c r="J31" s="123"/>
      <c r="K31" s="123"/>
      <c r="L31" s="125">
        <f t="shared" si="0"/>
        <v>32.5</v>
      </c>
      <c r="M31" s="78"/>
    </row>
    <row r="32" spans="1:13" ht="15.75" thickBot="1">
      <c r="A32" s="128">
        <v>25</v>
      </c>
      <c r="B32" s="50" t="str">
        <f>'LISTA DE OFERENTES'!B28</f>
        <v>CONSORCIO INTERFONTIBON 2024</v>
      </c>
      <c r="C32" s="67">
        <f>+'MEDIA GEOMETRICA'!E35</f>
        <v>0</v>
      </c>
      <c r="D32" s="120">
        <v>10</v>
      </c>
      <c r="E32" s="120">
        <v>1</v>
      </c>
      <c r="F32" s="120">
        <v>20</v>
      </c>
      <c r="G32" s="120">
        <v>1</v>
      </c>
      <c r="H32" s="120">
        <v>0.25</v>
      </c>
      <c r="I32" s="120">
        <v>0.25</v>
      </c>
      <c r="J32" s="123"/>
      <c r="K32" s="123"/>
      <c r="L32" s="125">
        <f t="shared" si="0"/>
        <v>32.5</v>
      </c>
      <c r="M32" s="78"/>
    </row>
    <row r="33" spans="1:13" ht="15.75" thickBot="1">
      <c r="A33" s="128">
        <v>26</v>
      </c>
      <c r="B33" s="50" t="str">
        <f>'LISTA DE OFERENTES'!B29</f>
        <v>ING INGENIERIA S.A.S</v>
      </c>
      <c r="C33" s="67">
        <f>+'MEDIA GEOMETRICA'!E36</f>
        <v>0</v>
      </c>
      <c r="D33" s="120">
        <v>10</v>
      </c>
      <c r="E33" s="120">
        <v>1</v>
      </c>
      <c r="F33" s="120">
        <v>20</v>
      </c>
      <c r="G33" s="120">
        <v>1</v>
      </c>
      <c r="H33" s="120">
        <v>0.25</v>
      </c>
      <c r="I33" s="120">
        <v>0.25</v>
      </c>
      <c r="J33" s="123"/>
      <c r="K33" s="123"/>
      <c r="L33" s="125">
        <f t="shared" si="0"/>
        <v>32.5</v>
      </c>
      <c r="M33" s="78"/>
    </row>
    <row r="34" spans="1:13" ht="15.75" thickBot="1">
      <c r="A34" s="129">
        <v>27</v>
      </c>
      <c r="B34" s="50" t="str">
        <f>'LISTA DE OFERENTES'!B30</f>
        <v>CONSORCIO FATIMA</v>
      </c>
      <c r="C34" s="67">
        <f>+'MEDIA GEOMETRICA'!E37</f>
        <v>0</v>
      </c>
      <c r="D34" s="120">
        <v>10</v>
      </c>
      <c r="E34" s="120">
        <v>1</v>
      </c>
      <c r="F34" s="120">
        <v>20</v>
      </c>
      <c r="G34" s="120">
        <v>1</v>
      </c>
      <c r="H34" s="120">
        <v>0.25</v>
      </c>
      <c r="I34" s="120">
        <v>0.25</v>
      </c>
      <c r="J34" s="123"/>
      <c r="K34" s="123"/>
      <c r="L34" s="125">
        <f t="shared" si="0"/>
        <v>32.5</v>
      </c>
      <c r="M34" s="78"/>
    </row>
    <row r="35" spans="1:13" ht="15.75" thickBot="1">
      <c r="A35" s="129">
        <v>28</v>
      </c>
      <c r="B35" s="50" t="str">
        <f>'LISTA DE OFERENTES'!B31</f>
        <v>GEOTECNIA Y CIMIENTOS INGEOCIM S.A.S.</v>
      </c>
      <c r="C35" s="67">
        <f>+'MEDIA GEOMETRICA'!E38</f>
        <v>0</v>
      </c>
      <c r="D35" s="120">
        <v>10</v>
      </c>
      <c r="E35" s="120">
        <v>1</v>
      </c>
      <c r="F35" s="120">
        <v>20</v>
      </c>
      <c r="G35" s="120">
        <v>1</v>
      </c>
      <c r="H35" s="120">
        <v>0.25</v>
      </c>
      <c r="I35" s="120">
        <v>0.25</v>
      </c>
      <c r="J35" s="123"/>
      <c r="K35" s="123"/>
      <c r="L35" s="125">
        <f t="shared" si="0"/>
        <v>32.5</v>
      </c>
      <c r="M35" s="78"/>
    </row>
    <row r="36" spans="1:13" ht="15.75" thickBot="1">
      <c r="A36" s="128">
        <v>29</v>
      </c>
      <c r="B36" s="50" t="str">
        <f>'LISTA DE OFERENTES'!B32</f>
        <v>CONSORCIO FONTIBON JINT 001</v>
      </c>
      <c r="C36" s="67">
        <f>+'MEDIA GEOMETRICA'!E39</f>
        <v>0</v>
      </c>
      <c r="D36" s="120">
        <v>10</v>
      </c>
      <c r="E36" s="120">
        <v>1</v>
      </c>
      <c r="F36" s="120">
        <v>20</v>
      </c>
      <c r="G36" s="120">
        <v>1</v>
      </c>
      <c r="H36" s="120">
        <v>0.25</v>
      </c>
      <c r="I36" s="120">
        <v>0.25</v>
      </c>
      <c r="J36" s="123"/>
      <c r="K36" s="123"/>
      <c r="L36" s="125">
        <f t="shared" si="0"/>
        <v>32.5</v>
      </c>
      <c r="M36" s="78"/>
    </row>
    <row r="37" spans="1:13" ht="15.75" thickBot="1">
      <c r="A37" s="129">
        <v>30</v>
      </c>
      <c r="B37" s="50" t="str">
        <f>'LISTA DE OFERENTES'!B33</f>
        <v>CONSORCIO ALIANZA BOGOTA</v>
      </c>
      <c r="C37" s="67">
        <f>+'MEDIA GEOMETRICA'!E40</f>
        <v>66.236290209743629</v>
      </c>
      <c r="D37" s="120">
        <v>10</v>
      </c>
      <c r="E37" s="120">
        <v>1</v>
      </c>
      <c r="F37" s="120">
        <v>20</v>
      </c>
      <c r="G37" s="120">
        <v>1</v>
      </c>
      <c r="H37" s="120">
        <v>0.25</v>
      </c>
      <c r="I37" s="120">
        <v>0.25</v>
      </c>
      <c r="J37" s="123"/>
      <c r="K37" s="123"/>
      <c r="L37" s="125">
        <f t="shared" si="0"/>
        <v>32.5</v>
      </c>
      <c r="M37" s="78"/>
    </row>
    <row r="38" spans="1:13" s="285" customFormat="1" ht="15.75" thickBot="1">
      <c r="A38" s="281">
        <v>31</v>
      </c>
      <c r="B38" s="282" t="str">
        <f>'LISTA DE OFERENTES'!B34</f>
        <v>CONSORCIO FEM – 34</v>
      </c>
      <c r="C38" s="67">
        <f>+'MEDIA GEOMETRICA'!E41</f>
        <v>42.313174750176522</v>
      </c>
      <c r="D38" s="205">
        <v>10</v>
      </c>
      <c r="E38" s="205">
        <v>1</v>
      </c>
      <c r="F38" s="205">
        <v>20</v>
      </c>
      <c r="G38" s="205">
        <v>1</v>
      </c>
      <c r="H38" s="205">
        <v>0.25</v>
      </c>
      <c r="I38" s="205">
        <v>0.25</v>
      </c>
      <c r="J38" s="205"/>
      <c r="K38" s="205"/>
      <c r="L38" s="283">
        <f t="shared" si="0"/>
        <v>32.5</v>
      </c>
      <c r="M38" s="284"/>
    </row>
    <row r="39" spans="1:13" ht="15.75" thickBot="1">
      <c r="A39" s="129">
        <v>32</v>
      </c>
      <c r="B39" s="50" t="str">
        <f>'LISTA DE OFERENTES'!B35</f>
        <v>CONSORCIO INTER FONTIBON</v>
      </c>
      <c r="C39" s="67">
        <f>+'MEDIA GEOMETRICA'!E42</f>
        <v>0</v>
      </c>
      <c r="D39" s="120">
        <v>10</v>
      </c>
      <c r="E39" s="120">
        <v>1</v>
      </c>
      <c r="F39" s="120">
        <v>20</v>
      </c>
      <c r="G39" s="120">
        <v>1</v>
      </c>
      <c r="H39" s="120">
        <v>0.25</v>
      </c>
      <c r="I39" s="120">
        <v>0.25</v>
      </c>
      <c r="J39" s="123"/>
      <c r="K39" s="123"/>
      <c r="L39" s="125">
        <f t="shared" si="0"/>
        <v>32.5</v>
      </c>
      <c r="M39" s="78"/>
    </row>
    <row r="40" spans="1:13" ht="15.75" thickBot="1">
      <c r="A40" s="129">
        <v>33</v>
      </c>
      <c r="B40" s="50" t="str">
        <f>'LISTA DE OFERENTES'!B36</f>
        <v>CONSORCIO ID FONTIBON 001</v>
      </c>
      <c r="C40" s="67">
        <f>+'MEDIA GEOMETRICA'!E43</f>
        <v>8.6066117364273254</v>
      </c>
      <c r="D40" s="120">
        <v>10</v>
      </c>
      <c r="E40" s="120">
        <v>1</v>
      </c>
      <c r="F40" s="120">
        <v>20</v>
      </c>
      <c r="G40" s="120">
        <v>1</v>
      </c>
      <c r="H40" s="120">
        <v>0.25</v>
      </c>
      <c r="I40" s="120">
        <v>0.25</v>
      </c>
      <c r="J40" s="123"/>
      <c r="K40" s="123"/>
      <c r="L40" s="125">
        <f t="shared" si="0"/>
        <v>32.5</v>
      </c>
      <c r="M40" s="78"/>
    </row>
    <row r="41" spans="1:13" ht="15.75" thickBot="1">
      <c r="A41" s="128">
        <v>34</v>
      </c>
      <c r="B41" s="50" t="str">
        <f>'LISTA DE OFERENTES'!B37</f>
        <v>CTV FONTIBON</v>
      </c>
      <c r="C41" s="67">
        <f>+'MEDIA GEOMETRICA'!E44</f>
        <v>15.059417323031273</v>
      </c>
      <c r="D41" s="120">
        <v>10</v>
      </c>
      <c r="E41" s="120">
        <v>1</v>
      </c>
      <c r="F41" s="120">
        <v>20</v>
      </c>
      <c r="G41" s="120">
        <v>1</v>
      </c>
      <c r="H41" s="120">
        <v>0.25</v>
      </c>
      <c r="I41" s="120">
        <v>0.25</v>
      </c>
      <c r="J41" s="123"/>
      <c r="K41" s="123"/>
      <c r="L41" s="125">
        <f t="shared" si="0"/>
        <v>32.5</v>
      </c>
      <c r="M41" s="78"/>
    </row>
    <row r="42" spans="1:13" ht="15.75" thickBot="1">
      <c r="A42" s="128">
        <v>35</v>
      </c>
      <c r="B42" s="50" t="str">
        <f>'LISTA DE OFERENTES'!B38</f>
        <v>ESTUDIOS TÉCNICOS Y CONSTRUCCIONES SAS</v>
      </c>
      <c r="C42" s="67">
        <f>+'MEDIA GEOMETRICA'!E45</f>
        <v>0</v>
      </c>
      <c r="D42" s="120">
        <v>10</v>
      </c>
      <c r="E42" s="120">
        <v>1</v>
      </c>
      <c r="F42" s="120">
        <v>20</v>
      </c>
      <c r="G42" s="120">
        <v>1</v>
      </c>
      <c r="H42" s="120">
        <v>0.25</v>
      </c>
      <c r="I42" s="120">
        <v>0.25</v>
      </c>
      <c r="J42" s="123"/>
      <c r="K42" s="123"/>
      <c r="L42" s="125">
        <f t="shared" si="0"/>
        <v>32.5</v>
      </c>
      <c r="M42" s="78"/>
    </row>
    <row r="43" spans="1:13" ht="15.75" thickBot="1">
      <c r="A43" s="129">
        <v>36</v>
      </c>
      <c r="B43" s="50" t="str">
        <f>'LISTA DE OFERENTES'!B39</f>
        <v>ALIANZA INTEGRAL DE PROYECTOS SAS BIC</v>
      </c>
      <c r="C43" s="67">
        <f>+'MEDIA GEOMETRICA'!E46</f>
        <v>65.801211164813367</v>
      </c>
      <c r="D43" s="120">
        <v>10</v>
      </c>
      <c r="E43" s="120">
        <v>1</v>
      </c>
      <c r="F43" s="120">
        <v>20</v>
      </c>
      <c r="G43" s="120">
        <v>1</v>
      </c>
      <c r="H43" s="120">
        <v>0.25</v>
      </c>
      <c r="I43" s="120">
        <v>0.25</v>
      </c>
      <c r="J43" s="123"/>
      <c r="K43" s="123"/>
      <c r="L43" s="125">
        <f t="shared" si="0"/>
        <v>32.5</v>
      </c>
      <c r="M43" s="78"/>
    </row>
    <row r="44" spans="1:13" ht="15.75" thickBot="1">
      <c r="A44" s="129">
        <v>37</v>
      </c>
      <c r="B44" s="50" t="str">
        <f>'LISTA DE OFERENTES'!B40</f>
        <v>CONSORCIO EPSILON FONTIBON</v>
      </c>
      <c r="C44" s="67">
        <f>+'MEDIA GEOMETRICA'!E47</f>
        <v>0</v>
      </c>
      <c r="D44" s="120">
        <v>10</v>
      </c>
      <c r="E44" s="120">
        <v>1</v>
      </c>
      <c r="F44" s="120">
        <v>20</v>
      </c>
      <c r="G44" s="120">
        <v>1</v>
      </c>
      <c r="H44" s="120">
        <v>0.25</v>
      </c>
      <c r="I44" s="120">
        <v>0.25</v>
      </c>
      <c r="J44" s="123"/>
      <c r="K44" s="123"/>
      <c r="L44" s="125">
        <f t="shared" si="0"/>
        <v>32.5</v>
      </c>
      <c r="M44" s="79"/>
    </row>
    <row r="45" spans="1:13" ht="15.75" thickBot="1">
      <c r="A45" s="128">
        <v>38</v>
      </c>
      <c r="B45" s="50" t="str">
        <f>'LISTA DE OFERENTES'!B41</f>
        <v>PAULO EMILIO BRAVO CONSULTORES SAS</v>
      </c>
      <c r="C45" s="67">
        <f>+'MEDIA GEOMETRICA'!E48</f>
        <v>0</v>
      </c>
      <c r="D45" s="120">
        <v>10</v>
      </c>
      <c r="E45" s="120">
        <v>1</v>
      </c>
      <c r="F45" s="120">
        <v>20</v>
      </c>
      <c r="G45" s="120">
        <v>1</v>
      </c>
      <c r="H45" s="120">
        <v>0.25</v>
      </c>
      <c r="I45" s="120">
        <v>0.25</v>
      </c>
      <c r="J45" s="123"/>
      <c r="K45" s="123"/>
      <c r="L45" s="125">
        <f t="shared" si="0"/>
        <v>32.5</v>
      </c>
      <c r="M45" s="78"/>
    </row>
    <row r="46" spans="1:13" ht="15.75" thickBot="1">
      <c r="A46" s="129">
        <v>39</v>
      </c>
      <c r="B46" s="50" t="str">
        <f>'LISTA DE OFERENTES'!B42</f>
        <v>ALMA Interventoría &amp; Consultoría S.A.S</v>
      </c>
      <c r="C46" s="67">
        <f>+'MEDIA GEOMETRICA'!E49</f>
        <v>0</v>
      </c>
      <c r="D46" s="120">
        <v>10</v>
      </c>
      <c r="E46" s="120">
        <v>1</v>
      </c>
      <c r="F46" s="120">
        <v>20</v>
      </c>
      <c r="G46" s="120">
        <v>1</v>
      </c>
      <c r="H46" s="120">
        <v>0.25</v>
      </c>
      <c r="I46" s="120">
        <v>0.25</v>
      </c>
      <c r="J46" s="123"/>
      <c r="K46" s="123"/>
      <c r="L46" s="125">
        <f t="shared" si="0"/>
        <v>32.5</v>
      </c>
      <c r="M46" s="79"/>
    </row>
    <row r="47" spans="1:13" ht="15.75" thickBot="1">
      <c r="A47" s="129">
        <v>40</v>
      </c>
      <c r="B47" s="50" t="str">
        <f>'LISTA DE OFERENTES'!B43</f>
        <v>CONSORCIO COING F001</v>
      </c>
      <c r="C47" s="67">
        <f>+'MEDIA GEOMETRICA'!E50</f>
        <v>65.846077352647725</v>
      </c>
      <c r="D47" s="120">
        <v>10</v>
      </c>
      <c r="E47" s="120">
        <v>1</v>
      </c>
      <c r="F47" s="120">
        <v>20</v>
      </c>
      <c r="G47" s="120">
        <v>1</v>
      </c>
      <c r="H47" s="120">
        <v>0.25</v>
      </c>
      <c r="I47" s="120">
        <v>0.25</v>
      </c>
      <c r="J47" s="123"/>
      <c r="K47" s="123"/>
      <c r="L47" s="125">
        <f t="shared" si="0"/>
        <v>32.5</v>
      </c>
      <c r="M47" s="78"/>
    </row>
    <row r="48" spans="1:13" ht="15.75" thickBot="1">
      <c r="A48" s="129">
        <v>41</v>
      </c>
      <c r="B48" s="50" t="str">
        <f>'LISTA DE OFERENTES'!B44</f>
        <v>CONSORCIO FONTIBÓN KM 2024</v>
      </c>
      <c r="C48" s="67">
        <f>+'MEDIA GEOMETRICA'!E51</f>
        <v>0</v>
      </c>
      <c r="D48" s="120">
        <v>10</v>
      </c>
      <c r="E48" s="120">
        <v>1</v>
      </c>
      <c r="F48" s="120">
        <v>20</v>
      </c>
      <c r="G48" s="120">
        <v>1</v>
      </c>
      <c r="H48" s="120">
        <v>0.25</v>
      </c>
      <c r="I48" s="120">
        <v>0.25</v>
      </c>
      <c r="J48" s="123"/>
      <c r="K48" s="123"/>
      <c r="L48" s="125">
        <f t="shared" si="0"/>
        <v>32.5</v>
      </c>
      <c r="M48" s="78"/>
    </row>
    <row r="49" spans="1:13" ht="15.75" thickBot="1">
      <c r="A49" s="129">
        <v>42</v>
      </c>
      <c r="B49" s="50" t="str">
        <f>'LISTA DE OFERENTES'!B45</f>
        <v>CONSORCIO INTER FONTIBON JG</v>
      </c>
      <c r="C49" s="67">
        <f>+'MEDIA GEOMETRICA'!E52</f>
        <v>0</v>
      </c>
      <c r="D49" s="120">
        <v>10</v>
      </c>
      <c r="E49" s="120">
        <v>1</v>
      </c>
      <c r="F49" s="120">
        <v>20</v>
      </c>
      <c r="G49" s="120">
        <v>1</v>
      </c>
      <c r="H49" s="120">
        <v>0.25</v>
      </c>
      <c r="I49" s="120">
        <v>0.25</v>
      </c>
      <c r="J49" s="123"/>
      <c r="K49" s="123"/>
      <c r="L49" s="125">
        <f t="shared" si="0"/>
        <v>32.5</v>
      </c>
      <c r="M49" s="79"/>
    </row>
    <row r="50" spans="1:13" ht="15.75" thickBot="1">
      <c r="A50" s="128">
        <v>43</v>
      </c>
      <c r="B50" s="50" t="str">
        <f>'LISTA DE OFERENTES'!B46</f>
        <v>CONSORCIO INTER VÍAL G&amp;L</v>
      </c>
      <c r="C50" s="67">
        <f>+'MEDIA GEOMETRICA'!E53</f>
        <v>48.82283903401693</v>
      </c>
      <c r="D50" s="120">
        <v>10</v>
      </c>
      <c r="E50" s="120">
        <v>1</v>
      </c>
      <c r="F50" s="120">
        <v>20</v>
      </c>
      <c r="G50" s="120">
        <v>1</v>
      </c>
      <c r="H50" s="120">
        <v>0.25</v>
      </c>
      <c r="I50" s="120">
        <v>0.25</v>
      </c>
      <c r="J50" s="123"/>
      <c r="K50" s="123"/>
      <c r="L50" s="125">
        <f t="shared" si="0"/>
        <v>32.5</v>
      </c>
      <c r="M50" s="78"/>
    </row>
    <row r="51" spans="1:13" ht="15.75" thickBot="1">
      <c r="A51" s="128">
        <v>44</v>
      </c>
      <c r="B51" s="50" t="str">
        <f>'LISTA DE OFERENTES'!B47</f>
        <v>ECOVIAS SAS</v>
      </c>
      <c r="C51" s="67">
        <f>+'MEDIA GEOMETRICA'!E54</f>
        <v>66.113064922837765</v>
      </c>
      <c r="D51" s="120">
        <v>10</v>
      </c>
      <c r="E51" s="120">
        <v>1</v>
      </c>
      <c r="F51" s="120">
        <v>20</v>
      </c>
      <c r="G51" s="120">
        <v>1</v>
      </c>
      <c r="H51" s="120">
        <v>0.25</v>
      </c>
      <c r="I51" s="120">
        <v>0.25</v>
      </c>
      <c r="J51" s="123"/>
      <c r="K51" s="123"/>
      <c r="L51" s="125">
        <f t="shared" si="0"/>
        <v>32.5</v>
      </c>
      <c r="M51" s="78"/>
    </row>
    <row r="52" spans="1:13" ht="15.75" thickBot="1">
      <c r="A52" s="129">
        <v>45</v>
      </c>
      <c r="B52" s="50" t="str">
        <f>'LISTA DE OFERENTES'!B48</f>
        <v>PROJEKTA LTDA INGENIEROS CONSULTORES</v>
      </c>
      <c r="C52" s="67">
        <f>+'MEDIA GEOMETRICA'!E55</f>
        <v>51.296148179914596</v>
      </c>
      <c r="D52" s="120">
        <v>10</v>
      </c>
      <c r="E52" s="120">
        <v>1</v>
      </c>
      <c r="F52" s="120">
        <v>20</v>
      </c>
      <c r="G52" s="120">
        <v>1</v>
      </c>
      <c r="H52" s="120">
        <v>0.25</v>
      </c>
      <c r="I52" s="120">
        <v>0.25</v>
      </c>
      <c r="J52" s="123"/>
      <c r="K52" s="123"/>
      <c r="L52" s="125">
        <f t="shared" si="0"/>
        <v>32.5</v>
      </c>
      <c r="M52" s="78"/>
    </row>
    <row r="53" spans="1:13" ht="15.75" thickBot="1">
      <c r="A53" s="129">
        <v>46</v>
      </c>
      <c r="B53" s="50" t="str">
        <f>'LISTA DE OFERENTES'!B49</f>
        <v>SOLUCIONES PARA LA INGENIERÍA S.A.S.</v>
      </c>
      <c r="C53" s="67">
        <f>+'MEDIA GEOMETRICA'!E56</f>
        <v>0</v>
      </c>
      <c r="D53" s="120">
        <v>10</v>
      </c>
      <c r="E53" s="120">
        <v>1</v>
      </c>
      <c r="F53" s="120">
        <v>20</v>
      </c>
      <c r="G53" s="120">
        <v>1</v>
      </c>
      <c r="H53" s="120">
        <v>0.25</v>
      </c>
      <c r="I53" s="120">
        <v>0.25</v>
      </c>
      <c r="J53" s="123"/>
      <c r="K53" s="123"/>
      <c r="L53" s="125">
        <f t="shared" si="0"/>
        <v>32.5</v>
      </c>
      <c r="M53" s="78"/>
    </row>
    <row r="54" spans="1:13" ht="15.75" thickBot="1">
      <c r="A54" s="128">
        <v>47</v>
      </c>
      <c r="B54" s="50" t="str">
        <f>'LISTA DE OFERENTES'!B50</f>
        <v>CONSORCIO INTERVIAL PH</v>
      </c>
      <c r="C54" s="67">
        <f>+'MEDIA GEOMETRICA'!E57</f>
        <v>0</v>
      </c>
      <c r="D54" s="120">
        <v>10</v>
      </c>
      <c r="E54" s="120">
        <v>1</v>
      </c>
      <c r="F54" s="120">
        <v>20</v>
      </c>
      <c r="G54" s="120">
        <v>1</v>
      </c>
      <c r="H54" s="120">
        <v>0.25</v>
      </c>
      <c r="I54" s="120">
        <v>0.25</v>
      </c>
      <c r="J54" s="123"/>
      <c r="K54" s="123"/>
      <c r="L54" s="125">
        <f t="shared" si="0"/>
        <v>32.5</v>
      </c>
      <c r="M54" s="78"/>
    </row>
    <row r="55" spans="1:13" ht="15.75" thickBot="1">
      <c r="A55" s="129">
        <v>48</v>
      </c>
      <c r="B55" s="50" t="str">
        <f>'LISTA DE OFERENTES'!B51</f>
        <v>CONSORCIO SETEC VIAL FONTIBON</v>
      </c>
      <c r="C55" s="67">
        <f>+'MEDIA GEOMETRICA'!E58</f>
        <v>0</v>
      </c>
      <c r="D55" s="120">
        <v>10</v>
      </c>
      <c r="E55" s="120">
        <v>1</v>
      </c>
      <c r="F55" s="120">
        <v>20</v>
      </c>
      <c r="G55" s="120">
        <v>1</v>
      </c>
      <c r="H55" s="120" t="s">
        <v>801</v>
      </c>
      <c r="I55" s="120">
        <v>0.25</v>
      </c>
      <c r="J55" s="123"/>
      <c r="K55" s="123"/>
      <c r="L55" s="125">
        <f t="shared" si="0"/>
        <v>32.25</v>
      </c>
      <c r="M55" s="78"/>
    </row>
    <row r="56" spans="1:13" ht="15.75" thickBot="1">
      <c r="A56" s="129">
        <v>49</v>
      </c>
      <c r="B56" s="50" t="str">
        <f>'LISTA DE OFERENTES'!B52</f>
        <v>CONSORCIO CCP</v>
      </c>
      <c r="C56" s="67">
        <f>+'MEDIA GEOMETRICA'!E59</f>
        <v>0</v>
      </c>
      <c r="D56" s="120">
        <v>10</v>
      </c>
      <c r="E56" s="120">
        <v>1</v>
      </c>
      <c r="F56" s="120">
        <v>20</v>
      </c>
      <c r="G56" s="120">
        <v>1</v>
      </c>
      <c r="H56" s="120">
        <v>0.25</v>
      </c>
      <c r="I56" s="120">
        <v>0.25</v>
      </c>
      <c r="J56" s="123"/>
      <c r="K56" s="123"/>
      <c r="L56" s="125">
        <f t="shared" si="0"/>
        <v>32.5</v>
      </c>
      <c r="M56" s="78"/>
    </row>
    <row r="57" spans="1:13" ht="15.75" thickBot="1">
      <c r="A57" s="129">
        <v>50</v>
      </c>
      <c r="B57" s="50" t="str">
        <f>'LISTA DE OFERENTES'!B53</f>
        <v>CONSORCIO FONTIBON</v>
      </c>
      <c r="C57" s="67">
        <f>+'MEDIA GEOMETRICA'!E60</f>
        <v>0</v>
      </c>
      <c r="D57" s="120">
        <v>10</v>
      </c>
      <c r="E57" s="120">
        <v>1</v>
      </c>
      <c r="F57" s="120">
        <v>20</v>
      </c>
      <c r="G57" s="120">
        <v>1</v>
      </c>
      <c r="H57" s="120">
        <v>0.25</v>
      </c>
      <c r="I57" s="120">
        <v>0.25</v>
      </c>
      <c r="J57" s="123"/>
      <c r="K57" s="123"/>
      <c r="L57" s="125">
        <f t="shared" si="0"/>
        <v>32.5</v>
      </c>
      <c r="M57" s="78"/>
    </row>
    <row r="58" spans="1:13" ht="15.75" thickBot="1">
      <c r="A58" s="129">
        <v>51</v>
      </c>
      <c r="B58" s="50" t="str">
        <f>'LISTA DE OFERENTES'!B54</f>
        <v>CONSORCIO TECNOLOGICO</v>
      </c>
      <c r="C58" s="67">
        <f>+'MEDIA GEOMETRICA'!E61</f>
        <v>0</v>
      </c>
      <c r="D58" s="120">
        <v>10</v>
      </c>
      <c r="E58" s="120">
        <v>1</v>
      </c>
      <c r="F58" s="120">
        <v>20</v>
      </c>
      <c r="G58" s="120">
        <v>1</v>
      </c>
      <c r="H58" s="120">
        <v>0.25</v>
      </c>
      <c r="I58" s="120">
        <v>0.25</v>
      </c>
      <c r="J58" s="123"/>
      <c r="K58" s="123"/>
      <c r="L58" s="125">
        <f>(C58+D58+E58+F58+G58+H58+I58)</f>
        <v>32.5</v>
      </c>
      <c r="M58" s="78"/>
    </row>
    <row r="59" spans="1:13" ht="15.75" thickBot="1">
      <c r="A59" s="128">
        <v>52</v>
      </c>
      <c r="B59" s="50" t="str">
        <f>'LISTA DE OFERENTES'!B55</f>
        <v>CONSORCIO INTERVIAL PH</v>
      </c>
      <c r="C59" s="67">
        <f>+'MEDIA GEOMETRICA'!E62</f>
        <v>57.011317777125385</v>
      </c>
      <c r="D59" s="120">
        <v>10</v>
      </c>
      <c r="E59" s="120">
        <v>1</v>
      </c>
      <c r="F59" s="120">
        <v>20</v>
      </c>
      <c r="G59" s="120">
        <v>1</v>
      </c>
      <c r="H59" s="120">
        <v>0.25</v>
      </c>
      <c r="I59" s="120">
        <v>0.25</v>
      </c>
      <c r="J59" s="123"/>
      <c r="K59" s="123"/>
      <c r="L59" s="125">
        <f t="shared" ref="L59:L69" si="1">(C59+D59+E59+F59+G59+H59+I59)</f>
        <v>89.511317777125385</v>
      </c>
      <c r="M59" s="78"/>
    </row>
    <row r="60" spans="1:13" ht="15.75" thickBot="1">
      <c r="A60" s="128">
        <v>53</v>
      </c>
      <c r="B60" s="50" t="str">
        <f>'LISTA DE OFERENTES'!B56</f>
        <v xml:space="preserve"> CONSORCIO VIAS FONTIBON PC</v>
      </c>
      <c r="C60" s="67">
        <f>+'MEDIA GEOMETRICA'!E63</f>
        <v>58.549122908986234</v>
      </c>
      <c r="D60" s="120">
        <v>10</v>
      </c>
      <c r="E60" s="120">
        <v>1</v>
      </c>
      <c r="F60" s="120">
        <v>20</v>
      </c>
      <c r="G60" s="120">
        <v>1</v>
      </c>
      <c r="H60" s="120">
        <v>0.25</v>
      </c>
      <c r="I60" s="120">
        <v>0.25</v>
      </c>
      <c r="J60" s="123"/>
      <c r="K60" s="123"/>
      <c r="L60" s="125">
        <f t="shared" si="1"/>
        <v>91.049122908986234</v>
      </c>
      <c r="M60" s="78"/>
    </row>
    <row r="61" spans="1:13" ht="15.75" thickBot="1">
      <c r="A61" s="129">
        <v>54</v>
      </c>
      <c r="B61" s="50" t="str">
        <f>'LISTA DE OFERENTES'!B57</f>
        <v>CONSORCIO  MALLA VIAL FDLF</v>
      </c>
      <c r="C61" s="67">
        <f>+'MEDIA GEOMETRICA'!E64</f>
        <v>46.858183052952867</v>
      </c>
      <c r="D61" s="120">
        <v>10</v>
      </c>
      <c r="E61" s="120">
        <v>1</v>
      </c>
      <c r="F61" s="120">
        <v>20</v>
      </c>
      <c r="G61" s="120">
        <v>1</v>
      </c>
      <c r="H61" s="120">
        <v>0.25</v>
      </c>
      <c r="I61" s="120">
        <v>0.25</v>
      </c>
      <c r="J61" s="123"/>
      <c r="K61" s="123"/>
      <c r="L61" s="125">
        <f t="shared" si="1"/>
        <v>79.358183052952867</v>
      </c>
      <c r="M61" s="78"/>
    </row>
    <row r="62" spans="1:13" ht="15.75" thickBot="1">
      <c r="A62" s="129">
        <v>55</v>
      </c>
      <c r="B62" s="50" t="str">
        <f>'LISTA DE OFERENTES'!B58</f>
        <v>CONSORCIO INTER FONTIBON</v>
      </c>
      <c r="C62" s="67">
        <f>+'MEDIA GEOMETRICA'!E65</f>
        <v>0</v>
      </c>
      <c r="D62" s="120">
        <v>10</v>
      </c>
      <c r="E62" s="120">
        <v>1</v>
      </c>
      <c r="F62" s="120">
        <v>20</v>
      </c>
      <c r="G62" s="120">
        <v>1</v>
      </c>
      <c r="H62" s="120">
        <v>0.25</v>
      </c>
      <c r="I62" s="120">
        <v>0.25</v>
      </c>
      <c r="J62" s="123"/>
      <c r="K62" s="123"/>
      <c r="L62" s="125">
        <f t="shared" si="1"/>
        <v>32.5</v>
      </c>
      <c r="M62" s="78"/>
    </row>
    <row r="63" spans="1:13" ht="15.75" thickBot="1">
      <c r="A63" s="128">
        <v>56</v>
      </c>
      <c r="B63" s="50" t="str">
        <f>'LISTA DE OFERENTES'!B59</f>
        <v>CONSORCIO VIAS IC 2024</v>
      </c>
      <c r="C63" s="67">
        <f>+'MEDIA GEOMETRICA'!E66</f>
        <v>58.333481913855195</v>
      </c>
      <c r="D63" s="120">
        <v>10</v>
      </c>
      <c r="E63" s="120">
        <v>1</v>
      </c>
      <c r="F63" s="120">
        <v>20</v>
      </c>
      <c r="G63" s="120">
        <v>1</v>
      </c>
      <c r="H63" s="120">
        <v>0.25</v>
      </c>
      <c r="I63" s="120">
        <v>0.25</v>
      </c>
      <c r="J63" s="123"/>
      <c r="K63" s="123"/>
      <c r="L63" s="125">
        <f t="shared" si="1"/>
        <v>90.833481913855195</v>
      </c>
      <c r="M63" s="78"/>
    </row>
    <row r="64" spans="1:13" ht="15.75" thickBot="1">
      <c r="A64" s="129">
        <v>57</v>
      </c>
      <c r="B64" s="50" t="str">
        <f>'LISTA DE OFERENTES'!B60</f>
        <v>ORBITA DESARROLLO S.A.S. BIC</v>
      </c>
      <c r="C64" s="67">
        <f>+'MEDIA GEOMETRICA'!E67</f>
        <v>64.200906658285632</v>
      </c>
      <c r="D64" s="120">
        <v>10</v>
      </c>
      <c r="E64" s="120">
        <v>1</v>
      </c>
      <c r="F64" s="120">
        <v>20</v>
      </c>
      <c r="G64" s="120">
        <v>1</v>
      </c>
      <c r="H64" s="120">
        <v>0.25</v>
      </c>
      <c r="I64" s="120">
        <v>0.25</v>
      </c>
      <c r="J64" s="123"/>
      <c r="K64" s="123"/>
      <c r="L64" s="125">
        <f t="shared" si="1"/>
        <v>96.700906658285632</v>
      </c>
      <c r="M64" s="78"/>
    </row>
    <row r="65" spans="1:13" ht="15.75" thickBot="1">
      <c r="A65" s="129">
        <v>58</v>
      </c>
      <c r="B65" s="50" t="str">
        <f>'LISTA DE OFERENTES'!B61</f>
        <v>CONSORCIO CONSTRUCCIÓN Y DESARROLLO FONTIBÓN</v>
      </c>
      <c r="C65" s="67">
        <f>+'MEDIA GEOMETRICA'!E68</f>
        <v>60.003635559512702</v>
      </c>
      <c r="D65" s="120">
        <v>10</v>
      </c>
      <c r="E65" s="120">
        <v>1</v>
      </c>
      <c r="F65" s="120">
        <v>20</v>
      </c>
      <c r="G65" s="120">
        <v>1</v>
      </c>
      <c r="H65" s="120">
        <v>0.25</v>
      </c>
      <c r="I65" s="120">
        <v>0.25</v>
      </c>
      <c r="J65" s="123"/>
      <c r="K65" s="123"/>
      <c r="L65" s="125">
        <f t="shared" si="1"/>
        <v>92.503635559512702</v>
      </c>
      <c r="M65" s="78"/>
    </row>
    <row r="66" spans="1:13" ht="15.75" thickBot="1">
      <c r="A66" s="129">
        <v>59</v>
      </c>
      <c r="B66" s="50" t="str">
        <f>'LISTA DE OFERENTES'!B62</f>
        <v>CONSORCIO ESPACIO PÚBLICO INT 2024</v>
      </c>
      <c r="C66" s="67">
        <f>+'MEDIA GEOMETRICA'!E69</f>
        <v>44.897869391820258</v>
      </c>
      <c r="D66" s="120">
        <v>10</v>
      </c>
      <c r="E66" s="120">
        <v>1</v>
      </c>
      <c r="F66" s="120">
        <v>20</v>
      </c>
      <c r="G66" s="120">
        <v>1</v>
      </c>
      <c r="H66" s="120">
        <v>0.25</v>
      </c>
      <c r="I66" s="120">
        <v>0.25</v>
      </c>
      <c r="J66" s="123"/>
      <c r="K66" s="123"/>
      <c r="L66" s="125">
        <f t="shared" si="1"/>
        <v>77.397869391820251</v>
      </c>
      <c r="M66" s="79"/>
    </row>
    <row r="67" spans="1:13" ht="15.75" thickBot="1">
      <c r="A67" s="129">
        <v>60</v>
      </c>
      <c r="B67" s="50" t="str">
        <f>'LISTA DE OFERENTES'!B63</f>
        <v>CONSORCIO VÍAS PROTEV</v>
      </c>
      <c r="C67" s="67">
        <f>+'MEDIA GEOMETRICA'!E70</f>
        <v>56.533743584936282</v>
      </c>
      <c r="D67" s="120">
        <v>10</v>
      </c>
      <c r="E67" s="120">
        <v>1</v>
      </c>
      <c r="F67" s="120">
        <v>20</v>
      </c>
      <c r="G67" s="120">
        <v>1</v>
      </c>
      <c r="H67" s="120">
        <v>0.25</v>
      </c>
      <c r="I67" s="120">
        <v>0.25</v>
      </c>
      <c r="J67" s="123"/>
      <c r="K67" s="123"/>
      <c r="L67" s="125">
        <f t="shared" si="1"/>
        <v>89.033743584936275</v>
      </c>
      <c r="M67" s="78"/>
    </row>
    <row r="68" spans="1:13" ht="15.75" thickBot="1">
      <c r="A68" s="128">
        <v>61</v>
      </c>
      <c r="B68" s="50" t="str">
        <f>'LISTA DE OFERENTES'!B64</f>
        <v>CONSORCIO INTERVENTORES FONTIBON</v>
      </c>
      <c r="C68" s="67">
        <f>+'MEDIA GEOMETRICA'!E71</f>
        <v>57.843015816944337</v>
      </c>
      <c r="D68" s="120">
        <v>10</v>
      </c>
      <c r="E68" s="120">
        <v>1</v>
      </c>
      <c r="F68" s="120">
        <v>20</v>
      </c>
      <c r="G68" s="120">
        <v>1</v>
      </c>
      <c r="H68" s="120">
        <v>0.25</v>
      </c>
      <c r="I68" s="120">
        <v>0.25</v>
      </c>
      <c r="J68" s="123"/>
      <c r="K68" s="123"/>
      <c r="L68" s="125">
        <f t="shared" si="1"/>
        <v>90.34301581694433</v>
      </c>
      <c r="M68" s="78"/>
    </row>
    <row r="69" spans="1:13">
      <c r="A69" s="128">
        <v>62</v>
      </c>
      <c r="B69" s="50" t="str">
        <f>'LISTA DE OFERENTES'!B65</f>
        <v>CONCIC SAS</v>
      </c>
      <c r="C69" s="67">
        <f>+'MEDIA GEOMETRICA'!E72</f>
        <v>0</v>
      </c>
      <c r="D69" s="120">
        <v>10</v>
      </c>
      <c r="E69" s="120">
        <v>1</v>
      </c>
      <c r="F69" s="120">
        <v>20</v>
      </c>
      <c r="G69" s="120">
        <v>1</v>
      </c>
      <c r="H69" s="120">
        <v>0.25</v>
      </c>
      <c r="I69" s="120">
        <v>0.25</v>
      </c>
      <c r="J69" s="123"/>
      <c r="K69" s="123"/>
      <c r="L69" s="125">
        <f t="shared" si="1"/>
        <v>32.5</v>
      </c>
      <c r="M69" s="78"/>
    </row>
  </sheetData>
  <autoFilter ref="A7:M16" xr:uid="{00000000-0009-0000-0000-000007000000}">
    <filterColumn colId="0" showButton="0"/>
    <sortState xmlns:xlrd2="http://schemas.microsoft.com/office/spreadsheetml/2017/richdata2" ref="A8:M16">
      <sortCondition ref="A7:A16"/>
    </sortState>
  </autoFilter>
  <mergeCells count="5">
    <mergeCell ref="A1:C1"/>
    <mergeCell ref="A2:C2"/>
    <mergeCell ref="A3:C5"/>
    <mergeCell ref="A7:B7"/>
    <mergeCell ref="D1:M5"/>
  </mergeCells>
  <pageMargins left="0.7" right="0.7" top="0.75" bottom="0.75" header="0.3" footer="0.3"/>
  <pageSetup paperSize="9" scale="47"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BB375352CD749D459A7B8005EF9FD8E7" ma:contentTypeVersion="13" ma:contentTypeDescription="Crear nuevo documento." ma:contentTypeScope="" ma:versionID="f4e623f5b1e0533c37e059d4abab3a4d">
  <xsd:schema xmlns:xsd="http://www.w3.org/2001/XMLSchema" xmlns:xs="http://www.w3.org/2001/XMLSchema" xmlns:p="http://schemas.microsoft.com/office/2006/metadata/properties" xmlns:ns3="e4dbb700-c511-4ee3-a312-b224bf564eff" xmlns:ns4="badd6a06-ad6f-4965-a6f2-eec033803b2b" targetNamespace="http://schemas.microsoft.com/office/2006/metadata/properties" ma:root="true" ma:fieldsID="dac93a41348b066fa2bf7fdc7d5b06b6" ns3:_="" ns4:_="">
    <xsd:import namespace="e4dbb700-c511-4ee3-a312-b224bf564eff"/>
    <xsd:import namespace="badd6a06-ad6f-4965-a6f2-eec033803b2b"/>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dbb700-c511-4ee3-a312-b224bf564e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dd6a06-ad6f-4965-a6f2-eec033803b2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03F0E43-118A-40DD-AFC7-5BA1F0667C7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0652F2A9-DFB2-4F34-8F48-ED14F2AF3854}">
  <ds:schemaRefs>
    <ds:schemaRef ds:uri="http://schemas.microsoft.com/sharepoint/v3/contenttype/forms"/>
  </ds:schemaRefs>
</ds:datastoreItem>
</file>

<file path=customXml/itemProps3.xml><?xml version="1.0" encoding="utf-8"?>
<ds:datastoreItem xmlns:ds="http://schemas.openxmlformats.org/officeDocument/2006/customXml" ds:itemID="{D129DF3D-6C0A-4081-8557-D66B4BB1F3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dbb700-c511-4ee3-a312-b224bf564eff"/>
    <ds:schemaRef ds:uri="badd6a06-ad6f-4965-a6f2-eec033803b2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vt:i4>
      </vt:variant>
    </vt:vector>
  </HeadingPairs>
  <TitlesOfParts>
    <vt:vector size="9" baseType="lpstr">
      <vt:lpstr>LISTA DE OFERENTES</vt:lpstr>
      <vt:lpstr>EXPERIENCIA DEL PROPONENTE</vt:lpstr>
      <vt:lpstr>REQUISITOS HAB. TECNICOS</vt:lpstr>
      <vt:lpstr>CONDICIONES GENERALES</vt:lpstr>
      <vt:lpstr>RESUMEN EVALUACIÓN</vt:lpstr>
      <vt:lpstr>MEDIA GEOMETRICA</vt:lpstr>
      <vt:lpstr>OBRAS INCONCLUSAS</vt:lpstr>
      <vt:lpstr>F. PONDERABLES</vt:lpstr>
      <vt:lpstr>'F. PONDERABLES'!Área_de_impresión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Fabian Ricardo Cruz Gonzalez</dc:creator>
  <cp:keywords/>
  <dc:description/>
  <cp:lastModifiedBy>OTTO GABRIEL FORERO VANEGAS</cp:lastModifiedBy>
  <cp:revision>3</cp:revision>
  <dcterms:created xsi:type="dcterms:W3CDTF">2016-11-29T14:57:14Z</dcterms:created>
  <dcterms:modified xsi:type="dcterms:W3CDTF">2024-12-17T04:55:45Z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0x010100BB375352CD749D459A7B8005EF9FD8E7</vt:lpwstr>
  </property>
</Properties>
</file>