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24226"/>
  <mc:AlternateContent xmlns:mc="http://schemas.openxmlformats.org/markup-compatibility/2006">
    <mc:Choice Requires="x15">
      <x15ac:absPath xmlns:x15ac="http://schemas.microsoft.com/office/spreadsheetml/2010/11/ac" url="https://gobiernobogota-my.sharepoint.com/personal/miguel_bejarano_gobiernobogota_gov_co/Documents/Alcaldía Kennedy/Proceso Parques/7. Evaluación Definitiva/"/>
    </mc:Choice>
  </mc:AlternateContent>
  <xr:revisionPtr revIDLastSave="26" documentId="11_80BF21EC8F4A95FF34134866154BF19B654691C6" xr6:coauthVersionLast="47" xr6:coauthVersionMax="47" xr10:uidLastSave="{C7AFCC47-F407-4C58-9CE4-C352A66388A8}"/>
  <bookViews>
    <workbookView xWindow="-120" yWindow="-120" windowWidth="20730" windowHeight="11040" tabRatio="549" firstSheet="34" activeTab="40" xr2:uid="{00000000-000D-0000-FFFF-FFFF00000000}"/>
  </bookViews>
  <sheets>
    <sheet name="DATOS INICIALES" sheetId="1" r:id="rId1"/>
    <sheet name="PROPONENTES" sheetId="18" r:id="rId2"/>
    <sheet name="1" sheetId="8" r:id="rId3"/>
    <sheet name="K RESIDUAL DOCUMENTOS" sheetId="20" state="hidden" r:id="rId4"/>
    <sheet name="K RESIDUAL CALCULO" sheetId="19" state="hidden" r:id="rId5"/>
    <sheet name="2" sheetId="52" r:id="rId6"/>
    <sheet name="3" sheetId="53" r:id="rId7"/>
    <sheet name="4" sheetId="54" r:id="rId8"/>
    <sheet name="5" sheetId="55" r:id="rId9"/>
    <sheet name="6" sheetId="56" r:id="rId10"/>
    <sheet name="7" sheetId="57" r:id="rId11"/>
    <sheet name="8" sheetId="58" r:id="rId12"/>
    <sheet name="9" sheetId="59" r:id="rId13"/>
    <sheet name="10" sheetId="60" r:id="rId14"/>
    <sheet name="11" sheetId="61" r:id="rId15"/>
    <sheet name="12" sheetId="62" r:id="rId16"/>
    <sheet name="13" sheetId="63" r:id="rId17"/>
    <sheet name="14" sheetId="64" r:id="rId18"/>
    <sheet name="15" sheetId="65" r:id="rId19"/>
    <sheet name="16" sheetId="66" r:id="rId20"/>
    <sheet name="17" sheetId="67" r:id="rId21"/>
    <sheet name="18" sheetId="68" r:id="rId22"/>
    <sheet name="19" sheetId="69" r:id="rId23"/>
    <sheet name="20" sheetId="70" r:id="rId24"/>
    <sheet name="21" sheetId="71" r:id="rId25"/>
    <sheet name="22" sheetId="72" r:id="rId26"/>
    <sheet name="23" sheetId="73" r:id="rId27"/>
    <sheet name="24" sheetId="74" r:id="rId28"/>
    <sheet name="25" sheetId="75" r:id="rId29"/>
    <sheet name="26" sheetId="76" r:id="rId30"/>
    <sheet name="27" sheetId="77" r:id="rId31"/>
    <sheet name="28" sheetId="78" r:id="rId32"/>
    <sheet name="29" sheetId="79" r:id="rId33"/>
    <sheet name="30" sheetId="80" r:id="rId34"/>
    <sheet name="31" sheetId="81" r:id="rId35"/>
    <sheet name="32" sheetId="82" r:id="rId36"/>
    <sheet name="33" sheetId="83" r:id="rId37"/>
    <sheet name="CONSOLIDADO" sheetId="16" r:id="rId38"/>
    <sheet name="PUNTAJE" sheetId="21" r:id="rId39"/>
    <sheet name="PONDERACION" sheetId="22" r:id="rId40"/>
    <sheet name="K RESIDUAL" sheetId="84" r:id="rId41"/>
  </sheet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eliminar">#REF!</definedName>
    <definedName name="\eliminar1">#REF!</definedName>
    <definedName name="\G">#REF!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V">#REF!</definedName>
    <definedName name="\X">[0]!ERR</definedName>
    <definedName name="\Z">[0]!ERR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aiu2">#REF!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r">#REF!</definedName>
    <definedName name="_________SBC1">#REF!</definedName>
    <definedName name="_________SBC3">#REF!</definedName>
    <definedName name="_________SBC5">#REF!</definedName>
    <definedName name="_________tab1">#REF!</definedName>
    <definedName name="_________tab2">#REF!</definedName>
    <definedName name="_________tab3">#REF!</definedName>
    <definedName name="_________TAB4">#REF!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SBC1">#REF!</definedName>
    <definedName name="________SBC3">#REF!</definedName>
    <definedName name="________SBC5">#REF!</definedName>
    <definedName name="________tab1">#REF!</definedName>
    <definedName name="________tab2">#REF!</definedName>
    <definedName name="________tab3">#REF!</definedName>
    <definedName name="________TAB4">#REF!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MT5671">#REF!</definedName>
    <definedName name="_______PMT5805">#REF!</definedName>
    <definedName name="_______PMT5806">#REF!</definedName>
    <definedName name="_______PMT5815">#REF!</definedName>
    <definedName name="_______PMT582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#REF!</definedName>
    <definedName name="_____MA2">#REF!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AL1">#REF!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EX1">#REF!</definedName>
    <definedName name="_____VFA1">#REF!</definedName>
    <definedName name="_____VIT1">#REF!</definedName>
    <definedName name="_____Vol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iu2">#REF!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#REF!</definedName>
    <definedName name="____LEY80">#REF!</definedName>
    <definedName name="____MA2">#REF!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#REF!</definedName>
    <definedName name="____pv3">#REF!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ol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iu2">#REF!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#REF!</definedName>
    <definedName name="___pv3">#REF!</definedName>
    <definedName name="___r">#REF!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ol1">#REF!</definedName>
    <definedName name="___VPR1">#REF!</definedName>
    <definedName name="___VPR2">#REF!</definedName>
    <definedName name="___VRP1">#REF!</definedName>
    <definedName name="___VSM1">#REF!</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78UIHJ">#REF!</definedName>
    <definedName name="__AFC1">#REF!</definedName>
    <definedName name="__AFC3">#REF!</definedName>
    <definedName name="__AFC5">#REF!</definedName>
    <definedName name="__aiu2">#REF!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#REF!</definedName>
    <definedName name="__Pa2">#REF!</definedName>
    <definedName name="__Pa3">#REF!</definedName>
    <definedName name="__Pa4">#REF!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#REF!</definedName>
    <definedName name="__pv3">#REF!</definedName>
    <definedName name="__r">#REF!</definedName>
    <definedName name="__ref4">#REF!</definedName>
    <definedName name="__SAL1">#REF!</definedName>
    <definedName name="__SBC1">#REF!</definedName>
    <definedName name="__SBC3">#REF!</definedName>
    <definedName name="__SBC5">#REF!</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ol1">#REF!</definedName>
    <definedName name="__VPR1">#REF!</definedName>
    <definedName name="__VPR2">#REF!</definedName>
    <definedName name="__VRP1">#REF!</definedName>
    <definedName name="__VSM1">#REF!</definedName>
    <definedName name="_1">#REF!</definedName>
    <definedName name="_1__Excel_BuiltIn_Print_Area_1_1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Excel_BuiltIn_Print_Titles_1_1_1_1">#REF!</definedName>
    <definedName name="_3214">#REF!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Excel_BuiltIn_Print_Area_1_1">#REF!</definedName>
    <definedName name="_7Excel_BuiltIn_Print_Area_1_1_1">#REF!</definedName>
    <definedName name="_911A">#REF!</definedName>
    <definedName name="_912A">#REF!</definedName>
    <definedName name="_921A">#REF!</definedName>
    <definedName name="_922A">#REF!</definedName>
    <definedName name="_9Excel_BuiltIn_Print_Titles_1_1_1_1">#REF!</definedName>
    <definedName name="_a1" hidden="1">{"TAB1",#N/A,TRUE,"GENERAL";"TAB2",#N/A,TRUE,"GENERAL";"TAB3",#N/A,TRUE,"GENERAL";"TAB4",#N/A,TRUE,"GENERAL";"TAB5",#N/A,TRUE,"GENERAL"}</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iu2">#REF!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JGFG">#REF!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v2">#REF!</definedName>
    <definedName name="_pv3">#REF!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ression_Int" hidden="1">1</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ol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_2" hidden="1">{#N/A,#N/A,TRUE,"INGENIERIA";#N/A,#N/A,TRUE,"COMPRAS";#N/A,#N/A,TRUE,"DIRECCION";#N/A,#N/A,TRUE,"RESUMEN"}</definedName>
    <definedName name="AAA">[0]!ERR</definedName>
    <definedName name="aaaa" hidden="1">{#N/A,#N/A,FALSE,"GRAFICO";#N/A,#N/A,FALSE,"CAJA (2)";#N/A,#N/A,FALSE,"TERCEROS-PROMEDIO";#N/A,#N/A,FALSE,"CAJA";#N/A,#N/A,FALSE,"INGRESOS1995-2003";#N/A,#N/A,FALSE,"GASTOS1995-2003"}</definedName>
    <definedName name="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#REF!</definedName>
    <definedName name="AANDENES">#REF!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#REF!</definedName>
    <definedName name="absc1">#REF!</definedName>
    <definedName name="ac">#REF!</definedName>
    <definedName name="ACALZADA">#REF!</definedName>
    <definedName name="AccessDatabase" hidden="1">"C:\C-314\VOLUMENES\volfin4.mdb"</definedName>
    <definedName name="Acicloruta">#REF!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excavacion">#REF!</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mat">#REF!</definedName>
    <definedName name="AIU_UTIL">#REF!</definedName>
    <definedName name="AjustDelAIU">#REF!</definedName>
    <definedName name="Ajuste">#REF!</definedName>
    <definedName name="alam">#REF!</definedName>
    <definedName name="alc">#REF!</definedName>
    <definedName name="AlcanceProyecto">#REF!</definedName>
    <definedName name="ALM">#REF!</definedName>
    <definedName name="ALTO">#REF!</definedName>
    <definedName name="Ambien" hidden="1">#REF!</definedName>
    <definedName name="AMBIENTAL">#REF!</definedName>
    <definedName name="Amount">#REF!</definedName>
    <definedName name="ANCLAJE">#REF!</definedName>
    <definedName name="AND">#REF!</definedName>
    <definedName name="ANDEN">#REF!</definedName>
    <definedName name="Andenes" hidden="1">#REF!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oyo">#REF!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'1'!$A$1:$L$65</definedName>
    <definedName name="_xlnm.Print_Area" localSheetId="13">'10'!$A$1:$L$65</definedName>
    <definedName name="_xlnm.Print_Area" localSheetId="14">'11'!$A$1:$L$65</definedName>
    <definedName name="_xlnm.Print_Area" localSheetId="15">'12'!$A$1:$L$65</definedName>
    <definedName name="_xlnm.Print_Area" localSheetId="16">'13'!$A$1:$L$65</definedName>
    <definedName name="_xlnm.Print_Area" localSheetId="17">'14'!$A$1:$L$65</definedName>
    <definedName name="_xlnm.Print_Area" localSheetId="18">'15'!$A$1:$L$65</definedName>
    <definedName name="_xlnm.Print_Area" localSheetId="19">'16'!$A$1:$L$65</definedName>
    <definedName name="_xlnm.Print_Area" localSheetId="20">'17'!$A$1:$L$65</definedName>
    <definedName name="_xlnm.Print_Area" localSheetId="21">'18'!$A$1:$L$65</definedName>
    <definedName name="_xlnm.Print_Area" localSheetId="22">'19'!$A$1:$L$65</definedName>
    <definedName name="_xlnm.Print_Area" localSheetId="5">'2'!$A$1:$L$65</definedName>
    <definedName name="_xlnm.Print_Area" localSheetId="23">'20'!$A$1:$L$65</definedName>
    <definedName name="_xlnm.Print_Area" localSheetId="24">'21'!$A$1:$L$65</definedName>
    <definedName name="_xlnm.Print_Area" localSheetId="25">'22'!$A$1:$L$65</definedName>
    <definedName name="_xlnm.Print_Area" localSheetId="26">'23'!$A$1:$L$65</definedName>
    <definedName name="_xlnm.Print_Area" localSheetId="27">'24'!$A$1:$L$65</definedName>
    <definedName name="_xlnm.Print_Area" localSheetId="28">'25'!$A$1:$L$65</definedName>
    <definedName name="_xlnm.Print_Area" localSheetId="29">'26'!$A$1:$L$65</definedName>
    <definedName name="_xlnm.Print_Area" localSheetId="30">'27'!$A$1:$L$65</definedName>
    <definedName name="_xlnm.Print_Area" localSheetId="31">'28'!$A$1:$L$65</definedName>
    <definedName name="_xlnm.Print_Area" localSheetId="32">'29'!$A$1:$L$65</definedName>
    <definedName name="_xlnm.Print_Area" localSheetId="6">'3'!$A$1:$L$65</definedName>
    <definedName name="_xlnm.Print_Area" localSheetId="33">'30'!$A$1:$L$65</definedName>
    <definedName name="_xlnm.Print_Area" localSheetId="34">'31'!$A$1:$L$65</definedName>
    <definedName name="_xlnm.Print_Area" localSheetId="35">'32'!$A$1:$L$65</definedName>
    <definedName name="_xlnm.Print_Area" localSheetId="36">'33'!$A$1:$L$65</definedName>
    <definedName name="_xlnm.Print_Area" localSheetId="7">'4'!$A$1:$L$65</definedName>
    <definedName name="_xlnm.Print_Area" localSheetId="8">'5'!$A$1:$L$65</definedName>
    <definedName name="_xlnm.Print_Area" localSheetId="9">'6'!$A$1:$L$65</definedName>
    <definedName name="_xlnm.Print_Area" localSheetId="10">'7'!$A$1:$L$65</definedName>
    <definedName name="_xlnm.Print_Area" localSheetId="11">'8'!$A$1:$L$65</definedName>
    <definedName name="_xlnm.Print_Area" localSheetId="12">'9'!$A$1:$L$65</definedName>
    <definedName name="_xlnm.Print_Area" localSheetId="37">CONSOLIDADO!$A$1:$I$59</definedName>
    <definedName name="_xlnm.Print_Area" localSheetId="0">'DATOS INICIALES'!$A$1:$I$59</definedName>
    <definedName name="_xlnm.Print_Area" localSheetId="1">PROPONENTES!$A$1:$O$109</definedName>
    <definedName name="_xlnm.Print_Area">#REF!</definedName>
    <definedName name="Areadimp">#REF!</definedName>
    <definedName name="AreaLimpiar">#REF!,#REF!,#REF!,#REF!,#REF!,#REF!,#REF!,#REF!,#REF!,#REF!</definedName>
    <definedName name="Areatotal">#REF!</definedName>
    <definedName name="Aref">#REF!</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s">[0]!ERR</definedName>
    <definedName name="AS2DocOpenMode" hidden="1">"AS2DocumentEdit"</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eparador">#REF!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#REF!</definedName>
    <definedName name="Atp">#REF!</definedName>
    <definedName name="AU">#REF!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verde">#REF!</definedName>
    <definedName name="AW">#REF!</definedName>
    <definedName name="azaz" hidden="1">{"TAB1",#N/A,TRUE,"GENERAL";"TAB2",#N/A,TRUE,"GENERAL";"TAB3",#N/A,TRUE,"GENERAL";"TAB4",#N/A,TRUE,"GENERAL";"TAB5",#N/A,TRUE,"GENERAL"}</definedName>
    <definedName name="Azonaverde">#REF!</definedName>
    <definedName name="B" hidden="1">{"via1",#N/A,TRUE,"general";"via2",#N/A,TRUE,"general";"via3",#N/A,TRUE,"general"}</definedName>
    <definedName name="B_impresión_IM">#REF!</definedName>
    <definedName name="Bajo_L">#REF!</definedName>
    <definedName name="BANCO">#REF!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BDFDFBH">#REF!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GDFG">#REF!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os">#REF!</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P">#REF!</definedName>
    <definedName name="CAPAC._HSE">#REF!</definedName>
    <definedName name="captacion">#REF!</definedName>
    <definedName name="CARGA">#REF!</definedName>
    <definedName name="CARGO">#REF!</definedName>
    <definedName name="CARGO_CONTRATISTA">#REF!</definedName>
    <definedName name="CARGO_INTERVENTORIA">#REF!</definedName>
    <definedName name="CARGOS">#REF!</definedName>
    <definedName name="carlos">MODULO10.auto_abrir</definedName>
    <definedName name="casa">#REF!</definedName>
    <definedName name="causa">#REF!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 hidden="1">#REF!</definedName>
    <definedName name="cdcdc" hidden="1">{"via1",#N/A,TRUE,"general";"via2",#N/A,TRUE,"general";"via3",#N/A,TRUE,"general"}</definedName>
    <definedName name="CDctrl">#REF!</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ENTO">#REF!</definedName>
    <definedName name="centro" hidden="1">{#N/A,#N/A,FALSE,"GRAFICO";#N/A,#N/A,FALSE,"CAJA (2)";#N/A,#N/A,FALSE,"TERCEROS-PROMEDIO";#N/A,#N/A,FALSE,"CAJA";#N/A,#N/A,FALSE,"INGRESOS1995-2003";#N/A,#N/A,FALSE,"GASTOS1995-2003"}</definedName>
    <definedName name="ceri">#N/A</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hris">#REF!</definedName>
    <definedName name="CIRCUITOS">#REF!</definedName>
    <definedName name="CIRCUNVALAR">#REF!</definedName>
    <definedName name="CISNEROS">#REF!</definedName>
    <definedName name="CIUDAD">#REF!</definedName>
    <definedName name="civ" hidden="1">{#N/A,#N/A,TRUE,"1842CWN0"}</definedName>
    <definedName name="civ_1" hidden="1">{#N/A,#N/A,TRUE,"1842CWN0"}</definedName>
    <definedName name="civ_2" hidden="1">{#N/A,#N/A,TRUE,"1842CWN0"}</definedName>
    <definedName name="cjsa" hidden="1">#REF!</definedName>
    <definedName name="CL">#REF!</definedName>
    <definedName name="clase">#REF!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AÑIA_CONTRATISTA">#REF!</definedName>
    <definedName name="COMPAÑIA_INTERVENTORIA">#REF!</definedName>
    <definedName name="Compresores">#REF!</definedName>
    <definedName name="comunidades">#REF!</definedName>
    <definedName name="CONDI1">#REF!</definedName>
    <definedName name="ConseqCat">0</definedName>
    <definedName name="ConseqForMitRisk">3</definedName>
    <definedName name="Consultor">#REF!</definedName>
    <definedName name="CONT">#REF!</definedName>
    <definedName name="Contratante">#REF!</definedName>
    <definedName name="CONTRATISTA">#REF!</definedName>
    <definedName name="CONTRATO">#REF!</definedName>
    <definedName name="Coordinador">#REF!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pérdidas">#REF!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hidden="1">{#N/A,#N/A,FALSE,"GRAFICO";#N/A,#N/A,FALSE,"CAJA (2)";#N/A,#N/A,FALSE,"TERCEROS-PROMEDIO";#N/A,#N/A,FALSE,"CAJA";#N/A,#N/A,FALSE,"INGRESOS1995-2003";#N/A,#N/A,FALSE,"GASTOS1995-2003"}</definedName>
    <definedName name="Criterios_IM">#REF!</definedName>
    <definedName name="Criticidad">#REF!</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ESTRUCT">#REF!</definedName>
    <definedName name="CUAL">[0]!ERR</definedName>
    <definedName name="CUAPRUEBAS">#REF!</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ZXDCSDC">#REF!</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DSDSDSDSD" hidden="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nuncias">#REF!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positos">#REF!</definedName>
    <definedName name="DERFE">#REF!</definedName>
    <definedName name="derrames">#REF!</definedName>
    <definedName name="desarrolladas">#REF!,#REF!,#REF!,#REF!</definedName>
    <definedName name="DESC1">#REF!</definedName>
    <definedName name="DESC521">#REF!</definedName>
    <definedName name="DESCRP1">#REF!</definedName>
    <definedName name="DESCRP2">#REF!</definedName>
    <definedName name="DESCUNMI">#REF!</definedName>
    <definedName name="DESFRE" hidden="1">{#N/A,#N/A,FALSE,"GRAFICO";#N/A,#N/A,FALSE,"CAJA (2)";#N/A,#N/A,FALSE,"TERCEROS-PROMEDIO";#N/A,#N/A,FALSE,"CAJA";#N/A,#N/A,FALSE,"INGRESOS1995-2003";#N/A,#N/A,FALSE,"GASTOS1995-2003"}</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GDFGDFGD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C">#REF!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#REF!</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URACION">#REF!*30</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ergencia">#REF!</definedName>
    <definedName name="EMPLEADO">#REF!</definedName>
    <definedName name="Empresa">#REF!</definedName>
    <definedName name="EMULSION">#REF!</definedName>
    <definedName name="enaturales">#REF!</definedName>
    <definedName name="End_Bal">#REF!</definedName>
    <definedName name="ene">#REF!</definedName>
    <definedName name="Ensayo" hidden="1">{"AURES1",#N/A,TRUE,"GENERAL";"AURES2",#N/A,TRUE,"GENERAL";"AURES3",#N/A,TRUE,"GENERAL";"AURES4",#N/A,TRUE,"GENERAL";"AURES5",#N/A,TRUE,"GENERAL";"AURES6",#N/A,TRUE,"GENERAL";"AURES7",#N/A,TRUE,"GENERAL"}</definedName>
    <definedName name="Ensayos">#REF!</definedName>
    <definedName name="entorno">#REF!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#REF!</definedName>
    <definedName name="estado2">#REF!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RAE">#REF!</definedName>
    <definedName name="estre" hidden="1">{#N/A,#N/A,FALSE,"GRAFICO";#N/A,#N/A,FALSE,"CAJA (2)";#N/A,#N/A,FALSE,"TERCEROS-PROMEDIO";#N/A,#N/A,FALSE,"CAJA";#N/A,#N/A,FALSE,"INGRESOS1995-2003";#N/A,#N/A,FALSE,"GASTOS1995-2003"}</definedName>
    <definedName name="ESTRU">#REF!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ento">#REF!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ERNO">#REF!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orCostoPotencia">#REF!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#REF!</definedName>
    <definedName name="Fecha">#REF!</definedName>
    <definedName name="FECHA_ELABORACION">#REF!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l_Fechas">#REF!</definedName>
    <definedName name="fill1" hidden="1">#REF!</definedName>
    <definedName name="FILTROS">#REF!</definedName>
    <definedName name="FINAL">#REF!</definedName>
    <definedName name="FINANCIACION">[0]!ERR</definedName>
    <definedName name="FinePrint">#REF!</definedName>
    <definedName name="FM">1.18</definedName>
    <definedName name="FMA">#REF!</definedName>
    <definedName name="FMB">#REF!</definedName>
    <definedName name="FMC">#REF!</definedName>
    <definedName name="FMD">#REF!</definedName>
    <definedName name="FME">#REF!</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ENTE">#REF!</definedName>
    <definedName name="fuenteruido">#REF!</definedName>
    <definedName name="fuentesem">#REF!</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astos" hidden="1">{#N/A,#N/A,FALSE,"GRAFICO";#N/A,#N/A,FALSE,"CAJA (2)";#N/A,#N/A,FALSE,"TERCEROS-PROMEDIO";#N/A,#N/A,FALSE,"CAJA";#N/A,#N/A,FALSE,"INGRESOS1995-2003";#N/A,#N/A,FALSE,"GASTOS1995-2003"}</definedName>
    <definedName name="gastos_contrato">#REF!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FGDFDF">#REF!</definedName>
    <definedName name="GDFGDFGDF">#REF!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_CANT_A" hidden="1">#REF!</definedName>
    <definedName name="GJ_CANT_B" hidden="1">#REF!</definedName>
    <definedName name="GJ_CANT_C" hidden="1">#REF!</definedName>
    <definedName name="GJ_CANT_D" hidden="1">#REF!</definedName>
    <definedName name="GJ_CANT_E" hidden="1">#REF!</definedName>
    <definedName name="GJ_CANT_F" hidden="1">#REF!</definedName>
    <definedName name="GJ_CANT_G" hidden="1">#REF!</definedName>
    <definedName name="GJ_CANT_H" hidden="1">#REF!</definedName>
    <definedName name="GJ_CANT_I" hidden="1">#REF!</definedName>
    <definedName name="GJ_CANT_J" hidden="1">#REF!</definedName>
    <definedName name="GJ_CANT_K" hidden="1">#REF!</definedName>
    <definedName name="GJ_CANT_L" hidden="1">#REF!</definedName>
    <definedName name="GJ_CANT_M" hidden="1">#REF!</definedName>
    <definedName name="GJ_CANT_N" hidden="1">#REF!</definedName>
    <definedName name="GJ_CANT_O" hidden="1">#REF!</definedName>
    <definedName name="GJ_CANT_P" hidden="1">#REF!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427.">#REF!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mientas">#REF!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 hidden="1">#REF!</definedName>
    <definedName name="HGFH" hidden="1">{"via1",#N/A,TRUE,"general";"via2",#N/A,TRUE,"general";"via3",#N/A,TRUE,"general"}</definedName>
    <definedName name="hgfhty" hidden="1">{"via1",#N/A,TRUE,"general";"via2",#N/A,TRUE,"general";"via3",#N/A,TRUE,"general"}</definedName>
    <definedName name="HGGG" hidden="1">#REF!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endio">#REF!</definedName>
    <definedName name="INCR._PRODC.">#REF!</definedName>
    <definedName name="INDI1">#REF!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_provis">#REF!</definedName>
    <definedName name="INSU">#REF!</definedName>
    <definedName name="INSUMOS">#REF!</definedName>
    <definedName name="Insumos_auxiliares">#REF!</definedName>
    <definedName name="Insumos_basicos">#REF!</definedName>
    <definedName name="Int">#REF!</definedName>
    <definedName name="InTap">#REF!</definedName>
    <definedName name="INTEGRAL">#REF!</definedName>
    <definedName name="INTER">#REF!</definedName>
    <definedName name="Intercambiadores">#REF!</definedName>
    <definedName name="Interest_Rate">#REF!</definedName>
    <definedName name="INTERMEDIA_I">#REF!</definedName>
    <definedName name="Interventor">#REF!</definedName>
    <definedName name="INTERVENTORIA" hidden="1">#REF!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KJKJK" hidden="1">#REF!</definedName>
    <definedName name="jjujujty" hidden="1">{"TAB1",#N/A,TRUE,"GENERAL";"TAB2",#N/A,TRUE,"GENERAL";"TAB3",#N/A,TRUE,"GENERAL";"TAB4",#N/A,TRUE,"GENERAL";"TAB5",#N/A,TRUE,"GENERAL"}</definedName>
    <definedName name="jjyjy" hidden="1">{"via1",#N/A,TRUE,"general";"via2",#N/A,TRUE,"general";"via3",#N/A,TRUE,"general"}</definedName>
    <definedName name="JKJKJKJK" hidden="1">#REF!</definedName>
    <definedName name="jkk" hidden="1">{"TAB1",#N/A,TRUE,"GENERAL";"TAB2",#N/A,TRUE,"GENERAL";"TAB3",#N/A,TRUE,"GENERAL";"TAB4",#N/A,TRUE,"GENERAL";"TAB5",#N/A,TRUE,"GENERAL"}</definedName>
    <definedName name="jkl">#REF!</definedName>
    <definedName name="JOHNNY">[0]!ERR</definedName>
    <definedName name="Jornal">#REF!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gal">#REF!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DAD">#REF!</definedName>
    <definedName name="LOCALIZACION_Y_REPLANTEO">#REF!</definedName>
    <definedName name="LOGO">[0]!ERR</definedName>
    <definedName name="lolol" hidden="1">{"TAB1",#N/A,TRUE,"GENERAL";"TAB2",#N/A,TRUE,"GENERAL";"TAB3",#N/A,TRUE,"GENERAL";"TAB4",#N/A,TRUE,"GENERAL";"TAB5",#N/A,TRUE,"GENERAL"}</definedName>
    <definedName name="LongEP">#REF!</definedName>
    <definedName name="Longitud">#REF!</definedName>
    <definedName name="Longitud1">#REF!</definedName>
    <definedName name="Longitud2">#REF!</definedName>
    <definedName name="lp">#REF!</definedName>
    <definedName name="lplpl" hidden="1">{"via1",#N/A,TRUE,"general";"via2",#N/A,TRUE,"general";"via3",#N/A,TRUE,"general"}</definedName>
    <definedName name="lt">#REF!</definedName>
    <definedName name="LUGAR">#REF!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O">#REF!</definedName>
    <definedName name="mano_obra_apoyo">#REF!</definedName>
    <definedName name="mano_obra_direccion">#REF!</definedName>
    <definedName name="mano_obra_directa">#REF!</definedName>
    <definedName name="mantenimiento">#REF!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rkP" hidden="1">{#N/A,#N/A,FALSE,"GRAFICO";#N/A,#N/A,FALSE,"CAJA (2)";#N/A,#N/A,FALSE,"TERCEROS-PROMEDIO";#N/A,#N/A,FALSE,"CAJA";#N/A,#N/A,FALSE,"INGRESOS1995-2003";#N/A,#N/A,FALSE,"GASTOS1995-2003"}</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AY">#REF!</definedName>
    <definedName name="MC_4857">#REF!</definedName>
    <definedName name="MCCs">#REF!</definedName>
    <definedName name="mdd" hidden="1">{"via1",#N/A,TRUE,"general";"via2",#N/A,TRUE,"general";"via3",#N/A,TRUE,"general"}</definedName>
    <definedName name="mediah_reposo_comida">#REF!</definedName>
    <definedName name="MEDIDAS">#REF!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 hidden="1">{#N/A,#N/A,TRUE,"1842CWN0"}</definedName>
    <definedName name="met_1" hidden="1">{#N/A,#N/A,TRUE,"1842CWN0"}</definedName>
    <definedName name="met_2" hidden="1">{#N/A,#N/A,TRUE,"1842CWN0"}</definedName>
    <definedName name="Meta1">#REF!</definedName>
    <definedName name="Meta2">#REF!</definedName>
    <definedName name="Meta3">#REF!</definedName>
    <definedName name="metal" hidden="1">{#N/A,#N/A,TRUE,"1842CWN0"}</definedName>
    <definedName name="metal_1" hidden="1">{#N/A,#N/A,TRUE,"1842CWN0"}</definedName>
    <definedName name="metal_2" hidden="1">{#N/A,#N/A,TRUE,"1842CWN0"}</definedName>
    <definedName name="METRO2">#REF!</definedName>
    <definedName name="METROL">#REF!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ficad" hidden="1">#REF!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p">#REF!</definedName>
    <definedName name="MRLART">#REF!</definedName>
    <definedName name="MRSUPDET">#REF!</definedName>
    <definedName name="Mtz_Avance">#REF!</definedName>
    <definedName name="MU">#REF!</definedName>
    <definedName name="Mv">#REF!</definedName>
    <definedName name="MZ">#REF!</definedName>
    <definedName name="n" hidden="1">{"via1",#N/A,TRUE,"general";"via2",#N/A,TRUE,"general";"via3",#N/A,TRUE,"general"}</definedName>
    <definedName name="N.CicloRutas">#REF!</definedName>
    <definedName name="Nada">#REF!</definedName>
    <definedName name="Nafta_2">#REF!</definedName>
    <definedName name="Nafta2">#REF!</definedName>
    <definedName name="Nafta3">#REF!</definedName>
    <definedName name="Nanden">#REF!</definedName>
    <definedName name="NATHA">#REF!</definedName>
    <definedName name="nbvnv" hidden="1">{"via1",#N/A,TRUE,"general";"via2",#N/A,TRUE,"general";"via3",#N/A,TRUE,"general"}</definedName>
    <definedName name="NCalzadas">#REF!</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ºCONTRATO">#REF!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#REF!</definedName>
    <definedName name="NPAGE">#REF!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bser">#REF!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M">#REF!</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#REF!</definedName>
    <definedName name="OROZCO" hidden="1">#REF!</definedName>
    <definedName name="ospi">#N/A</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GINA_1_DE_1">#REF!</definedName>
    <definedName name="Parametro_Peso">#REF!</definedName>
    <definedName name="particulares1" hidden="1">{#N/A,#N/A,FALSE,"Aging Summary";#N/A,#N/A,FALSE,"Ratio Analysis";#N/A,#N/A,FALSE,"Test 120 Day Accts";#N/A,#N/A,FALSE,"Tickmarks"}</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ERMANENTE">#REF!</definedName>
    <definedName name="personal">#REF!</definedName>
    <definedName name="PESO14.2">#REF!</definedName>
    <definedName name="PESO14.3">#REF!</definedName>
    <definedName name="PESO14.4">#REF!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ISO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MT">#REF!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est.">1.75</definedName>
    <definedName name="Prestaciones">#REF!</definedName>
    <definedName name="PresuDerivGuatDef" hidden="1">{"via1",#N/A,TRUE,"general";"via2",#N/A,TRUE,"general";"via3",#N/A,TRUE,"general"}</definedName>
    <definedName name="PresuPresaDef" hidden="1">{"via1",#N/A,TRUE,"general";"via2",#N/A,TRUE,"general";"via3",#N/A,TRUE,"general"}</definedName>
    <definedName name="PRESUPUESTADO">#REF!</definedName>
    <definedName name="Presupuesto" hidden="1">#REF!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A">#REF!</definedName>
    <definedName name="PROB">#REF!</definedName>
    <definedName name="ProbRange">0</definedName>
    <definedName name="ProbRangeMit">0</definedName>
    <definedName name="PROC">#REF!</definedName>
    <definedName name="PROCEDIM_SELECC">#REF!</definedName>
    <definedName name="procedimientos">#REF!</definedName>
    <definedName name="PROCESO">#REF!</definedName>
    <definedName name="PROD">#REF!</definedName>
    <definedName name="PRODUCTO">#REF!</definedName>
    <definedName name="PROE">#REF!</definedName>
    <definedName name="PROF">#REF!</definedName>
    <definedName name="PrOfic">#REF!</definedName>
    <definedName name="PROGDES">#REF!</definedName>
    <definedName name="Programa">#REF!</definedName>
    <definedName name="programainv">[0]!ERR</definedName>
    <definedName name="PROP">#REF!</definedName>
    <definedName name="Proponente">#REF!</definedName>
    <definedName name="PROVISIONALES" hidden="1">#REF!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ntovertido">#REF!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FDEDFEW3E">#REF!</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eptores">#REF!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aciones">#REF!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duos">#REF!</definedName>
    <definedName name="Resistenciaconductor">#REF!</definedName>
    <definedName name="Resistividad">#REF!</definedName>
    <definedName name="RESPONSABLE_CONTRATISTA">#REF!</definedName>
    <definedName name="RESPONSABLE_INTERVENTORIA">#REF!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dy">#REF!</definedName>
    <definedName name="ruidocem">#REF!</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12EQ3R4R324R">#REF!</definedName>
    <definedName name="saa" hidden="1">{"via1",#N/A,TRUE,"general";"via2",#N/A,TRUE,"general";"via3",#N/A,TRUE,"general"}</definedName>
    <definedName name="saas">#REF!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#REF!</definedName>
    <definedName name="salarios">[0]!ERR</definedName>
    <definedName name="SalConv">#REF!</definedName>
    <definedName name="SALID1">#REF!</definedName>
    <definedName name="SalMinimo">#REF!</definedName>
    <definedName name="sanitari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1">#REF!</definedName>
    <definedName name="seccion2">#REF!</definedName>
    <definedName name="SECTOR">#REF!</definedName>
    <definedName name="SEM_02">#N/A</definedName>
    <definedName name="SEMANA_C3">#REF!</definedName>
    <definedName name="sena">#REF!</definedName>
    <definedName name="SEP">#REF!</definedName>
    <definedName name="SERO">[0]!ERR</definedName>
    <definedName name="servicio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J">#REF!</definedName>
    <definedName name="SM">#REF!</definedName>
    <definedName name="SMLMV">#REF!</definedName>
    <definedName name="Smlv">#REF!</definedName>
    <definedName name="smlv01">#REF!</definedName>
    <definedName name="smlv2001">#REF!</definedName>
    <definedName name="SMML">#REF!</definedName>
    <definedName name="SMMV">#REF!</definedName>
    <definedName name="SN">#REF!</definedName>
    <definedName name="SOCIAL">#REF!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#REF!</definedName>
    <definedName name="subcontratos">#REF!</definedName>
    <definedName name="SUBESTACIONES">#REF!</definedName>
    <definedName name="Subrasante">#REF!</definedName>
    <definedName name="SUBSUELO">#REF!</definedName>
    <definedName name="Subtotal">#REF!</definedName>
    <definedName name="SUBTRANS">#REF!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PERVISOR_IDU">#REF!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a2">#REF!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c">#REF!</definedName>
    <definedName name="tdy" hidden="1">{"TAB1",#N/A,TRUE,"GENERAL";"TAB2",#N/A,TRUE,"GENERAL";"TAB3",#N/A,TRUE,"GENERAL";"TAB4",#N/A,TRUE,"GENERAL";"TAB5",#N/A,TRUE,"GENERAL"}</definedName>
    <definedName name="TE">#REF!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DEVÍA">#REF!</definedName>
    <definedName name="TipoGC">#REF!</definedName>
    <definedName name="TipoNeces">#REF!</definedName>
    <definedName name="Tipopav">#REF!</definedName>
    <definedName name="TipoPro">#REF!</definedName>
    <definedName name="Tipoproceso">#REF!</definedName>
    <definedName name="TipoPuente">#REF!</definedName>
    <definedName name="tipov">#REF!</definedName>
    <definedName name="tipov2">#REF!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hh">#REF!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MO">#REF!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_PRI">#REF!</definedName>
    <definedName name="UND">#REF!</definedName>
    <definedName name="UNIDAD1">#REF!</definedName>
    <definedName name="UNIDAD521">#REF!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PZ">#REF!</definedName>
    <definedName name="uriel">[0]!ERR</definedName>
    <definedName name="uryur" hidden="1">{"TAB1",#N/A,TRUE,"GENERAL";"TAB2",#N/A,TRUE,"GENERAL";"TAB3",#N/A,TRUE,"GENERAL";"TAB4",#N/A,TRUE,"GENERAL";"TAB5",#N/A,TRUE,"GENERAL"}</definedName>
    <definedName name="US">#REF!</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_final">#REF!</definedName>
    <definedName name="valor1">#REF!</definedName>
    <definedName name="valor2">#REF!</definedName>
    <definedName name="VALOR3">#REF!</definedName>
    <definedName name="Valoracion">#REF!</definedName>
    <definedName name="VALORACIÓN">#REF!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#REF!</definedName>
    <definedName name="VentaAiu">#REF!</definedName>
    <definedName name="vertidos">#REF!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#REF!</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bordador">#REF!</definedName>
    <definedName name="WAGE_RATE">#REF!</definedName>
    <definedName name="Wage0100">#REF!</definedName>
    <definedName name="Wage0200">#REF!</definedName>
    <definedName name="WBS">#REF!</definedName>
    <definedName name="Wcalzada">#REF!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#REF!</definedName>
    <definedName name="WDWEFDEW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peatonal">#REF!</definedName>
    <definedName name="WQ">#REF!</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parador">#REF!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A" hidden="1">#REF!</definedName>
    <definedName name="xcbvbs" hidden="1">{"TAB1",#N/A,TRUE,"GENERAL";"TAB2",#N/A,TRUE,"GENERAL";"TAB3",#N/A,TRUE,"GENERAL";"TAB4",#N/A,TRUE,"GENERAL";"TAB5",#N/A,TRUE,"GENERAL"}</definedName>
    <definedName name="XCXCXCXCXCXC" hidden="1">#REF!</definedName>
    <definedName name="XD">#REF!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82" l="1"/>
  <c r="B741" i="84"/>
  <c r="B718" i="84"/>
  <c r="B695" i="84"/>
  <c r="B626" i="84"/>
  <c r="B649" i="84"/>
  <c r="B672" i="84"/>
  <c r="B580" i="84"/>
  <c r="B603" i="84"/>
  <c r="B557" i="84"/>
  <c r="B465" i="84"/>
  <c r="B488" i="84"/>
  <c r="B511" i="84"/>
  <c r="B534" i="84"/>
  <c r="B419" i="84"/>
  <c r="B442" i="84"/>
  <c r="B28" i="84"/>
  <c r="B51" i="84"/>
  <c r="B74" i="84"/>
  <c r="B97" i="84"/>
  <c r="B120" i="84"/>
  <c r="B143" i="84"/>
  <c r="B166" i="84"/>
  <c r="B189" i="84"/>
  <c r="B212" i="84"/>
  <c r="B235" i="84"/>
  <c r="B258" i="84"/>
  <c r="B281" i="84"/>
  <c r="B304" i="84"/>
  <c r="B327" i="84"/>
  <c r="B350" i="84"/>
  <c r="B373" i="84"/>
  <c r="B396" i="84"/>
  <c r="B5" i="84"/>
  <c r="M37" i="18" l="1"/>
  <c r="C38" i="16" s="1"/>
  <c r="N37" i="18"/>
  <c r="D38" i="16" s="1"/>
  <c r="M38" i="18"/>
  <c r="N38" i="18"/>
  <c r="M39" i="18"/>
  <c r="C40" i="16" s="1"/>
  <c r="N39" i="18"/>
  <c r="D40" i="16" s="1"/>
  <c r="M40" i="18"/>
  <c r="C41" i="16" s="1"/>
  <c r="N40" i="18"/>
  <c r="D41" i="16" s="1"/>
  <c r="M41" i="18"/>
  <c r="C42" i="16" s="1"/>
  <c r="N41" i="18"/>
  <c r="M42" i="18"/>
  <c r="N42" i="18"/>
  <c r="B38" i="22"/>
  <c r="B39" i="22"/>
  <c r="B40" i="22"/>
  <c r="B41" i="22"/>
  <c r="B42" i="22"/>
  <c r="B43" i="22"/>
  <c r="L145" i="21"/>
  <c r="L150" i="21"/>
  <c r="L155" i="21"/>
  <c r="L160" i="21"/>
  <c r="L165" i="21"/>
  <c r="L170" i="21"/>
  <c r="L175" i="21"/>
  <c r="L50" i="21"/>
  <c r="L55" i="21"/>
  <c r="L60" i="21"/>
  <c r="L65" i="21"/>
  <c r="L70" i="21"/>
  <c r="L75" i="21"/>
  <c r="L80" i="21"/>
  <c r="L85" i="21"/>
  <c r="L90" i="21"/>
  <c r="L95" i="21"/>
  <c r="L100" i="21"/>
  <c r="L105" i="21"/>
  <c r="L110" i="21"/>
  <c r="L115" i="21"/>
  <c r="L120" i="21"/>
  <c r="L125" i="21"/>
  <c r="L130" i="21"/>
  <c r="L135" i="21"/>
  <c r="L140" i="21"/>
  <c r="L20" i="21"/>
  <c r="L25" i="21"/>
  <c r="L30" i="21"/>
  <c r="L35" i="21"/>
  <c r="L40" i="21"/>
  <c r="L45" i="21"/>
  <c r="L15" i="21"/>
  <c r="B175" i="21"/>
  <c r="B170" i="21"/>
  <c r="C172" i="21" s="1"/>
  <c r="B165" i="21"/>
  <c r="D169" i="21" s="1"/>
  <c r="B160" i="21"/>
  <c r="D164" i="21" s="1"/>
  <c r="B155" i="21"/>
  <c r="D159" i="21" s="1"/>
  <c r="B150" i="21"/>
  <c r="V170" i="21"/>
  <c r="S170" i="21"/>
  <c r="N170" i="21"/>
  <c r="C170" i="21"/>
  <c r="V165" i="21"/>
  <c r="S165" i="21"/>
  <c r="N165" i="21"/>
  <c r="V160" i="21"/>
  <c r="S160" i="21"/>
  <c r="N160" i="21"/>
  <c r="V155" i="21"/>
  <c r="S155" i="21"/>
  <c r="N155" i="21"/>
  <c r="V150" i="21"/>
  <c r="S150" i="21"/>
  <c r="N150" i="21"/>
  <c r="D154" i="21"/>
  <c r="D39" i="16"/>
  <c r="D42" i="16"/>
  <c r="D43" i="16"/>
  <c r="C39" i="16"/>
  <c r="C43" i="16"/>
  <c r="B12" i="16"/>
  <c r="B13" i="16"/>
  <c r="B14" i="16"/>
  <c r="B15" i="16"/>
  <c r="B16" i="16"/>
  <c r="B17" i="16"/>
  <c r="B18" i="16"/>
  <c r="B19" i="16"/>
  <c r="B20" i="16"/>
  <c r="B21" i="16"/>
  <c r="B22" i="16"/>
  <c r="B23" i="16"/>
  <c r="B24" i="16"/>
  <c r="B25" i="16"/>
  <c r="B26" i="16"/>
  <c r="B27" i="16"/>
  <c r="B28" i="16"/>
  <c r="B29" i="16"/>
  <c r="B30" i="16"/>
  <c r="B31" i="16"/>
  <c r="B32" i="16"/>
  <c r="B33" i="16"/>
  <c r="B34" i="16"/>
  <c r="B35" i="16"/>
  <c r="B36" i="16"/>
  <c r="B37" i="16"/>
  <c r="B38" i="16"/>
  <c r="B39" i="16"/>
  <c r="B40" i="16"/>
  <c r="B41" i="16"/>
  <c r="B42" i="16"/>
  <c r="B43" i="16"/>
  <c r="J64" i="83"/>
  <c r="I64" i="83"/>
  <c r="H64" i="83"/>
  <c r="G64" i="83"/>
  <c r="F64" i="83"/>
  <c r="J54" i="83"/>
  <c r="I54" i="83"/>
  <c r="H54" i="83"/>
  <c r="G54" i="83"/>
  <c r="F54" i="83"/>
  <c r="E54" i="83"/>
  <c r="E64" i="83" s="1"/>
  <c r="D54" i="83"/>
  <c r="D64" i="83" s="1"/>
  <c r="C52" i="83"/>
  <c r="C51" i="83"/>
  <c r="C50" i="83"/>
  <c r="C49" i="83"/>
  <c r="C48" i="83"/>
  <c r="C47" i="83"/>
  <c r="J45" i="83"/>
  <c r="I45" i="83"/>
  <c r="H45" i="83"/>
  <c r="G45" i="83"/>
  <c r="F45" i="83"/>
  <c r="E45" i="83"/>
  <c r="D45" i="83"/>
  <c r="J44" i="83"/>
  <c r="I44" i="83"/>
  <c r="H44" i="83"/>
  <c r="G44" i="83"/>
  <c r="F44" i="83"/>
  <c r="E44" i="83"/>
  <c r="D44" i="83"/>
  <c r="J42" i="83"/>
  <c r="I42" i="83"/>
  <c r="H42" i="83"/>
  <c r="G42" i="83"/>
  <c r="F42" i="83"/>
  <c r="E42" i="83"/>
  <c r="D42" i="83"/>
  <c r="J41" i="83"/>
  <c r="I41" i="83"/>
  <c r="H41" i="83"/>
  <c r="G41" i="83"/>
  <c r="F41" i="83"/>
  <c r="E41" i="83"/>
  <c r="D41" i="83"/>
  <c r="J39" i="83"/>
  <c r="I39" i="83"/>
  <c r="H39" i="83"/>
  <c r="G39" i="83"/>
  <c r="F39" i="83"/>
  <c r="E39" i="83"/>
  <c r="D39" i="83"/>
  <c r="J38" i="83"/>
  <c r="I38" i="83"/>
  <c r="H38" i="83"/>
  <c r="G38" i="83"/>
  <c r="F38" i="83"/>
  <c r="J36" i="83"/>
  <c r="I36" i="83"/>
  <c r="H36" i="83"/>
  <c r="G36" i="83"/>
  <c r="F36" i="83"/>
  <c r="E36" i="83"/>
  <c r="E38" i="83" s="1"/>
  <c r="D36" i="83"/>
  <c r="D38" i="83" s="1"/>
  <c r="B22" i="83"/>
  <c r="I19" i="83"/>
  <c r="C11" i="83"/>
  <c r="D17" i="83" s="1"/>
  <c r="C9" i="83"/>
  <c r="C10" i="83" s="1"/>
  <c r="C8" i="83"/>
  <c r="B4" i="83"/>
  <c r="J64" i="82"/>
  <c r="I64" i="82"/>
  <c r="H64" i="82"/>
  <c r="G64" i="82"/>
  <c r="F64" i="82"/>
  <c r="J54" i="82"/>
  <c r="I54" i="82"/>
  <c r="H54" i="82"/>
  <c r="G54" i="82"/>
  <c r="F54" i="82"/>
  <c r="E54" i="82"/>
  <c r="E64" i="82" s="1"/>
  <c r="D54" i="82"/>
  <c r="D64" i="82" s="1"/>
  <c r="C52" i="82"/>
  <c r="C51" i="82"/>
  <c r="C50" i="82"/>
  <c r="C49" i="82"/>
  <c r="C48" i="82"/>
  <c r="C47" i="82"/>
  <c r="J45" i="82"/>
  <c r="I45" i="82"/>
  <c r="H45" i="82"/>
  <c r="G45" i="82"/>
  <c r="F45" i="82"/>
  <c r="E45" i="82"/>
  <c r="D45" i="82"/>
  <c r="J44" i="82"/>
  <c r="I44" i="82"/>
  <c r="H44" i="82"/>
  <c r="G44" i="82"/>
  <c r="F44" i="82"/>
  <c r="E44" i="82"/>
  <c r="D44" i="82"/>
  <c r="J42" i="82"/>
  <c r="I42" i="82"/>
  <c r="H42" i="82"/>
  <c r="G42" i="82"/>
  <c r="F42" i="82"/>
  <c r="E42" i="82"/>
  <c r="D42" i="82"/>
  <c r="J41" i="82"/>
  <c r="I41" i="82"/>
  <c r="H41" i="82"/>
  <c r="G41" i="82"/>
  <c r="F41" i="82"/>
  <c r="E41" i="82"/>
  <c r="D41" i="82"/>
  <c r="J39" i="82"/>
  <c r="I39" i="82"/>
  <c r="H39" i="82"/>
  <c r="G39" i="82"/>
  <c r="F39" i="82"/>
  <c r="E39" i="82"/>
  <c r="D39" i="82"/>
  <c r="J38" i="82"/>
  <c r="I38" i="82"/>
  <c r="H38" i="82"/>
  <c r="G38" i="82"/>
  <c r="F38" i="82"/>
  <c r="D38" i="82"/>
  <c r="J36" i="82"/>
  <c r="I36" i="82"/>
  <c r="H36" i="82"/>
  <c r="G36" i="82"/>
  <c r="F36" i="82"/>
  <c r="E36" i="82"/>
  <c r="E38" i="82" s="1"/>
  <c r="B22" i="82"/>
  <c r="C11" i="82"/>
  <c r="D17" i="82" s="1"/>
  <c r="C9" i="82"/>
  <c r="C10" i="82" s="1"/>
  <c r="C8" i="82"/>
  <c r="B4" i="82"/>
  <c r="J64" i="81"/>
  <c r="I64" i="81"/>
  <c r="H64" i="81"/>
  <c r="G64" i="81"/>
  <c r="F64" i="81"/>
  <c r="J54" i="81"/>
  <c r="I54" i="81"/>
  <c r="H54" i="81"/>
  <c r="G54" i="81"/>
  <c r="F54" i="81"/>
  <c r="E54" i="81"/>
  <c r="E64" i="81" s="1"/>
  <c r="D54" i="81"/>
  <c r="D64" i="81" s="1"/>
  <c r="C52" i="81"/>
  <c r="C51" i="81"/>
  <c r="C50" i="81"/>
  <c r="C49" i="81"/>
  <c r="C48" i="81"/>
  <c r="C47" i="81"/>
  <c r="J45" i="81"/>
  <c r="I45" i="81"/>
  <c r="H45" i="81"/>
  <c r="G45" i="81"/>
  <c r="F45" i="81"/>
  <c r="E45" i="81"/>
  <c r="D45" i="81"/>
  <c r="J44" i="81"/>
  <c r="I44" i="81"/>
  <c r="H44" i="81"/>
  <c r="G44" i="81"/>
  <c r="F44" i="81"/>
  <c r="E44" i="81"/>
  <c r="D44" i="81"/>
  <c r="J42" i="81"/>
  <c r="I42" i="81"/>
  <c r="H42" i="81"/>
  <c r="G42" i="81"/>
  <c r="F42" i="81"/>
  <c r="E42" i="81"/>
  <c r="D42" i="81"/>
  <c r="J41" i="81"/>
  <c r="I41" i="81"/>
  <c r="H41" i="81"/>
  <c r="G41" i="81"/>
  <c r="F41" i="81"/>
  <c r="E41" i="81"/>
  <c r="D41" i="81"/>
  <c r="J39" i="81"/>
  <c r="I39" i="81"/>
  <c r="H39" i="81"/>
  <c r="G39" i="81"/>
  <c r="F39" i="81"/>
  <c r="E39" i="81"/>
  <c r="D39" i="81"/>
  <c r="I19" i="81" s="1"/>
  <c r="K19" i="81" s="1"/>
  <c r="J38" i="81"/>
  <c r="I38" i="81"/>
  <c r="H38" i="81"/>
  <c r="G38" i="81"/>
  <c r="F38" i="81"/>
  <c r="D38" i="81"/>
  <c r="J36" i="81"/>
  <c r="I36" i="81"/>
  <c r="H36" i="81"/>
  <c r="G36" i="81"/>
  <c r="F36" i="81"/>
  <c r="E36" i="81"/>
  <c r="E38" i="81" s="1"/>
  <c r="D36" i="81"/>
  <c r="B22" i="81"/>
  <c r="J19" i="81"/>
  <c r="C11" i="81"/>
  <c r="D17" i="81" s="1"/>
  <c r="C10" i="81"/>
  <c r="L8" i="81" s="1"/>
  <c r="L9" i="81"/>
  <c r="C9" i="81"/>
  <c r="C8" i="81"/>
  <c r="B4" i="81"/>
  <c r="J64" i="80"/>
  <c r="I64" i="80"/>
  <c r="H64" i="80"/>
  <c r="G64" i="80"/>
  <c r="F64" i="80"/>
  <c r="J54" i="80"/>
  <c r="I54" i="80"/>
  <c r="H54" i="80"/>
  <c r="G54" i="80"/>
  <c r="F54" i="80"/>
  <c r="E54" i="80"/>
  <c r="E64" i="80" s="1"/>
  <c r="D54" i="80"/>
  <c r="D64" i="80" s="1"/>
  <c r="C52" i="80"/>
  <c r="C51" i="80"/>
  <c r="C50" i="80"/>
  <c r="C49" i="80"/>
  <c r="C48" i="80"/>
  <c r="C47" i="80"/>
  <c r="J45" i="80"/>
  <c r="I45" i="80"/>
  <c r="H45" i="80"/>
  <c r="G45" i="80"/>
  <c r="F45" i="80"/>
  <c r="E45" i="80"/>
  <c r="D45" i="80"/>
  <c r="J44" i="80"/>
  <c r="I44" i="80"/>
  <c r="H44" i="80"/>
  <c r="G44" i="80"/>
  <c r="F44" i="80"/>
  <c r="E44" i="80"/>
  <c r="D44" i="80"/>
  <c r="J42" i="80"/>
  <c r="I42" i="80"/>
  <c r="H42" i="80"/>
  <c r="G42" i="80"/>
  <c r="F42" i="80"/>
  <c r="E42" i="80"/>
  <c r="D42" i="80"/>
  <c r="J41" i="80"/>
  <c r="I41" i="80"/>
  <c r="H41" i="80"/>
  <c r="G41" i="80"/>
  <c r="F41" i="80"/>
  <c r="E41" i="80"/>
  <c r="D41" i="80"/>
  <c r="J39" i="80"/>
  <c r="I39" i="80"/>
  <c r="H39" i="80"/>
  <c r="G39" i="80"/>
  <c r="F39" i="80"/>
  <c r="E39" i="80"/>
  <c r="D39" i="80"/>
  <c r="I19" i="80" s="1"/>
  <c r="J38" i="80"/>
  <c r="I38" i="80"/>
  <c r="H38" i="80"/>
  <c r="G38" i="80"/>
  <c r="F38" i="80"/>
  <c r="E38" i="80"/>
  <c r="J36" i="80"/>
  <c r="I36" i="80"/>
  <c r="H36" i="80"/>
  <c r="G36" i="80"/>
  <c r="F36" i="80"/>
  <c r="E36" i="80"/>
  <c r="D36" i="80"/>
  <c r="D38" i="80" s="1"/>
  <c r="B22" i="80"/>
  <c r="C11" i="80"/>
  <c r="C16" i="80" s="1"/>
  <c r="C10" i="80"/>
  <c r="L8" i="80" s="1"/>
  <c r="C9" i="80"/>
  <c r="C8" i="80"/>
  <c r="B4" i="80"/>
  <c r="J64" i="79"/>
  <c r="I64" i="79"/>
  <c r="H64" i="79"/>
  <c r="G64" i="79"/>
  <c r="F64" i="79"/>
  <c r="J54" i="79"/>
  <c r="I54" i="79"/>
  <c r="H54" i="79"/>
  <c r="G54" i="79"/>
  <c r="F54" i="79"/>
  <c r="E54" i="79"/>
  <c r="E64" i="79" s="1"/>
  <c r="D54" i="79"/>
  <c r="D64" i="79" s="1"/>
  <c r="I15" i="79" s="1"/>
  <c r="C52" i="79"/>
  <c r="C51" i="79"/>
  <c r="C50" i="79"/>
  <c r="C49" i="79"/>
  <c r="C48" i="79"/>
  <c r="C47" i="79"/>
  <c r="J45" i="79"/>
  <c r="I45" i="79"/>
  <c r="H45" i="79"/>
  <c r="G45" i="79"/>
  <c r="F45" i="79"/>
  <c r="E45" i="79"/>
  <c r="D45" i="79"/>
  <c r="J44" i="79"/>
  <c r="I44" i="79"/>
  <c r="H44" i="79"/>
  <c r="G44" i="79"/>
  <c r="F44" i="79"/>
  <c r="E44" i="79"/>
  <c r="D44" i="79"/>
  <c r="J42" i="79"/>
  <c r="I42" i="79"/>
  <c r="H42" i="79"/>
  <c r="G42" i="79"/>
  <c r="F42" i="79"/>
  <c r="E42" i="79"/>
  <c r="D42" i="79"/>
  <c r="J41" i="79"/>
  <c r="I41" i="79"/>
  <c r="H41" i="79"/>
  <c r="G41" i="79"/>
  <c r="F41" i="79"/>
  <c r="E41" i="79"/>
  <c r="D41" i="79"/>
  <c r="J39" i="79"/>
  <c r="I39" i="79"/>
  <c r="H39" i="79"/>
  <c r="G39" i="79"/>
  <c r="F39" i="79"/>
  <c r="E39" i="79"/>
  <c r="I19" i="79" s="1"/>
  <c r="D39" i="79"/>
  <c r="J38" i="79"/>
  <c r="I38" i="79"/>
  <c r="H38" i="79"/>
  <c r="G38" i="79"/>
  <c r="F38" i="79"/>
  <c r="J36" i="79"/>
  <c r="I36" i="79"/>
  <c r="H36" i="79"/>
  <c r="G36" i="79"/>
  <c r="F36" i="79"/>
  <c r="E36" i="79"/>
  <c r="E38" i="79" s="1"/>
  <c r="D36" i="79"/>
  <c r="D38" i="79" s="1"/>
  <c r="B22" i="79"/>
  <c r="C11" i="79"/>
  <c r="D17" i="79" s="1"/>
  <c r="C9" i="79"/>
  <c r="C10" i="79" s="1"/>
  <c r="C8" i="79"/>
  <c r="B4" i="79"/>
  <c r="J64" i="78"/>
  <c r="I64" i="78"/>
  <c r="H64" i="78"/>
  <c r="G64" i="78"/>
  <c r="F64" i="78"/>
  <c r="J54" i="78"/>
  <c r="I54" i="78"/>
  <c r="H54" i="78"/>
  <c r="G54" i="78"/>
  <c r="F54" i="78"/>
  <c r="E54" i="78"/>
  <c r="E64" i="78" s="1"/>
  <c r="D54" i="78"/>
  <c r="D64" i="78" s="1"/>
  <c r="C52" i="78"/>
  <c r="C51" i="78"/>
  <c r="C50" i="78"/>
  <c r="C49" i="78"/>
  <c r="C48" i="78"/>
  <c r="C47" i="78"/>
  <c r="J45" i="78"/>
  <c r="I45" i="78"/>
  <c r="H45" i="78"/>
  <c r="G45" i="78"/>
  <c r="F45" i="78"/>
  <c r="E45" i="78"/>
  <c r="D45" i="78"/>
  <c r="J44" i="78"/>
  <c r="I44" i="78"/>
  <c r="H44" i="78"/>
  <c r="G44" i="78"/>
  <c r="F44" i="78"/>
  <c r="E44" i="78"/>
  <c r="D44" i="78"/>
  <c r="J42" i="78"/>
  <c r="I42" i="78"/>
  <c r="H42" i="78"/>
  <c r="G42" i="78"/>
  <c r="F42" i="78"/>
  <c r="E42" i="78"/>
  <c r="D42" i="78"/>
  <c r="J41" i="78"/>
  <c r="I41" i="78"/>
  <c r="H41" i="78"/>
  <c r="G41" i="78"/>
  <c r="F41" i="78"/>
  <c r="E41" i="78"/>
  <c r="D41" i="78"/>
  <c r="J39" i="78"/>
  <c r="I39" i="78"/>
  <c r="H39" i="78"/>
  <c r="G39" i="78"/>
  <c r="F39" i="78"/>
  <c r="E39" i="78"/>
  <c r="D39" i="78"/>
  <c r="I19" i="78" s="1"/>
  <c r="J38" i="78"/>
  <c r="I38" i="78"/>
  <c r="H38" i="78"/>
  <c r="G38" i="78"/>
  <c r="F38" i="78"/>
  <c r="J36" i="78"/>
  <c r="I36" i="78"/>
  <c r="H36" i="78"/>
  <c r="G36" i="78"/>
  <c r="F36" i="78"/>
  <c r="E36" i="78"/>
  <c r="E38" i="78" s="1"/>
  <c r="D36" i="78"/>
  <c r="D38" i="78" s="1"/>
  <c r="B22" i="78"/>
  <c r="C11" i="78"/>
  <c r="D17" i="78" s="1"/>
  <c r="C9" i="78"/>
  <c r="C10" i="78" s="1"/>
  <c r="C8" i="78"/>
  <c r="B4" i="78"/>
  <c r="J64" i="77"/>
  <c r="I64" i="77"/>
  <c r="H64" i="77"/>
  <c r="G64" i="77"/>
  <c r="F64" i="77"/>
  <c r="J54" i="77"/>
  <c r="I54" i="77"/>
  <c r="H54" i="77"/>
  <c r="G54" i="77"/>
  <c r="F54" i="77"/>
  <c r="E54" i="77"/>
  <c r="E64" i="77" s="1"/>
  <c r="D54" i="77"/>
  <c r="D64" i="77" s="1"/>
  <c r="C52" i="77"/>
  <c r="C51" i="77"/>
  <c r="C50" i="77"/>
  <c r="C49" i="77"/>
  <c r="C48" i="77"/>
  <c r="C47" i="77"/>
  <c r="J45" i="77"/>
  <c r="I45" i="77"/>
  <c r="H45" i="77"/>
  <c r="G45" i="77"/>
  <c r="F45" i="77"/>
  <c r="E45" i="77"/>
  <c r="D45" i="77"/>
  <c r="J44" i="77"/>
  <c r="I44" i="77"/>
  <c r="H44" i="77"/>
  <c r="G44" i="77"/>
  <c r="F44" i="77"/>
  <c r="E44" i="77"/>
  <c r="D44" i="77"/>
  <c r="J42" i="77"/>
  <c r="I42" i="77"/>
  <c r="H42" i="77"/>
  <c r="G42" i="77"/>
  <c r="F42" i="77"/>
  <c r="E42" i="77"/>
  <c r="D42" i="77"/>
  <c r="J41" i="77"/>
  <c r="I41" i="77"/>
  <c r="H41" i="77"/>
  <c r="G41" i="77"/>
  <c r="F41" i="77"/>
  <c r="E41" i="77"/>
  <c r="D41" i="77"/>
  <c r="J39" i="77"/>
  <c r="I39" i="77"/>
  <c r="H39" i="77"/>
  <c r="G39" i="77"/>
  <c r="F39" i="77"/>
  <c r="E39" i="77"/>
  <c r="D39" i="77"/>
  <c r="J38" i="77"/>
  <c r="I38" i="77"/>
  <c r="H38" i="77"/>
  <c r="G38" i="77"/>
  <c r="F38" i="77"/>
  <c r="J36" i="77"/>
  <c r="I36" i="77"/>
  <c r="H36" i="77"/>
  <c r="G36" i="77"/>
  <c r="F36" i="77"/>
  <c r="E36" i="77"/>
  <c r="E38" i="77" s="1"/>
  <c r="D36" i="77"/>
  <c r="D38" i="77" s="1"/>
  <c r="B22" i="77"/>
  <c r="I19" i="77"/>
  <c r="C11" i="77"/>
  <c r="D17" i="77" s="1"/>
  <c r="C9" i="77"/>
  <c r="C10" i="77" s="1"/>
  <c r="C8" i="77"/>
  <c r="B4" i="77"/>
  <c r="J64" i="76"/>
  <c r="I64" i="76"/>
  <c r="H64" i="76"/>
  <c r="G64" i="76"/>
  <c r="F64" i="76"/>
  <c r="E64" i="76"/>
  <c r="J54" i="76"/>
  <c r="I54" i="76"/>
  <c r="H54" i="76"/>
  <c r="G54" i="76"/>
  <c r="F54" i="76"/>
  <c r="E54" i="76"/>
  <c r="D54" i="76"/>
  <c r="D64" i="76" s="1"/>
  <c r="C52" i="76"/>
  <c r="C51" i="76"/>
  <c r="C50" i="76"/>
  <c r="C49" i="76"/>
  <c r="C48" i="76"/>
  <c r="C47" i="76"/>
  <c r="J45" i="76"/>
  <c r="I45" i="76"/>
  <c r="H45" i="76"/>
  <c r="G45" i="76"/>
  <c r="F45" i="76"/>
  <c r="E45" i="76"/>
  <c r="D45" i="76"/>
  <c r="J44" i="76"/>
  <c r="I44" i="76"/>
  <c r="H44" i="76"/>
  <c r="G44" i="76"/>
  <c r="F44" i="76"/>
  <c r="E44" i="76"/>
  <c r="D44" i="76"/>
  <c r="J42" i="76"/>
  <c r="I42" i="76"/>
  <c r="H42" i="76"/>
  <c r="G42" i="76"/>
  <c r="F42" i="76"/>
  <c r="E42" i="76"/>
  <c r="D42" i="76"/>
  <c r="J41" i="76"/>
  <c r="I41" i="76"/>
  <c r="H41" i="76"/>
  <c r="G41" i="76"/>
  <c r="F41" i="76"/>
  <c r="E41" i="76"/>
  <c r="D41" i="76"/>
  <c r="J39" i="76"/>
  <c r="I39" i="76"/>
  <c r="H39" i="76"/>
  <c r="G39" i="76"/>
  <c r="F39" i="76"/>
  <c r="E39" i="76"/>
  <c r="D39" i="76"/>
  <c r="J38" i="76"/>
  <c r="I38" i="76"/>
  <c r="H38" i="76"/>
  <c r="G38" i="76"/>
  <c r="F38" i="76"/>
  <c r="E38" i="76"/>
  <c r="J36" i="76"/>
  <c r="I36" i="76"/>
  <c r="H36" i="76"/>
  <c r="G36" i="76"/>
  <c r="F36" i="76"/>
  <c r="E36" i="76"/>
  <c r="D36" i="76"/>
  <c r="D38" i="76" s="1"/>
  <c r="B22" i="76"/>
  <c r="I19" i="76"/>
  <c r="C11" i="76"/>
  <c r="D17" i="76" s="1"/>
  <c r="C9" i="76"/>
  <c r="C10" i="76" s="1"/>
  <c r="C8" i="76"/>
  <c r="B4" i="76"/>
  <c r="J64" i="75"/>
  <c r="I64" i="75"/>
  <c r="F64" i="75"/>
  <c r="J54" i="75"/>
  <c r="I54" i="75"/>
  <c r="H54" i="75"/>
  <c r="H64" i="75" s="1"/>
  <c r="G54" i="75"/>
  <c r="G64" i="75" s="1"/>
  <c r="F54" i="75"/>
  <c r="E54" i="75"/>
  <c r="E64" i="75" s="1"/>
  <c r="D54" i="75"/>
  <c r="D64" i="75" s="1"/>
  <c r="C52" i="75"/>
  <c r="C51" i="75"/>
  <c r="C50" i="75"/>
  <c r="C49" i="75"/>
  <c r="C48" i="75"/>
  <c r="C47" i="75"/>
  <c r="J45" i="75"/>
  <c r="I45" i="75"/>
  <c r="H45" i="75"/>
  <c r="G45" i="75"/>
  <c r="F45" i="75"/>
  <c r="E45" i="75"/>
  <c r="D45" i="75"/>
  <c r="J44" i="75"/>
  <c r="I44" i="75"/>
  <c r="H44" i="75"/>
  <c r="G44" i="75"/>
  <c r="F44" i="75"/>
  <c r="E44" i="75"/>
  <c r="D44" i="75"/>
  <c r="J42" i="75"/>
  <c r="I42" i="75"/>
  <c r="H42" i="75"/>
  <c r="G42" i="75"/>
  <c r="F42" i="75"/>
  <c r="E42" i="75"/>
  <c r="D42" i="75"/>
  <c r="J41" i="75"/>
  <c r="I41" i="75"/>
  <c r="E41" i="75"/>
  <c r="D41" i="75"/>
  <c r="J39" i="75"/>
  <c r="I39" i="75"/>
  <c r="H39" i="75"/>
  <c r="G39" i="75"/>
  <c r="F39" i="75"/>
  <c r="E39" i="75"/>
  <c r="D39" i="75"/>
  <c r="J38" i="75"/>
  <c r="I38" i="75"/>
  <c r="E38" i="75"/>
  <c r="J36" i="75"/>
  <c r="I36" i="75"/>
  <c r="H36" i="75"/>
  <c r="H38" i="75" s="1"/>
  <c r="G36" i="75"/>
  <c r="G41" i="75" s="1"/>
  <c r="F36" i="75"/>
  <c r="F38" i="75" s="1"/>
  <c r="E36" i="75"/>
  <c r="D36" i="75"/>
  <c r="D38" i="75" s="1"/>
  <c r="B22" i="75"/>
  <c r="C11" i="75"/>
  <c r="C16" i="75" s="1"/>
  <c r="C10" i="75"/>
  <c r="L8" i="75" s="1"/>
  <c r="C9" i="75"/>
  <c r="C8" i="75"/>
  <c r="B4" i="75"/>
  <c r="J64" i="74"/>
  <c r="I64" i="74"/>
  <c r="H64" i="74"/>
  <c r="G64" i="74"/>
  <c r="F64" i="74"/>
  <c r="J54" i="74"/>
  <c r="I54" i="74"/>
  <c r="H54" i="74"/>
  <c r="G54" i="74"/>
  <c r="F54" i="74"/>
  <c r="E54" i="74"/>
  <c r="E64" i="74" s="1"/>
  <c r="D54" i="74"/>
  <c r="D64" i="74" s="1"/>
  <c r="C52" i="74"/>
  <c r="C51" i="74"/>
  <c r="C50" i="74"/>
  <c r="C49" i="74"/>
  <c r="C48" i="74"/>
  <c r="C47" i="74"/>
  <c r="J45" i="74"/>
  <c r="I45" i="74"/>
  <c r="H45" i="74"/>
  <c r="G45" i="74"/>
  <c r="F45" i="74"/>
  <c r="E45" i="74"/>
  <c r="D45" i="74"/>
  <c r="J44" i="74"/>
  <c r="I44" i="74"/>
  <c r="H44" i="74"/>
  <c r="G44" i="74"/>
  <c r="F44" i="74"/>
  <c r="E44" i="74"/>
  <c r="D44" i="74"/>
  <c r="J42" i="74"/>
  <c r="I42" i="74"/>
  <c r="H42" i="74"/>
  <c r="G42" i="74"/>
  <c r="F42" i="74"/>
  <c r="E42" i="74"/>
  <c r="D42" i="74"/>
  <c r="J41" i="74"/>
  <c r="I41" i="74"/>
  <c r="H41" i="74"/>
  <c r="G41" i="74"/>
  <c r="F41" i="74"/>
  <c r="E41" i="74"/>
  <c r="D41" i="74"/>
  <c r="J39" i="74"/>
  <c r="I39" i="74"/>
  <c r="H39" i="74"/>
  <c r="G39" i="74"/>
  <c r="F39" i="74"/>
  <c r="E39" i="74"/>
  <c r="I19" i="74" s="1"/>
  <c r="D39" i="74"/>
  <c r="J38" i="74"/>
  <c r="I38" i="74"/>
  <c r="H38" i="74"/>
  <c r="G38" i="74"/>
  <c r="F38" i="74"/>
  <c r="J36" i="74"/>
  <c r="I36" i="74"/>
  <c r="H36" i="74"/>
  <c r="G36" i="74"/>
  <c r="F36" i="74"/>
  <c r="E36" i="74"/>
  <c r="E38" i="74" s="1"/>
  <c r="D36" i="74"/>
  <c r="D38" i="74" s="1"/>
  <c r="B22" i="74"/>
  <c r="C11" i="74"/>
  <c r="D17" i="74" s="1"/>
  <c r="C9" i="74"/>
  <c r="C10" i="74" s="1"/>
  <c r="C8" i="74"/>
  <c r="B4" i="74"/>
  <c r="J64" i="73"/>
  <c r="I64" i="73"/>
  <c r="H64" i="73"/>
  <c r="G64" i="73"/>
  <c r="F64" i="73"/>
  <c r="J54" i="73"/>
  <c r="I54" i="73"/>
  <c r="H54" i="73"/>
  <c r="G54" i="73"/>
  <c r="F54" i="73"/>
  <c r="E54" i="73"/>
  <c r="E64" i="73" s="1"/>
  <c r="D54" i="73"/>
  <c r="D64" i="73" s="1"/>
  <c r="C52" i="73"/>
  <c r="C51" i="73"/>
  <c r="C50" i="73"/>
  <c r="C49" i="73"/>
  <c r="C48" i="73"/>
  <c r="C47" i="73"/>
  <c r="J45" i="73"/>
  <c r="I45" i="73"/>
  <c r="H45" i="73"/>
  <c r="G45" i="73"/>
  <c r="F45" i="73"/>
  <c r="E45" i="73"/>
  <c r="D45" i="73"/>
  <c r="J44" i="73"/>
  <c r="I44" i="73"/>
  <c r="H44" i="73"/>
  <c r="G44" i="73"/>
  <c r="F44" i="73"/>
  <c r="E44" i="73"/>
  <c r="D44" i="73"/>
  <c r="J42" i="73"/>
  <c r="I42" i="73"/>
  <c r="H42" i="73"/>
  <c r="G42" i="73"/>
  <c r="F42" i="73"/>
  <c r="E42" i="73"/>
  <c r="D42" i="73"/>
  <c r="J41" i="73"/>
  <c r="I41" i="73"/>
  <c r="H41" i="73"/>
  <c r="G41" i="73"/>
  <c r="F41" i="73"/>
  <c r="E41" i="73"/>
  <c r="D41" i="73"/>
  <c r="J39" i="73"/>
  <c r="I39" i="73"/>
  <c r="H39" i="73"/>
  <c r="G39" i="73"/>
  <c r="F39" i="73"/>
  <c r="E39" i="73"/>
  <c r="D39" i="73"/>
  <c r="J38" i="73"/>
  <c r="I38" i="73"/>
  <c r="H38" i="73"/>
  <c r="G38" i="73"/>
  <c r="F38" i="73"/>
  <c r="J36" i="73"/>
  <c r="I36" i="73"/>
  <c r="H36" i="73"/>
  <c r="G36" i="73"/>
  <c r="F36" i="73"/>
  <c r="E36" i="73"/>
  <c r="E38" i="73" s="1"/>
  <c r="D36" i="73"/>
  <c r="D38" i="73" s="1"/>
  <c r="B22" i="73"/>
  <c r="C11" i="73"/>
  <c r="D17" i="73" s="1"/>
  <c r="C9" i="73"/>
  <c r="C10" i="73" s="1"/>
  <c r="C8" i="73"/>
  <c r="B4" i="73"/>
  <c r="J64" i="72"/>
  <c r="I64" i="72"/>
  <c r="H64" i="72"/>
  <c r="G64" i="72"/>
  <c r="F64" i="72"/>
  <c r="D64" i="72"/>
  <c r="J54" i="72"/>
  <c r="I54" i="72"/>
  <c r="H54" i="72"/>
  <c r="G54" i="72"/>
  <c r="F54" i="72"/>
  <c r="E54" i="72"/>
  <c r="E64" i="72" s="1"/>
  <c r="D54" i="72"/>
  <c r="C52" i="72"/>
  <c r="C51" i="72"/>
  <c r="C50" i="72"/>
  <c r="C49" i="72"/>
  <c r="C48" i="72"/>
  <c r="C47" i="72"/>
  <c r="J45" i="72"/>
  <c r="I45" i="72"/>
  <c r="H45" i="72"/>
  <c r="G45" i="72"/>
  <c r="F45" i="72"/>
  <c r="E45" i="72"/>
  <c r="D45" i="72"/>
  <c r="J44" i="72"/>
  <c r="I44" i="72"/>
  <c r="H44" i="72"/>
  <c r="G44" i="72"/>
  <c r="F44" i="72"/>
  <c r="E44" i="72"/>
  <c r="D44" i="72"/>
  <c r="J42" i="72"/>
  <c r="I42" i="72"/>
  <c r="H42" i="72"/>
  <c r="G42" i="72"/>
  <c r="F42" i="72"/>
  <c r="E42" i="72"/>
  <c r="D42" i="72"/>
  <c r="J41" i="72"/>
  <c r="I41" i="72"/>
  <c r="H41" i="72"/>
  <c r="G41" i="72"/>
  <c r="F41" i="72"/>
  <c r="E41" i="72"/>
  <c r="D41" i="72"/>
  <c r="J39" i="72"/>
  <c r="I39" i="72"/>
  <c r="H39" i="72"/>
  <c r="G39" i="72"/>
  <c r="F39" i="72"/>
  <c r="E39" i="72"/>
  <c r="D39" i="72"/>
  <c r="I19" i="72" s="1"/>
  <c r="J38" i="72"/>
  <c r="I38" i="72"/>
  <c r="H38" i="72"/>
  <c r="G38" i="72"/>
  <c r="F38" i="72"/>
  <c r="J36" i="72"/>
  <c r="I36" i="72"/>
  <c r="H36" i="72"/>
  <c r="G36" i="72"/>
  <c r="F36" i="72"/>
  <c r="E36" i="72"/>
  <c r="E38" i="72" s="1"/>
  <c r="D36" i="72"/>
  <c r="D38" i="72" s="1"/>
  <c r="B22" i="72"/>
  <c r="C11" i="72"/>
  <c r="D17" i="72" s="1"/>
  <c r="C9" i="72"/>
  <c r="C10" i="72" s="1"/>
  <c r="C8" i="72"/>
  <c r="B4" i="72"/>
  <c r="J64" i="71"/>
  <c r="J54" i="71"/>
  <c r="I54" i="71"/>
  <c r="I64" i="71" s="1"/>
  <c r="H54" i="71"/>
  <c r="H64" i="71" s="1"/>
  <c r="G54" i="71"/>
  <c r="G64" i="71" s="1"/>
  <c r="F54" i="71"/>
  <c r="F64" i="71" s="1"/>
  <c r="E54" i="71"/>
  <c r="E64" i="71" s="1"/>
  <c r="D54" i="71"/>
  <c r="D64" i="71" s="1"/>
  <c r="C52" i="71"/>
  <c r="C51" i="71"/>
  <c r="C50" i="71"/>
  <c r="C49" i="71"/>
  <c r="C48" i="71"/>
  <c r="C47" i="71"/>
  <c r="J45" i="71"/>
  <c r="I45" i="71"/>
  <c r="H45" i="71"/>
  <c r="G45" i="71"/>
  <c r="F45" i="71"/>
  <c r="E45" i="71"/>
  <c r="D45" i="71"/>
  <c r="J44" i="71"/>
  <c r="I44" i="71"/>
  <c r="H44" i="71"/>
  <c r="G44" i="71"/>
  <c r="F44" i="71"/>
  <c r="E44" i="71"/>
  <c r="D44" i="71"/>
  <c r="J42" i="71"/>
  <c r="I42" i="71"/>
  <c r="H42" i="71"/>
  <c r="G42" i="71"/>
  <c r="F42" i="71"/>
  <c r="E42" i="71"/>
  <c r="D42" i="71"/>
  <c r="J41" i="71"/>
  <c r="I41" i="71"/>
  <c r="H41" i="71"/>
  <c r="G41" i="71"/>
  <c r="F41" i="71"/>
  <c r="E41" i="71"/>
  <c r="D41" i="71"/>
  <c r="J39" i="71"/>
  <c r="I39" i="71"/>
  <c r="H39" i="71"/>
  <c r="G39" i="71"/>
  <c r="F39" i="71"/>
  <c r="E39" i="71"/>
  <c r="D39" i="71"/>
  <c r="J38" i="71"/>
  <c r="J36" i="71"/>
  <c r="I36" i="71"/>
  <c r="I38" i="71" s="1"/>
  <c r="H36" i="71"/>
  <c r="H38" i="71" s="1"/>
  <c r="G36" i="71"/>
  <c r="G38" i="71" s="1"/>
  <c r="F36" i="71"/>
  <c r="F38" i="71" s="1"/>
  <c r="E36" i="71"/>
  <c r="E38" i="71" s="1"/>
  <c r="D36" i="71"/>
  <c r="D38" i="71" s="1"/>
  <c r="B22" i="71"/>
  <c r="C11" i="71"/>
  <c r="C16" i="71" s="1"/>
  <c r="C10" i="71"/>
  <c r="L8" i="71" s="1"/>
  <c r="L9" i="71"/>
  <c r="C9" i="71"/>
  <c r="C8" i="71"/>
  <c r="B4" i="71"/>
  <c r="J64" i="70"/>
  <c r="I64" i="70"/>
  <c r="H64" i="70"/>
  <c r="G64" i="70"/>
  <c r="F64" i="70"/>
  <c r="E64" i="70"/>
  <c r="J54" i="70"/>
  <c r="I54" i="70"/>
  <c r="H54" i="70"/>
  <c r="G54" i="70"/>
  <c r="F54" i="70"/>
  <c r="E54" i="70"/>
  <c r="D54" i="70"/>
  <c r="D64" i="70" s="1"/>
  <c r="I15" i="70" s="1"/>
  <c r="C52" i="70"/>
  <c r="C51" i="70"/>
  <c r="C50" i="70"/>
  <c r="C49" i="70"/>
  <c r="C48" i="70"/>
  <c r="C47" i="70"/>
  <c r="J45" i="70"/>
  <c r="I45" i="70"/>
  <c r="H45" i="70"/>
  <c r="G45" i="70"/>
  <c r="F45" i="70"/>
  <c r="E45" i="70"/>
  <c r="D45" i="70"/>
  <c r="J44" i="70"/>
  <c r="I44" i="70"/>
  <c r="H44" i="70"/>
  <c r="G44" i="70"/>
  <c r="F44" i="70"/>
  <c r="E44" i="70"/>
  <c r="D44" i="70"/>
  <c r="J42" i="70"/>
  <c r="I42" i="70"/>
  <c r="H42" i="70"/>
  <c r="G42" i="70"/>
  <c r="F42" i="70"/>
  <c r="E42" i="70"/>
  <c r="D42" i="70"/>
  <c r="I19" i="70" s="1"/>
  <c r="J41" i="70"/>
  <c r="I41" i="70"/>
  <c r="H41" i="70"/>
  <c r="G41" i="70"/>
  <c r="F41" i="70"/>
  <c r="E41" i="70"/>
  <c r="D41" i="70"/>
  <c r="J39" i="70"/>
  <c r="I39" i="70"/>
  <c r="H39" i="70"/>
  <c r="G39" i="70"/>
  <c r="F39" i="70"/>
  <c r="E39" i="70"/>
  <c r="D39" i="70"/>
  <c r="J38" i="70"/>
  <c r="I38" i="70"/>
  <c r="H38" i="70"/>
  <c r="G38" i="70"/>
  <c r="F38" i="70"/>
  <c r="E38" i="70"/>
  <c r="D38" i="70"/>
  <c r="J36" i="70"/>
  <c r="I36" i="70"/>
  <c r="H36" i="70"/>
  <c r="G36" i="70"/>
  <c r="F36" i="70"/>
  <c r="E36" i="70"/>
  <c r="D36" i="70"/>
  <c r="B22" i="70"/>
  <c r="C11" i="70"/>
  <c r="D17" i="70" s="1"/>
  <c r="C9" i="70"/>
  <c r="C10" i="70" s="1"/>
  <c r="C8" i="70"/>
  <c r="B4" i="70"/>
  <c r="J64" i="69"/>
  <c r="I64" i="69"/>
  <c r="H64" i="69"/>
  <c r="G64" i="69"/>
  <c r="F64" i="69"/>
  <c r="D64" i="69"/>
  <c r="J54" i="69"/>
  <c r="I54" i="69"/>
  <c r="H54" i="69"/>
  <c r="G54" i="69"/>
  <c r="F54" i="69"/>
  <c r="E54" i="69"/>
  <c r="E64" i="69" s="1"/>
  <c r="D54" i="69"/>
  <c r="C52" i="69"/>
  <c r="C51" i="69"/>
  <c r="C50" i="69"/>
  <c r="C49" i="69"/>
  <c r="C48" i="69"/>
  <c r="C47" i="69"/>
  <c r="J45" i="69"/>
  <c r="I45" i="69"/>
  <c r="H45" i="69"/>
  <c r="G45" i="69"/>
  <c r="F45" i="69"/>
  <c r="E45" i="69"/>
  <c r="D45" i="69"/>
  <c r="J44" i="69"/>
  <c r="I44" i="69"/>
  <c r="H44" i="69"/>
  <c r="G44" i="69"/>
  <c r="F44" i="69"/>
  <c r="E44" i="69"/>
  <c r="D44" i="69"/>
  <c r="J42" i="69"/>
  <c r="I42" i="69"/>
  <c r="H42" i="69"/>
  <c r="G42" i="69"/>
  <c r="F42" i="69"/>
  <c r="E42" i="69"/>
  <c r="D42" i="69"/>
  <c r="J41" i="69"/>
  <c r="I41" i="69"/>
  <c r="H41" i="69"/>
  <c r="G41" i="69"/>
  <c r="F41" i="69"/>
  <c r="E41" i="69"/>
  <c r="D41" i="69"/>
  <c r="J39" i="69"/>
  <c r="I39" i="69"/>
  <c r="H39" i="69"/>
  <c r="G39" i="69"/>
  <c r="F39" i="69"/>
  <c r="E39" i="69"/>
  <c r="D39" i="69"/>
  <c r="I19" i="69" s="1"/>
  <c r="J38" i="69"/>
  <c r="I38" i="69"/>
  <c r="H38" i="69"/>
  <c r="G38" i="69"/>
  <c r="F38" i="69"/>
  <c r="D38" i="69"/>
  <c r="J36" i="69"/>
  <c r="I36" i="69"/>
  <c r="H36" i="69"/>
  <c r="G36" i="69"/>
  <c r="F36" i="69"/>
  <c r="E36" i="69"/>
  <c r="E38" i="69" s="1"/>
  <c r="D36" i="69"/>
  <c r="B22" i="69"/>
  <c r="C11" i="69"/>
  <c r="D17" i="69" s="1"/>
  <c r="C9" i="69"/>
  <c r="C10" i="69" s="1"/>
  <c r="C8" i="69"/>
  <c r="B4" i="69"/>
  <c r="J64" i="68"/>
  <c r="I64" i="68"/>
  <c r="H64" i="68"/>
  <c r="G64" i="68"/>
  <c r="F64" i="68"/>
  <c r="J54" i="68"/>
  <c r="I54" i="68"/>
  <c r="H54" i="68"/>
  <c r="G54" i="68"/>
  <c r="F54" i="68"/>
  <c r="E54" i="68"/>
  <c r="E64" i="68" s="1"/>
  <c r="D54" i="68"/>
  <c r="D64" i="68" s="1"/>
  <c r="C52" i="68"/>
  <c r="C51" i="68"/>
  <c r="C50" i="68"/>
  <c r="C49" i="68"/>
  <c r="C48" i="68"/>
  <c r="C47" i="68"/>
  <c r="J45" i="68"/>
  <c r="I45" i="68"/>
  <c r="H45" i="68"/>
  <c r="G45" i="68"/>
  <c r="F45" i="68"/>
  <c r="E45" i="68"/>
  <c r="D45" i="68"/>
  <c r="J44" i="68"/>
  <c r="I44" i="68"/>
  <c r="H44" i="68"/>
  <c r="G44" i="68"/>
  <c r="F44" i="68"/>
  <c r="E44" i="68"/>
  <c r="D44" i="68"/>
  <c r="J42" i="68"/>
  <c r="I42" i="68"/>
  <c r="H42" i="68"/>
  <c r="G42" i="68"/>
  <c r="F42" i="68"/>
  <c r="E42" i="68"/>
  <c r="D42" i="68"/>
  <c r="J41" i="68"/>
  <c r="I41" i="68"/>
  <c r="H41" i="68"/>
  <c r="G41" i="68"/>
  <c r="F41" i="68"/>
  <c r="E41" i="68"/>
  <c r="D41" i="68"/>
  <c r="J39" i="68"/>
  <c r="I39" i="68"/>
  <c r="H39" i="68"/>
  <c r="G39" i="68"/>
  <c r="F39" i="68"/>
  <c r="E39" i="68"/>
  <c r="D39" i="68"/>
  <c r="J38" i="68"/>
  <c r="I38" i="68"/>
  <c r="H38" i="68"/>
  <c r="G38" i="68"/>
  <c r="F38" i="68"/>
  <c r="J36" i="68"/>
  <c r="I36" i="68"/>
  <c r="H36" i="68"/>
  <c r="G36" i="68"/>
  <c r="F36" i="68"/>
  <c r="E36" i="68"/>
  <c r="E38" i="68" s="1"/>
  <c r="D36" i="68"/>
  <c r="D38" i="68" s="1"/>
  <c r="B22" i="68"/>
  <c r="I19" i="68"/>
  <c r="C11" i="68"/>
  <c r="D17" i="68" s="1"/>
  <c r="C9" i="68"/>
  <c r="C10" i="68" s="1"/>
  <c r="C8" i="68"/>
  <c r="B4" i="68"/>
  <c r="J64" i="67"/>
  <c r="I64" i="67"/>
  <c r="H64" i="67"/>
  <c r="G64" i="67"/>
  <c r="F64" i="67"/>
  <c r="E64" i="67"/>
  <c r="J54" i="67"/>
  <c r="I54" i="67"/>
  <c r="H54" i="67"/>
  <c r="G54" i="67"/>
  <c r="F54" i="67"/>
  <c r="E54" i="67"/>
  <c r="D54" i="67"/>
  <c r="D64" i="67" s="1"/>
  <c r="I15" i="67" s="1"/>
  <c r="C52" i="67"/>
  <c r="C51" i="67"/>
  <c r="C50" i="67"/>
  <c r="C49" i="67"/>
  <c r="C48" i="67"/>
  <c r="C47" i="67"/>
  <c r="J45" i="67"/>
  <c r="I45" i="67"/>
  <c r="H45" i="67"/>
  <c r="G45" i="67"/>
  <c r="F45" i="67"/>
  <c r="E45" i="67"/>
  <c r="D45" i="67"/>
  <c r="J44" i="67"/>
  <c r="I44" i="67"/>
  <c r="H44" i="67"/>
  <c r="G44" i="67"/>
  <c r="F44" i="67"/>
  <c r="E44" i="67"/>
  <c r="D44" i="67"/>
  <c r="J42" i="67"/>
  <c r="I42" i="67"/>
  <c r="H42" i="67"/>
  <c r="G42" i="67"/>
  <c r="F42" i="67"/>
  <c r="E42" i="67"/>
  <c r="D42" i="67"/>
  <c r="J41" i="67"/>
  <c r="I41" i="67"/>
  <c r="H41" i="67"/>
  <c r="G41" i="67"/>
  <c r="F41" i="67"/>
  <c r="E41" i="67"/>
  <c r="D41" i="67"/>
  <c r="J39" i="67"/>
  <c r="I39" i="67"/>
  <c r="H39" i="67"/>
  <c r="G39" i="67"/>
  <c r="F39" i="67"/>
  <c r="E39" i="67"/>
  <c r="D39" i="67"/>
  <c r="J38" i="67"/>
  <c r="I38" i="67"/>
  <c r="H38" i="67"/>
  <c r="G38" i="67"/>
  <c r="F38" i="67"/>
  <c r="E38" i="67"/>
  <c r="D38" i="67"/>
  <c r="J36" i="67"/>
  <c r="I36" i="67"/>
  <c r="H36" i="67"/>
  <c r="G36" i="67"/>
  <c r="F36" i="67"/>
  <c r="E36" i="67"/>
  <c r="D36" i="67"/>
  <c r="B22" i="67"/>
  <c r="C11" i="67"/>
  <c r="D17" i="67" s="1"/>
  <c r="C9" i="67"/>
  <c r="C10" i="67" s="1"/>
  <c r="C8" i="67"/>
  <c r="B4" i="67"/>
  <c r="J64" i="66"/>
  <c r="I64" i="66"/>
  <c r="H64" i="66"/>
  <c r="G64" i="66"/>
  <c r="F64" i="66"/>
  <c r="J54" i="66"/>
  <c r="I54" i="66"/>
  <c r="H54" i="66"/>
  <c r="G54" i="66"/>
  <c r="F54" i="66"/>
  <c r="E54" i="66"/>
  <c r="E64" i="66" s="1"/>
  <c r="D54" i="66"/>
  <c r="D64" i="66" s="1"/>
  <c r="C52" i="66"/>
  <c r="C51" i="66"/>
  <c r="C50" i="66"/>
  <c r="C49" i="66"/>
  <c r="C48" i="66"/>
  <c r="C47" i="66"/>
  <c r="J45" i="66"/>
  <c r="I45" i="66"/>
  <c r="H45" i="66"/>
  <c r="G45" i="66"/>
  <c r="F45" i="66"/>
  <c r="E45" i="66"/>
  <c r="D45" i="66"/>
  <c r="J44" i="66"/>
  <c r="I44" i="66"/>
  <c r="H44" i="66"/>
  <c r="G44" i="66"/>
  <c r="F44" i="66"/>
  <c r="E44" i="66"/>
  <c r="D44" i="66"/>
  <c r="J42" i="66"/>
  <c r="I42" i="66"/>
  <c r="H42" i="66"/>
  <c r="G42" i="66"/>
  <c r="F42" i="66"/>
  <c r="E42" i="66"/>
  <c r="D42" i="66"/>
  <c r="J41" i="66"/>
  <c r="I41" i="66"/>
  <c r="H41" i="66"/>
  <c r="G41" i="66"/>
  <c r="F41" i="66"/>
  <c r="E41" i="66"/>
  <c r="D41" i="66"/>
  <c r="J39" i="66"/>
  <c r="I39" i="66"/>
  <c r="H39" i="66"/>
  <c r="G39" i="66"/>
  <c r="F39" i="66"/>
  <c r="E39" i="66"/>
  <c r="D39" i="66"/>
  <c r="I19" i="66" s="1"/>
  <c r="J38" i="66"/>
  <c r="I38" i="66"/>
  <c r="H38" i="66"/>
  <c r="G38" i="66"/>
  <c r="F38" i="66"/>
  <c r="D38" i="66"/>
  <c r="J36" i="66"/>
  <c r="I36" i="66"/>
  <c r="H36" i="66"/>
  <c r="G36" i="66"/>
  <c r="F36" i="66"/>
  <c r="E36" i="66"/>
  <c r="E38" i="66" s="1"/>
  <c r="D36" i="66"/>
  <c r="B22" i="66"/>
  <c r="C11" i="66"/>
  <c r="D17" i="66" s="1"/>
  <c r="C9" i="66"/>
  <c r="C10" i="66" s="1"/>
  <c r="C8" i="66"/>
  <c r="B4" i="66"/>
  <c r="J64" i="65"/>
  <c r="I64" i="65"/>
  <c r="H64" i="65"/>
  <c r="G64" i="65"/>
  <c r="F64" i="65"/>
  <c r="J54" i="65"/>
  <c r="I54" i="65"/>
  <c r="H54" i="65"/>
  <c r="G54" i="65"/>
  <c r="F54" i="65"/>
  <c r="E54" i="65"/>
  <c r="E64" i="65" s="1"/>
  <c r="D54" i="65"/>
  <c r="D64" i="65" s="1"/>
  <c r="C52" i="65"/>
  <c r="C51" i="65"/>
  <c r="C50" i="65"/>
  <c r="C49" i="65"/>
  <c r="C48" i="65"/>
  <c r="C47" i="65"/>
  <c r="J45" i="65"/>
  <c r="I45" i="65"/>
  <c r="H45" i="65"/>
  <c r="G45" i="65"/>
  <c r="F45" i="65"/>
  <c r="E45" i="65"/>
  <c r="D45" i="65"/>
  <c r="J44" i="65"/>
  <c r="I44" i="65"/>
  <c r="H44" i="65"/>
  <c r="G44" i="65"/>
  <c r="F44" i="65"/>
  <c r="E44" i="65"/>
  <c r="D44" i="65"/>
  <c r="J42" i="65"/>
  <c r="I42" i="65"/>
  <c r="H42" i="65"/>
  <c r="G42" i="65"/>
  <c r="F42" i="65"/>
  <c r="E42" i="65"/>
  <c r="D42" i="65"/>
  <c r="J41" i="65"/>
  <c r="I41" i="65"/>
  <c r="H41" i="65"/>
  <c r="G41" i="65"/>
  <c r="F41" i="65"/>
  <c r="E41" i="65"/>
  <c r="D41" i="65"/>
  <c r="J39" i="65"/>
  <c r="I39" i="65"/>
  <c r="H39" i="65"/>
  <c r="G39" i="65"/>
  <c r="F39" i="65"/>
  <c r="E39" i="65"/>
  <c r="D39" i="65"/>
  <c r="J38" i="65"/>
  <c r="I38" i="65"/>
  <c r="H38" i="65"/>
  <c r="G38" i="65"/>
  <c r="F38" i="65"/>
  <c r="J36" i="65"/>
  <c r="I36" i="65"/>
  <c r="H36" i="65"/>
  <c r="G36" i="65"/>
  <c r="F36" i="65"/>
  <c r="E36" i="65"/>
  <c r="E38" i="65" s="1"/>
  <c r="D36" i="65"/>
  <c r="D38" i="65" s="1"/>
  <c r="B22" i="65"/>
  <c r="C11" i="65"/>
  <c r="D17" i="65" s="1"/>
  <c r="C9" i="65"/>
  <c r="C10" i="65" s="1"/>
  <c r="C8" i="65"/>
  <c r="B4" i="65"/>
  <c r="J64" i="64"/>
  <c r="I64" i="64"/>
  <c r="H64" i="64"/>
  <c r="G64" i="64"/>
  <c r="F64" i="64"/>
  <c r="E64" i="64"/>
  <c r="J54" i="64"/>
  <c r="I54" i="64"/>
  <c r="H54" i="64"/>
  <c r="G54" i="64"/>
  <c r="F54" i="64"/>
  <c r="E54" i="64"/>
  <c r="D54" i="64"/>
  <c r="D64" i="64" s="1"/>
  <c r="C52" i="64"/>
  <c r="C51" i="64"/>
  <c r="C50" i="64"/>
  <c r="C49" i="64"/>
  <c r="C48" i="64"/>
  <c r="C47" i="64"/>
  <c r="J45" i="64"/>
  <c r="I45" i="64"/>
  <c r="H45" i="64"/>
  <c r="G45" i="64"/>
  <c r="F45" i="64"/>
  <c r="E45" i="64"/>
  <c r="D45" i="64"/>
  <c r="J44" i="64"/>
  <c r="I44" i="64"/>
  <c r="H44" i="64"/>
  <c r="G44" i="64"/>
  <c r="F44" i="64"/>
  <c r="E44" i="64"/>
  <c r="D44" i="64"/>
  <c r="J42" i="64"/>
  <c r="I42" i="64"/>
  <c r="H42" i="64"/>
  <c r="G42" i="64"/>
  <c r="F42" i="64"/>
  <c r="E42" i="64"/>
  <c r="D42" i="64"/>
  <c r="J41" i="64"/>
  <c r="I41" i="64"/>
  <c r="H41" i="64"/>
  <c r="G41" i="64"/>
  <c r="F41" i="64"/>
  <c r="E41" i="64"/>
  <c r="D41" i="64"/>
  <c r="J39" i="64"/>
  <c r="I39" i="64"/>
  <c r="H39" i="64"/>
  <c r="G39" i="64"/>
  <c r="F39" i="64"/>
  <c r="E39" i="64"/>
  <c r="D39" i="64"/>
  <c r="J38" i="64"/>
  <c r="I38" i="64"/>
  <c r="H38" i="64"/>
  <c r="G38" i="64"/>
  <c r="F38" i="64"/>
  <c r="J36" i="64"/>
  <c r="I36" i="64"/>
  <c r="H36" i="64"/>
  <c r="G36" i="64"/>
  <c r="F36" i="64"/>
  <c r="E36" i="64"/>
  <c r="E38" i="64" s="1"/>
  <c r="D36" i="64"/>
  <c r="D38" i="64" s="1"/>
  <c r="B22" i="64"/>
  <c r="I19" i="64"/>
  <c r="C11" i="64"/>
  <c r="D17" i="64" s="1"/>
  <c r="C9" i="64"/>
  <c r="C10" i="64" s="1"/>
  <c r="C8" i="64"/>
  <c r="B4" i="64"/>
  <c r="J64" i="63"/>
  <c r="I64" i="63"/>
  <c r="H64" i="63"/>
  <c r="G64" i="63"/>
  <c r="J54" i="63"/>
  <c r="I54" i="63"/>
  <c r="H54" i="63"/>
  <c r="G54" i="63"/>
  <c r="F54" i="63"/>
  <c r="F64" i="63" s="1"/>
  <c r="E54" i="63"/>
  <c r="E64" i="63" s="1"/>
  <c r="D54" i="63"/>
  <c r="D64" i="63" s="1"/>
  <c r="C52" i="63"/>
  <c r="C51" i="63"/>
  <c r="C50" i="63"/>
  <c r="C49" i="63"/>
  <c r="C48" i="63"/>
  <c r="C47" i="63"/>
  <c r="J45" i="63"/>
  <c r="I45" i="63"/>
  <c r="H45" i="63"/>
  <c r="G45" i="63"/>
  <c r="F45" i="63"/>
  <c r="E45" i="63"/>
  <c r="D45" i="63"/>
  <c r="J44" i="63"/>
  <c r="I44" i="63"/>
  <c r="H44" i="63"/>
  <c r="G44" i="63"/>
  <c r="F44" i="63"/>
  <c r="E44" i="63"/>
  <c r="D44" i="63"/>
  <c r="J42" i="63"/>
  <c r="I42" i="63"/>
  <c r="H42" i="63"/>
  <c r="G42" i="63"/>
  <c r="F42" i="63"/>
  <c r="E42" i="63"/>
  <c r="D42" i="63"/>
  <c r="J41" i="63"/>
  <c r="I41" i="63"/>
  <c r="H41" i="63"/>
  <c r="G41" i="63"/>
  <c r="F41" i="63"/>
  <c r="E41" i="63"/>
  <c r="D41" i="63"/>
  <c r="J39" i="63"/>
  <c r="I39" i="63"/>
  <c r="H39" i="63"/>
  <c r="G39" i="63"/>
  <c r="F39" i="63"/>
  <c r="E39" i="63"/>
  <c r="D39" i="63"/>
  <c r="I19" i="63" s="1"/>
  <c r="J38" i="63"/>
  <c r="I38" i="63"/>
  <c r="H38" i="63"/>
  <c r="J36" i="63"/>
  <c r="I36" i="63"/>
  <c r="H36" i="63"/>
  <c r="G36" i="63"/>
  <c r="G38" i="63" s="1"/>
  <c r="F36" i="63"/>
  <c r="F38" i="63" s="1"/>
  <c r="E36" i="63"/>
  <c r="E38" i="63" s="1"/>
  <c r="D36" i="63"/>
  <c r="D38" i="63" s="1"/>
  <c r="B22" i="63"/>
  <c r="C11" i="63"/>
  <c r="C16" i="63" s="1"/>
  <c r="C9" i="63"/>
  <c r="C10" i="63" s="1"/>
  <c r="C8" i="63"/>
  <c r="B4" i="63"/>
  <c r="J64" i="62"/>
  <c r="I64" i="62"/>
  <c r="H64" i="62"/>
  <c r="G64" i="62"/>
  <c r="F64" i="62"/>
  <c r="J54" i="62"/>
  <c r="I54" i="62"/>
  <c r="H54" i="62"/>
  <c r="G54" i="62"/>
  <c r="F54" i="62"/>
  <c r="E54" i="62"/>
  <c r="E64" i="62" s="1"/>
  <c r="D54" i="62"/>
  <c r="D64" i="62" s="1"/>
  <c r="C52" i="62"/>
  <c r="C51" i="62"/>
  <c r="C50" i="62"/>
  <c r="C49" i="62"/>
  <c r="C48" i="62"/>
  <c r="C47" i="62"/>
  <c r="J45" i="62"/>
  <c r="I45" i="62"/>
  <c r="H45" i="62"/>
  <c r="G45" i="62"/>
  <c r="F45" i="62"/>
  <c r="E45" i="62"/>
  <c r="D45" i="62"/>
  <c r="J44" i="62"/>
  <c r="I44" i="62"/>
  <c r="H44" i="62"/>
  <c r="G44" i="62"/>
  <c r="F44" i="62"/>
  <c r="E44" i="62"/>
  <c r="D44" i="62"/>
  <c r="J42" i="62"/>
  <c r="I42" i="62"/>
  <c r="H42" i="62"/>
  <c r="G42" i="62"/>
  <c r="F42" i="62"/>
  <c r="E42" i="62"/>
  <c r="D42" i="62"/>
  <c r="J41" i="62"/>
  <c r="I41" i="62"/>
  <c r="H41" i="62"/>
  <c r="G41" i="62"/>
  <c r="F41" i="62"/>
  <c r="E41" i="62"/>
  <c r="D41" i="62"/>
  <c r="J39" i="62"/>
  <c r="I39" i="62"/>
  <c r="H39" i="62"/>
  <c r="G39" i="62"/>
  <c r="F39" i="62"/>
  <c r="E39" i="62"/>
  <c r="D39" i="62"/>
  <c r="I19" i="62" s="1"/>
  <c r="J38" i="62"/>
  <c r="I38" i="62"/>
  <c r="H38" i="62"/>
  <c r="G38" i="62"/>
  <c r="F38" i="62"/>
  <c r="E38" i="62"/>
  <c r="J36" i="62"/>
  <c r="I36" i="62"/>
  <c r="H36" i="62"/>
  <c r="G36" i="62"/>
  <c r="F36" i="62"/>
  <c r="E36" i="62"/>
  <c r="D36" i="62"/>
  <c r="D38" i="62" s="1"/>
  <c r="B22" i="62"/>
  <c r="C11" i="62"/>
  <c r="D17" i="62" s="1"/>
  <c r="C9" i="62"/>
  <c r="C10" i="62" s="1"/>
  <c r="C8" i="62"/>
  <c r="B4" i="62"/>
  <c r="J64" i="61"/>
  <c r="I64" i="61"/>
  <c r="H64" i="61"/>
  <c r="G64" i="61"/>
  <c r="F64" i="61"/>
  <c r="J54" i="61"/>
  <c r="I54" i="61"/>
  <c r="H54" i="61"/>
  <c r="G54" i="61"/>
  <c r="F54" i="61"/>
  <c r="E54" i="61"/>
  <c r="E64" i="61" s="1"/>
  <c r="D54" i="61"/>
  <c r="D64" i="61" s="1"/>
  <c r="C52" i="61"/>
  <c r="C51" i="61"/>
  <c r="C50" i="61"/>
  <c r="C49" i="61"/>
  <c r="C48" i="61"/>
  <c r="C47" i="61"/>
  <c r="J45" i="61"/>
  <c r="I45" i="61"/>
  <c r="H45" i="61"/>
  <c r="G45" i="61"/>
  <c r="F45" i="61"/>
  <c r="E45" i="61"/>
  <c r="D45" i="61"/>
  <c r="J44" i="61"/>
  <c r="I44" i="61"/>
  <c r="H44" i="61"/>
  <c r="G44" i="61"/>
  <c r="F44" i="61"/>
  <c r="E44" i="61"/>
  <c r="D44" i="61"/>
  <c r="J42" i="61"/>
  <c r="I42" i="61"/>
  <c r="H42" i="61"/>
  <c r="G42" i="61"/>
  <c r="F42" i="61"/>
  <c r="E42" i="61"/>
  <c r="D42" i="61"/>
  <c r="J41" i="61"/>
  <c r="I41" i="61"/>
  <c r="H41" i="61"/>
  <c r="G41" i="61"/>
  <c r="F41" i="61"/>
  <c r="D41" i="61"/>
  <c r="J39" i="61"/>
  <c r="I39" i="61"/>
  <c r="H39" i="61"/>
  <c r="G39" i="61"/>
  <c r="F39" i="61"/>
  <c r="E39" i="61"/>
  <c r="D39" i="61"/>
  <c r="I19" i="61" s="1"/>
  <c r="J38" i="61"/>
  <c r="I38" i="61"/>
  <c r="H38" i="61"/>
  <c r="G38" i="61"/>
  <c r="F38" i="61"/>
  <c r="J36" i="61"/>
  <c r="I36" i="61"/>
  <c r="H36" i="61"/>
  <c r="G36" i="61"/>
  <c r="F36" i="61"/>
  <c r="E36" i="61"/>
  <c r="E38" i="61" s="1"/>
  <c r="D36" i="61"/>
  <c r="D38" i="61" s="1"/>
  <c r="B22" i="61"/>
  <c r="C11" i="61"/>
  <c r="D17" i="61" s="1"/>
  <c r="C9" i="61"/>
  <c r="C10" i="61" s="1"/>
  <c r="C8" i="61"/>
  <c r="B4" i="61"/>
  <c r="J64" i="60"/>
  <c r="I64" i="60"/>
  <c r="H64" i="60"/>
  <c r="G64" i="60"/>
  <c r="F64" i="60"/>
  <c r="E64" i="60"/>
  <c r="J54" i="60"/>
  <c r="I54" i="60"/>
  <c r="H54" i="60"/>
  <c r="G54" i="60"/>
  <c r="F54" i="60"/>
  <c r="E54" i="60"/>
  <c r="D54" i="60"/>
  <c r="D64" i="60" s="1"/>
  <c r="C52" i="60"/>
  <c r="C51" i="60"/>
  <c r="C50" i="60"/>
  <c r="C49" i="60"/>
  <c r="C48" i="60"/>
  <c r="C47" i="60"/>
  <c r="J45" i="60"/>
  <c r="I45" i="60"/>
  <c r="H45" i="60"/>
  <c r="G45" i="60"/>
  <c r="F45" i="60"/>
  <c r="E45" i="60"/>
  <c r="D45" i="60"/>
  <c r="J44" i="60"/>
  <c r="I44" i="60"/>
  <c r="H44" i="60"/>
  <c r="G44" i="60"/>
  <c r="F44" i="60"/>
  <c r="E44" i="60"/>
  <c r="D44" i="60"/>
  <c r="J42" i="60"/>
  <c r="I42" i="60"/>
  <c r="H42" i="60"/>
  <c r="G42" i="60"/>
  <c r="F42" i="60"/>
  <c r="E42" i="60"/>
  <c r="D42" i="60"/>
  <c r="J41" i="60"/>
  <c r="I41" i="60"/>
  <c r="H41" i="60"/>
  <c r="G41" i="60"/>
  <c r="F41" i="60"/>
  <c r="D41" i="60"/>
  <c r="J39" i="60"/>
  <c r="I39" i="60"/>
  <c r="H39" i="60"/>
  <c r="G39" i="60"/>
  <c r="F39" i="60"/>
  <c r="E39" i="60"/>
  <c r="D39" i="60"/>
  <c r="J38" i="60"/>
  <c r="I38" i="60"/>
  <c r="H38" i="60"/>
  <c r="G38" i="60"/>
  <c r="F38" i="60"/>
  <c r="E38" i="60"/>
  <c r="D38" i="60"/>
  <c r="J36" i="60"/>
  <c r="I36" i="60"/>
  <c r="H36" i="60"/>
  <c r="G36" i="60"/>
  <c r="F36" i="60"/>
  <c r="E36" i="60"/>
  <c r="E41" i="60" s="1"/>
  <c r="D36" i="60"/>
  <c r="B22" i="60"/>
  <c r="I19" i="60"/>
  <c r="C11" i="60"/>
  <c r="D17" i="60" s="1"/>
  <c r="C9" i="60"/>
  <c r="C10" i="60" s="1"/>
  <c r="C8" i="60"/>
  <c r="B4" i="60"/>
  <c r="J64" i="59"/>
  <c r="I64" i="59"/>
  <c r="H64" i="59"/>
  <c r="G64" i="59"/>
  <c r="F64" i="59"/>
  <c r="E64" i="59"/>
  <c r="J54" i="59"/>
  <c r="I54" i="59"/>
  <c r="H54" i="59"/>
  <c r="G54" i="59"/>
  <c r="F54" i="59"/>
  <c r="E54" i="59"/>
  <c r="D54" i="59"/>
  <c r="D64" i="59" s="1"/>
  <c r="C52" i="59"/>
  <c r="C51" i="59"/>
  <c r="C50" i="59"/>
  <c r="C49" i="59"/>
  <c r="C48" i="59"/>
  <c r="C47" i="59"/>
  <c r="J45" i="59"/>
  <c r="I45" i="59"/>
  <c r="H45" i="59"/>
  <c r="G45" i="59"/>
  <c r="F45" i="59"/>
  <c r="E45" i="59"/>
  <c r="D45" i="59"/>
  <c r="J44" i="59"/>
  <c r="I44" i="59"/>
  <c r="H44" i="59"/>
  <c r="G44" i="59"/>
  <c r="F44" i="59"/>
  <c r="E44" i="59"/>
  <c r="D44" i="59"/>
  <c r="J42" i="59"/>
  <c r="I42" i="59"/>
  <c r="H42" i="59"/>
  <c r="G42" i="59"/>
  <c r="F42" i="59"/>
  <c r="E42" i="59"/>
  <c r="D42" i="59"/>
  <c r="J41" i="59"/>
  <c r="I41" i="59"/>
  <c r="H41" i="59"/>
  <c r="G41" i="59"/>
  <c r="F41" i="59"/>
  <c r="E41" i="59"/>
  <c r="D41" i="59"/>
  <c r="J39" i="59"/>
  <c r="I39" i="59"/>
  <c r="H39" i="59"/>
  <c r="G39" i="59"/>
  <c r="F39" i="59"/>
  <c r="E39" i="59"/>
  <c r="D39" i="59"/>
  <c r="I19" i="59" s="1"/>
  <c r="J38" i="59"/>
  <c r="I38" i="59"/>
  <c r="H38" i="59"/>
  <c r="G38" i="59"/>
  <c r="F38" i="59"/>
  <c r="E38" i="59"/>
  <c r="J36" i="59"/>
  <c r="I36" i="59"/>
  <c r="H36" i="59"/>
  <c r="G36" i="59"/>
  <c r="F36" i="59"/>
  <c r="E36" i="59"/>
  <c r="D36" i="59"/>
  <c r="D38" i="59" s="1"/>
  <c r="B22" i="59"/>
  <c r="C11" i="59"/>
  <c r="D17" i="59" s="1"/>
  <c r="C9" i="59"/>
  <c r="C10" i="59" s="1"/>
  <c r="C8" i="59"/>
  <c r="B4" i="59"/>
  <c r="J64" i="58"/>
  <c r="I64" i="58"/>
  <c r="H64" i="58"/>
  <c r="G64" i="58"/>
  <c r="J54" i="58"/>
  <c r="I54" i="58"/>
  <c r="H54" i="58"/>
  <c r="G54" i="58"/>
  <c r="F54" i="58"/>
  <c r="F64" i="58" s="1"/>
  <c r="E54" i="58"/>
  <c r="E64" i="58" s="1"/>
  <c r="D54" i="58"/>
  <c r="D64" i="58" s="1"/>
  <c r="C52" i="58"/>
  <c r="C51" i="58"/>
  <c r="C50" i="58"/>
  <c r="C49" i="58"/>
  <c r="C48" i="58"/>
  <c r="C47" i="58"/>
  <c r="J45" i="58"/>
  <c r="I45" i="58"/>
  <c r="H45" i="58"/>
  <c r="G45" i="58"/>
  <c r="F45" i="58"/>
  <c r="E45" i="58"/>
  <c r="D45" i="58"/>
  <c r="J44" i="58"/>
  <c r="I44" i="58"/>
  <c r="H44" i="58"/>
  <c r="G44" i="58"/>
  <c r="F44" i="58"/>
  <c r="E44" i="58"/>
  <c r="D44" i="58"/>
  <c r="J42" i="58"/>
  <c r="I42" i="58"/>
  <c r="H42" i="58"/>
  <c r="G42" i="58"/>
  <c r="F42" i="58"/>
  <c r="E42" i="58"/>
  <c r="D42" i="58"/>
  <c r="J41" i="58"/>
  <c r="I41" i="58"/>
  <c r="H41" i="58"/>
  <c r="G41" i="58"/>
  <c r="F41" i="58"/>
  <c r="E41" i="58"/>
  <c r="D41" i="58"/>
  <c r="J39" i="58"/>
  <c r="I39" i="58"/>
  <c r="H39" i="58"/>
  <c r="G39" i="58"/>
  <c r="F39" i="58"/>
  <c r="E39" i="58"/>
  <c r="I19" i="58" s="1"/>
  <c r="D39" i="58"/>
  <c r="J38" i="58"/>
  <c r="I38" i="58"/>
  <c r="H38" i="58"/>
  <c r="G38" i="58"/>
  <c r="J36" i="58"/>
  <c r="I36" i="58"/>
  <c r="H36" i="58"/>
  <c r="G36" i="58"/>
  <c r="F36" i="58"/>
  <c r="F38" i="58" s="1"/>
  <c r="E36" i="58"/>
  <c r="E38" i="58" s="1"/>
  <c r="D36" i="58"/>
  <c r="D38" i="58" s="1"/>
  <c r="B22" i="58"/>
  <c r="C11" i="58"/>
  <c r="D17" i="58" s="1"/>
  <c r="C9" i="58"/>
  <c r="C10" i="58" s="1"/>
  <c r="C8" i="58"/>
  <c r="B4" i="58"/>
  <c r="J64" i="57"/>
  <c r="I64" i="57"/>
  <c r="H64" i="57"/>
  <c r="G64" i="57"/>
  <c r="F64" i="57"/>
  <c r="J54" i="57"/>
  <c r="I54" i="57"/>
  <c r="H54" i="57"/>
  <c r="G54" i="57"/>
  <c r="F54" i="57"/>
  <c r="E54" i="57"/>
  <c r="E64" i="57" s="1"/>
  <c r="D54" i="57"/>
  <c r="D64" i="57" s="1"/>
  <c r="C52" i="57"/>
  <c r="C51" i="57"/>
  <c r="C50" i="57"/>
  <c r="C49" i="57"/>
  <c r="C48" i="57"/>
  <c r="C47" i="57"/>
  <c r="J45" i="57"/>
  <c r="I45" i="57"/>
  <c r="H45" i="57"/>
  <c r="G45" i="57"/>
  <c r="F45" i="57"/>
  <c r="E45" i="57"/>
  <c r="D45" i="57"/>
  <c r="J44" i="57"/>
  <c r="I44" i="57"/>
  <c r="H44" i="57"/>
  <c r="G44" i="57"/>
  <c r="F44" i="57"/>
  <c r="E44" i="57"/>
  <c r="D44" i="57"/>
  <c r="J42" i="57"/>
  <c r="I42" i="57"/>
  <c r="H42" i="57"/>
  <c r="G42" i="57"/>
  <c r="F42" i="57"/>
  <c r="E42" i="57"/>
  <c r="D42" i="57"/>
  <c r="J41" i="57"/>
  <c r="I41" i="57"/>
  <c r="H41" i="57"/>
  <c r="G41" i="57"/>
  <c r="F41" i="57"/>
  <c r="E41" i="57"/>
  <c r="D41" i="57"/>
  <c r="J39" i="57"/>
  <c r="I39" i="57"/>
  <c r="H39" i="57"/>
  <c r="G39" i="57"/>
  <c r="F39" i="57"/>
  <c r="E39" i="57"/>
  <c r="D39" i="57"/>
  <c r="I19" i="57" s="1"/>
  <c r="J38" i="57"/>
  <c r="I38" i="57"/>
  <c r="H38" i="57"/>
  <c r="G38" i="57"/>
  <c r="F38" i="57"/>
  <c r="J36" i="57"/>
  <c r="I36" i="57"/>
  <c r="H36" i="57"/>
  <c r="G36" i="57"/>
  <c r="F36" i="57"/>
  <c r="E36" i="57"/>
  <c r="E38" i="57" s="1"/>
  <c r="D36" i="57"/>
  <c r="D38" i="57" s="1"/>
  <c r="B22" i="57"/>
  <c r="C11" i="57"/>
  <c r="D17" i="57" s="1"/>
  <c r="C9" i="57"/>
  <c r="C10" i="57" s="1"/>
  <c r="C8" i="57"/>
  <c r="B4" i="57"/>
  <c r="J64" i="56"/>
  <c r="I64" i="56"/>
  <c r="H64" i="56"/>
  <c r="G64" i="56"/>
  <c r="F64" i="56"/>
  <c r="J54" i="56"/>
  <c r="I54" i="56"/>
  <c r="H54" i="56"/>
  <c r="G54" i="56"/>
  <c r="F54" i="56"/>
  <c r="E54" i="56"/>
  <c r="E64" i="56" s="1"/>
  <c r="D54" i="56"/>
  <c r="D64" i="56" s="1"/>
  <c r="C52" i="56"/>
  <c r="C51" i="56"/>
  <c r="C50" i="56"/>
  <c r="C49" i="56"/>
  <c r="C48" i="56"/>
  <c r="C47" i="56"/>
  <c r="J45" i="56"/>
  <c r="I45" i="56"/>
  <c r="H45" i="56"/>
  <c r="G45" i="56"/>
  <c r="F45" i="56"/>
  <c r="E45" i="56"/>
  <c r="D45" i="56"/>
  <c r="J44" i="56"/>
  <c r="I44" i="56"/>
  <c r="H44" i="56"/>
  <c r="G44" i="56"/>
  <c r="F44" i="56"/>
  <c r="E44" i="56"/>
  <c r="D44" i="56"/>
  <c r="J42" i="56"/>
  <c r="I42" i="56"/>
  <c r="H42" i="56"/>
  <c r="G42" i="56"/>
  <c r="F42" i="56"/>
  <c r="E42" i="56"/>
  <c r="D42" i="56"/>
  <c r="J41" i="56"/>
  <c r="I41" i="56"/>
  <c r="H41" i="56"/>
  <c r="G41" i="56"/>
  <c r="F41" i="56"/>
  <c r="E41" i="56"/>
  <c r="D41" i="56"/>
  <c r="J39" i="56"/>
  <c r="I39" i="56"/>
  <c r="H39" i="56"/>
  <c r="G39" i="56"/>
  <c r="F39" i="56"/>
  <c r="E39" i="56"/>
  <c r="D39" i="56"/>
  <c r="J38" i="56"/>
  <c r="I38" i="56"/>
  <c r="H38" i="56"/>
  <c r="G38" i="56"/>
  <c r="F38" i="56"/>
  <c r="E38" i="56"/>
  <c r="J36" i="56"/>
  <c r="I36" i="56"/>
  <c r="H36" i="56"/>
  <c r="G36" i="56"/>
  <c r="F36" i="56"/>
  <c r="E36" i="56"/>
  <c r="D36" i="56"/>
  <c r="D38" i="56" s="1"/>
  <c r="B22" i="56"/>
  <c r="C11" i="56"/>
  <c r="C16" i="56" s="1"/>
  <c r="C10" i="56"/>
  <c r="L10" i="56" s="1"/>
  <c r="C9" i="56"/>
  <c r="C8" i="56"/>
  <c r="B4" i="56"/>
  <c r="J64" i="55"/>
  <c r="I64" i="55"/>
  <c r="H64" i="55"/>
  <c r="G64" i="55"/>
  <c r="F64" i="55"/>
  <c r="J54" i="55"/>
  <c r="I54" i="55"/>
  <c r="H54" i="55"/>
  <c r="G54" i="55"/>
  <c r="F54" i="55"/>
  <c r="E54" i="55"/>
  <c r="E64" i="55" s="1"/>
  <c r="D54" i="55"/>
  <c r="D64" i="55" s="1"/>
  <c r="C52" i="55"/>
  <c r="C51" i="55"/>
  <c r="C50" i="55"/>
  <c r="C49" i="55"/>
  <c r="C48" i="55"/>
  <c r="C47" i="55"/>
  <c r="J45" i="55"/>
  <c r="I45" i="55"/>
  <c r="H45" i="55"/>
  <c r="G45" i="55"/>
  <c r="F45" i="55"/>
  <c r="E45" i="55"/>
  <c r="D45" i="55"/>
  <c r="J44" i="55"/>
  <c r="I44" i="55"/>
  <c r="H44" i="55"/>
  <c r="G44" i="55"/>
  <c r="F44" i="55"/>
  <c r="E44" i="55"/>
  <c r="D44" i="55"/>
  <c r="J42" i="55"/>
  <c r="I42" i="55"/>
  <c r="H42" i="55"/>
  <c r="G42" i="55"/>
  <c r="F42" i="55"/>
  <c r="E42" i="55"/>
  <c r="D42" i="55"/>
  <c r="J41" i="55"/>
  <c r="I41" i="55"/>
  <c r="H41" i="55"/>
  <c r="G41" i="55"/>
  <c r="F41" i="55"/>
  <c r="E41" i="55"/>
  <c r="D41" i="55"/>
  <c r="J39" i="55"/>
  <c r="I39" i="55"/>
  <c r="H39" i="55"/>
  <c r="G39" i="55"/>
  <c r="F39" i="55"/>
  <c r="E39" i="55"/>
  <c r="I19" i="55" s="1"/>
  <c r="D39" i="55"/>
  <c r="J38" i="55"/>
  <c r="I38" i="55"/>
  <c r="H38" i="55"/>
  <c r="G38" i="55"/>
  <c r="F38" i="55"/>
  <c r="J36" i="55"/>
  <c r="I36" i="55"/>
  <c r="H36" i="55"/>
  <c r="G36" i="55"/>
  <c r="F36" i="55"/>
  <c r="E36" i="55"/>
  <c r="E38" i="55" s="1"/>
  <c r="D36" i="55"/>
  <c r="D38" i="55" s="1"/>
  <c r="B22" i="55"/>
  <c r="C11" i="55"/>
  <c r="D17" i="55" s="1"/>
  <c r="C9" i="55"/>
  <c r="C10" i="55" s="1"/>
  <c r="C8" i="55"/>
  <c r="B4" i="55"/>
  <c r="J64" i="54"/>
  <c r="I64" i="54"/>
  <c r="H64" i="54"/>
  <c r="G64" i="54"/>
  <c r="F64" i="54"/>
  <c r="D64" i="54"/>
  <c r="J54" i="54"/>
  <c r="I54" i="54"/>
  <c r="H54" i="54"/>
  <c r="G54" i="54"/>
  <c r="F54" i="54"/>
  <c r="E54" i="54"/>
  <c r="E64" i="54" s="1"/>
  <c r="D54" i="54"/>
  <c r="C52" i="54"/>
  <c r="C51" i="54"/>
  <c r="C50" i="54"/>
  <c r="C49" i="54"/>
  <c r="C48" i="54"/>
  <c r="C47" i="54"/>
  <c r="J45" i="54"/>
  <c r="I45" i="54"/>
  <c r="H45" i="54"/>
  <c r="G45" i="54"/>
  <c r="F45" i="54"/>
  <c r="E45" i="54"/>
  <c r="D45" i="54"/>
  <c r="J44" i="54"/>
  <c r="I44" i="54"/>
  <c r="H44" i="54"/>
  <c r="G44" i="54"/>
  <c r="F44" i="54"/>
  <c r="E44" i="54"/>
  <c r="D44" i="54"/>
  <c r="J42" i="54"/>
  <c r="I42" i="54"/>
  <c r="H42" i="54"/>
  <c r="G42" i="54"/>
  <c r="F42" i="54"/>
  <c r="E42" i="54"/>
  <c r="D42" i="54"/>
  <c r="J41" i="54"/>
  <c r="I41" i="54"/>
  <c r="H41" i="54"/>
  <c r="G41" i="54"/>
  <c r="F41" i="54"/>
  <c r="E41" i="54"/>
  <c r="D41" i="54"/>
  <c r="J39" i="54"/>
  <c r="I39" i="54"/>
  <c r="H39" i="54"/>
  <c r="G39" i="54"/>
  <c r="F39" i="54"/>
  <c r="E39" i="54"/>
  <c r="D39" i="54"/>
  <c r="I19" i="54" s="1"/>
  <c r="J38" i="54"/>
  <c r="I38" i="54"/>
  <c r="H38" i="54"/>
  <c r="G38" i="54"/>
  <c r="F38" i="54"/>
  <c r="D38" i="54"/>
  <c r="J36" i="54"/>
  <c r="I36" i="54"/>
  <c r="H36" i="54"/>
  <c r="G36" i="54"/>
  <c r="F36" i="54"/>
  <c r="E36" i="54"/>
  <c r="E38" i="54" s="1"/>
  <c r="D36" i="54"/>
  <c r="B22" i="54"/>
  <c r="C11" i="54"/>
  <c r="D17" i="54" s="1"/>
  <c r="C9" i="54"/>
  <c r="C10" i="54" s="1"/>
  <c r="C8" i="54"/>
  <c r="B4" i="54"/>
  <c r="J64" i="53"/>
  <c r="I64" i="53"/>
  <c r="H64" i="53"/>
  <c r="J54" i="53"/>
  <c r="I54" i="53"/>
  <c r="H54" i="53"/>
  <c r="G54" i="53"/>
  <c r="G64" i="53" s="1"/>
  <c r="F54" i="53"/>
  <c r="F64" i="53" s="1"/>
  <c r="E54" i="53"/>
  <c r="E64" i="53" s="1"/>
  <c r="D54" i="53"/>
  <c r="D64" i="53" s="1"/>
  <c r="C52" i="53"/>
  <c r="C51" i="53"/>
  <c r="C50" i="53"/>
  <c r="C49" i="53"/>
  <c r="C48" i="53"/>
  <c r="C47" i="53"/>
  <c r="J45" i="53"/>
  <c r="I45" i="53"/>
  <c r="H45" i="53"/>
  <c r="G45" i="53"/>
  <c r="F45" i="53"/>
  <c r="E45" i="53"/>
  <c r="D45" i="53"/>
  <c r="J44" i="53"/>
  <c r="I44" i="53"/>
  <c r="H44" i="53"/>
  <c r="G44" i="53"/>
  <c r="F44" i="53"/>
  <c r="E44" i="53"/>
  <c r="D44" i="53"/>
  <c r="J42" i="53"/>
  <c r="I42" i="53"/>
  <c r="H42" i="53"/>
  <c r="G42" i="53"/>
  <c r="F42" i="53"/>
  <c r="E42" i="53"/>
  <c r="D42" i="53"/>
  <c r="J41" i="53"/>
  <c r="I41" i="53"/>
  <c r="H41" i="53"/>
  <c r="G41" i="53"/>
  <c r="F41" i="53"/>
  <c r="E41" i="53"/>
  <c r="D41" i="53"/>
  <c r="J39" i="53"/>
  <c r="I39" i="53"/>
  <c r="H39" i="53"/>
  <c r="G39" i="53"/>
  <c r="F39" i="53"/>
  <c r="E39" i="53"/>
  <c r="D39" i="53"/>
  <c r="I19" i="53" s="1"/>
  <c r="J38" i="53"/>
  <c r="I38" i="53"/>
  <c r="H38" i="53"/>
  <c r="J36" i="53"/>
  <c r="I36" i="53"/>
  <c r="H36" i="53"/>
  <c r="G36" i="53"/>
  <c r="G38" i="53" s="1"/>
  <c r="F36" i="53"/>
  <c r="F38" i="53" s="1"/>
  <c r="E36" i="53"/>
  <c r="E38" i="53" s="1"/>
  <c r="D36" i="53"/>
  <c r="D38" i="53" s="1"/>
  <c r="B22" i="53"/>
  <c r="C11" i="53"/>
  <c r="D17" i="53" s="1"/>
  <c r="C9" i="53"/>
  <c r="C10" i="53" s="1"/>
  <c r="C8" i="53"/>
  <c r="B4" i="53"/>
  <c r="J64" i="52"/>
  <c r="I64" i="52"/>
  <c r="H64" i="52"/>
  <c r="G64" i="52"/>
  <c r="F64" i="52"/>
  <c r="J54" i="52"/>
  <c r="I54" i="52"/>
  <c r="H54" i="52"/>
  <c r="G54" i="52"/>
  <c r="F54" i="52"/>
  <c r="E54" i="52"/>
  <c r="E64" i="52" s="1"/>
  <c r="D54" i="52"/>
  <c r="D64" i="52" s="1"/>
  <c r="C52" i="52"/>
  <c r="C51" i="52"/>
  <c r="C50" i="52"/>
  <c r="C49" i="52"/>
  <c r="C48" i="52"/>
  <c r="C47" i="52"/>
  <c r="J45" i="52"/>
  <c r="I45" i="52"/>
  <c r="H45" i="52"/>
  <c r="G45" i="52"/>
  <c r="F45" i="52"/>
  <c r="E45" i="52"/>
  <c r="D45" i="52"/>
  <c r="J44" i="52"/>
  <c r="I44" i="52"/>
  <c r="H44" i="52"/>
  <c r="G44" i="52"/>
  <c r="F44" i="52"/>
  <c r="E44" i="52"/>
  <c r="D44" i="52"/>
  <c r="J42" i="52"/>
  <c r="I42" i="52"/>
  <c r="H42" i="52"/>
  <c r="G42" i="52"/>
  <c r="F42" i="52"/>
  <c r="E42" i="52"/>
  <c r="D42" i="52"/>
  <c r="J41" i="52"/>
  <c r="I41" i="52"/>
  <c r="H41" i="52"/>
  <c r="G41" i="52"/>
  <c r="F41" i="52"/>
  <c r="E41" i="52"/>
  <c r="D41" i="52"/>
  <c r="J39" i="52"/>
  <c r="I39" i="52"/>
  <c r="H39" i="52"/>
  <c r="G39" i="52"/>
  <c r="F39" i="52"/>
  <c r="E39" i="52"/>
  <c r="D39" i="52"/>
  <c r="J38" i="52"/>
  <c r="I38" i="52"/>
  <c r="H38" i="52"/>
  <c r="G38" i="52"/>
  <c r="F38" i="52"/>
  <c r="E38" i="52"/>
  <c r="D38" i="52"/>
  <c r="J36" i="52"/>
  <c r="I36" i="52"/>
  <c r="H36" i="52"/>
  <c r="G36" i="52"/>
  <c r="F36" i="52"/>
  <c r="E36" i="52"/>
  <c r="D36" i="52"/>
  <c r="B22" i="52"/>
  <c r="I19" i="52"/>
  <c r="C11" i="52"/>
  <c r="D17" i="52" s="1"/>
  <c r="C9" i="52"/>
  <c r="C10" i="52" s="1"/>
  <c r="C8" i="52"/>
  <c r="B4" i="52"/>
  <c r="C11" i="8"/>
  <c r="B34" i="22"/>
  <c r="B35" i="22"/>
  <c r="B36" i="22"/>
  <c r="B37" i="22"/>
  <c r="B30" i="22"/>
  <c r="B31" i="22"/>
  <c r="B32" i="22"/>
  <c r="B33" i="22"/>
  <c r="C177" i="21"/>
  <c r="B145" i="21"/>
  <c r="D149" i="21" s="1"/>
  <c r="B140" i="21"/>
  <c r="C141" i="21" s="1"/>
  <c r="B135" i="21"/>
  <c r="C139" i="21" s="1"/>
  <c r="AE139" i="21" s="1"/>
  <c r="B130" i="21"/>
  <c r="C134" i="21" s="1"/>
  <c r="AE134" i="21" s="1"/>
  <c r="B125" i="21"/>
  <c r="B120" i="21"/>
  <c r="B115" i="21"/>
  <c r="B110" i="21"/>
  <c r="V175" i="21"/>
  <c r="S175" i="21"/>
  <c r="N175" i="21"/>
  <c r="V145" i="21"/>
  <c r="S145" i="21"/>
  <c r="N145" i="21"/>
  <c r="V140" i="21"/>
  <c r="S140" i="21"/>
  <c r="N140" i="21"/>
  <c r="V135" i="21"/>
  <c r="S135" i="21"/>
  <c r="N135" i="21"/>
  <c r="V130" i="21"/>
  <c r="S130" i="21"/>
  <c r="N130" i="21"/>
  <c r="N29" i="18"/>
  <c r="N30" i="18"/>
  <c r="D31" i="16" s="1"/>
  <c r="N31" i="18"/>
  <c r="D32" i="16" s="1"/>
  <c r="N32" i="18"/>
  <c r="D33" i="16" s="1"/>
  <c r="N33" i="18"/>
  <c r="D34" i="16" s="1"/>
  <c r="N34" i="18"/>
  <c r="D35" i="16" s="1"/>
  <c r="N35" i="18"/>
  <c r="D36" i="16" s="1"/>
  <c r="N36" i="18"/>
  <c r="D37" i="16" s="1"/>
  <c r="M29" i="18"/>
  <c r="C30" i="16" s="1"/>
  <c r="M30" i="18"/>
  <c r="C31" i="16" s="1"/>
  <c r="M31" i="18"/>
  <c r="C32" i="16" s="1"/>
  <c r="M32" i="18"/>
  <c r="C33" i="16" s="1"/>
  <c r="M33" i="18"/>
  <c r="C34" i="16" s="1"/>
  <c r="M34" i="18"/>
  <c r="C35" i="16" s="1"/>
  <c r="M35" i="18"/>
  <c r="C36" i="16" s="1"/>
  <c r="M36" i="18"/>
  <c r="C37" i="16" s="1"/>
  <c r="D30" i="16"/>
  <c r="H64" i="8"/>
  <c r="I64" i="8"/>
  <c r="J64" i="8"/>
  <c r="N115" i="18"/>
  <c r="N116" i="18"/>
  <c r="N117" i="18"/>
  <c r="N118" i="18"/>
  <c r="N119" i="18"/>
  <c r="M115" i="18"/>
  <c r="M116" i="18"/>
  <c r="M117" i="18"/>
  <c r="M118" i="18"/>
  <c r="M119" i="18"/>
  <c r="V20" i="21"/>
  <c r="V25" i="21"/>
  <c r="V30" i="21"/>
  <c r="V35" i="21"/>
  <c r="V40" i="21"/>
  <c r="V45" i="21"/>
  <c r="V50" i="21"/>
  <c r="V55" i="21"/>
  <c r="V60" i="21"/>
  <c r="V65" i="21"/>
  <c r="V70" i="21"/>
  <c r="V75" i="21"/>
  <c r="V80" i="21"/>
  <c r="V85" i="21"/>
  <c r="V90" i="21"/>
  <c r="V95" i="21"/>
  <c r="V100" i="21"/>
  <c r="V105" i="21"/>
  <c r="V110" i="21"/>
  <c r="V115" i="21"/>
  <c r="V120" i="21"/>
  <c r="V125" i="21"/>
  <c r="V15" i="21"/>
  <c r="I19" i="82" l="1"/>
  <c r="L8" i="63"/>
  <c r="J19" i="63"/>
  <c r="L9" i="63"/>
  <c r="K19" i="63"/>
  <c r="J19" i="75"/>
  <c r="I15" i="76"/>
  <c r="J19" i="80"/>
  <c r="K19" i="80" s="1"/>
  <c r="I19" i="56"/>
  <c r="K19" i="56" s="1"/>
  <c r="I15" i="59"/>
  <c r="I15" i="61"/>
  <c r="I19" i="67"/>
  <c r="J19" i="71"/>
  <c r="I15" i="68"/>
  <c r="I19" i="71"/>
  <c r="K19" i="71" s="1"/>
  <c r="I15" i="82"/>
  <c r="I19" i="75"/>
  <c r="K19" i="75" s="1"/>
  <c r="I15" i="83"/>
  <c r="J19" i="56"/>
  <c r="L9" i="75"/>
  <c r="L9" i="80"/>
  <c r="I15" i="54"/>
  <c r="J15" i="70"/>
  <c r="I19" i="73"/>
  <c r="L9" i="56"/>
  <c r="I19" i="65"/>
  <c r="I15" i="57"/>
  <c r="P141" i="21"/>
  <c r="I15" i="81"/>
  <c r="J15" i="81" s="1"/>
  <c r="I15" i="80"/>
  <c r="J15" i="80" s="1"/>
  <c r="I15" i="77"/>
  <c r="I15" i="78"/>
  <c r="I15" i="71"/>
  <c r="I15" i="69"/>
  <c r="I15" i="66"/>
  <c r="I15" i="65"/>
  <c r="I15" i="64"/>
  <c r="I15" i="63"/>
  <c r="J15" i="63" s="1"/>
  <c r="I15" i="62"/>
  <c r="E41" i="61"/>
  <c r="I15" i="60"/>
  <c r="I15" i="55"/>
  <c r="I15" i="53"/>
  <c r="I15" i="52"/>
  <c r="I15" i="58"/>
  <c r="I15" i="56"/>
  <c r="J15" i="56" s="1"/>
  <c r="H41" i="75"/>
  <c r="G38" i="75"/>
  <c r="F41" i="75"/>
  <c r="I15" i="75"/>
  <c r="I15" i="74"/>
  <c r="I15" i="73"/>
  <c r="I15" i="72"/>
  <c r="C173" i="21"/>
  <c r="AE173" i="21" s="1"/>
  <c r="C19" i="63"/>
  <c r="H19" i="63" s="1"/>
  <c r="C19" i="65"/>
  <c r="H19" i="65" s="1"/>
  <c r="C16" i="62"/>
  <c r="E16" i="62" s="1"/>
  <c r="C16" i="54"/>
  <c r="E16" i="54" s="1"/>
  <c r="D16" i="63"/>
  <c r="C19" i="81"/>
  <c r="H19" i="81" s="1"/>
  <c r="P134" i="21"/>
  <c r="D16" i="57"/>
  <c r="C16" i="72"/>
  <c r="E16" i="72" s="1"/>
  <c r="C19" i="75"/>
  <c r="H19" i="75" s="1"/>
  <c r="D16" i="52"/>
  <c r="C16" i="64"/>
  <c r="E16" i="64" s="1"/>
  <c r="D16" i="82"/>
  <c r="H134" i="21"/>
  <c r="D16" i="64"/>
  <c r="D16" i="74"/>
  <c r="P177" i="21"/>
  <c r="C174" i="21"/>
  <c r="I174" i="21" s="1"/>
  <c r="H172" i="21"/>
  <c r="I172" i="21" s="1"/>
  <c r="P170" i="21"/>
  <c r="D19" i="62"/>
  <c r="P139" i="21"/>
  <c r="C16" i="73"/>
  <c r="E16" i="73" s="1"/>
  <c r="D16" i="76"/>
  <c r="P172" i="21"/>
  <c r="C171" i="21"/>
  <c r="H139" i="21"/>
  <c r="D174" i="21"/>
  <c r="C165" i="21"/>
  <c r="C167" i="21"/>
  <c r="AA167" i="21" s="1"/>
  <c r="D170" i="21"/>
  <c r="AE170" i="21" s="1"/>
  <c r="D171" i="21"/>
  <c r="D172" i="21"/>
  <c r="AE172" i="21" s="1"/>
  <c r="D173" i="21"/>
  <c r="C168" i="21"/>
  <c r="C160" i="21"/>
  <c r="C163" i="21"/>
  <c r="C169" i="21"/>
  <c r="C166" i="21"/>
  <c r="D160" i="21"/>
  <c r="C162" i="21"/>
  <c r="I162" i="21" s="1"/>
  <c r="D165" i="21"/>
  <c r="D166" i="21"/>
  <c r="D167" i="21"/>
  <c r="D168" i="21"/>
  <c r="C158" i="21"/>
  <c r="C164" i="21"/>
  <c r="I164" i="21" s="1"/>
  <c r="C161" i="21"/>
  <c r="D161" i="21"/>
  <c r="D162" i="21"/>
  <c r="D163" i="21"/>
  <c r="C150" i="21"/>
  <c r="C153" i="21"/>
  <c r="AA153" i="21" s="1"/>
  <c r="C154" i="21"/>
  <c r="AA154" i="21" s="1"/>
  <c r="C159" i="21"/>
  <c r="C156" i="21"/>
  <c r="C155" i="21"/>
  <c r="C157" i="21"/>
  <c r="D150" i="21"/>
  <c r="C152" i="21"/>
  <c r="D155" i="21"/>
  <c r="D156" i="21"/>
  <c r="D157" i="21"/>
  <c r="D158" i="21"/>
  <c r="C151" i="21"/>
  <c r="D151" i="21"/>
  <c r="D152" i="21"/>
  <c r="D153" i="21"/>
  <c r="C16" i="83"/>
  <c r="E16" i="83" s="1"/>
  <c r="D16" i="83"/>
  <c r="C16" i="82"/>
  <c r="E16" i="82" s="1"/>
  <c r="C16" i="81"/>
  <c r="E16" i="81" s="1"/>
  <c r="G166" i="21" s="1"/>
  <c r="D16" i="81"/>
  <c r="D16" i="80"/>
  <c r="C19" i="80"/>
  <c r="H19" i="80" s="1"/>
  <c r="C16" i="79"/>
  <c r="E16" i="79" s="1"/>
  <c r="D16" i="79"/>
  <c r="C16" i="78"/>
  <c r="E16" i="78" s="1"/>
  <c r="G151" i="21" s="1"/>
  <c r="D16" i="78"/>
  <c r="C16" i="77"/>
  <c r="E16" i="77" s="1"/>
  <c r="D16" i="77"/>
  <c r="C16" i="76"/>
  <c r="E16" i="76" s="1"/>
  <c r="D16" i="75"/>
  <c r="C16" i="74"/>
  <c r="E16" i="74" s="1"/>
  <c r="D16" i="73"/>
  <c r="D16" i="72"/>
  <c r="D16" i="71"/>
  <c r="C19" i="71"/>
  <c r="H19" i="71" s="1"/>
  <c r="C16" i="70"/>
  <c r="E16" i="70" s="1"/>
  <c r="D16" i="70"/>
  <c r="C16" i="69"/>
  <c r="E16" i="69" s="1"/>
  <c r="D19" i="69"/>
  <c r="C16" i="68"/>
  <c r="D16" i="68"/>
  <c r="C16" i="67"/>
  <c r="D16" i="67"/>
  <c r="C19" i="67"/>
  <c r="H19" i="67" s="1"/>
  <c r="C16" i="66"/>
  <c r="E16" i="66" s="1"/>
  <c r="D16" i="66"/>
  <c r="C16" i="65"/>
  <c r="D16" i="65"/>
  <c r="C16" i="61"/>
  <c r="E16" i="61" s="1"/>
  <c r="D16" i="61"/>
  <c r="C16" i="60"/>
  <c r="D16" i="60"/>
  <c r="D19" i="60"/>
  <c r="C16" i="59"/>
  <c r="E16" i="59" s="1"/>
  <c r="D16" i="59"/>
  <c r="C16" i="58"/>
  <c r="E16" i="58" s="1"/>
  <c r="D16" i="58"/>
  <c r="C16" i="57"/>
  <c r="E16" i="57" s="1"/>
  <c r="D16" i="56"/>
  <c r="C19" i="56"/>
  <c r="H19" i="56" s="1"/>
  <c r="D19" i="56"/>
  <c r="C16" i="55"/>
  <c r="E16" i="55" s="1"/>
  <c r="D16" i="55"/>
  <c r="D16" i="53"/>
  <c r="D19" i="53"/>
  <c r="C16" i="53"/>
  <c r="E16" i="53" s="1"/>
  <c r="C19" i="52"/>
  <c r="H19" i="52" s="1"/>
  <c r="C16" i="52"/>
  <c r="E16" i="52" s="1"/>
  <c r="G21" i="21" s="1"/>
  <c r="L8" i="83"/>
  <c r="L10" i="83"/>
  <c r="J19" i="83"/>
  <c r="K19" i="83" s="1"/>
  <c r="L9" i="83"/>
  <c r="C19" i="83"/>
  <c r="D19" i="83"/>
  <c r="C20" i="83"/>
  <c r="C18" i="83"/>
  <c r="D20" i="83"/>
  <c r="D18" i="83"/>
  <c r="C15" i="83"/>
  <c r="C17" i="83"/>
  <c r="D15" i="83"/>
  <c r="L8" i="82"/>
  <c r="L9" i="82"/>
  <c r="J19" i="82"/>
  <c r="L10" i="82"/>
  <c r="C19" i="82"/>
  <c r="D19" i="82"/>
  <c r="C20" i="82"/>
  <c r="C18" i="82"/>
  <c r="D20" i="82"/>
  <c r="D18" i="82"/>
  <c r="C15" i="82"/>
  <c r="C17" i="82"/>
  <c r="D15" i="82"/>
  <c r="L10" i="81"/>
  <c r="D19" i="81"/>
  <c r="C20" i="81"/>
  <c r="C18" i="81"/>
  <c r="D20" i="81"/>
  <c r="D18" i="81"/>
  <c r="C15" i="81"/>
  <c r="C17" i="81"/>
  <c r="D15" i="81"/>
  <c r="E16" i="80"/>
  <c r="L10" i="80"/>
  <c r="D19" i="80"/>
  <c r="C20" i="80"/>
  <c r="C18" i="80"/>
  <c r="D20" i="80"/>
  <c r="D18" i="80"/>
  <c r="C15" i="80"/>
  <c r="C17" i="80"/>
  <c r="D15" i="80"/>
  <c r="D17" i="80"/>
  <c r="L8" i="79"/>
  <c r="J15" i="79" s="1"/>
  <c r="J19" i="79"/>
  <c r="K19" i="79" s="1"/>
  <c r="L9" i="79"/>
  <c r="L10" i="79"/>
  <c r="C19" i="79"/>
  <c r="D19" i="79"/>
  <c r="C20" i="79"/>
  <c r="C18" i="79"/>
  <c r="D20" i="79"/>
  <c r="D18" i="79"/>
  <c r="C15" i="79"/>
  <c r="C17" i="79"/>
  <c r="D15" i="79"/>
  <c r="L8" i="78"/>
  <c r="L10" i="78"/>
  <c r="J19" i="78"/>
  <c r="K19" i="78" s="1"/>
  <c r="L9" i="78"/>
  <c r="C19" i="78"/>
  <c r="D19" i="78"/>
  <c r="C20" i="78"/>
  <c r="C18" i="78"/>
  <c r="D20" i="78"/>
  <c r="D18" i="78"/>
  <c r="C15" i="78"/>
  <c r="C17" i="78"/>
  <c r="D15" i="78"/>
  <c r="L8" i="77"/>
  <c r="J19" i="77"/>
  <c r="K19" i="77" s="1"/>
  <c r="L10" i="77"/>
  <c r="L9" i="77"/>
  <c r="C19" i="77"/>
  <c r="D19" i="77"/>
  <c r="C20" i="77"/>
  <c r="C18" i="77"/>
  <c r="D20" i="77"/>
  <c r="D18" i="77"/>
  <c r="C15" i="77"/>
  <c r="C17" i="77"/>
  <c r="D15" i="77"/>
  <c r="L8" i="76"/>
  <c r="L9" i="76"/>
  <c r="J19" i="76"/>
  <c r="K19" i="76" s="1"/>
  <c r="L10" i="76"/>
  <c r="C19" i="76"/>
  <c r="D19" i="76"/>
  <c r="C20" i="76"/>
  <c r="C18" i="76"/>
  <c r="D20" i="76"/>
  <c r="D18" i="76"/>
  <c r="C15" i="76"/>
  <c r="C17" i="76"/>
  <c r="D15" i="76"/>
  <c r="E16" i="75"/>
  <c r="L10" i="75"/>
  <c r="D19" i="75"/>
  <c r="C20" i="75"/>
  <c r="C18" i="75"/>
  <c r="D20" i="75"/>
  <c r="D18" i="75"/>
  <c r="C15" i="75"/>
  <c r="C17" i="75"/>
  <c r="D15" i="75"/>
  <c r="D17" i="75"/>
  <c r="L8" i="74"/>
  <c r="J19" i="74"/>
  <c r="L9" i="74"/>
  <c r="L10" i="74"/>
  <c r="K19" i="74"/>
  <c r="C19" i="74"/>
  <c r="D19" i="74"/>
  <c r="C20" i="74"/>
  <c r="C18" i="74"/>
  <c r="D20" i="74"/>
  <c r="D18" i="74"/>
  <c r="C15" i="74"/>
  <c r="C17" i="74"/>
  <c r="D15" i="74"/>
  <c r="L8" i="73"/>
  <c r="L9" i="73"/>
  <c r="L10" i="73"/>
  <c r="J19" i="73"/>
  <c r="K19" i="73" s="1"/>
  <c r="C19" i="73"/>
  <c r="D19" i="73"/>
  <c r="C20" i="73"/>
  <c r="C18" i="73"/>
  <c r="D20" i="73"/>
  <c r="D18" i="73"/>
  <c r="C15" i="73"/>
  <c r="C17" i="73"/>
  <c r="D15" i="73"/>
  <c r="L8" i="72"/>
  <c r="L9" i="72"/>
  <c r="L10" i="72"/>
  <c r="J19" i="72"/>
  <c r="K19" i="72" s="1"/>
  <c r="C19" i="72"/>
  <c r="D19" i="72"/>
  <c r="C20" i="72"/>
  <c r="C18" i="72"/>
  <c r="D20" i="72"/>
  <c r="D18" i="72"/>
  <c r="C15" i="72"/>
  <c r="C17" i="72"/>
  <c r="D15" i="72"/>
  <c r="E16" i="71"/>
  <c r="G116" i="21" s="1"/>
  <c r="L10" i="71"/>
  <c r="D19" i="71"/>
  <c r="C20" i="71"/>
  <c r="C18" i="71"/>
  <c r="D20" i="71"/>
  <c r="D18" i="71"/>
  <c r="C15" i="71"/>
  <c r="C17" i="71"/>
  <c r="D15" i="71"/>
  <c r="D17" i="71"/>
  <c r="L8" i="70"/>
  <c r="L9" i="70"/>
  <c r="J19" i="70"/>
  <c r="K19" i="70" s="1"/>
  <c r="L10" i="70"/>
  <c r="C19" i="70"/>
  <c r="D19" i="70"/>
  <c r="C20" i="70"/>
  <c r="C18" i="70"/>
  <c r="D20" i="70"/>
  <c r="D18" i="70"/>
  <c r="C15" i="70"/>
  <c r="C17" i="70"/>
  <c r="D15" i="70"/>
  <c r="L8" i="69"/>
  <c r="L10" i="69"/>
  <c r="J19" i="69"/>
  <c r="K19" i="69" s="1"/>
  <c r="L9" i="69"/>
  <c r="D16" i="69"/>
  <c r="C19" i="69"/>
  <c r="C18" i="69"/>
  <c r="D18" i="69"/>
  <c r="C15" i="69"/>
  <c r="C17" i="69"/>
  <c r="D15" i="69"/>
  <c r="L8" i="68"/>
  <c r="L9" i="68"/>
  <c r="L10" i="68"/>
  <c r="J19" i="68"/>
  <c r="K19" i="68" s="1"/>
  <c r="C19" i="68"/>
  <c r="D19" i="68"/>
  <c r="C18" i="68"/>
  <c r="D18" i="68"/>
  <c r="C15" i="68"/>
  <c r="C17" i="68"/>
  <c r="D15" i="68"/>
  <c r="L8" i="67"/>
  <c r="J15" i="67" s="1"/>
  <c r="J19" i="67"/>
  <c r="K19" i="67" s="1"/>
  <c r="L10" i="67"/>
  <c r="L9" i="67"/>
  <c r="D19" i="67"/>
  <c r="C18" i="67"/>
  <c r="D18" i="67"/>
  <c r="C15" i="67"/>
  <c r="C17" i="67"/>
  <c r="D15" i="67"/>
  <c r="L8" i="66"/>
  <c r="J19" i="66"/>
  <c r="K19" i="66" s="1"/>
  <c r="L9" i="66"/>
  <c r="L10" i="66"/>
  <c r="C19" i="66"/>
  <c r="D19" i="66"/>
  <c r="C18" i="66"/>
  <c r="D18" i="66"/>
  <c r="C15" i="66"/>
  <c r="C17" i="66"/>
  <c r="D15" i="66"/>
  <c r="L8" i="65"/>
  <c r="J19" i="65"/>
  <c r="K19" i="65" s="1"/>
  <c r="L9" i="65"/>
  <c r="L10" i="65"/>
  <c r="D19" i="65"/>
  <c r="C18" i="65"/>
  <c r="D18" i="65"/>
  <c r="C15" i="65"/>
  <c r="C17" i="65"/>
  <c r="D15" i="65"/>
  <c r="L8" i="64"/>
  <c r="J19" i="64"/>
  <c r="K19" i="64" s="1"/>
  <c r="L10" i="64"/>
  <c r="L9" i="64"/>
  <c r="C19" i="64"/>
  <c r="D19" i="64"/>
  <c r="C18" i="64"/>
  <c r="D18" i="64"/>
  <c r="C15" i="64"/>
  <c r="C17" i="64"/>
  <c r="D15" i="64"/>
  <c r="E16" i="63"/>
  <c r="L10" i="63"/>
  <c r="D19" i="63"/>
  <c r="C18" i="63"/>
  <c r="D18" i="63"/>
  <c r="C15" i="63"/>
  <c r="C17" i="63"/>
  <c r="D15" i="63"/>
  <c r="D17" i="63"/>
  <c r="L8" i="62"/>
  <c r="L10" i="62"/>
  <c r="J19" i="62"/>
  <c r="K19" i="62" s="1"/>
  <c r="L9" i="62"/>
  <c r="D16" i="62"/>
  <c r="C19" i="62"/>
  <c r="C18" i="62"/>
  <c r="D18" i="62"/>
  <c r="C15" i="62"/>
  <c r="C17" i="62"/>
  <c r="D15" i="62"/>
  <c r="L8" i="61"/>
  <c r="L9" i="61"/>
  <c r="L10" i="61"/>
  <c r="J19" i="61"/>
  <c r="K19" i="61" s="1"/>
  <c r="C19" i="61"/>
  <c r="D19" i="61"/>
  <c r="C18" i="61"/>
  <c r="D18" i="61"/>
  <c r="C15" i="61"/>
  <c r="C17" i="61"/>
  <c r="D15" i="61"/>
  <c r="L8" i="60"/>
  <c r="L10" i="60"/>
  <c r="L9" i="60"/>
  <c r="J19" i="60"/>
  <c r="K19" i="60" s="1"/>
  <c r="C19" i="60"/>
  <c r="C18" i="60"/>
  <c r="D18" i="60"/>
  <c r="C15" i="60"/>
  <c r="C17" i="60"/>
  <c r="D15" i="60"/>
  <c r="L8" i="59"/>
  <c r="J19" i="59"/>
  <c r="K19" i="59" s="1"/>
  <c r="L9" i="59"/>
  <c r="L10" i="59"/>
  <c r="C19" i="59"/>
  <c r="D19" i="59"/>
  <c r="C18" i="59"/>
  <c r="D18" i="59"/>
  <c r="C15" i="59"/>
  <c r="C17" i="59"/>
  <c r="D15" i="59"/>
  <c r="L8" i="58"/>
  <c r="L9" i="58"/>
  <c r="J19" i="58"/>
  <c r="K19" i="58" s="1"/>
  <c r="L10" i="58"/>
  <c r="C19" i="58"/>
  <c r="D19" i="58"/>
  <c r="C18" i="58"/>
  <c r="D18" i="58"/>
  <c r="C15" i="58"/>
  <c r="C17" i="58"/>
  <c r="D15" i="58"/>
  <c r="L8" i="57"/>
  <c r="J19" i="57"/>
  <c r="L9" i="57"/>
  <c r="L10" i="57"/>
  <c r="K19" i="57"/>
  <c r="C19" i="57"/>
  <c r="D19" i="57"/>
  <c r="C18" i="57"/>
  <c r="D18" i="57"/>
  <c r="C15" i="57"/>
  <c r="C17" i="57"/>
  <c r="D15" i="57"/>
  <c r="E16" i="56"/>
  <c r="D18" i="56"/>
  <c r="C15" i="56"/>
  <c r="C17" i="56"/>
  <c r="C18" i="56"/>
  <c r="L8" i="56"/>
  <c r="D15" i="56"/>
  <c r="D17" i="56"/>
  <c r="L8" i="55"/>
  <c r="J19" i="55"/>
  <c r="K19" i="55" s="1"/>
  <c r="L9" i="55"/>
  <c r="L10" i="55"/>
  <c r="C19" i="55"/>
  <c r="D19" i="55"/>
  <c r="C18" i="55"/>
  <c r="D18" i="55"/>
  <c r="C15" i="55"/>
  <c r="C17" i="55"/>
  <c r="D15" i="55"/>
  <c r="L8" i="54"/>
  <c r="L10" i="54"/>
  <c r="J19" i="54"/>
  <c r="K19" i="54" s="1"/>
  <c r="L9" i="54"/>
  <c r="C19" i="54"/>
  <c r="D19" i="54"/>
  <c r="C18" i="54"/>
  <c r="D18" i="54"/>
  <c r="C15" i="54"/>
  <c r="C17" i="54"/>
  <c r="D16" i="54"/>
  <c r="D15" i="54"/>
  <c r="L8" i="53"/>
  <c r="L10" i="53"/>
  <c r="L9" i="53"/>
  <c r="J19" i="53"/>
  <c r="K19" i="53"/>
  <c r="C19" i="53"/>
  <c r="C18" i="53"/>
  <c r="D18" i="53"/>
  <c r="C15" i="53"/>
  <c r="C17" i="53"/>
  <c r="D15" i="53"/>
  <c r="L8" i="52"/>
  <c r="J19" i="52"/>
  <c r="K19" i="52" s="1"/>
  <c r="L9" i="52"/>
  <c r="L10" i="52"/>
  <c r="D19" i="52"/>
  <c r="C18" i="52"/>
  <c r="D18" i="52"/>
  <c r="C15" i="52"/>
  <c r="C17" i="52"/>
  <c r="D15" i="52"/>
  <c r="C144" i="21"/>
  <c r="C145" i="21"/>
  <c r="D144" i="21"/>
  <c r="C140" i="21"/>
  <c r="C135" i="21"/>
  <c r="D134" i="21"/>
  <c r="C136" i="21"/>
  <c r="C142" i="21"/>
  <c r="C147" i="21"/>
  <c r="C137" i="21"/>
  <c r="C143" i="21"/>
  <c r="C148" i="21"/>
  <c r="C149" i="21"/>
  <c r="C130" i="21"/>
  <c r="C131" i="21"/>
  <c r="C132" i="21"/>
  <c r="AA134" i="21"/>
  <c r="AA139" i="21"/>
  <c r="D177" i="21"/>
  <c r="AE177" i="21" s="1"/>
  <c r="C146" i="21"/>
  <c r="D139" i="21"/>
  <c r="C138" i="21"/>
  <c r="C133" i="21"/>
  <c r="C178" i="21"/>
  <c r="D178" i="21"/>
  <c r="C176" i="21"/>
  <c r="C175" i="21"/>
  <c r="D176" i="21"/>
  <c r="C179" i="21"/>
  <c r="D175" i="21"/>
  <c r="D179" i="21"/>
  <c r="D145" i="21"/>
  <c r="D146" i="21"/>
  <c r="D147" i="21"/>
  <c r="D148" i="21"/>
  <c r="D140" i="21"/>
  <c r="D141" i="21"/>
  <c r="AE141" i="21" s="1"/>
  <c r="D142" i="21"/>
  <c r="D143" i="21"/>
  <c r="D135" i="21"/>
  <c r="D136" i="21"/>
  <c r="D137" i="21"/>
  <c r="D138" i="21"/>
  <c r="I139" i="21"/>
  <c r="D130" i="21"/>
  <c r="D131" i="21"/>
  <c r="D132" i="21"/>
  <c r="D133" i="21"/>
  <c r="I134" i="21"/>
  <c r="S125" i="21"/>
  <c r="B21" i="22"/>
  <c r="B22" i="22"/>
  <c r="B23" i="22"/>
  <c r="B24" i="22"/>
  <c r="B25" i="22"/>
  <c r="B26" i="22"/>
  <c r="B27" i="22"/>
  <c r="B28" i="22"/>
  <c r="B29" i="22"/>
  <c r="B12" i="22"/>
  <c r="B13" i="22"/>
  <c r="B14" i="22"/>
  <c r="B15" i="22"/>
  <c r="B16" i="22"/>
  <c r="B17" i="22"/>
  <c r="B18" i="22"/>
  <c r="B19" i="22"/>
  <c r="B20" i="22"/>
  <c r="F5" i="22"/>
  <c r="S20" i="21"/>
  <c r="S25" i="21"/>
  <c r="S30" i="21"/>
  <c r="S35" i="21"/>
  <c r="S40" i="21"/>
  <c r="S45" i="21"/>
  <c r="S50" i="21"/>
  <c r="S55" i="21"/>
  <c r="S60" i="21"/>
  <c r="S65" i="21"/>
  <c r="S70" i="21"/>
  <c r="S75" i="21"/>
  <c r="S80" i="21"/>
  <c r="S85" i="21"/>
  <c r="S90" i="21"/>
  <c r="S95" i="21"/>
  <c r="S100" i="21"/>
  <c r="S105" i="21"/>
  <c r="S110" i="21"/>
  <c r="S115" i="21"/>
  <c r="S120" i="21"/>
  <c r="S15" i="21"/>
  <c r="N30" i="21"/>
  <c r="N35" i="21"/>
  <c r="N40" i="21"/>
  <c r="N45" i="21"/>
  <c r="N50" i="21"/>
  <c r="N55" i="21"/>
  <c r="N60" i="21"/>
  <c r="N65" i="21"/>
  <c r="N70" i="21"/>
  <c r="N75" i="21"/>
  <c r="N80" i="21"/>
  <c r="N85" i="21"/>
  <c r="N90" i="21"/>
  <c r="N95" i="21"/>
  <c r="N100" i="21"/>
  <c r="N105" i="21"/>
  <c r="N110" i="21"/>
  <c r="N115" i="21"/>
  <c r="N120" i="21"/>
  <c r="N125" i="21"/>
  <c r="N20" i="21"/>
  <c r="N25" i="21"/>
  <c r="N15" i="21"/>
  <c r="C129" i="21"/>
  <c r="D124" i="21"/>
  <c r="D118" i="21"/>
  <c r="E5" i="16"/>
  <c r="A7" i="16"/>
  <c r="B22" i="8"/>
  <c r="J54" i="8"/>
  <c r="J45" i="8"/>
  <c r="J44" i="8"/>
  <c r="J42" i="8"/>
  <c r="J41" i="8"/>
  <c r="J39" i="8"/>
  <c r="J36" i="8"/>
  <c r="J38" i="8" s="1"/>
  <c r="C48" i="8"/>
  <c r="C49" i="8"/>
  <c r="C50" i="8"/>
  <c r="C51" i="8"/>
  <c r="C52" i="8"/>
  <c r="N113" i="18"/>
  <c r="N114" i="18"/>
  <c r="M113" i="18"/>
  <c r="M114" i="18"/>
  <c r="N112" i="18"/>
  <c r="M112" i="18"/>
  <c r="C5" i="18"/>
  <c r="K19" i="82" l="1"/>
  <c r="AA173" i="21"/>
  <c r="J15" i="72"/>
  <c r="J15" i="58"/>
  <c r="J15" i="64"/>
  <c r="J15" i="54"/>
  <c r="J15" i="68"/>
  <c r="J15" i="76"/>
  <c r="J15" i="73"/>
  <c r="J15" i="52"/>
  <c r="J15" i="65"/>
  <c r="J15" i="74"/>
  <c r="J15" i="53"/>
  <c r="J15" i="66"/>
  <c r="G16" i="66" s="1"/>
  <c r="H16" i="66" s="1"/>
  <c r="J15" i="57"/>
  <c r="J15" i="75"/>
  <c r="J15" i="55"/>
  <c r="F16" i="55" s="1"/>
  <c r="J15" i="69"/>
  <c r="J15" i="61"/>
  <c r="J15" i="60"/>
  <c r="J15" i="71"/>
  <c r="J15" i="83"/>
  <c r="G16" i="83" s="1"/>
  <c r="H16" i="83" s="1"/>
  <c r="J15" i="59"/>
  <c r="J15" i="78"/>
  <c r="H151" i="21" s="1"/>
  <c r="I151" i="21" s="1"/>
  <c r="J15" i="62"/>
  <c r="F16" i="62" s="1"/>
  <c r="J15" i="77"/>
  <c r="J15" i="82"/>
  <c r="F16" i="82" s="1"/>
  <c r="G19" i="65"/>
  <c r="P176" i="21"/>
  <c r="F19" i="65"/>
  <c r="AA150" i="21"/>
  <c r="F16" i="83"/>
  <c r="G176" i="21"/>
  <c r="F16" i="79"/>
  <c r="G156" i="21"/>
  <c r="H156" i="21" s="1"/>
  <c r="I156" i="21" s="1"/>
  <c r="G16" i="80"/>
  <c r="H16" i="80" s="1"/>
  <c r="G161" i="21"/>
  <c r="G171" i="21"/>
  <c r="AA170" i="21"/>
  <c r="AA165" i="21"/>
  <c r="P173" i="21"/>
  <c r="AA172" i="21"/>
  <c r="F16" i="80"/>
  <c r="G16" i="71"/>
  <c r="H16" i="71" s="1"/>
  <c r="F16" i="71"/>
  <c r="E19" i="65"/>
  <c r="G89" i="21" s="1"/>
  <c r="F19" i="63"/>
  <c r="I173" i="21"/>
  <c r="H173" i="21"/>
  <c r="E19" i="63"/>
  <c r="G79" i="21" s="1"/>
  <c r="G19" i="63"/>
  <c r="E19" i="81"/>
  <c r="G169" i="21" s="1"/>
  <c r="F16" i="69"/>
  <c r="E19" i="80"/>
  <c r="G164" i="21" s="1"/>
  <c r="G19" i="81"/>
  <c r="F19" i="81"/>
  <c r="E16" i="60"/>
  <c r="G61" i="21" s="1"/>
  <c r="F19" i="71"/>
  <c r="F19" i="75"/>
  <c r="E16" i="67"/>
  <c r="G96" i="21" s="1"/>
  <c r="F19" i="80"/>
  <c r="G19" i="80"/>
  <c r="F19" i="67"/>
  <c r="I153" i="21"/>
  <c r="AA174" i="21"/>
  <c r="E19" i="75"/>
  <c r="G139" i="21" s="1"/>
  <c r="G19" i="75"/>
  <c r="F16" i="52"/>
  <c r="E19" i="52"/>
  <c r="G24" i="21" s="1"/>
  <c r="G19" i="56"/>
  <c r="E16" i="65"/>
  <c r="G86" i="21" s="1"/>
  <c r="G16" i="52"/>
  <c r="H16" i="52" s="1"/>
  <c r="AA162" i="21"/>
  <c r="G16" i="81"/>
  <c r="H16" i="81" s="1"/>
  <c r="E19" i="71"/>
  <c r="G119" i="21" s="1"/>
  <c r="G19" i="71"/>
  <c r="F16" i="81"/>
  <c r="F16" i="64"/>
  <c r="G81" i="21"/>
  <c r="F16" i="74"/>
  <c r="G131" i="21"/>
  <c r="F16" i="61"/>
  <c r="G66" i="21"/>
  <c r="AE158" i="21"/>
  <c r="H158" i="21"/>
  <c r="P158" i="21"/>
  <c r="AE166" i="21"/>
  <c r="P166" i="21"/>
  <c r="H166" i="21"/>
  <c r="I166" i="21" s="1"/>
  <c r="P133" i="21"/>
  <c r="H133" i="21"/>
  <c r="AE131" i="21"/>
  <c r="P131" i="21"/>
  <c r="P136" i="21"/>
  <c r="G19" i="52"/>
  <c r="G16" i="53"/>
  <c r="H16" i="53" s="1"/>
  <c r="G26" i="21"/>
  <c r="G16" i="69"/>
  <c r="H16" i="69" s="1"/>
  <c r="G106" i="21"/>
  <c r="AE156" i="21"/>
  <c r="P156" i="21"/>
  <c r="H129" i="21"/>
  <c r="P129" i="21"/>
  <c r="F16" i="54"/>
  <c r="G31" i="21"/>
  <c r="H179" i="21"/>
  <c r="P179" i="21"/>
  <c r="AE149" i="21"/>
  <c r="P149" i="21"/>
  <c r="H149" i="21"/>
  <c r="P135" i="21"/>
  <c r="F19" i="56"/>
  <c r="F16" i="70"/>
  <c r="G111" i="21"/>
  <c r="AE161" i="21"/>
  <c r="P161" i="21"/>
  <c r="H161" i="21"/>
  <c r="I161" i="21" s="1"/>
  <c r="AE171" i="21"/>
  <c r="P171" i="21"/>
  <c r="AE174" i="21"/>
  <c r="H174" i="21"/>
  <c r="P174" i="21"/>
  <c r="P130" i="21"/>
  <c r="P146" i="21"/>
  <c r="AE148" i="21"/>
  <c r="P148" i="21"/>
  <c r="P140" i="21"/>
  <c r="F19" i="52"/>
  <c r="F16" i="59"/>
  <c r="G56" i="21"/>
  <c r="G71" i="21"/>
  <c r="E19" i="67"/>
  <c r="G99" i="21" s="1"/>
  <c r="F16" i="78"/>
  <c r="F16" i="77"/>
  <c r="G146" i="21"/>
  <c r="AE152" i="21"/>
  <c r="P152" i="21"/>
  <c r="H152" i="21"/>
  <c r="I152" i="21" s="1"/>
  <c r="H159" i="21"/>
  <c r="P159" i="21"/>
  <c r="AA171" i="21"/>
  <c r="AE167" i="21"/>
  <c r="H167" i="21"/>
  <c r="P167" i="21"/>
  <c r="AE132" i="21"/>
  <c r="P132" i="21"/>
  <c r="P175" i="21"/>
  <c r="AE143" i="21"/>
  <c r="H143" i="21"/>
  <c r="P143" i="21"/>
  <c r="E19" i="56"/>
  <c r="G44" i="21" s="1"/>
  <c r="G19" i="67"/>
  <c r="F16" i="73"/>
  <c r="G126" i="21"/>
  <c r="F16" i="58"/>
  <c r="G51" i="21"/>
  <c r="AE154" i="21"/>
  <c r="H154" i="21"/>
  <c r="P154" i="21"/>
  <c r="AE164" i="21"/>
  <c r="P164" i="21"/>
  <c r="H164" i="21"/>
  <c r="AE169" i="21"/>
  <c r="H169" i="21"/>
  <c r="P169" i="21"/>
  <c r="AE165" i="21"/>
  <c r="P165" i="21"/>
  <c r="AE142" i="21"/>
  <c r="P142" i="21"/>
  <c r="F16" i="57"/>
  <c r="G46" i="21"/>
  <c r="F16" i="76"/>
  <c r="G141" i="21"/>
  <c r="AE137" i="21"/>
  <c r="P137" i="21"/>
  <c r="P145" i="21"/>
  <c r="G36" i="21"/>
  <c r="G16" i="56"/>
  <c r="H16" i="56" s="1"/>
  <c r="G41" i="21"/>
  <c r="G16" i="75"/>
  <c r="H16" i="75" s="1"/>
  <c r="G136" i="21"/>
  <c r="AE157" i="21"/>
  <c r="P157" i="21"/>
  <c r="H157" i="21"/>
  <c r="I157" i="21" s="1"/>
  <c r="AE153" i="21"/>
  <c r="H153" i="21"/>
  <c r="P153" i="21"/>
  <c r="AE162" i="21"/>
  <c r="P162" i="21"/>
  <c r="H162" i="21"/>
  <c r="AE163" i="21"/>
  <c r="P163" i="21"/>
  <c r="H163" i="21"/>
  <c r="P178" i="21"/>
  <c r="P138" i="21"/>
  <c r="H138" i="21"/>
  <c r="P147" i="21"/>
  <c r="AE144" i="21"/>
  <c r="H144" i="21"/>
  <c r="P144" i="21"/>
  <c r="G16" i="63"/>
  <c r="H16" i="63" s="1"/>
  <c r="G76" i="21"/>
  <c r="G91" i="21"/>
  <c r="F16" i="72"/>
  <c r="G121" i="21"/>
  <c r="AE151" i="21"/>
  <c r="P151" i="21"/>
  <c r="AE155" i="21"/>
  <c r="P155" i="21"/>
  <c r="AE150" i="21"/>
  <c r="P150" i="21"/>
  <c r="AE160" i="21"/>
  <c r="P160" i="21"/>
  <c r="AE168" i="21"/>
  <c r="H168" i="21"/>
  <c r="P168" i="21"/>
  <c r="I169" i="21"/>
  <c r="AA160" i="21"/>
  <c r="AA151" i="21"/>
  <c r="I158" i="21"/>
  <c r="I163" i="21"/>
  <c r="AA169" i="21"/>
  <c r="AA163" i="21"/>
  <c r="AA168" i="21"/>
  <c r="I168" i="21"/>
  <c r="AE145" i="21"/>
  <c r="I154" i="21"/>
  <c r="AA166" i="21"/>
  <c r="I167" i="21"/>
  <c r="AA164" i="21"/>
  <c r="AA158" i="21"/>
  <c r="AA156" i="21"/>
  <c r="AA161" i="21"/>
  <c r="AE159" i="21"/>
  <c r="AA155" i="21"/>
  <c r="AA157" i="21"/>
  <c r="I144" i="21"/>
  <c r="AA144" i="21"/>
  <c r="AA159" i="21"/>
  <c r="I159" i="21"/>
  <c r="AA152" i="21"/>
  <c r="E16" i="68"/>
  <c r="E18" i="83"/>
  <c r="H19" i="83"/>
  <c r="G19" i="83"/>
  <c r="F19" i="83"/>
  <c r="E19" i="83"/>
  <c r="G179" i="21" s="1"/>
  <c r="E17" i="83"/>
  <c r="E15" i="83"/>
  <c r="G175" i="21" s="1"/>
  <c r="H19" i="82"/>
  <c r="G19" i="82"/>
  <c r="F19" i="82"/>
  <c r="E19" i="82"/>
  <c r="G174" i="21" s="1"/>
  <c r="G18" i="82"/>
  <c r="F18" i="82"/>
  <c r="E18" i="82"/>
  <c r="G173" i="21" s="1"/>
  <c r="H18" i="82"/>
  <c r="G16" i="82"/>
  <c r="H16" i="82" s="1"/>
  <c r="E17" i="82"/>
  <c r="E15" i="82"/>
  <c r="G18" i="81"/>
  <c r="F18" i="81"/>
  <c r="E18" i="81"/>
  <c r="G168" i="21" s="1"/>
  <c r="H18" i="81"/>
  <c r="E17" i="81"/>
  <c r="F17" i="81"/>
  <c r="E15" i="81"/>
  <c r="G15" i="81" s="1"/>
  <c r="H15" i="81" s="1"/>
  <c r="E17" i="80"/>
  <c r="E15" i="80"/>
  <c r="G18" i="80"/>
  <c r="F18" i="80"/>
  <c r="E18" i="80"/>
  <c r="G163" i="21" s="1"/>
  <c r="H18" i="80"/>
  <c r="G18" i="79"/>
  <c r="F18" i="79"/>
  <c r="E18" i="79"/>
  <c r="G158" i="21" s="1"/>
  <c r="H18" i="79"/>
  <c r="G16" i="79"/>
  <c r="H16" i="79" s="1"/>
  <c r="H19" i="79"/>
  <c r="G19" i="79"/>
  <c r="F19" i="79"/>
  <c r="E19" i="79"/>
  <c r="G159" i="21" s="1"/>
  <c r="E17" i="79"/>
  <c r="E15" i="79"/>
  <c r="G18" i="78"/>
  <c r="F18" i="78"/>
  <c r="E18" i="78"/>
  <c r="H18" i="78"/>
  <c r="G16" i="78"/>
  <c r="H16" i="78" s="1"/>
  <c r="H19" i="78"/>
  <c r="G19" i="78"/>
  <c r="F19" i="78"/>
  <c r="E19" i="78"/>
  <c r="G154" i="21" s="1"/>
  <c r="E17" i="78"/>
  <c r="E15" i="78"/>
  <c r="E18" i="77"/>
  <c r="G148" i="21" s="1"/>
  <c r="H148" i="21" s="1"/>
  <c r="I148" i="21" s="1"/>
  <c r="G16" i="77"/>
  <c r="H16" i="77" s="1"/>
  <c r="E17" i="77"/>
  <c r="H19" i="77"/>
  <c r="G19" i="77"/>
  <c r="F19" i="77"/>
  <c r="E19" i="77"/>
  <c r="G149" i="21" s="1"/>
  <c r="E15" i="77"/>
  <c r="G18" i="76"/>
  <c r="F18" i="76"/>
  <c r="E18" i="76"/>
  <c r="G143" i="21" s="1"/>
  <c r="H18" i="76"/>
  <c r="G16" i="76"/>
  <c r="H16" i="76" s="1"/>
  <c r="H19" i="76"/>
  <c r="G19" i="76"/>
  <c r="F19" i="76"/>
  <c r="E19" i="76"/>
  <c r="G144" i="21" s="1"/>
  <c r="E17" i="76"/>
  <c r="G17" i="76" s="1"/>
  <c r="H17" i="76" s="1"/>
  <c r="E15" i="76"/>
  <c r="G18" i="75"/>
  <c r="F18" i="75"/>
  <c r="E18" i="75"/>
  <c r="G138" i="21" s="1"/>
  <c r="H18" i="75"/>
  <c r="E15" i="75"/>
  <c r="F16" i="75"/>
  <c r="E17" i="75"/>
  <c r="G18" i="74"/>
  <c r="F18" i="74"/>
  <c r="E18" i="74"/>
  <c r="G133" i="21" s="1"/>
  <c r="H18" i="74"/>
  <c r="G16" i="74"/>
  <c r="H16" i="74" s="1"/>
  <c r="H19" i="74"/>
  <c r="G19" i="74"/>
  <c r="F19" i="74"/>
  <c r="E19" i="74"/>
  <c r="G134" i="21" s="1"/>
  <c r="E17" i="74"/>
  <c r="G17" i="74" s="1"/>
  <c r="H17" i="74" s="1"/>
  <c r="E15" i="74"/>
  <c r="G18" i="73"/>
  <c r="F18" i="73"/>
  <c r="E18" i="73"/>
  <c r="G128" i="21" s="1"/>
  <c r="H18" i="73"/>
  <c r="G16" i="73"/>
  <c r="H16" i="73" s="1"/>
  <c r="E17" i="73"/>
  <c r="F17" i="73"/>
  <c r="H19" i="73"/>
  <c r="G19" i="73"/>
  <c r="F19" i="73"/>
  <c r="E19" i="73"/>
  <c r="G129" i="21" s="1"/>
  <c r="E15" i="73"/>
  <c r="G125" i="21" s="1"/>
  <c r="H19" i="72"/>
  <c r="G19" i="72"/>
  <c r="F19" i="72"/>
  <c r="E19" i="72"/>
  <c r="G124" i="21" s="1"/>
  <c r="G16" i="72"/>
  <c r="H16" i="72" s="1"/>
  <c r="G18" i="72"/>
  <c r="F18" i="72"/>
  <c r="E18" i="72"/>
  <c r="G123" i="21" s="1"/>
  <c r="H18" i="72"/>
  <c r="E17" i="72"/>
  <c r="E15" i="72"/>
  <c r="E17" i="71"/>
  <c r="G117" i="21" s="1"/>
  <c r="E15" i="71"/>
  <c r="G18" i="71"/>
  <c r="F18" i="71"/>
  <c r="E18" i="71"/>
  <c r="G118" i="21" s="1"/>
  <c r="H18" i="71"/>
  <c r="H19" i="70"/>
  <c r="G19" i="70"/>
  <c r="F19" i="70"/>
  <c r="E19" i="70"/>
  <c r="G114" i="21" s="1"/>
  <c r="G18" i="70"/>
  <c r="F18" i="70"/>
  <c r="E18" i="70"/>
  <c r="G113" i="21" s="1"/>
  <c r="H18" i="70"/>
  <c r="G16" i="70"/>
  <c r="H16" i="70" s="1"/>
  <c r="E17" i="70"/>
  <c r="E15" i="70"/>
  <c r="G18" i="69"/>
  <c r="F18" i="69"/>
  <c r="E18" i="69"/>
  <c r="G108" i="21" s="1"/>
  <c r="H18" i="69"/>
  <c r="E17" i="69"/>
  <c r="G107" i="21" s="1"/>
  <c r="G17" i="69"/>
  <c r="H17" i="69" s="1"/>
  <c r="F17" i="69"/>
  <c r="H19" i="69"/>
  <c r="G19" i="69"/>
  <c r="F19" i="69"/>
  <c r="E19" i="69"/>
  <c r="G109" i="21" s="1"/>
  <c r="E15" i="69"/>
  <c r="H19" i="68"/>
  <c r="G19" i="68"/>
  <c r="F19" i="68"/>
  <c r="E19" i="68"/>
  <c r="G104" i="21" s="1"/>
  <c r="G18" i="68"/>
  <c r="F18" i="68"/>
  <c r="E18" i="68"/>
  <c r="G103" i="21" s="1"/>
  <c r="H18" i="68"/>
  <c r="E17" i="68"/>
  <c r="E15" i="68"/>
  <c r="G18" i="67"/>
  <c r="F18" i="67"/>
  <c r="E18" i="67"/>
  <c r="G98" i="21" s="1"/>
  <c r="H18" i="67"/>
  <c r="E17" i="67"/>
  <c r="F17" i="67" s="1"/>
  <c r="E15" i="67"/>
  <c r="H19" i="66"/>
  <c r="G19" i="66"/>
  <c r="F19" i="66"/>
  <c r="E19" i="66"/>
  <c r="G94" i="21" s="1"/>
  <c r="E18" i="66"/>
  <c r="G93" i="21" s="1"/>
  <c r="E17" i="66"/>
  <c r="E15" i="66"/>
  <c r="G18" i="65"/>
  <c r="F18" i="65"/>
  <c r="E18" i="65"/>
  <c r="G88" i="21" s="1"/>
  <c r="H18" i="65"/>
  <c r="E17" i="65"/>
  <c r="F17" i="65" s="1"/>
  <c r="E15" i="65"/>
  <c r="F18" i="64"/>
  <c r="E18" i="64"/>
  <c r="G83" i="21" s="1"/>
  <c r="H18" i="64"/>
  <c r="G18" i="64"/>
  <c r="G16" i="64"/>
  <c r="H16" i="64" s="1"/>
  <c r="H19" i="64"/>
  <c r="G19" i="64"/>
  <c r="F19" i="64"/>
  <c r="E19" i="64"/>
  <c r="G84" i="21" s="1"/>
  <c r="E17" i="64"/>
  <c r="E15" i="64"/>
  <c r="E18" i="63"/>
  <c r="G78" i="21" s="1"/>
  <c r="E17" i="63"/>
  <c r="E15" i="63"/>
  <c r="F16" i="63"/>
  <c r="F18" i="62"/>
  <c r="E18" i="62"/>
  <c r="G73" i="21" s="1"/>
  <c r="H18" i="62"/>
  <c r="G18" i="62"/>
  <c r="E15" i="62"/>
  <c r="H19" i="62"/>
  <c r="G19" i="62"/>
  <c r="F19" i="62"/>
  <c r="E19" i="62"/>
  <c r="G74" i="21" s="1"/>
  <c r="E17" i="62"/>
  <c r="F17" i="62" s="1"/>
  <c r="F18" i="61"/>
  <c r="E18" i="61"/>
  <c r="G68" i="21" s="1"/>
  <c r="G18" i="61"/>
  <c r="H18" i="61"/>
  <c r="H19" i="61"/>
  <c r="G19" i="61"/>
  <c r="F19" i="61"/>
  <c r="E19" i="61"/>
  <c r="G69" i="21" s="1"/>
  <c r="G16" i="61"/>
  <c r="H16" i="61" s="1"/>
  <c r="E17" i="61"/>
  <c r="E15" i="61"/>
  <c r="G65" i="21" s="1"/>
  <c r="E15" i="60"/>
  <c r="E17" i="60"/>
  <c r="F17" i="60" s="1"/>
  <c r="H19" i="60"/>
  <c r="G19" i="60"/>
  <c r="F19" i="60"/>
  <c r="E19" i="60"/>
  <c r="G64" i="21" s="1"/>
  <c r="G18" i="60"/>
  <c r="F18" i="60"/>
  <c r="E18" i="60"/>
  <c r="G63" i="21" s="1"/>
  <c r="H18" i="60"/>
  <c r="F18" i="59"/>
  <c r="E18" i="59"/>
  <c r="G58" i="21" s="1"/>
  <c r="H18" i="59"/>
  <c r="G18" i="59"/>
  <c r="G16" i="59"/>
  <c r="H16" i="59" s="1"/>
  <c r="H19" i="59"/>
  <c r="G19" i="59"/>
  <c r="F19" i="59"/>
  <c r="E19" i="59"/>
  <c r="G59" i="21" s="1"/>
  <c r="E17" i="59"/>
  <c r="E15" i="59"/>
  <c r="H19" i="58"/>
  <c r="G19" i="58"/>
  <c r="F19" i="58"/>
  <c r="E19" i="58"/>
  <c r="G54" i="21" s="1"/>
  <c r="G18" i="58"/>
  <c r="F18" i="58"/>
  <c r="E18" i="58"/>
  <c r="G53" i="21" s="1"/>
  <c r="H18" i="58"/>
  <c r="G16" i="58"/>
  <c r="H16" i="58" s="1"/>
  <c r="E17" i="58"/>
  <c r="E15" i="58"/>
  <c r="G50" i="21" s="1"/>
  <c r="F18" i="57"/>
  <c r="E18" i="57"/>
  <c r="G16" i="57"/>
  <c r="H16" i="57" s="1"/>
  <c r="H19" i="57"/>
  <c r="G19" i="57"/>
  <c r="F19" i="57"/>
  <c r="E19" i="57"/>
  <c r="G49" i="21" s="1"/>
  <c r="E17" i="57"/>
  <c r="G47" i="21" s="1"/>
  <c r="F17" i="57"/>
  <c r="G17" i="57"/>
  <c r="H17" i="57" s="1"/>
  <c r="E15" i="57"/>
  <c r="E15" i="56"/>
  <c r="G40" i="21" s="1"/>
  <c r="F16" i="56"/>
  <c r="G18" i="56"/>
  <c r="F18" i="56"/>
  <c r="E18" i="56"/>
  <c r="G43" i="21" s="1"/>
  <c r="H18" i="56"/>
  <c r="E17" i="56"/>
  <c r="F18" i="55"/>
  <c r="E18" i="55"/>
  <c r="G38" i="21" s="1"/>
  <c r="H18" i="55"/>
  <c r="G18" i="55"/>
  <c r="E17" i="55"/>
  <c r="H19" i="55"/>
  <c r="G19" i="55"/>
  <c r="F19" i="55"/>
  <c r="E19" i="55"/>
  <c r="G39" i="21" s="1"/>
  <c r="E15" i="55"/>
  <c r="G35" i="21" s="1"/>
  <c r="H19" i="54"/>
  <c r="G19" i="54"/>
  <c r="F19" i="54"/>
  <c r="E19" i="54"/>
  <c r="G34" i="21" s="1"/>
  <c r="F18" i="54"/>
  <c r="G18" i="54"/>
  <c r="E18" i="54"/>
  <c r="G33" i="21" s="1"/>
  <c r="H18" i="54"/>
  <c r="G16" i="54"/>
  <c r="H16" i="54" s="1"/>
  <c r="E17" i="54"/>
  <c r="E15" i="54"/>
  <c r="E15" i="53"/>
  <c r="E17" i="53"/>
  <c r="F17" i="53" s="1"/>
  <c r="F16" i="53"/>
  <c r="F18" i="53"/>
  <c r="E18" i="53"/>
  <c r="G28" i="21" s="1"/>
  <c r="G18" i="53"/>
  <c r="H18" i="53"/>
  <c r="H19" i="53"/>
  <c r="G19" i="53"/>
  <c r="F19" i="53"/>
  <c r="E19" i="53"/>
  <c r="G29" i="21" s="1"/>
  <c r="E15" i="52"/>
  <c r="F18" i="52"/>
  <c r="E18" i="52"/>
  <c r="G23" i="21" s="1"/>
  <c r="H18" i="52"/>
  <c r="G18" i="52"/>
  <c r="E17" i="52"/>
  <c r="F17" i="52" s="1"/>
  <c r="AA140" i="21"/>
  <c r="AA142" i="21"/>
  <c r="AA137" i="21"/>
  <c r="AE135" i="21"/>
  <c r="AA148" i="21"/>
  <c r="AE130" i="21"/>
  <c r="AE136" i="21"/>
  <c r="AE147" i="21"/>
  <c r="AA178" i="21"/>
  <c r="AA131" i="21"/>
  <c r="AA132" i="21"/>
  <c r="I143" i="21"/>
  <c r="I149" i="21"/>
  <c r="AA143" i="21"/>
  <c r="AA149" i="21"/>
  <c r="AA175" i="21"/>
  <c r="AA135" i="21"/>
  <c r="AE133" i="21"/>
  <c r="AA133" i="21"/>
  <c r="AA136" i="21"/>
  <c r="AE138" i="21"/>
  <c r="AA138" i="21"/>
  <c r="AA147" i="21"/>
  <c r="AE179" i="21"/>
  <c r="AA179" i="21"/>
  <c r="AA177" i="21"/>
  <c r="AA129" i="21"/>
  <c r="AA146" i="21"/>
  <c r="AA141" i="21"/>
  <c r="AE176" i="21"/>
  <c r="AA176" i="21"/>
  <c r="AA130" i="21"/>
  <c r="AA145" i="21"/>
  <c r="AE178" i="21"/>
  <c r="AE146" i="21"/>
  <c r="AE140" i="21"/>
  <c r="I138" i="21"/>
  <c r="I133" i="21"/>
  <c r="AE175" i="21"/>
  <c r="I179" i="21"/>
  <c r="AE129" i="21"/>
  <c r="C116" i="21"/>
  <c r="H116" i="21" s="1"/>
  <c r="D116" i="21"/>
  <c r="C117" i="21"/>
  <c r="C118" i="21"/>
  <c r="D119" i="21"/>
  <c r="D115" i="21"/>
  <c r="C126" i="21"/>
  <c r="C119" i="21"/>
  <c r="D127" i="21"/>
  <c r="D117" i="21"/>
  <c r="C115" i="21"/>
  <c r="C123" i="21"/>
  <c r="C120" i="21"/>
  <c r="D123" i="21"/>
  <c r="D126" i="21"/>
  <c r="D122" i="21"/>
  <c r="D129" i="21"/>
  <c r="C121" i="21"/>
  <c r="C128" i="21"/>
  <c r="D121" i="21"/>
  <c r="C125" i="21"/>
  <c r="D128" i="21"/>
  <c r="D120" i="21"/>
  <c r="C122" i="21"/>
  <c r="C124" i="21"/>
  <c r="D125" i="21"/>
  <c r="C127" i="21"/>
  <c r="I129" i="21"/>
  <c r="G15" i="82" l="1"/>
  <c r="H15" i="82" s="1"/>
  <c r="H20" i="82" s="1"/>
  <c r="G16" i="62"/>
  <c r="H16" i="62" s="1"/>
  <c r="H125" i="21"/>
  <c r="H175" i="21"/>
  <c r="F16" i="66"/>
  <c r="G17" i="66"/>
  <c r="H17" i="66" s="1"/>
  <c r="G16" i="55"/>
  <c r="H16" i="55" s="1"/>
  <c r="H176" i="21"/>
  <c r="I176" i="21" s="1"/>
  <c r="H141" i="21"/>
  <c r="I141" i="21" s="1"/>
  <c r="H136" i="21"/>
  <c r="I136" i="21" s="1"/>
  <c r="H131" i="21"/>
  <c r="I131" i="21" s="1"/>
  <c r="H146" i="21"/>
  <c r="I146" i="21" s="1"/>
  <c r="H171" i="21"/>
  <c r="I171" i="21" s="1"/>
  <c r="G15" i="83"/>
  <c r="H15" i="83" s="1"/>
  <c r="G150" i="21"/>
  <c r="H150" i="21" s="1"/>
  <c r="G17" i="81"/>
  <c r="H17" i="81" s="1"/>
  <c r="G167" i="21"/>
  <c r="G17" i="78"/>
  <c r="H17" i="78" s="1"/>
  <c r="G152" i="21"/>
  <c r="G18" i="83"/>
  <c r="H18" i="83" s="1"/>
  <c r="G178" i="21"/>
  <c r="H178" i="21"/>
  <c r="G153" i="21"/>
  <c r="F15" i="80"/>
  <c r="F20" i="80" s="1"/>
  <c r="G160" i="21"/>
  <c r="F15" i="79"/>
  <c r="F20" i="79" s="1"/>
  <c r="G155" i="21"/>
  <c r="F17" i="80"/>
  <c r="G162" i="21"/>
  <c r="F17" i="83"/>
  <c r="G177" i="21"/>
  <c r="H177" i="21" s="1"/>
  <c r="I177" i="21" s="1"/>
  <c r="F15" i="56"/>
  <c r="F20" i="56" s="1"/>
  <c r="F15" i="73"/>
  <c r="F20" i="73" s="1"/>
  <c r="F15" i="81"/>
  <c r="F20" i="81" s="1"/>
  <c r="G165" i="21"/>
  <c r="F15" i="82"/>
  <c r="G170" i="21"/>
  <c r="G17" i="79"/>
  <c r="H17" i="79" s="1"/>
  <c r="G157" i="21"/>
  <c r="F17" i="82"/>
  <c r="G172" i="21"/>
  <c r="F15" i="78"/>
  <c r="G15" i="58"/>
  <c r="H15" i="58" s="1"/>
  <c r="G15" i="80"/>
  <c r="H15" i="80" s="1"/>
  <c r="G15" i="56"/>
  <c r="H15" i="56" s="1"/>
  <c r="F18" i="83"/>
  <c r="G17" i="83"/>
  <c r="H17" i="83" s="1"/>
  <c r="G17" i="82"/>
  <c r="H17" i="82" s="1"/>
  <c r="Q170" i="21"/>
  <c r="Q165" i="21"/>
  <c r="Q160" i="21"/>
  <c r="F17" i="79"/>
  <c r="Q155" i="21"/>
  <c r="Q150" i="21"/>
  <c r="F18" i="77"/>
  <c r="G18" i="77"/>
  <c r="H18" i="77" s="1"/>
  <c r="G16" i="65"/>
  <c r="H16" i="65" s="1"/>
  <c r="F17" i="71"/>
  <c r="G17" i="71"/>
  <c r="H17" i="71" s="1"/>
  <c r="G16" i="67"/>
  <c r="H16" i="67" s="1"/>
  <c r="F16" i="67"/>
  <c r="F18" i="66"/>
  <c r="G18" i="66"/>
  <c r="H18" i="66" s="1"/>
  <c r="F16" i="65"/>
  <c r="G18" i="63"/>
  <c r="H18" i="63" s="1"/>
  <c r="F18" i="63"/>
  <c r="G16" i="60"/>
  <c r="H16" i="60" s="1"/>
  <c r="F16" i="60"/>
  <c r="AB170" i="21"/>
  <c r="AF140" i="21"/>
  <c r="AF165" i="21"/>
  <c r="AB150" i="21"/>
  <c r="AF160" i="21"/>
  <c r="AF150" i="21"/>
  <c r="F15" i="77"/>
  <c r="G145" i="21"/>
  <c r="G15" i="67"/>
  <c r="H15" i="67" s="1"/>
  <c r="G95" i="21"/>
  <c r="F17" i="68"/>
  <c r="G102" i="21"/>
  <c r="F15" i="72"/>
  <c r="G120" i="21"/>
  <c r="H120" i="21" s="1"/>
  <c r="F15" i="74"/>
  <c r="G130" i="21"/>
  <c r="G15" i="68"/>
  <c r="H15" i="68" s="1"/>
  <c r="G100" i="21"/>
  <c r="H119" i="21"/>
  <c r="P119" i="21"/>
  <c r="G15" i="54"/>
  <c r="H15" i="54" s="1"/>
  <c r="G30" i="21"/>
  <c r="G18" i="57"/>
  <c r="H18" i="57" s="1"/>
  <c r="G48" i="21"/>
  <c r="P120" i="21"/>
  <c r="P123" i="21"/>
  <c r="H123" i="21"/>
  <c r="H118" i="21"/>
  <c r="P118" i="21"/>
  <c r="F15" i="52"/>
  <c r="F20" i="52" s="1"/>
  <c r="G20" i="21"/>
  <c r="G15" i="60"/>
  <c r="H15" i="60" s="1"/>
  <c r="G60" i="21"/>
  <c r="F17" i="64"/>
  <c r="G82" i="21"/>
  <c r="F15" i="76"/>
  <c r="G140" i="21"/>
  <c r="AF155" i="21"/>
  <c r="P122" i="21"/>
  <c r="H122" i="21"/>
  <c r="G15" i="53"/>
  <c r="H15" i="53" s="1"/>
  <c r="G25" i="21"/>
  <c r="F17" i="59"/>
  <c r="G57" i="21"/>
  <c r="G17" i="62"/>
  <c r="H17" i="62" s="1"/>
  <c r="G72" i="21"/>
  <c r="F16" i="68"/>
  <c r="G101" i="21"/>
  <c r="G17" i="55"/>
  <c r="H17" i="55" s="1"/>
  <c r="G37" i="21"/>
  <c r="F17" i="72"/>
  <c r="G122" i="21"/>
  <c r="H128" i="21"/>
  <c r="P128" i="21"/>
  <c r="P117" i="21"/>
  <c r="H117" i="21"/>
  <c r="I117" i="21" s="1"/>
  <c r="G17" i="58"/>
  <c r="H17" i="58" s="1"/>
  <c r="G52" i="21"/>
  <c r="G15" i="63"/>
  <c r="H15" i="63" s="1"/>
  <c r="G75" i="21"/>
  <c r="F15" i="66"/>
  <c r="F20" i="66" s="1"/>
  <c r="G90" i="21"/>
  <c r="G15" i="71"/>
  <c r="H15" i="71" s="1"/>
  <c r="H20" i="71" s="1"/>
  <c r="G115" i="21"/>
  <c r="G17" i="75"/>
  <c r="H17" i="75" s="1"/>
  <c r="G137" i="21"/>
  <c r="H137" i="21" s="1"/>
  <c r="I137" i="21" s="1"/>
  <c r="G17" i="77"/>
  <c r="H17" i="77" s="1"/>
  <c r="G147" i="21"/>
  <c r="P126" i="21"/>
  <c r="H126" i="21"/>
  <c r="I126" i="21" s="1"/>
  <c r="P125" i="21"/>
  <c r="I125" i="21"/>
  <c r="F17" i="74"/>
  <c r="G132" i="21"/>
  <c r="H132" i="21" s="1"/>
  <c r="I132" i="21" s="1"/>
  <c r="AF170" i="21"/>
  <c r="H127" i="21"/>
  <c r="P127" i="21"/>
  <c r="P115" i="21"/>
  <c r="P121" i="21"/>
  <c r="H121" i="21"/>
  <c r="I121" i="21" s="1"/>
  <c r="G17" i="52"/>
  <c r="H17" i="52" s="1"/>
  <c r="G22" i="21"/>
  <c r="G17" i="53"/>
  <c r="H17" i="53" s="1"/>
  <c r="G27" i="21"/>
  <c r="F17" i="61"/>
  <c r="G67" i="21"/>
  <c r="G15" i="62"/>
  <c r="H15" i="62" s="1"/>
  <c r="G70" i="21"/>
  <c r="F17" i="63"/>
  <c r="G77" i="21"/>
  <c r="F15" i="65"/>
  <c r="G85" i="21"/>
  <c r="F15" i="70"/>
  <c r="G110" i="21"/>
  <c r="F17" i="76"/>
  <c r="G142" i="21"/>
  <c r="H142" i="21" s="1"/>
  <c r="I142" i="21" s="1"/>
  <c r="F17" i="78"/>
  <c r="F15" i="57"/>
  <c r="F20" i="57" s="1"/>
  <c r="G45" i="21"/>
  <c r="G17" i="65"/>
  <c r="H17" i="65" s="1"/>
  <c r="G87" i="21"/>
  <c r="F17" i="54"/>
  <c r="G32" i="21"/>
  <c r="G15" i="69"/>
  <c r="H15" i="69" s="1"/>
  <c r="H20" i="69" s="1"/>
  <c r="G105" i="21"/>
  <c r="G17" i="60"/>
  <c r="H17" i="60" s="1"/>
  <c r="G62" i="21"/>
  <c r="G15" i="64"/>
  <c r="H15" i="64" s="1"/>
  <c r="G80" i="21"/>
  <c r="G17" i="67"/>
  <c r="H17" i="67" s="1"/>
  <c r="G97" i="21"/>
  <c r="G17" i="73"/>
  <c r="H17" i="73" s="1"/>
  <c r="G127" i="21"/>
  <c r="P124" i="21"/>
  <c r="H124" i="21"/>
  <c r="P116" i="21"/>
  <c r="I116" i="21"/>
  <c r="G17" i="56"/>
  <c r="H17" i="56" s="1"/>
  <c r="G42" i="21"/>
  <c r="F15" i="59"/>
  <c r="F20" i="59" s="1"/>
  <c r="G55" i="21"/>
  <c r="F17" i="66"/>
  <c r="G92" i="21"/>
  <c r="F17" i="70"/>
  <c r="G112" i="21"/>
  <c r="F15" i="75"/>
  <c r="G135" i="21"/>
  <c r="Q135" i="21"/>
  <c r="AB165" i="21"/>
  <c r="AB155" i="21"/>
  <c r="AB160" i="21"/>
  <c r="G15" i="75"/>
  <c r="H15" i="75" s="1"/>
  <c r="G16" i="68"/>
  <c r="H16" i="68" s="1"/>
  <c r="F15" i="67"/>
  <c r="E20" i="83"/>
  <c r="K15" i="83" s="1"/>
  <c r="L15" i="83" s="1"/>
  <c r="F15" i="83"/>
  <c r="F20" i="83" s="1"/>
  <c r="E20" i="82"/>
  <c r="K15" i="82" s="1"/>
  <c r="L15" i="82" s="1"/>
  <c r="H20" i="81"/>
  <c r="E20" i="81"/>
  <c r="K15" i="81" s="1"/>
  <c r="L15" i="81" s="1"/>
  <c r="E20" i="80"/>
  <c r="K15" i="80" s="1"/>
  <c r="L15" i="80" s="1"/>
  <c r="G17" i="80"/>
  <c r="H17" i="80" s="1"/>
  <c r="E20" i="79"/>
  <c r="K15" i="79" s="1"/>
  <c r="L15" i="79" s="1"/>
  <c r="G15" i="79"/>
  <c r="H15" i="79" s="1"/>
  <c r="E20" i="78"/>
  <c r="K15" i="78" s="1"/>
  <c r="L15" i="78" s="1"/>
  <c r="G15" i="78"/>
  <c r="H15" i="78" s="1"/>
  <c r="H20" i="78" s="1"/>
  <c r="F17" i="77"/>
  <c r="E20" i="77"/>
  <c r="G15" i="77"/>
  <c r="H15" i="77" s="1"/>
  <c r="E20" i="76"/>
  <c r="K15" i="76" s="1"/>
  <c r="L15" i="76" s="1"/>
  <c r="G15" i="76"/>
  <c r="H15" i="76" s="1"/>
  <c r="H20" i="76" s="1"/>
  <c r="E20" i="75"/>
  <c r="K15" i="75" s="1"/>
  <c r="L15" i="75" s="1"/>
  <c r="F17" i="75"/>
  <c r="E20" i="74"/>
  <c r="K15" i="74" s="1"/>
  <c r="L15" i="74" s="1"/>
  <c r="G15" i="74"/>
  <c r="H15" i="74" s="1"/>
  <c r="H20" i="74" s="1"/>
  <c r="E20" i="73"/>
  <c r="K15" i="73" s="1"/>
  <c r="L15" i="73" s="1"/>
  <c r="G15" i="73"/>
  <c r="H15" i="73" s="1"/>
  <c r="E20" i="72"/>
  <c r="K15" i="72" s="1"/>
  <c r="L15" i="72" s="1"/>
  <c r="G17" i="72"/>
  <c r="H17" i="72" s="1"/>
  <c r="G15" i="72"/>
  <c r="H15" i="72" s="1"/>
  <c r="F15" i="71"/>
  <c r="F20" i="71" s="1"/>
  <c r="E20" i="71"/>
  <c r="K15" i="71" s="1"/>
  <c r="L15" i="71" s="1"/>
  <c r="E20" i="70"/>
  <c r="K15" i="70" s="1"/>
  <c r="L15" i="70" s="1"/>
  <c r="G17" i="70"/>
  <c r="H17" i="70" s="1"/>
  <c r="G15" i="70"/>
  <c r="H15" i="70" s="1"/>
  <c r="E20" i="69"/>
  <c r="K15" i="69" s="1"/>
  <c r="L15" i="69" s="1"/>
  <c r="F15" i="69"/>
  <c r="F20" i="69" s="1"/>
  <c r="E20" i="68"/>
  <c r="K15" i="68" s="1"/>
  <c r="L15" i="68" s="1"/>
  <c r="F15" i="68"/>
  <c r="G17" i="68"/>
  <c r="H17" i="68" s="1"/>
  <c r="E20" i="67"/>
  <c r="K15" i="67" s="1"/>
  <c r="L15" i="67" s="1"/>
  <c r="E20" i="66"/>
  <c r="K15" i="66" s="1"/>
  <c r="L15" i="66" s="1"/>
  <c r="G15" i="66"/>
  <c r="H15" i="66" s="1"/>
  <c r="G15" i="65"/>
  <c r="H15" i="65" s="1"/>
  <c r="E20" i="65"/>
  <c r="K15" i="65" s="1"/>
  <c r="L15" i="65" s="1"/>
  <c r="E20" i="64"/>
  <c r="K15" i="64" s="1"/>
  <c r="L15" i="64" s="1"/>
  <c r="G17" i="64"/>
  <c r="H17" i="64" s="1"/>
  <c r="F15" i="64"/>
  <c r="F20" i="64" s="1"/>
  <c r="G17" i="63"/>
  <c r="H17" i="63" s="1"/>
  <c r="F15" i="63"/>
  <c r="E20" i="63"/>
  <c r="K15" i="63" s="1"/>
  <c r="L15" i="63" s="1"/>
  <c r="E20" i="62"/>
  <c r="K15" i="62" s="1"/>
  <c r="L15" i="62" s="1"/>
  <c r="F15" i="62"/>
  <c r="F20" i="62" s="1"/>
  <c r="E20" i="61"/>
  <c r="K15" i="61" s="1"/>
  <c r="L15" i="61" s="1"/>
  <c r="F15" i="61"/>
  <c r="F20" i="61" s="1"/>
  <c r="G17" i="61"/>
  <c r="H17" i="61" s="1"/>
  <c r="G15" i="61"/>
  <c r="H15" i="61" s="1"/>
  <c r="E20" i="60"/>
  <c r="K15" i="60" s="1"/>
  <c r="L15" i="60" s="1"/>
  <c r="F15" i="60"/>
  <c r="E20" i="59"/>
  <c r="K15" i="59" s="1"/>
  <c r="L15" i="59" s="1"/>
  <c r="G17" i="59"/>
  <c r="H17" i="59" s="1"/>
  <c r="G15" i="59"/>
  <c r="H15" i="59" s="1"/>
  <c r="E20" i="58"/>
  <c r="K15" i="58" s="1"/>
  <c r="L15" i="58" s="1"/>
  <c r="F17" i="58"/>
  <c r="F15" i="58"/>
  <c r="E20" i="57"/>
  <c r="K15" i="57" s="1"/>
  <c r="L15" i="57" s="1"/>
  <c r="G15" i="57"/>
  <c r="H15" i="57" s="1"/>
  <c r="F17" i="56"/>
  <c r="E20" i="56"/>
  <c r="K15" i="56" s="1"/>
  <c r="L15" i="56" s="1"/>
  <c r="E20" i="55"/>
  <c r="K15" i="55" s="1"/>
  <c r="L15" i="55" s="1"/>
  <c r="F17" i="55"/>
  <c r="F15" i="55"/>
  <c r="F20" i="55" s="1"/>
  <c r="G15" i="55"/>
  <c r="H15" i="55" s="1"/>
  <c r="F15" i="54"/>
  <c r="F20" i="54" s="1"/>
  <c r="G17" i="54"/>
  <c r="H17" i="54" s="1"/>
  <c r="E20" i="54"/>
  <c r="K15" i="54" s="1"/>
  <c r="L15" i="54" s="1"/>
  <c r="F15" i="53"/>
  <c r="F20" i="53" s="1"/>
  <c r="E20" i="53"/>
  <c r="K15" i="53" s="1"/>
  <c r="L15" i="53" s="1"/>
  <c r="G15" i="52"/>
  <c r="H15" i="52" s="1"/>
  <c r="E20" i="52"/>
  <c r="K15" i="52" s="1"/>
  <c r="L15" i="52" s="1"/>
  <c r="AB140" i="21"/>
  <c r="AF135" i="21"/>
  <c r="Q130" i="21"/>
  <c r="Q145" i="21"/>
  <c r="AF130" i="21"/>
  <c r="AF145" i="21"/>
  <c r="Q140" i="21"/>
  <c r="AB175" i="21"/>
  <c r="AB130" i="21"/>
  <c r="AB145" i="21"/>
  <c r="Q175" i="21"/>
  <c r="AB135" i="21"/>
  <c r="AA125" i="21"/>
  <c r="AA120" i="21"/>
  <c r="AE127" i="21"/>
  <c r="AA127" i="21"/>
  <c r="AE128" i="21"/>
  <c r="AA128" i="21"/>
  <c r="AA115" i="21"/>
  <c r="AE117" i="21"/>
  <c r="AA117" i="21"/>
  <c r="AF175" i="21"/>
  <c r="AA121" i="21"/>
  <c r="AE118" i="21"/>
  <c r="AA118" i="21"/>
  <c r="AE124" i="21"/>
  <c r="AA124" i="21"/>
  <c r="AA116" i="21"/>
  <c r="I175" i="21"/>
  <c r="AE123" i="21"/>
  <c r="AA123" i="21"/>
  <c r="AE122" i="21"/>
  <c r="AA122" i="21"/>
  <c r="AE119" i="21"/>
  <c r="AA119" i="21"/>
  <c r="AA126" i="21"/>
  <c r="I178" i="21"/>
  <c r="AE125" i="21"/>
  <c r="AE116" i="21"/>
  <c r="AE121" i="21"/>
  <c r="AE120" i="21"/>
  <c r="AE115" i="21"/>
  <c r="AE126" i="21"/>
  <c r="I127" i="21"/>
  <c r="I128" i="21"/>
  <c r="I124" i="21"/>
  <c r="I123" i="21"/>
  <c r="I122" i="21"/>
  <c r="I118" i="21"/>
  <c r="I119" i="21"/>
  <c r="F20" i="82" l="1"/>
  <c r="H20" i="52"/>
  <c r="G20" i="82"/>
  <c r="H20" i="55"/>
  <c r="G20" i="81"/>
  <c r="H20" i="53"/>
  <c r="H20" i="79"/>
  <c r="H20" i="66"/>
  <c r="H135" i="21"/>
  <c r="I135" i="21" s="1"/>
  <c r="J135" i="21" s="1"/>
  <c r="H130" i="21"/>
  <c r="I130" i="21" s="1"/>
  <c r="J130" i="21" s="1"/>
  <c r="H145" i="21"/>
  <c r="I145" i="21" s="1"/>
  <c r="H160" i="21"/>
  <c r="I160" i="21" s="1"/>
  <c r="J160" i="21" s="1"/>
  <c r="H170" i="21"/>
  <c r="I170" i="21" s="1"/>
  <c r="J170" i="21" s="1"/>
  <c r="H115" i="21"/>
  <c r="I115" i="21" s="1"/>
  <c r="J115" i="21" s="1"/>
  <c r="H140" i="21"/>
  <c r="I140" i="21" s="1"/>
  <c r="J140" i="21" s="1"/>
  <c r="H20" i="83"/>
  <c r="H147" i="21"/>
  <c r="I147" i="21" s="1"/>
  <c r="H20" i="58"/>
  <c r="H165" i="21"/>
  <c r="I165" i="21" s="1"/>
  <c r="J165" i="21" s="1"/>
  <c r="H155" i="21"/>
  <c r="I155" i="21" s="1"/>
  <c r="J155" i="21" s="1"/>
  <c r="G20" i="83"/>
  <c r="H20" i="80"/>
  <c r="F20" i="78"/>
  <c r="H20" i="56"/>
  <c r="F20" i="77"/>
  <c r="F20" i="76"/>
  <c r="F20" i="75"/>
  <c r="F20" i="74"/>
  <c r="F20" i="67"/>
  <c r="F20" i="72"/>
  <c r="F20" i="70"/>
  <c r="F20" i="68"/>
  <c r="F20" i="60"/>
  <c r="F20" i="65"/>
  <c r="F20" i="63"/>
  <c r="F20" i="58"/>
  <c r="G20" i="58"/>
  <c r="H20" i="75"/>
  <c r="G20" i="69"/>
  <c r="I11" i="69" s="1"/>
  <c r="F29" i="16" s="1"/>
  <c r="H20" i="60"/>
  <c r="H20" i="73"/>
  <c r="G20" i="56"/>
  <c r="H20" i="54"/>
  <c r="H20" i="68"/>
  <c r="H20" i="62"/>
  <c r="G20" i="53"/>
  <c r="I11" i="53" s="1"/>
  <c r="F13" i="16" s="1"/>
  <c r="G20" i="60"/>
  <c r="H20" i="64"/>
  <c r="H20" i="57"/>
  <c r="H20" i="65"/>
  <c r="H20" i="67"/>
  <c r="G20" i="67"/>
  <c r="H20" i="70"/>
  <c r="I11" i="81"/>
  <c r="F41" i="16" s="1"/>
  <c r="I41" i="16" s="1"/>
  <c r="C41" i="22" s="1"/>
  <c r="H20" i="59"/>
  <c r="G20" i="71"/>
  <c r="I11" i="71" s="1"/>
  <c r="F31" i="16" s="1"/>
  <c r="H20" i="63"/>
  <c r="G20" i="62"/>
  <c r="H20" i="72"/>
  <c r="G20" i="65"/>
  <c r="G20" i="75"/>
  <c r="H20" i="61"/>
  <c r="G20" i="59"/>
  <c r="G20" i="72"/>
  <c r="G20" i="74"/>
  <c r="G20" i="76"/>
  <c r="G20" i="78"/>
  <c r="J175" i="21"/>
  <c r="H20" i="77"/>
  <c r="G20" i="73"/>
  <c r="G20" i="77"/>
  <c r="K15" i="77"/>
  <c r="L15" i="77" s="1"/>
  <c r="I150" i="21"/>
  <c r="J150" i="21" s="1"/>
  <c r="G20" i="79"/>
  <c r="G20" i="55"/>
  <c r="I11" i="55" s="1"/>
  <c r="F15" i="16" s="1"/>
  <c r="G20" i="57"/>
  <c r="G20" i="64"/>
  <c r="G20" i="66"/>
  <c r="G20" i="68"/>
  <c r="G20" i="52"/>
  <c r="I11" i="52" s="1"/>
  <c r="F12" i="16" s="1"/>
  <c r="G20" i="63"/>
  <c r="G20" i="70"/>
  <c r="G20" i="80"/>
  <c r="G20" i="61"/>
  <c r="G20" i="54"/>
  <c r="AF125" i="21"/>
  <c r="AF115" i="21"/>
  <c r="Q125" i="21"/>
  <c r="AF120" i="21"/>
  <c r="Q120" i="21"/>
  <c r="J125" i="21"/>
  <c r="Q115" i="21"/>
  <c r="I120" i="21"/>
  <c r="J120" i="21" s="1"/>
  <c r="AB125" i="21"/>
  <c r="AB115" i="21"/>
  <c r="AB120" i="21"/>
  <c r="I11" i="82" l="1"/>
  <c r="F42" i="16" s="1"/>
  <c r="I42" i="16" s="1"/>
  <c r="C42" i="22" s="1"/>
  <c r="F42" i="22" s="1"/>
  <c r="I11" i="66"/>
  <c r="F26" i="16" s="1"/>
  <c r="I11" i="78"/>
  <c r="F38" i="16" s="1"/>
  <c r="I38" i="16" s="1"/>
  <c r="C38" i="22" s="1"/>
  <c r="I11" i="79"/>
  <c r="F39" i="16" s="1"/>
  <c r="I39" i="16" s="1"/>
  <c r="C39" i="22" s="1"/>
  <c r="I11" i="80"/>
  <c r="F40" i="16" s="1"/>
  <c r="I40" i="16" s="1"/>
  <c r="C40" i="22" s="1"/>
  <c r="H40" i="22" s="1"/>
  <c r="I11" i="56"/>
  <c r="F16" i="16" s="1"/>
  <c r="J145" i="21"/>
  <c r="I11" i="83"/>
  <c r="F43" i="16" s="1"/>
  <c r="I43" i="16" s="1"/>
  <c r="C43" i="22" s="1"/>
  <c r="H43" i="22" s="1"/>
  <c r="I11" i="76"/>
  <c r="F36" i="16" s="1"/>
  <c r="I36" i="16" s="1"/>
  <c r="C36" i="22" s="1"/>
  <c r="H36" i="22" s="1"/>
  <c r="I11" i="74"/>
  <c r="F34" i="16" s="1"/>
  <c r="I34" i="16" s="1"/>
  <c r="C34" i="22" s="1"/>
  <c r="I11" i="58"/>
  <c r="F18" i="16" s="1"/>
  <c r="I11" i="63"/>
  <c r="F23" i="16" s="1"/>
  <c r="I11" i="75"/>
  <c r="F35" i="16" s="1"/>
  <c r="I35" i="16" s="1"/>
  <c r="C35" i="22" s="1"/>
  <c r="I11" i="57"/>
  <c r="F17" i="16" s="1"/>
  <c r="I11" i="65"/>
  <c r="F25" i="16" s="1"/>
  <c r="I11" i="54"/>
  <c r="F14" i="16" s="1"/>
  <c r="I11" i="73"/>
  <c r="F33" i="16" s="1"/>
  <c r="I33" i="16" s="1"/>
  <c r="C33" i="22" s="1"/>
  <c r="I11" i="67"/>
  <c r="F27" i="16" s="1"/>
  <c r="I11" i="60"/>
  <c r="F20" i="16" s="1"/>
  <c r="I11" i="68"/>
  <c r="F28" i="16" s="1"/>
  <c r="I11" i="64"/>
  <c r="F24" i="16" s="1"/>
  <c r="I11" i="62"/>
  <c r="F22" i="16" s="1"/>
  <c r="I11" i="70"/>
  <c r="F30" i="16" s="1"/>
  <c r="I11" i="61"/>
  <c r="F21" i="16" s="1"/>
  <c r="I11" i="59"/>
  <c r="F19" i="16" s="1"/>
  <c r="I11" i="77"/>
  <c r="F37" i="16" s="1"/>
  <c r="I37" i="16" s="1"/>
  <c r="C37" i="22" s="1"/>
  <c r="I11" i="72"/>
  <c r="F32" i="16" s="1"/>
  <c r="I32" i="16" s="1"/>
  <c r="C32" i="22" s="1"/>
  <c r="H39" i="22"/>
  <c r="D39" i="22"/>
  <c r="I39" i="22"/>
  <c r="E39" i="22"/>
  <c r="F39" i="22"/>
  <c r="G39" i="22"/>
  <c r="I31" i="16"/>
  <c r="C31" i="22" s="1"/>
  <c r="I40" i="22" l="1"/>
  <c r="D40" i="22"/>
  <c r="F40" i="22"/>
  <c r="E40" i="22"/>
  <c r="G40" i="22"/>
  <c r="D42" i="22"/>
  <c r="H42" i="22"/>
  <c r="E42" i="22"/>
  <c r="I42" i="22"/>
  <c r="G42" i="22"/>
  <c r="G43" i="22"/>
  <c r="F43" i="22"/>
  <c r="D43" i="22"/>
  <c r="E43" i="22"/>
  <c r="I43" i="22"/>
  <c r="E36" i="22"/>
  <c r="G36" i="22"/>
  <c r="I36" i="22"/>
  <c r="D36" i="22"/>
  <c r="F36" i="22"/>
  <c r="K39" i="22"/>
  <c r="K40" i="22" l="1"/>
  <c r="K42" i="22"/>
  <c r="K43" i="22"/>
  <c r="K36" i="22"/>
  <c r="L5" i="22" l="1"/>
  <c r="I5" i="16"/>
  <c r="C9" i="21"/>
  <c r="C9" i="8"/>
  <c r="C10" i="8" s="1"/>
  <c r="J19" i="8" s="1"/>
  <c r="B10" i="1"/>
  <c r="A7" i="22"/>
  <c r="F4" i="22"/>
  <c r="B105" i="21" l="1"/>
  <c r="C109" i="21" s="1"/>
  <c r="B100" i="21"/>
  <c r="C104" i="21" s="1"/>
  <c r="B95" i="21"/>
  <c r="C99" i="21" s="1"/>
  <c r="B90" i="21"/>
  <c r="C94" i="21" s="1"/>
  <c r="B85" i="21"/>
  <c r="C89" i="21" s="1"/>
  <c r="B80" i="21"/>
  <c r="C84" i="21" s="1"/>
  <c r="B75" i="21"/>
  <c r="D77" i="21" s="1"/>
  <c r="B70" i="21"/>
  <c r="C74" i="21" s="1"/>
  <c r="B65" i="21"/>
  <c r="C69" i="21" s="1"/>
  <c r="B60" i="21"/>
  <c r="C64" i="21" s="1"/>
  <c r="B55" i="21"/>
  <c r="C59" i="21" s="1"/>
  <c r="B50" i="21"/>
  <c r="C54" i="21" s="1"/>
  <c r="B45" i="21"/>
  <c r="C49" i="21" s="1"/>
  <c r="B40" i="21"/>
  <c r="B35" i="21"/>
  <c r="C39" i="21" s="1"/>
  <c r="B30" i="21"/>
  <c r="C34" i="21" s="1"/>
  <c r="B25" i="21"/>
  <c r="C27" i="21" s="1"/>
  <c r="B20" i="21"/>
  <c r="C111" i="21"/>
  <c r="H111" i="21" s="1"/>
  <c r="D112" i="21"/>
  <c r="D107" i="21"/>
  <c r="H9" i="21"/>
  <c r="C47" i="8"/>
  <c r="D36" i="8"/>
  <c r="N17" i="18"/>
  <c r="N18" i="18"/>
  <c r="N19" i="18"/>
  <c r="N20" i="18"/>
  <c r="N21" i="18"/>
  <c r="N22" i="18"/>
  <c r="N23" i="18"/>
  <c r="N24" i="18"/>
  <c r="N25" i="18"/>
  <c r="N26" i="18"/>
  <c r="N27" i="18"/>
  <c r="N28" i="18"/>
  <c r="N111" i="18"/>
  <c r="M11" i="18"/>
  <c r="C20" i="52" s="1"/>
  <c r="M12" i="18"/>
  <c r="M13" i="18"/>
  <c r="M14" i="18"/>
  <c r="M15" i="18"/>
  <c r="M16" i="18"/>
  <c r="M17" i="18"/>
  <c r="M18" i="18"/>
  <c r="M19" i="18"/>
  <c r="M20" i="18"/>
  <c r="M21" i="18"/>
  <c r="M22" i="18"/>
  <c r="M23" i="18"/>
  <c r="M24" i="18"/>
  <c r="M25" i="18"/>
  <c r="M26" i="18"/>
  <c r="M27" i="18"/>
  <c r="M28" i="18"/>
  <c r="M111" i="18"/>
  <c r="D5" i="18"/>
  <c r="O5" i="18"/>
  <c r="N5" i="18"/>
  <c r="A10" i="1"/>
  <c r="C10" i="1" s="1"/>
  <c r="A9" i="1"/>
  <c r="B15" i="21"/>
  <c r="H52" i="19"/>
  <c r="I41" i="22" l="1"/>
  <c r="H38" i="22"/>
  <c r="H41" i="22"/>
  <c r="D38" i="22"/>
  <c r="D41" i="22"/>
  <c r="I38" i="22"/>
  <c r="E38" i="22"/>
  <c r="F38" i="22"/>
  <c r="E41" i="22"/>
  <c r="G41" i="22"/>
  <c r="F41" i="22"/>
  <c r="G38" i="22"/>
  <c r="H35" i="22"/>
  <c r="G35" i="22"/>
  <c r="H37" i="22"/>
  <c r="F34" i="22"/>
  <c r="H32" i="22"/>
  <c r="F32" i="22"/>
  <c r="I32" i="22"/>
  <c r="E35" i="22"/>
  <c r="D34" i="22"/>
  <c r="D37" i="22"/>
  <c r="I35" i="22"/>
  <c r="I34" i="22"/>
  <c r="E34" i="22"/>
  <c r="I37" i="22"/>
  <c r="E32" i="22"/>
  <c r="D32" i="22"/>
  <c r="G37" i="22"/>
  <c r="H34" i="22"/>
  <c r="E37" i="22"/>
  <c r="G34" i="22"/>
  <c r="G32" i="22"/>
  <c r="F35" i="22"/>
  <c r="D35" i="22"/>
  <c r="F37" i="22"/>
  <c r="C22" i="21"/>
  <c r="D33" i="22"/>
  <c r="E33" i="22"/>
  <c r="F33" i="22"/>
  <c r="G33" i="22"/>
  <c r="H31" i="22"/>
  <c r="I31" i="22"/>
  <c r="G31" i="22"/>
  <c r="I33" i="22"/>
  <c r="F31" i="22"/>
  <c r="E31" i="22"/>
  <c r="H33" i="22"/>
  <c r="D31" i="22"/>
  <c r="C44" i="21"/>
  <c r="P44" i="21" s="1"/>
  <c r="J20" i="73"/>
  <c r="L20" i="71"/>
  <c r="J20" i="74"/>
  <c r="L20" i="72"/>
  <c r="J20" i="71"/>
  <c r="J20" i="75"/>
  <c r="L20" i="73"/>
  <c r="J20" i="72"/>
  <c r="L20" i="76"/>
  <c r="J20" i="77"/>
  <c r="J20" i="83"/>
  <c r="J20" i="82"/>
  <c r="L20" i="75"/>
  <c r="J20" i="80"/>
  <c r="J20" i="81"/>
  <c r="L20" i="81"/>
  <c r="L20" i="79"/>
  <c r="L20" i="80"/>
  <c r="J20" i="79"/>
  <c r="L20" i="77"/>
  <c r="J20" i="76"/>
  <c r="L20" i="82"/>
  <c r="L20" i="74"/>
  <c r="L20" i="78"/>
  <c r="J20" i="78"/>
  <c r="L20" i="83"/>
  <c r="D20" i="62"/>
  <c r="C20" i="62"/>
  <c r="C20" i="56"/>
  <c r="C20" i="53"/>
  <c r="D20" i="67"/>
  <c r="C20" i="67"/>
  <c r="D20" i="59"/>
  <c r="C20" i="59"/>
  <c r="D20" i="66"/>
  <c r="C20" i="66"/>
  <c r="D20" i="58"/>
  <c r="C20" i="58"/>
  <c r="C20" i="54"/>
  <c r="D20" i="61"/>
  <c r="C20" i="61"/>
  <c r="D20" i="65"/>
  <c r="C20" i="65"/>
  <c r="C20" i="57"/>
  <c r="D20" i="69"/>
  <c r="C20" i="69"/>
  <c r="D20" i="60"/>
  <c r="C20" i="60"/>
  <c r="D20" i="64"/>
  <c r="C20" i="64"/>
  <c r="D20" i="68"/>
  <c r="C20" i="68"/>
  <c r="D20" i="63"/>
  <c r="C20" i="63"/>
  <c r="C20" i="55"/>
  <c r="H74" i="21"/>
  <c r="P74" i="21"/>
  <c r="H39" i="21"/>
  <c r="P39" i="21"/>
  <c r="P84" i="21"/>
  <c r="H84" i="21"/>
  <c r="H49" i="21"/>
  <c r="P49" i="21"/>
  <c r="H89" i="21"/>
  <c r="P89" i="21"/>
  <c r="H54" i="21"/>
  <c r="P54" i="21"/>
  <c r="H94" i="21"/>
  <c r="P94" i="21"/>
  <c r="H34" i="21"/>
  <c r="P34" i="21"/>
  <c r="P111" i="21"/>
  <c r="H59" i="21"/>
  <c r="P59" i="21"/>
  <c r="H99" i="21"/>
  <c r="P99" i="21"/>
  <c r="H22" i="21"/>
  <c r="I22" i="21" s="1"/>
  <c r="P22" i="21"/>
  <c r="H64" i="21"/>
  <c r="P64" i="21"/>
  <c r="H104" i="21"/>
  <c r="P104" i="21"/>
  <c r="P27" i="21"/>
  <c r="H27" i="21"/>
  <c r="I27" i="21" s="1"/>
  <c r="P69" i="21"/>
  <c r="H69" i="21"/>
  <c r="P109" i="21"/>
  <c r="H109" i="21"/>
  <c r="D72" i="21"/>
  <c r="AA34" i="21"/>
  <c r="AE74" i="21"/>
  <c r="AA74" i="21"/>
  <c r="C28" i="16"/>
  <c r="C20" i="16"/>
  <c r="C12" i="16"/>
  <c r="AA39" i="21"/>
  <c r="C21" i="16"/>
  <c r="C13" i="16"/>
  <c r="C19" i="16"/>
  <c r="C18" i="16"/>
  <c r="AA49" i="21"/>
  <c r="AE89" i="21"/>
  <c r="AA89" i="21"/>
  <c r="C29" i="16"/>
  <c r="AE84" i="21"/>
  <c r="AA84" i="21"/>
  <c r="C26" i="16"/>
  <c r="C25" i="16"/>
  <c r="C17" i="16"/>
  <c r="AE54" i="21"/>
  <c r="AA54" i="21"/>
  <c r="AE94" i="21"/>
  <c r="AA94" i="21"/>
  <c r="C27" i="16"/>
  <c r="C24" i="16"/>
  <c r="C16" i="16"/>
  <c r="AE59" i="21"/>
  <c r="AA59" i="21"/>
  <c r="AE99" i="21"/>
  <c r="AA99" i="21"/>
  <c r="C23" i="16"/>
  <c r="C15" i="16"/>
  <c r="AE64" i="21"/>
  <c r="AA64" i="21"/>
  <c r="AE104" i="21"/>
  <c r="AA104" i="21"/>
  <c r="C22" i="16"/>
  <c r="C14" i="16"/>
  <c r="AE69" i="21"/>
  <c r="AA69" i="21"/>
  <c r="AE109" i="21"/>
  <c r="AA109" i="21"/>
  <c r="C56" i="21"/>
  <c r="H56" i="21" s="1"/>
  <c r="C51" i="21"/>
  <c r="H51" i="21" s="1"/>
  <c r="C71" i="21"/>
  <c r="H71" i="21" s="1"/>
  <c r="D30" i="21"/>
  <c r="C32" i="21"/>
  <c r="AE39" i="21"/>
  <c r="D22" i="16"/>
  <c r="D28" i="16"/>
  <c r="D20" i="16"/>
  <c r="D27" i="16"/>
  <c r="D19" i="16"/>
  <c r="D15" i="21"/>
  <c r="D23" i="16"/>
  <c r="D29" i="16"/>
  <c r="AE49" i="21"/>
  <c r="D26" i="16"/>
  <c r="D18" i="16"/>
  <c r="D21" i="16"/>
  <c r="D25" i="16"/>
  <c r="D24" i="16"/>
  <c r="AE34" i="21"/>
  <c r="D57" i="21"/>
  <c r="D92" i="21"/>
  <c r="D47" i="21"/>
  <c r="D31" i="21"/>
  <c r="C96" i="21"/>
  <c r="H96" i="21" s="1"/>
  <c r="D96" i="21"/>
  <c r="D49" i="21"/>
  <c r="C91" i="21"/>
  <c r="H91" i="21" s="1"/>
  <c r="D97" i="21"/>
  <c r="D35" i="21"/>
  <c r="D21" i="21"/>
  <c r="D82" i="21"/>
  <c r="D102" i="21"/>
  <c r="C106" i="21"/>
  <c r="C81" i="21"/>
  <c r="H81" i="21" s="1"/>
  <c r="C101" i="21"/>
  <c r="H101" i="21" s="1"/>
  <c r="D104" i="21"/>
  <c r="D40" i="21"/>
  <c r="C86" i="21"/>
  <c r="H86" i="21" s="1"/>
  <c r="C61" i="21"/>
  <c r="H61" i="21" s="1"/>
  <c r="C66" i="21"/>
  <c r="H66" i="21" s="1"/>
  <c r="D25" i="21"/>
  <c r="D32" i="21"/>
  <c r="D87" i="21"/>
  <c r="D42" i="21"/>
  <c r="D34" i="21"/>
  <c r="D44" i="21"/>
  <c r="D67" i="21"/>
  <c r="D52" i="21"/>
  <c r="C37" i="21"/>
  <c r="D37" i="21"/>
  <c r="D39" i="21"/>
  <c r="D38" i="21"/>
  <c r="C42" i="21"/>
  <c r="D62" i="21"/>
  <c r="C76" i="21"/>
  <c r="H76" i="21" s="1"/>
  <c r="C79" i="21"/>
  <c r="D19" i="21"/>
  <c r="C19" i="21"/>
  <c r="AA19" i="21" s="1"/>
  <c r="C18" i="21"/>
  <c r="AA18" i="21" s="1"/>
  <c r="D24" i="21"/>
  <c r="C24" i="21"/>
  <c r="D29" i="21"/>
  <c r="C29" i="21"/>
  <c r="D110" i="21"/>
  <c r="C114" i="21"/>
  <c r="I34" i="21"/>
  <c r="D28" i="21"/>
  <c r="D27" i="21"/>
  <c r="AE27" i="21" s="1"/>
  <c r="D22" i="21"/>
  <c r="AA22" i="21" s="1"/>
  <c r="D20" i="21"/>
  <c r="D111" i="21"/>
  <c r="AA111" i="21" s="1"/>
  <c r="D114" i="21"/>
  <c r="C113" i="21"/>
  <c r="C110" i="21"/>
  <c r="H110" i="21" s="1"/>
  <c r="D113" i="21"/>
  <c r="C112" i="21"/>
  <c r="D106" i="21"/>
  <c r="D109" i="21"/>
  <c r="C108" i="21"/>
  <c r="C105" i="21"/>
  <c r="H105" i="21" s="1"/>
  <c r="D108" i="21"/>
  <c r="D105" i="21"/>
  <c r="C107" i="21"/>
  <c r="D101" i="21"/>
  <c r="C103" i="21"/>
  <c r="C100" i="21"/>
  <c r="H100" i="21" s="1"/>
  <c r="D103" i="21"/>
  <c r="D100" i="21"/>
  <c r="C102" i="21"/>
  <c r="I104" i="21"/>
  <c r="D99" i="21"/>
  <c r="C98" i="21"/>
  <c r="C95" i="21"/>
  <c r="H95" i="21" s="1"/>
  <c r="D98" i="21"/>
  <c r="D95" i="21"/>
  <c r="C97" i="21"/>
  <c r="D91" i="21"/>
  <c r="D94" i="21"/>
  <c r="C93" i="21"/>
  <c r="C90" i="21"/>
  <c r="H90" i="21" s="1"/>
  <c r="D93" i="21"/>
  <c r="D90" i="21"/>
  <c r="C92" i="21"/>
  <c r="H92" i="21" s="1"/>
  <c r="D86" i="21"/>
  <c r="D89" i="21"/>
  <c r="C88" i="21"/>
  <c r="C85" i="21"/>
  <c r="H85" i="21" s="1"/>
  <c r="D88" i="21"/>
  <c r="D85" i="21"/>
  <c r="C87" i="21"/>
  <c r="D81" i="21"/>
  <c r="D84" i="21"/>
  <c r="C83" i="21"/>
  <c r="C80" i="21"/>
  <c r="H80" i="21" s="1"/>
  <c r="D83" i="21"/>
  <c r="D80" i="21"/>
  <c r="C82" i="21"/>
  <c r="D76" i="21"/>
  <c r="D79" i="21"/>
  <c r="C78" i="21"/>
  <c r="C75" i="21"/>
  <c r="H75" i="21" s="1"/>
  <c r="D78" i="21"/>
  <c r="D75" i="21"/>
  <c r="C77" i="21"/>
  <c r="H77" i="21" s="1"/>
  <c r="D71" i="21"/>
  <c r="D74" i="21"/>
  <c r="C73" i="21"/>
  <c r="C70" i="21"/>
  <c r="H70" i="21" s="1"/>
  <c r="D73" i="21"/>
  <c r="D70" i="21"/>
  <c r="C72" i="21"/>
  <c r="D66" i="21"/>
  <c r="D69" i="21"/>
  <c r="C68" i="21"/>
  <c r="C65" i="21"/>
  <c r="H65" i="21" s="1"/>
  <c r="D68" i="21"/>
  <c r="D65" i="21"/>
  <c r="C67" i="21"/>
  <c r="D61" i="21"/>
  <c r="D64" i="21"/>
  <c r="C63" i="21"/>
  <c r="C60" i="21"/>
  <c r="H60" i="21" s="1"/>
  <c r="D63" i="21"/>
  <c r="D60" i="21"/>
  <c r="C62" i="21"/>
  <c r="D56" i="21"/>
  <c r="D59" i="21"/>
  <c r="C58" i="21"/>
  <c r="C55" i="21"/>
  <c r="H55" i="21" s="1"/>
  <c r="D58" i="21"/>
  <c r="D55" i="21"/>
  <c r="C57" i="21"/>
  <c r="D51" i="21"/>
  <c r="D54" i="21"/>
  <c r="C53" i="21"/>
  <c r="C50" i="21"/>
  <c r="H50" i="21" s="1"/>
  <c r="D53" i="21"/>
  <c r="D50" i="21"/>
  <c r="C52" i="21"/>
  <c r="I44" i="21"/>
  <c r="C23" i="21"/>
  <c r="C26" i="21"/>
  <c r="H26" i="21" s="1"/>
  <c r="C33" i="21"/>
  <c r="C36" i="21"/>
  <c r="H36" i="21" s="1"/>
  <c r="C43" i="21"/>
  <c r="C46" i="21"/>
  <c r="C20" i="21"/>
  <c r="H20" i="21" s="1"/>
  <c r="D23" i="21"/>
  <c r="D26" i="21"/>
  <c r="C30" i="21"/>
  <c r="H30" i="21" s="1"/>
  <c r="D33" i="21"/>
  <c r="D36" i="21"/>
  <c r="C40" i="21"/>
  <c r="H40" i="21" s="1"/>
  <c r="D43" i="21"/>
  <c r="D46" i="21"/>
  <c r="C21" i="21"/>
  <c r="H21" i="21" s="1"/>
  <c r="C28" i="21"/>
  <c r="C31" i="21"/>
  <c r="C38" i="21"/>
  <c r="C41" i="21"/>
  <c r="H41" i="21" s="1"/>
  <c r="C48" i="21"/>
  <c r="C25" i="21"/>
  <c r="H25" i="21" s="1"/>
  <c r="C35" i="21"/>
  <c r="H35" i="21" s="1"/>
  <c r="D41" i="21"/>
  <c r="C45" i="21"/>
  <c r="H45" i="21" s="1"/>
  <c r="D48" i="21"/>
  <c r="I39" i="21"/>
  <c r="D45" i="21"/>
  <c r="C47" i="21"/>
  <c r="I49" i="21"/>
  <c r="D16" i="21"/>
  <c r="C15" i="21"/>
  <c r="D17" i="21"/>
  <c r="C16" i="21"/>
  <c r="D18" i="21"/>
  <c r="C17" i="21"/>
  <c r="E4" i="16"/>
  <c r="K32" i="22" l="1"/>
  <c r="K35" i="22"/>
  <c r="K37" i="22"/>
  <c r="K38" i="22"/>
  <c r="K41" i="22"/>
  <c r="K34" i="22"/>
  <c r="K31" i="22"/>
  <c r="K33" i="22"/>
  <c r="AA44" i="21"/>
  <c r="H44" i="21"/>
  <c r="AE44" i="21"/>
  <c r="AE111" i="21"/>
  <c r="AA27" i="21"/>
  <c r="AE71" i="21"/>
  <c r="AE22" i="21"/>
  <c r="P53" i="21"/>
  <c r="H53" i="21"/>
  <c r="P93" i="21"/>
  <c r="H93" i="21"/>
  <c r="I93" i="21" s="1"/>
  <c r="P45" i="21"/>
  <c r="P28" i="21"/>
  <c r="H28" i="21"/>
  <c r="P26" i="21"/>
  <c r="P67" i="21"/>
  <c r="H67" i="21"/>
  <c r="I67" i="21" s="1"/>
  <c r="P80" i="21"/>
  <c r="H88" i="21"/>
  <c r="P88" i="21"/>
  <c r="P110" i="21"/>
  <c r="P101" i="21"/>
  <c r="P91" i="21"/>
  <c r="I91" i="21"/>
  <c r="P31" i="21"/>
  <c r="H31" i="21"/>
  <c r="P56" i="21"/>
  <c r="P21" i="21"/>
  <c r="H23" i="21"/>
  <c r="P23" i="21"/>
  <c r="H62" i="21"/>
  <c r="I62" i="21" s="1"/>
  <c r="P62" i="21"/>
  <c r="P75" i="21"/>
  <c r="I75" i="21"/>
  <c r="P83" i="21"/>
  <c r="H83" i="21"/>
  <c r="H102" i="21"/>
  <c r="I102" i="21" s="1"/>
  <c r="P102" i="21"/>
  <c r="H113" i="21"/>
  <c r="P113" i="21"/>
  <c r="P81" i="21"/>
  <c r="P35" i="21"/>
  <c r="P20" i="21"/>
  <c r="P57" i="21"/>
  <c r="H57" i="21"/>
  <c r="I57" i="21" s="1"/>
  <c r="P70" i="21"/>
  <c r="H78" i="21"/>
  <c r="I78" i="21" s="1"/>
  <c r="P78" i="21"/>
  <c r="P97" i="21"/>
  <c r="H97" i="21"/>
  <c r="I97" i="21" s="1"/>
  <c r="P105" i="21"/>
  <c r="H114" i="21"/>
  <c r="P114" i="21"/>
  <c r="P37" i="21"/>
  <c r="H37" i="21"/>
  <c r="I37" i="21" s="1"/>
  <c r="P106" i="21"/>
  <c r="H106" i="21"/>
  <c r="P30" i="21"/>
  <c r="P25" i="21"/>
  <c r="P52" i="21"/>
  <c r="H52" i="21"/>
  <c r="P65" i="21"/>
  <c r="H73" i="21"/>
  <c r="P73" i="21"/>
  <c r="P92" i="21"/>
  <c r="I92" i="21"/>
  <c r="P108" i="21"/>
  <c r="H108" i="21"/>
  <c r="H79" i="21"/>
  <c r="P79" i="21"/>
  <c r="P66" i="21"/>
  <c r="P96" i="21"/>
  <c r="P32" i="21"/>
  <c r="H32" i="21"/>
  <c r="P72" i="21"/>
  <c r="H72" i="21"/>
  <c r="H47" i="21"/>
  <c r="P47" i="21"/>
  <c r="I40" i="21"/>
  <c r="P40" i="21"/>
  <c r="P60" i="21"/>
  <c r="P68" i="21"/>
  <c r="H68" i="21"/>
  <c r="H87" i="21"/>
  <c r="I87" i="21" s="1"/>
  <c r="P87" i="21"/>
  <c r="P100" i="21"/>
  <c r="I100" i="21"/>
  <c r="P29" i="21"/>
  <c r="H29" i="21"/>
  <c r="P76" i="21"/>
  <c r="P61" i="21"/>
  <c r="P107" i="21"/>
  <c r="H107" i="21"/>
  <c r="H48" i="21"/>
  <c r="P48" i="21"/>
  <c r="P43" i="21"/>
  <c r="H43" i="21"/>
  <c r="P55" i="21"/>
  <c r="H63" i="21"/>
  <c r="P63" i="21"/>
  <c r="P82" i="21"/>
  <c r="H82" i="21"/>
  <c r="I82" i="21" s="1"/>
  <c r="I95" i="21"/>
  <c r="P95" i="21"/>
  <c r="H103" i="21"/>
  <c r="P103" i="21"/>
  <c r="P86" i="21"/>
  <c r="P71" i="21"/>
  <c r="H33" i="21"/>
  <c r="P33" i="21"/>
  <c r="P85" i="21"/>
  <c r="I85" i="21"/>
  <c r="P46" i="21"/>
  <c r="H46" i="21"/>
  <c r="P41" i="21"/>
  <c r="H38" i="21"/>
  <c r="P38" i="21"/>
  <c r="P36" i="21"/>
  <c r="I36" i="21"/>
  <c r="P50" i="21"/>
  <c r="P58" i="21"/>
  <c r="H58" i="21"/>
  <c r="P77" i="21"/>
  <c r="I77" i="21"/>
  <c r="P90" i="21"/>
  <c r="I90" i="21"/>
  <c r="P98" i="21"/>
  <c r="H98" i="21"/>
  <c r="P112" i="21"/>
  <c r="H112" i="21"/>
  <c r="H24" i="21"/>
  <c r="P24" i="21"/>
  <c r="P42" i="21"/>
  <c r="H42" i="21"/>
  <c r="I42" i="21" s="1"/>
  <c r="P51" i="21"/>
  <c r="AA75" i="21"/>
  <c r="AE83" i="21"/>
  <c r="AA83" i="21"/>
  <c r="AE102" i="21"/>
  <c r="AA102" i="21"/>
  <c r="AE113" i="21"/>
  <c r="AA113" i="21"/>
  <c r="AA86" i="21"/>
  <c r="AA56" i="21"/>
  <c r="AA110" i="21"/>
  <c r="AA70" i="21"/>
  <c r="AE97" i="21"/>
  <c r="AA97" i="21"/>
  <c r="AA17" i="21"/>
  <c r="AA46" i="21"/>
  <c r="AA65" i="21"/>
  <c r="AE73" i="21"/>
  <c r="AA73" i="21"/>
  <c r="AE92" i="21"/>
  <c r="AA92" i="21"/>
  <c r="AE108" i="21"/>
  <c r="AA108" i="21"/>
  <c r="AA20" i="21"/>
  <c r="AE67" i="21"/>
  <c r="AA67" i="21"/>
  <c r="AE88" i="21"/>
  <c r="AA88" i="21"/>
  <c r="AE62" i="21"/>
  <c r="AA62" i="21"/>
  <c r="AE47" i="21"/>
  <c r="AA47" i="21"/>
  <c r="AE41" i="21"/>
  <c r="AA41" i="21"/>
  <c r="AA52" i="21"/>
  <c r="AE38" i="21"/>
  <c r="AA38" i="21"/>
  <c r="AE43" i="21"/>
  <c r="AA43" i="21"/>
  <c r="AA60" i="21"/>
  <c r="AE68" i="21"/>
  <c r="AA68" i="21"/>
  <c r="AE87" i="21"/>
  <c r="AA87" i="21"/>
  <c r="AA100" i="21"/>
  <c r="AA101" i="21"/>
  <c r="AA91" i="21"/>
  <c r="AA35" i="21"/>
  <c r="AE23" i="21"/>
  <c r="AA23" i="21"/>
  <c r="AA29" i="21"/>
  <c r="AE40" i="21"/>
  <c r="AA40" i="21"/>
  <c r="AA105" i="21"/>
  <c r="AA42" i="21"/>
  <c r="AA16" i="21"/>
  <c r="AA31" i="21"/>
  <c r="AA30" i="21"/>
  <c r="AA36" i="21"/>
  <c r="AA55" i="21"/>
  <c r="AE63" i="21"/>
  <c r="AA63" i="21"/>
  <c r="AA82" i="21"/>
  <c r="AA95" i="21"/>
  <c r="AE103" i="21"/>
  <c r="AA103" i="21"/>
  <c r="AA81" i="21"/>
  <c r="AA96" i="21"/>
  <c r="I32" i="21"/>
  <c r="AA32" i="21"/>
  <c r="AA76" i="21"/>
  <c r="AE61" i="21"/>
  <c r="AA61" i="21"/>
  <c r="AA25" i="21"/>
  <c r="AA57" i="21"/>
  <c r="AE78" i="21"/>
  <c r="AA78" i="21"/>
  <c r="AE28" i="21"/>
  <c r="AA28" i="21"/>
  <c r="AE33" i="21"/>
  <c r="AA33" i="21"/>
  <c r="AE58" i="21"/>
  <c r="AA58" i="21"/>
  <c r="AE77" i="21"/>
  <c r="AA77" i="21"/>
  <c r="AA90" i="21"/>
  <c r="AE98" i="21"/>
  <c r="AA98" i="21"/>
  <c r="AE112" i="21"/>
  <c r="AA112" i="21"/>
  <c r="AE114" i="21"/>
  <c r="AA114" i="21"/>
  <c r="AA37" i="21"/>
  <c r="AE106" i="21"/>
  <c r="AA106" i="21"/>
  <c r="AA80" i="21"/>
  <c r="AA51" i="21"/>
  <c r="AA48" i="21"/>
  <c r="I48" i="21"/>
  <c r="AA24" i="21"/>
  <c r="AA45" i="21"/>
  <c r="AA50" i="21"/>
  <c r="AA21" i="21"/>
  <c r="AA26" i="21"/>
  <c r="AE53" i="21"/>
  <c r="AA53" i="21"/>
  <c r="AE72" i="21"/>
  <c r="AA72" i="21"/>
  <c r="AA85" i="21"/>
  <c r="AE93" i="21"/>
  <c r="AA93" i="21"/>
  <c r="AE107" i="21"/>
  <c r="AA107" i="21"/>
  <c r="AE79" i="21"/>
  <c r="AA79" i="21"/>
  <c r="AA66" i="21"/>
  <c r="AA71" i="21"/>
  <c r="AE32" i="21"/>
  <c r="AE52" i="21"/>
  <c r="AE36" i="21"/>
  <c r="AE110" i="21"/>
  <c r="AE56" i="21"/>
  <c r="AE25" i="21"/>
  <c r="AE57" i="21"/>
  <c r="AE30" i="21"/>
  <c r="AE26" i="21"/>
  <c r="AE85" i="21"/>
  <c r="AE37" i="21"/>
  <c r="AE80" i="21"/>
  <c r="AE75" i="21"/>
  <c r="AE48" i="21"/>
  <c r="AE70" i="21"/>
  <c r="AE105" i="21"/>
  <c r="AE17" i="21"/>
  <c r="AE46" i="21"/>
  <c r="AE51" i="21"/>
  <c r="AE91" i="21"/>
  <c r="AE18" i="21"/>
  <c r="AE16" i="21"/>
  <c r="AE31" i="21"/>
  <c r="AE55" i="21"/>
  <c r="AE82" i="21"/>
  <c r="AE95" i="21"/>
  <c r="AE19" i="21"/>
  <c r="AE101" i="21"/>
  <c r="AE86" i="21"/>
  <c r="AE45" i="21"/>
  <c r="AE50" i="21"/>
  <c r="AE90" i="21"/>
  <c r="AE81" i="21"/>
  <c r="AE42" i="21"/>
  <c r="AE65" i="21"/>
  <c r="AE100" i="21"/>
  <c r="AE21" i="21"/>
  <c r="AE24" i="21"/>
  <c r="AE60" i="21"/>
  <c r="AE35" i="21"/>
  <c r="AE20" i="21"/>
  <c r="AE29" i="21"/>
  <c r="AE76" i="21"/>
  <c r="AE66" i="21"/>
  <c r="AE96" i="21"/>
  <c r="AA15" i="21"/>
  <c r="AE15" i="21"/>
  <c r="I24" i="21"/>
  <c r="I29" i="21"/>
  <c r="I113" i="21"/>
  <c r="I114" i="21"/>
  <c r="I108" i="21"/>
  <c r="I109" i="21"/>
  <c r="I107" i="21"/>
  <c r="I103" i="21"/>
  <c r="I98" i="21"/>
  <c r="I99" i="21"/>
  <c r="I94" i="21"/>
  <c r="I88" i="21"/>
  <c r="I89" i="21"/>
  <c r="I83" i="21"/>
  <c r="I84" i="21"/>
  <c r="I79" i="21"/>
  <c r="I68" i="21"/>
  <c r="I69" i="21"/>
  <c r="I63" i="21"/>
  <c r="I64" i="21"/>
  <c r="I58" i="21"/>
  <c r="I59" i="21"/>
  <c r="I53" i="21"/>
  <c r="I54" i="21"/>
  <c r="I47" i="21"/>
  <c r="I23" i="21"/>
  <c r="I38" i="21"/>
  <c r="I28" i="21"/>
  <c r="I43" i="21"/>
  <c r="I33" i="21"/>
  <c r="I74" i="21"/>
  <c r="AF70" i="21" l="1"/>
  <c r="L20" i="62" s="1"/>
  <c r="AF40" i="21"/>
  <c r="L20" i="56" s="1"/>
  <c r="AF60" i="21"/>
  <c r="L20" i="60" s="1"/>
  <c r="AF110" i="21"/>
  <c r="L20" i="70" s="1"/>
  <c r="AF85" i="21"/>
  <c r="L20" i="65" s="1"/>
  <c r="AF105" i="21"/>
  <c r="L20" i="69" s="1"/>
  <c r="AF25" i="21"/>
  <c r="L20" i="53" s="1"/>
  <c r="AF30" i="21"/>
  <c r="L20" i="54" s="1"/>
  <c r="Q35" i="21"/>
  <c r="AF75" i="21"/>
  <c r="L20" i="63" s="1"/>
  <c r="AF90" i="21"/>
  <c r="L20" i="66" s="1"/>
  <c r="AF35" i="21"/>
  <c r="L20" i="55" s="1"/>
  <c r="Q45" i="21"/>
  <c r="AF50" i="21"/>
  <c r="L20" i="58" s="1"/>
  <c r="AF55" i="21"/>
  <c r="L20" i="59" s="1"/>
  <c r="AF45" i="21"/>
  <c r="L20" i="57" s="1"/>
  <c r="Q30" i="21"/>
  <c r="AF100" i="21"/>
  <c r="L20" i="68" s="1"/>
  <c r="AF80" i="21"/>
  <c r="L20" i="64" s="1"/>
  <c r="Q80" i="21"/>
  <c r="Q60" i="21"/>
  <c r="AF15" i="21"/>
  <c r="L20" i="8" s="1"/>
  <c r="Q105" i="21"/>
  <c r="Q25" i="21"/>
  <c r="Q50" i="21"/>
  <c r="Q55" i="21"/>
  <c r="Q40" i="21"/>
  <c r="Q100" i="21"/>
  <c r="Q70" i="21"/>
  <c r="Q110" i="21"/>
  <c r="Q20" i="21"/>
  <c r="Q75" i="21"/>
  <c r="Q65" i="21"/>
  <c r="Q90" i="21"/>
  <c r="Q85" i="21"/>
  <c r="Q95" i="21"/>
  <c r="AF65" i="21"/>
  <c r="L20" i="61" s="1"/>
  <c r="AF20" i="21"/>
  <c r="L20" i="52" s="1"/>
  <c r="AF95" i="21"/>
  <c r="L20" i="67" s="1"/>
  <c r="AB15" i="21"/>
  <c r="J20" i="8" s="1"/>
  <c r="AB25" i="21"/>
  <c r="J20" i="53" s="1"/>
  <c r="AB75" i="21"/>
  <c r="J20" i="63" s="1"/>
  <c r="AB85" i="21"/>
  <c r="J20" i="65" s="1"/>
  <c r="AB95" i="21"/>
  <c r="J20" i="67" s="1"/>
  <c r="AB50" i="21"/>
  <c r="J20" i="58" s="1"/>
  <c r="AB80" i="21"/>
  <c r="J20" i="64" s="1"/>
  <c r="AB70" i="21"/>
  <c r="J20" i="62" s="1"/>
  <c r="AB90" i="21"/>
  <c r="J20" i="66" s="1"/>
  <c r="AB65" i="21"/>
  <c r="J20" i="61" s="1"/>
  <c r="AB100" i="21"/>
  <c r="J20" i="68" s="1"/>
  <c r="AB35" i="21"/>
  <c r="J20" i="55" s="1"/>
  <c r="AB60" i="21"/>
  <c r="J20" i="60" s="1"/>
  <c r="AB110" i="21"/>
  <c r="J20" i="70" s="1"/>
  <c r="AB40" i="21"/>
  <c r="J20" i="56" s="1"/>
  <c r="AB20" i="21"/>
  <c r="J20" i="52" s="1"/>
  <c r="AB105" i="21"/>
  <c r="J20" i="69" s="1"/>
  <c r="AB55" i="21"/>
  <c r="J20" i="59" s="1"/>
  <c r="AB45" i="21"/>
  <c r="J20" i="57" s="1"/>
  <c r="AB30" i="21"/>
  <c r="J20" i="54" s="1"/>
  <c r="I45" i="21"/>
  <c r="I60" i="21"/>
  <c r="I61" i="21"/>
  <c r="I31" i="21"/>
  <c r="I55" i="21"/>
  <c r="I50" i="21"/>
  <c r="I65" i="21"/>
  <c r="I110" i="21"/>
  <c r="I86" i="21"/>
  <c r="J85" i="21" s="1"/>
  <c r="I51" i="21"/>
  <c r="I70" i="21"/>
  <c r="I76" i="21"/>
  <c r="J75" i="21" s="1"/>
  <c r="I81" i="21"/>
  <c r="I112" i="21"/>
  <c r="I26" i="21"/>
  <c r="I46" i="21"/>
  <c r="I73" i="21"/>
  <c r="I80" i="21"/>
  <c r="I52" i="21"/>
  <c r="I111" i="21"/>
  <c r="I106" i="21"/>
  <c r="I35" i="21"/>
  <c r="J35" i="21" s="1"/>
  <c r="I56" i="21"/>
  <c r="I101" i="21"/>
  <c r="J100" i="21" s="1"/>
  <c r="I105" i="21"/>
  <c r="I41" i="21"/>
  <c r="J40" i="21" s="1"/>
  <c r="I20" i="21"/>
  <c r="I66" i="21"/>
  <c r="I25" i="21"/>
  <c r="I21" i="21"/>
  <c r="I30" i="21"/>
  <c r="I71" i="21"/>
  <c r="I72" i="21"/>
  <c r="I96" i="21"/>
  <c r="J95" i="21" s="1"/>
  <c r="J90" i="21"/>
  <c r="J45" i="21" l="1"/>
  <c r="J60" i="21"/>
  <c r="J55" i="21"/>
  <c r="J80" i="21"/>
  <c r="J65" i="21"/>
  <c r="J30" i="21"/>
  <c r="J25" i="21"/>
  <c r="I14" i="16"/>
  <c r="C14" i="22" s="1"/>
  <c r="I20" i="16"/>
  <c r="C20" i="22" s="1"/>
  <c r="J105" i="21"/>
  <c r="J50" i="21"/>
  <c r="J110" i="21"/>
  <c r="J20" i="21"/>
  <c r="J70" i="21"/>
  <c r="I20" i="22" l="1"/>
  <c r="G20" i="22"/>
  <c r="E20" i="22"/>
  <c r="D20" i="22"/>
  <c r="H20" i="22"/>
  <c r="F20" i="22"/>
  <c r="I14" i="22"/>
  <c r="G14" i="22"/>
  <c r="E14" i="22"/>
  <c r="H14" i="22"/>
  <c r="F14" i="22"/>
  <c r="D14" i="22"/>
  <c r="I24" i="16"/>
  <c r="C24" i="22" s="1"/>
  <c r="I12" i="16"/>
  <c r="C12" i="22" s="1"/>
  <c r="I15" i="16"/>
  <c r="C15" i="22" s="1"/>
  <c r="I19" i="16"/>
  <c r="C19" i="22" s="1"/>
  <c r="I22" i="16"/>
  <c r="C22" i="22" s="1"/>
  <c r="I17" i="16"/>
  <c r="C17" i="22" s="1"/>
  <c r="I23" i="16"/>
  <c r="C23" i="22" s="1"/>
  <c r="I21" i="16"/>
  <c r="C21" i="22" s="1"/>
  <c r="I18" i="16"/>
  <c r="C18" i="22" s="1"/>
  <c r="I16" i="16"/>
  <c r="C16" i="22" s="1"/>
  <c r="I13" i="16"/>
  <c r="C13" i="22" s="1"/>
  <c r="I27" i="16"/>
  <c r="C27" i="22" s="1"/>
  <c r="K14" i="22" l="1"/>
  <c r="I19" i="22"/>
  <c r="G19" i="22"/>
  <c r="E19" i="22"/>
  <c r="D19" i="22"/>
  <c r="H19" i="22"/>
  <c r="F19" i="22"/>
  <c r="H24" i="22"/>
  <c r="F24" i="22"/>
  <c r="I24" i="22"/>
  <c r="G24" i="22"/>
  <c r="E24" i="22"/>
  <c r="D24" i="22"/>
  <c r="I27" i="22"/>
  <c r="G27" i="22"/>
  <c r="E27" i="22"/>
  <c r="D27" i="22"/>
  <c r="H27" i="22"/>
  <c r="F27" i="22"/>
  <c r="H15" i="22"/>
  <c r="F15" i="22"/>
  <c r="I15" i="22"/>
  <c r="G15" i="22"/>
  <c r="E15" i="22"/>
  <c r="D15" i="22"/>
  <c r="I21" i="22"/>
  <c r="G21" i="22"/>
  <c r="E21" i="22"/>
  <c r="D21" i="22"/>
  <c r="H21" i="22"/>
  <c r="F21" i="22"/>
  <c r="H16" i="22"/>
  <c r="F16" i="22"/>
  <c r="I16" i="22"/>
  <c r="G16" i="22"/>
  <c r="E16" i="22"/>
  <c r="D16" i="22"/>
  <c r="D18" i="22"/>
  <c r="H18" i="22"/>
  <c r="F18" i="22"/>
  <c r="I18" i="22"/>
  <c r="G18" i="22"/>
  <c r="E18" i="22"/>
  <c r="H17" i="22"/>
  <c r="F17" i="22"/>
  <c r="I17" i="22"/>
  <c r="G17" i="22"/>
  <c r="E17" i="22"/>
  <c r="D17" i="22"/>
  <c r="K20" i="22"/>
  <c r="I13" i="22"/>
  <c r="G13" i="22"/>
  <c r="E13" i="22"/>
  <c r="H13" i="22"/>
  <c r="F13" i="22"/>
  <c r="D13" i="22"/>
  <c r="I12" i="22"/>
  <c r="G12" i="22"/>
  <c r="E12" i="22"/>
  <c r="H12" i="22"/>
  <c r="F12" i="22"/>
  <c r="D12" i="22"/>
  <c r="H23" i="22"/>
  <c r="F23" i="22"/>
  <c r="I23" i="22"/>
  <c r="G23" i="22"/>
  <c r="E23" i="22"/>
  <c r="D23" i="22"/>
  <c r="I22" i="22"/>
  <c r="G22" i="22"/>
  <c r="E22" i="22"/>
  <c r="D22" i="22"/>
  <c r="H22" i="22"/>
  <c r="F22" i="22"/>
  <c r="I30" i="16"/>
  <c r="C30" i="22" s="1"/>
  <c r="I29" i="16"/>
  <c r="C29" i="22" s="1"/>
  <c r="I28" i="16"/>
  <c r="C28" i="22" s="1"/>
  <c r="I26" i="16"/>
  <c r="C26" i="22" s="1"/>
  <c r="I25" i="16"/>
  <c r="C25" i="22" s="1"/>
  <c r="E45" i="8"/>
  <c r="F45" i="8"/>
  <c r="G45" i="8"/>
  <c r="H45" i="8"/>
  <c r="I45" i="8"/>
  <c r="D45" i="8"/>
  <c r="E42" i="8"/>
  <c r="F42" i="8"/>
  <c r="G42" i="8"/>
  <c r="H42" i="8"/>
  <c r="I42" i="8"/>
  <c r="D42" i="8"/>
  <c r="E36" i="8"/>
  <c r="E44" i="8" s="1"/>
  <c r="F36" i="8"/>
  <c r="F44" i="8" s="1"/>
  <c r="G36" i="8"/>
  <c r="G44" i="8" s="1"/>
  <c r="H36" i="8"/>
  <c r="H44" i="8" s="1"/>
  <c r="I36" i="8"/>
  <c r="I44" i="8" s="1"/>
  <c r="D44" i="8"/>
  <c r="H4" i="18"/>
  <c r="C4" i="18"/>
  <c r="E2" i="18"/>
  <c r="K22" i="22" l="1"/>
  <c r="I28" i="22"/>
  <c r="G28" i="22"/>
  <c r="E28" i="22"/>
  <c r="D28" i="22"/>
  <c r="H28" i="22"/>
  <c r="F28" i="22"/>
  <c r="I29" i="22"/>
  <c r="G29" i="22"/>
  <c r="E29" i="22"/>
  <c r="D29" i="22"/>
  <c r="H29" i="22"/>
  <c r="F29" i="22"/>
  <c r="K13" i="22"/>
  <c r="K16" i="22"/>
  <c r="H25" i="22"/>
  <c r="F25" i="22"/>
  <c r="I25" i="22"/>
  <c r="G25" i="22"/>
  <c r="E25" i="22"/>
  <c r="D25" i="22"/>
  <c r="K17" i="22"/>
  <c r="K15" i="22"/>
  <c r="K27" i="22"/>
  <c r="K18" i="22"/>
  <c r="K21" i="22"/>
  <c r="K24" i="22"/>
  <c r="K19" i="22"/>
  <c r="D26" i="22"/>
  <c r="H26" i="22"/>
  <c r="F26" i="22"/>
  <c r="I26" i="22"/>
  <c r="G26" i="22"/>
  <c r="E26" i="22"/>
  <c r="I30" i="22"/>
  <c r="G30" i="22"/>
  <c r="E30" i="22"/>
  <c r="D30" i="22"/>
  <c r="H30" i="22"/>
  <c r="F30" i="22"/>
  <c r="K23" i="22"/>
  <c r="K12" i="22"/>
  <c r="B11" i="22"/>
  <c r="C10" i="21"/>
  <c r="C8" i="21"/>
  <c r="A4" i="21"/>
  <c r="B43" i="20"/>
  <c r="B38" i="20"/>
  <c r="B33" i="20"/>
  <c r="B28" i="20"/>
  <c r="B23" i="20"/>
  <c r="B18" i="20"/>
  <c r="B13" i="20"/>
  <c r="C9" i="20"/>
  <c r="C8" i="20"/>
  <c r="A4" i="20"/>
  <c r="B18" i="19"/>
  <c r="C9" i="19"/>
  <c r="C8" i="19"/>
  <c r="A4" i="19"/>
  <c r="B43" i="19"/>
  <c r="B38" i="19"/>
  <c r="B33" i="19"/>
  <c r="B28" i="19"/>
  <c r="B23" i="19"/>
  <c r="B13" i="19"/>
  <c r="K30" i="22" l="1"/>
  <c r="K25" i="22"/>
  <c r="K28" i="22"/>
  <c r="K26" i="22"/>
  <c r="K29" i="22"/>
  <c r="C44" i="19"/>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N40" i="20" s="1"/>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I19" i="21"/>
  <c r="D17" i="19"/>
  <c r="C17" i="19"/>
  <c r="D26" i="19"/>
  <c r="D31" i="20"/>
  <c r="D23" i="19"/>
  <c r="D24" i="19"/>
  <c r="D27" i="19"/>
  <c r="P23" i="20"/>
  <c r="P18" i="20"/>
  <c r="P38" i="20"/>
  <c r="C10" i="19"/>
  <c r="O23" i="19"/>
  <c r="O18" i="19"/>
  <c r="O33" i="19"/>
  <c r="O28" i="19"/>
  <c r="O13" i="19"/>
  <c r="O38" i="19"/>
  <c r="O43" i="19"/>
  <c r="P15" i="21"/>
  <c r="I18" i="21"/>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25" i="19" l="1"/>
  <c r="J47" i="19"/>
  <c r="K47" i="19"/>
  <c r="J35" i="19"/>
  <c r="L42" i="19"/>
  <c r="L35" i="19"/>
  <c r="J32" i="19"/>
  <c r="J42" i="19"/>
  <c r="J22"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P17" i="21"/>
  <c r="P16" i="21"/>
  <c r="H19" i="21"/>
  <c r="P19" i="21"/>
  <c r="H18" i="21"/>
  <c r="P18" i="21"/>
  <c r="L18" i="19"/>
  <c r="J18" i="19"/>
  <c r="L20" i="19"/>
  <c r="J20" i="19"/>
  <c r="J19" i="19"/>
  <c r="L19" i="19"/>
  <c r="J21" i="19"/>
  <c r="L21" i="19"/>
  <c r="J14" i="19"/>
  <c r="J15" i="19"/>
  <c r="J13" i="19"/>
  <c r="M35" i="19" l="1"/>
  <c r="Q15" i="21"/>
  <c r="M26" i="19"/>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D39" i="8"/>
  <c r="I41" i="8"/>
  <c r="I38" i="8"/>
  <c r="I54" i="8"/>
  <c r="E54" i="8"/>
  <c r="E64" i="8" s="1"/>
  <c r="F54" i="8"/>
  <c r="F64" i="8" s="1"/>
  <c r="G54" i="8"/>
  <c r="G64" i="8" s="1"/>
  <c r="H54" i="8"/>
  <c r="D54" i="8"/>
  <c r="D64" i="8" s="1"/>
  <c r="O43" i="20" l="1"/>
  <c r="Q43" i="20" s="1"/>
  <c r="O38" i="20"/>
  <c r="Q38" i="20" s="1"/>
  <c r="O18" i="20"/>
  <c r="Q18" i="20" s="1"/>
  <c r="O23" i="20"/>
  <c r="Q23" i="20" s="1"/>
  <c r="O33" i="20"/>
  <c r="Q33" i="20" s="1"/>
  <c r="O13" i="20"/>
  <c r="Q13" i="20" s="1"/>
  <c r="O28" i="20"/>
  <c r="Q28" i="20" s="1"/>
  <c r="P28" i="19"/>
  <c r="I39" i="8"/>
  <c r="I15" i="8" l="1"/>
  <c r="N10" i="18"/>
  <c r="D11" i="16" s="1"/>
  <c r="B11" i="16"/>
  <c r="D18" i="8" l="1"/>
  <c r="C18" i="8"/>
  <c r="E18" i="8" s="1"/>
  <c r="D17" i="8"/>
  <c r="C17" i="8"/>
  <c r="E17" i="8" s="1"/>
  <c r="D16" i="8"/>
  <c r="C16" i="8"/>
  <c r="D19" i="8"/>
  <c r="C15" i="8"/>
  <c r="E15" i="8" s="1"/>
  <c r="D15" i="8"/>
  <c r="C19" i="8"/>
  <c r="E19" i="8" s="1"/>
  <c r="L9" i="8"/>
  <c r="L10" i="8"/>
  <c r="L8" i="8"/>
  <c r="J15" i="8" s="1"/>
  <c r="M10" i="18"/>
  <c r="C20" i="8" s="1"/>
  <c r="C8" i="8"/>
  <c r="B4" i="8"/>
  <c r="D20" i="8" l="1"/>
  <c r="G19" i="21"/>
  <c r="H19" i="8"/>
  <c r="G18" i="21"/>
  <c r="H18" i="8"/>
  <c r="G19" i="8"/>
  <c r="F19" i="8"/>
  <c r="G18" i="8"/>
  <c r="F18" i="8"/>
  <c r="C11" i="16"/>
  <c r="N13" i="18" l="1"/>
  <c r="D20" i="54" s="1"/>
  <c r="N16" i="18"/>
  <c r="D20" i="57" s="1"/>
  <c r="N12" i="18"/>
  <c r="N14" i="18"/>
  <c r="D20" i="55" s="1"/>
  <c r="N11" i="18"/>
  <c r="D20" i="52" s="1"/>
  <c r="N15" i="18"/>
  <c r="C9" i="1"/>
  <c r="D20" i="56" l="1"/>
  <c r="D20" i="53"/>
  <c r="D15" i="16"/>
  <c r="D17" i="16"/>
  <c r="D16" i="16"/>
  <c r="D12" i="16"/>
  <c r="D13" i="16"/>
  <c r="D14" i="16"/>
  <c r="D41" i="8"/>
  <c r="D38" i="8"/>
  <c r="G38" i="8"/>
  <c r="G41" i="8"/>
  <c r="F41" i="8"/>
  <c r="F38" i="8"/>
  <c r="H38" i="8"/>
  <c r="H41" i="8"/>
  <c r="E41" i="8"/>
  <c r="E39" i="8"/>
  <c r="E38" i="8"/>
  <c r="H39" i="8"/>
  <c r="G39" i="8"/>
  <c r="F39" i="8"/>
  <c r="I19" i="8" l="1"/>
  <c r="K19" i="8" s="1"/>
  <c r="E16" i="8"/>
  <c r="G16" i="8" s="1"/>
  <c r="H16" i="8" s="1"/>
  <c r="G16" i="21" l="1"/>
  <c r="H16" i="21" s="1"/>
  <c r="I16" i="21" s="1"/>
  <c r="F16" i="8"/>
  <c r="F15" i="8"/>
  <c r="E20" i="8"/>
  <c r="K15" i="8" s="1"/>
  <c r="L15" i="8" s="1"/>
  <c r="G15" i="8"/>
  <c r="H15" i="8" s="1"/>
  <c r="G15" i="21"/>
  <c r="H15" i="21" s="1"/>
  <c r="G17" i="21"/>
  <c r="H17" i="21" s="1"/>
  <c r="I17" i="21" s="1"/>
  <c r="G17" i="8"/>
  <c r="H17" i="8" s="1"/>
  <c r="F17" i="8"/>
  <c r="I15" i="21" l="1"/>
  <c r="J15" i="21" s="1"/>
  <c r="H20" i="8"/>
  <c r="G20" i="8"/>
  <c r="F20" i="8"/>
  <c r="I11" i="8" l="1"/>
  <c r="F11" i="16" l="1"/>
  <c r="I11" i="16" s="1"/>
  <c r="C11" i="22" s="1"/>
  <c r="H11" i="22" l="1"/>
  <c r="F11" i="22"/>
  <c r="D11" i="22"/>
  <c r="I11" i="22"/>
  <c r="G11" i="22"/>
  <c r="E11" i="22"/>
  <c r="K11" i="22" l="1"/>
  <c r="L38" i="22" l="1"/>
  <c r="L39" i="22"/>
  <c r="L41" i="22"/>
  <c r="L40" i="22"/>
  <c r="L42" i="22"/>
  <c r="L43" i="22"/>
  <c r="L25" i="22"/>
  <c r="L28" i="22"/>
  <c r="L26" i="22"/>
  <c r="L29" i="22"/>
  <c r="L11" i="22"/>
  <c r="L27" i="22"/>
  <c r="L30" i="22"/>
  <c r="L23" i="22"/>
  <c r="L24" i="22"/>
  <c r="L13" i="22"/>
  <c r="L16" i="22"/>
  <c r="L17" i="22"/>
  <c r="L21" i="22"/>
  <c r="L19" i="22"/>
  <c r="L32" i="22"/>
  <c r="L15" i="22"/>
  <c r="L20" i="22"/>
  <c r="L31" i="22"/>
  <c r="L14" i="22"/>
  <c r="L18" i="22"/>
  <c r="L37" i="22"/>
  <c r="L12" i="22"/>
  <c r="L34" i="22"/>
  <c r="L22" i="22"/>
  <c r="L35" i="22"/>
  <c r="L36" i="22"/>
  <c r="L33"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2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2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2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2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2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2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2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sharedStrings.xml><?xml version="1.0" encoding="utf-8"?>
<sst xmlns="http://schemas.openxmlformats.org/spreadsheetml/2006/main" count="5380" uniqueCount="590">
  <si>
    <t>ALCALDIA LOCAL DE KENNEDY</t>
  </si>
  <si>
    <t xml:space="preserve">OBJETO DEL CONTRATO: </t>
  </si>
  <si>
    <t xml:space="preserve">DATOS DEL PROCESO </t>
  </si>
  <si>
    <t xml:space="preserve">MODALIDAD DE CONTRATACION </t>
  </si>
  <si>
    <t>No. Del Proceso</t>
  </si>
  <si>
    <t>VALOR DEL PROCESO:</t>
  </si>
  <si>
    <t>VALOR SMMLV</t>
  </si>
  <si>
    <t>VIGENCIA</t>
  </si>
  <si>
    <t>VALOR</t>
  </si>
  <si>
    <t>CODIGO UNSPSC</t>
  </si>
  <si>
    <t>DESCRIPCION</t>
  </si>
  <si>
    <t>HABILITADO</t>
  </si>
  <si>
    <t>INHABILITADO</t>
  </si>
  <si>
    <t>N/A</t>
  </si>
  <si>
    <t>CUMPLE</t>
  </si>
  <si>
    <t>NO CUMPLE</t>
  </si>
  <si>
    <t>CONTRATO No. 1</t>
  </si>
  <si>
    <t>CONTRATO No. 2</t>
  </si>
  <si>
    <t>CONTRATO No. 3</t>
  </si>
  <si>
    <t>CONTRATO No. 4</t>
  </si>
  <si>
    <t>CONTRATO No. 5</t>
  </si>
  <si>
    <t>CONTRATO No. 6</t>
  </si>
  <si>
    <t>FONDO DE DESARROLLO LOCAL DE KENNEDY</t>
  </si>
  <si>
    <t>OBJETO DE LA CONVOCATORIA</t>
  </si>
  <si>
    <t>PROPONENTE</t>
  </si>
  <si>
    <t xml:space="preserve">OBJETO DE CONTRATO </t>
  </si>
  <si>
    <t>VALOR DEL CONTRATO</t>
  </si>
  <si>
    <t>NOMBRE DEL PROPONENTE</t>
  </si>
  <si>
    <t>% PARTICIPACION</t>
  </si>
  <si>
    <t>ANALISIS K RESIDUAL</t>
  </si>
  <si>
    <t xml:space="preserve">RESULTADO EVALUACIÓN  </t>
  </si>
  <si>
    <t>EVALUADORES COMITÉ TECNICOS AREA DE INFRAESTRUCTURA FONDO DE DESARROLLO LOCAL DE KENNEDY:</t>
  </si>
  <si>
    <t>Ciudad</t>
  </si>
  <si>
    <t>MIEMBRO UNICO O INTEGRANTES DEL CONSORCIO O UNION TEMPORAL.</t>
  </si>
  <si>
    <t>NÚMERO DE CERTIFICACIONES</t>
  </si>
  <si>
    <t>No. Consecutivo RUP</t>
  </si>
  <si>
    <t>CODIGO CIIU</t>
  </si>
  <si>
    <t>N° del contrato y año de suscripción</t>
  </si>
  <si>
    <t>Objeto</t>
  </si>
  <si>
    <t>Año de terminación para convertir en SMMLV</t>
  </si>
  <si>
    <t>Nombre o razón social del contratante</t>
  </si>
  <si>
    <t>Nombre o razón social del contratista</t>
  </si>
  <si>
    <t>Fecha de terminación del contrato. (dd/mm/aaaa)</t>
  </si>
  <si>
    <t>EVALUACIÓN TÉCNICA</t>
  </si>
  <si>
    <t>EVALUACIÓN JURÍDICA</t>
  </si>
  <si>
    <t>EVALUACIÓN FINANCIERA</t>
  </si>
  <si>
    <t>INTEGRANTE 1</t>
  </si>
  <si>
    <t>INTEGRANTE 2</t>
  </si>
  <si>
    <t>INTEGRANTE 3</t>
  </si>
  <si>
    <t>INTEGRANTE 4</t>
  </si>
  <si>
    <t>INTEGRANTE 5</t>
  </si>
  <si>
    <t>CANTIDAD DE INTEGRANTES</t>
  </si>
  <si>
    <t>SUMATORIA 
%PARTICIPACIÓN</t>
  </si>
  <si>
    <t>TOTAL INTEGRANTES</t>
  </si>
  <si>
    <t>BOGOTÁ D.C</t>
  </si>
  <si>
    <t>PRESUPUESTO OFICIAL EN PESOS</t>
  </si>
  <si>
    <t>PRESUPUESTO OFICIAL SMMLV</t>
  </si>
  <si>
    <t>REGISTRO UNICO DE PROPONENTES</t>
  </si>
  <si>
    <t>¿RUP vigente y en firme antes del cierre del proceso?</t>
  </si>
  <si>
    <t>¿El contrato se encuentra clasificado en alguno de los anteriores códigos?</t>
  </si>
  <si>
    <t>DATOS DEL CONTRATO</t>
  </si>
  <si>
    <t>INTEGRANTE</t>
  </si>
  <si>
    <t>% PARTICIPACIÓN</t>
  </si>
  <si>
    <t>TOTAL</t>
  </si>
  <si>
    <t>¿APORTA MÍNIMO EL 5% DE EXPERIENCIA?</t>
  </si>
  <si>
    <t>EXPERIENCIA TOTAL APORTADA</t>
  </si>
  <si>
    <t>DE 1 HASTA 2</t>
  </si>
  <si>
    <t>DE 3 HASTA 4</t>
  </si>
  <si>
    <t>VALOR DEL PROCESO EN PESOS</t>
  </si>
  <si>
    <t>VALOR DEL PROCESO EN SMMLV</t>
  </si>
  <si>
    <t>Fecha de Evaluación</t>
  </si>
  <si>
    <t>VALOR MINIMO A CERTIFICAR</t>
  </si>
  <si>
    <t>TOTAL CONTRATOS VÁLIDOS</t>
  </si>
  <si>
    <t>CONCEPTO</t>
  </si>
  <si>
    <t>OBSERVACIONES</t>
  </si>
  <si>
    <t>¿AL MENOS UNO APORTA EL 50% DE EXPERIENCIA?</t>
  </si>
  <si>
    <t>Valor final contrato en pesos</t>
  </si>
  <si>
    <t>NO</t>
  </si>
  <si>
    <t>ACREDITACIÓN DE EXPERIENCIA FIGURA ASOCIATIVA</t>
  </si>
  <si>
    <t>SI</t>
  </si>
  <si>
    <t>CONCEPTO POR CONTRATO</t>
  </si>
  <si>
    <t>No.</t>
  </si>
  <si>
    <t>%</t>
  </si>
  <si>
    <t>VALOR TOTAL CONTRATOS CODIGO 72</t>
  </si>
  <si>
    <t>CANTIDAD DE SOCIOS Y PROFESIONALES DE LA ARQUITECTURA, INGENIERÍA Y GEOLOGÍA VINCULADOS</t>
  </si>
  <si>
    <t>SALDO DE CONTRATOS EN EJECUCIÓN</t>
  </si>
  <si>
    <t>K RESIDUAL</t>
  </si>
  <si>
    <t>K RESIDUAL ACREDITADO</t>
  </si>
  <si>
    <t>K RESIDUAL REQUERIDO</t>
  </si>
  <si>
    <t>DATOS GENERALES</t>
  </si>
  <si>
    <t>MEJOR INGRESO OPERACIONAL DE LOS ULTIMOS 5 AÑOS</t>
  </si>
  <si>
    <t>PUNTAJE
EXPERIENCIA (E)</t>
  </si>
  <si>
    <t>INDICE DE LIQUIDEZ</t>
  </si>
  <si>
    <t>CAPACIDAD FINANCIERA (CF)</t>
  </si>
  <si>
    <t>CAPACIDAD TECNICA (CT)</t>
  </si>
  <si>
    <t>PLAZO DEL CONTRATO (MESES)</t>
  </si>
  <si>
    <t>ANTICIPO</t>
  </si>
  <si>
    <t>Fecha de Cierre</t>
  </si>
  <si>
    <t>ESTADO DE RESULTADOS</t>
  </si>
  <si>
    <t>INFORME DE AUDITORIA</t>
  </si>
  <si>
    <t>BALANCE GENERAL Y CERTIFICACION DE ESTADOS FINANCIEROS</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</si>
  <si>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</si>
  <si>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</si>
  <si>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</si>
  <si>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</si>
  <si>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</si>
  <si>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RUP VIGENTE Y EN FIRME</t>
  </si>
  <si>
    <t>K RESIDUAL DOCUMENTOS</t>
  </si>
  <si>
    <t>CONCEPTO
FINAL K RESIDUAL</t>
  </si>
  <si>
    <t>¿APORTA POR LO MENOS EL 40% DE EXPERIENCIA?</t>
  </si>
  <si>
    <t>PUNTAJE VINCULACIÓN DE PERSONAS CON DISCAPACIDAD</t>
  </si>
  <si>
    <t>¿APORTA CERTIFICADO DE DISCAPACIDAD VIGENTE?</t>
  </si>
  <si>
    <t>VINCULACIÓN DE PERSONAS CON DISCAPACIDAD</t>
  </si>
  <si>
    <t>FACTOR DE CALIDAD</t>
  </si>
  <si>
    <t>REPORTE REGISTRO NACIONAL DE OBRAS CIVILES</t>
  </si>
  <si>
    <t>TOTAL PUNTAJE FACTOR DE CALIDAD</t>
  </si>
  <si>
    <t>DESCUENTO PUNTAJE</t>
  </si>
  <si>
    <t>REPORTADO</t>
  </si>
  <si>
    <t>NO REPORTADO</t>
  </si>
  <si>
    <t>APOYO A LA INDUSTRIA NACIONAL</t>
  </si>
  <si>
    <t>FORMATO 9A - PROMOCION DE SERVICIOS NACIONALES O CON TRATO NACIONAL</t>
  </si>
  <si>
    <t>CEDULA DE CIUDADANIA Ó VISA DE RESIDENCIA Ó CERTIFICADO DE EXISTENCIA Y REPRESENTACION LEGAL</t>
  </si>
  <si>
    <t>PUNTAJE POR APOYO A LA INDUSTRIA NACIONAL</t>
  </si>
  <si>
    <t>FORMATO 8 - VINCULACION DE PERSONAS CON DISCAPACIDAD</t>
  </si>
  <si>
    <t>PUNTAJE FACTOR DE CALIDAD</t>
  </si>
  <si>
    <t>PUNTAJE APOYO A LA INDUSTRIA NACIONAL</t>
  </si>
  <si>
    <t>REQUISITOS HABILITANTES</t>
  </si>
  <si>
    <t>PUNTAJE OFERTA ECONÓMICA</t>
  </si>
  <si>
    <t>PUNTAJE TOTAL</t>
  </si>
  <si>
    <t>ORDEN DE ELEGIBILIDAD</t>
  </si>
  <si>
    <t>PUNTAJE TOTAL VINCULACIÓN DE PERSONAS CON DISCAPACIDAD</t>
  </si>
  <si>
    <t>MESES</t>
  </si>
  <si>
    <t>PLAZO</t>
  </si>
  <si>
    <t>LICITACION PÚBLICA</t>
  </si>
  <si>
    <t>INTEGRANTE 1 DEL CONTRATO APORTADO</t>
  </si>
  <si>
    <t>INTEGRANTE 2 DEL CONTRATO APORTADO</t>
  </si>
  <si>
    <t>INTEGRANTE 3 DEL CONTRATO APORTADO</t>
  </si>
  <si>
    <t>Valor final del contrato en SMMLV reportado en el RUP</t>
  </si>
  <si>
    <t>Porcentaje de Participación INTEGRANTE 1</t>
  </si>
  <si>
    <t>Valor final según porcentaje de participación INTEGRANTE 1 en SMMLV</t>
  </si>
  <si>
    <t>Porcentaje de Participación INTEGRANTE 2</t>
  </si>
  <si>
    <t>Valor final según porcentaje de participación INTEGRANTE 2 en SMMLV</t>
  </si>
  <si>
    <t>Porcentaje de Participación INTEGRANTE 3</t>
  </si>
  <si>
    <t>Valor final según porcentaje de participación INTEGRANTE 3 en SMMLV</t>
  </si>
  <si>
    <t>Valor final según porcentaje de participación INTEGRANTE 1 EN PESOS</t>
  </si>
  <si>
    <t>Valor final según porcentaje de participación INTEGRANTE 2 EN PESOS</t>
  </si>
  <si>
    <t>Valor final según porcentaje de participación INTEGRANTE 3 EN PESOS</t>
  </si>
  <si>
    <t>VALOR TOTAL A ACREDITAR (SMMLV)</t>
  </si>
  <si>
    <t>VALOR TOTAL ACREDITADO (SMMLV)</t>
  </si>
  <si>
    <t>EXPERIENCIA QUE APORTA (SLMMV)</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</si>
  <si>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</si>
  <si>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</si>
  <si>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</si>
  <si>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</si>
  <si>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activo corriemte</t>
  </si>
  <si>
    <t>pasivo corriente</t>
  </si>
  <si>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</si>
  <si>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</si>
  <si>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PLAZO:</t>
  </si>
  <si>
    <t>Servicios de pavimentación y superficies de edificios de infraestructura</t>
  </si>
  <si>
    <t>PRESUPUESTO</t>
  </si>
  <si>
    <t>Servicios de mantenimiento y reparación de instalaciones</t>
  </si>
  <si>
    <t>Servicios de mantenimiento y reparación de infraestructura</t>
  </si>
  <si>
    <t>Servicios de apoyo para la construcción</t>
  </si>
  <si>
    <t>Servicio de preparación de obras de construcción</t>
  </si>
  <si>
    <t>CONTRATO No.7</t>
  </si>
  <si>
    <t xml:space="preserve">Máximo 5, 6 o 7 contratos </t>
  </si>
  <si>
    <t>SI NO APORTA ¿TIENE COMO MAXIMO EL 10% DE PARTICIPACIÓN?</t>
  </si>
  <si>
    <t>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t>
  </si>
  <si>
    <t>Fecha de iniciación del contrato. (dd/mm/aaaa)</t>
  </si>
  <si>
    <t xml:space="preserve">3.5.6 PARA SUBCONTRATOS
Para acreditar la experiencia de subcontratos, cuyo contrato principal fue suscrito con particulares, se aplicarán las disposiciones establecidas en el numeral anterior.
Para acreditar la experiencia de los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y la siguiente:
I. Alcance de las obras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t>
  </si>
  <si>
    <t>HASTA 5, 6 o 7</t>
  </si>
  <si>
    <t>CONCEPTO FINAL</t>
  </si>
  <si>
    <t>MIPYME</t>
  </si>
  <si>
    <t>EMPRENDIMIENTO 
MUJER</t>
  </si>
  <si>
    <t xml:space="preserve"> EXP. ESPECIFICA SOLICITADA
(SMMLV)</t>
  </si>
  <si>
    <t xml:space="preserve"> EXP. ESPECIFICA ACREDITADA
(SMMLV)</t>
  </si>
  <si>
    <t>EXPERIENCIA ESPECIFICA: Con la sumatoria de hasta máximo dos (2) de los contratos válidos aportados como experiencia general debe corresponder mínimo al (70%) del presupuesto oficial del presente proceso de selección.</t>
  </si>
  <si>
    <t>COMITÉ EVALUADOR
 FONDO DE DESARROLLO LOCAL DE KENNEDY:</t>
  </si>
  <si>
    <t>PUNTAJE</t>
  </si>
  <si>
    <t>FACTOR DE SOSTENIBILIDAD TECNICO AMBIENTAL AGREGADO</t>
  </si>
  <si>
    <t>FORMATO 12 - FACTOR DE SOSTENIBILIDAD TÉCNICO AMBIENTAL AGREGADO</t>
  </si>
  <si>
    <t>PUNTAJE FACTOR DE SOSTENIBILIDAD TÉCNICO AMBIENTAL AGREGADO</t>
  </si>
  <si>
    <t>EMPRENDIMIENTOS Y EMPRESAS DE MUJERES</t>
  </si>
  <si>
    <t>FORMATO 13 – ACREDITACION DE EMPRENDIMIENTOS Y EMPRESAS DE MUJERES</t>
  </si>
  <si>
    <t>COPIA DE DOCUMENTO DE IDENTIDAD</t>
  </si>
  <si>
    <t>COPIA DE CONTRATO O CERTIFICACION LABORAL CON FUNCIONES</t>
  </si>
  <si>
    <t xml:space="preserve">CERTIFICADO DE APORTES AL SISTEMA DE SEGURIDAD SOCIAL DEL ULTIMO AÑO </t>
  </si>
  <si>
    <t>PUNTAJE EMPRENDIMIENTOS Y EMPRESAS DE MUJERES</t>
  </si>
  <si>
    <t>PUNTAJE TOTAL EMPRENDIMIENTOS Y EMPRESAS DE MUJERES</t>
  </si>
  <si>
    <t>MIPYME DOMICILIADA EN COLOMBIA</t>
  </si>
  <si>
    <t>¿RUP VIGENTE Y EN FIRME?</t>
  </si>
  <si>
    <t>PUNTAJE MIPYME DOMICILIADA EN COLOMBIA</t>
  </si>
  <si>
    <t>¿ACREDITA CONDICIÓN MIPYME EN EL RUP?</t>
  </si>
  <si>
    <t>PUNTAJE TOTAL MIPYME DOMICILIADA EN COLOMBIA</t>
  </si>
  <si>
    <t>LYD PROYECTOS S.A.S</t>
  </si>
  <si>
    <t xml:space="preserve">“CONTRATAR POR EL SISTEMA DE PRECIOS UNITARIOS A MONTO AGOTABLE EL DIAGNÓSTICO, MANTENIMIENTO CORRECTIVO Y PREVENTIVO, SUMINISTRO E INSTALACION DE MOBILIARIO DE LOS PARQUES DE PROXIMIDAD (VECINALES Y DE BOLSILLO) PRIORIZADOS EN LA LOCALIDAD DE KENNEDY”.  </t>
  </si>
  <si>
    <t>PROYECTOS DE INGENIERIA PBS SAS</t>
  </si>
  <si>
    <t>DISTRIBUCIONES PBB S.A.S</t>
  </si>
  <si>
    <t>HN INGENIERIA SAS</t>
  </si>
  <si>
    <t>JESUS ELQUIN HERNANDEZ ROJAS</t>
  </si>
  <si>
    <t>RETIN INGENIERIA S.A.S.</t>
  </si>
  <si>
    <t>CONSTRUCTORA VALHER</t>
  </si>
  <si>
    <t>ICOD S.A.S</t>
  </si>
  <si>
    <t>INCITECO S.A.S.</t>
  </si>
  <si>
    <t>INGENIEROS PROYECTAR SAS</t>
  </si>
  <si>
    <t>A. Que hayan contenido la ejecución de:
PROYECTOS QUE CORRESPONDAN O HAYAN CONTENIDO UNA O ALGUNAS DE LAS SIGUIENTES ACTIVIDADES:
1. CONSTRUCCIÓN Y/O RECONSTRUCCIÓN Y/O AMPLIACIÓN Y/O TERMINACIÓN Y/O REHABILITACIÓN Y/O MEJORAMIENTO Y/O MANTENIMIENTO Y/O ADECUACIÓN DE PARQUES.
2. CONSTRUCCIÓN Y/O RECONSTRUCCIÓN Y/O AMPLIACIÓN Y/O TERMINACIÓN Y/O REHABILITACIÓN Y/O MEJORAMIENTO Y/O MANTENIMIENTO Y/O ADECUACIÓN DE ESPACIO PÚBLICO.
Nota 1: Para el caso de experiencia de ESPACIO PÚBLICO se excluyen de estos las vías destinadas al tránsito vehicular, así como la conservación y/o preservación de playas marítimas. 
Nota 2: Nota 2: En el caso en el cual el proceso de selección contemple actividades de dotación de mobiliario, la experiencia válida aportada deberá acreditar en por lo menos uno (1) de los contratos actividades de suministro e instalación de mobiliario.</t>
  </si>
  <si>
    <t>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t>
  </si>
  <si>
    <t>E. 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acrediten contratos en los que estos le hayan transferido experiencia a aquellas, los mismos solo podrán ser acreditados como experiencia en el Proceso de Contratación por uno de esos integrantes, de manera que el Proponente Plural solo podrá acreditar una misma experiencia una sola vez.</t>
  </si>
  <si>
    <t>No será válida la experiencia acreditada para edificaciones que se encuentre relacionada con la ejecución de obras cuyo objeto o alcance sea alguna de las siguientes:
- Parqueaderos de un (1) piso (como uso exclusivo).
- Infraestructura de transporte, salvo que el Proceso de Contratación implique el mantenimiento de vías de circulación internas.
- Obras hidráulicas (represas, alcantarillados, acueductos, diques, canales, plantas de tratamiento).
- Obras de urbanismo y paisajismo, salvo que el proceso de selección implique el mantenimiento de zonas verdes y/o paisajismo al interior de un predio cuya
destinación es en una edificación de infraestructura social (tales como instituciones educativas, hospitales, planetarios, auditorios, entre otros).
Nota: Las consideraciones previamente relacionadas aplican para las actividades a contratar que correspondan a la intervención de edificaciones verticales únicamente.
Respecto de la experiencia requerida para los bienes y/o servicios adicionales a la obra pública de infraestructura social, no se podrán acreditar actividades exclusivamente asociadas al cumplimiento de Planes de Manejo Ambiental, Planes de Manejo de Tránsito o el Plan de Adaptación de la Guía Ambiental, puesto que estas actividades no son ajenas a la obra pública de infraestructura social.</t>
  </si>
  <si>
    <t>FDLK-LP-013-20234</t>
  </si>
  <si>
    <t>B.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t>
  </si>
  <si>
    <r>
      <t xml:space="preserve">3.5.4 ACREDITACIÓN DE LA EXPERIENCIA REQUERIDA
</t>
    </r>
    <r>
      <rPr>
        <sz val="11"/>
        <rFont val="Calibri"/>
        <family val="2"/>
        <scheme val="minor"/>
      </rPr>
      <t xml:space="preserve">Los proponentes acreditarán para cada uno de los contratos aportados la siguiente información mediante alguno, o algunos de los documentos señalados en la sección 3.5.5 del pliego de condiciones: 
</t>
    </r>
    <r>
      <rPr>
        <b/>
        <sz val="11"/>
        <rFont val="Calibri"/>
        <family val="2"/>
        <scheme val="minor"/>
      </rPr>
      <t>A. Contratante 
B. Objeto del contrato 
C. Principales actividades ejecutadas 
D. La magnitud, área intervenida o construida y demás condiciones de experiencia contenida en la matriz de experiencia aplicable en el proyecto de infraestructura social que permita establecer su alcance, en los casos que aplique.
E. La fecha de iniciación de la ejecución del contrato
F. La fecha de terminación de la ejecución del contrato
G. Nombre y cargo de la persona que expide la certificación.
H. El porcentaje de participación del integrante del contratista plural.</t>
    </r>
  </si>
  <si>
    <t xml:space="preserve">3.5.5 DOCUMENTOS VÁLIDOS PARA LA ACREDITACIÓN DE LA EXPERIENCIA REQUERIDA
A. Acta de Liquidación
B. Acta de entrega, terminación, final o de Recibo definitivo
C. Certificación de Experiencia. Expedida con posterioridad a la fecha de terminación del contrato en la que conste el recibo a satisfacción de la obra contratada debidamente suscrita por quien esté en la capacidad u obligación de hacerlo.
D. Acta de inicio o la orden de inicio. La misma sólo será válida para efectos de 
E.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F. Cualquier otro documento idóneo que acredite la experiencia exigida, tales como: el  Contrato y/o los Documentos del Proceso Contractual, los cuales deben estar suscritos por las personas que intervinieron en su formación o estar publicados en el SECOP. </t>
  </si>
  <si>
    <t>FORMATO 7B-DISPONIBILIDAD Y CONDICIONES FUNCIONALES DE LA MAQUINARIA DE OBRA</t>
  </si>
  <si>
    <t>PUNTAJE DISPONIBILIDAD Y CONDICIONES FUNCIONALES DE LA MAQUINARIA DE OBRA</t>
  </si>
  <si>
    <t>CONSORCIO ARQING</t>
  </si>
  <si>
    <t xml:space="preserve">GUSTAVO PALACIOS RUBIANO </t>
  </si>
  <si>
    <t xml:space="preserve">CONSORCIO COMPLEJO DEPORTIVO CUBAGO	</t>
  </si>
  <si>
    <t xml:space="preserve">AGORASPORT SA SUCURSAL COLOMBIA </t>
  </si>
  <si>
    <t>CARLOS FERNANDO CUBIDES BONILLA</t>
  </si>
  <si>
    <t>REPRESENTANTE LEGAL</t>
  </si>
  <si>
    <t>CONSORCIO PARQUES KENNEDY 2024</t>
  </si>
  <si>
    <t xml:space="preserve">Andina Juegos &amp; Parques SAS </t>
  </si>
  <si>
    <t xml:space="preserve">JESVAR MULTIPROYECTOS SAS </t>
  </si>
  <si>
    <t>MLG INGENIERIA SAS</t>
  </si>
  <si>
    <t>CONSORCIO PARQUES KENNEDY DP 2024</t>
  </si>
  <si>
    <t xml:space="preserve">CONSULTORIA Y CONSTRUCCIONES DARLEV SAS </t>
  </si>
  <si>
    <t xml:space="preserve">CONSTRUCTORA PC INGENIERIA SAS </t>
  </si>
  <si>
    <t xml:space="preserve">ING CONSTRUCTORES GPS </t>
  </si>
  <si>
    <t>UNION TEMPORAL PARQUES DJ13</t>
  </si>
  <si>
    <t>DVN CONSTRUCCIONES S.A.S.</t>
  </si>
  <si>
    <t xml:space="preserve">JUAN CARLOS ROJAS ACERO </t>
  </si>
  <si>
    <t xml:space="preserve">CONSORCIO PARQUES CHM 2024	</t>
  </si>
  <si>
    <t>ORGANIZACION LUIS FERNANDO ROMERO SANDOVAL INGENIEROS SAS</t>
  </si>
  <si>
    <t>CHM INGENIERÍA SAS</t>
  </si>
  <si>
    <t xml:space="preserve">MAGDA HEYNNER UMAÑA TORRES </t>
  </si>
  <si>
    <t>EDC INGENIERIA SAS</t>
  </si>
  <si>
    <t>ESTUDIOS E INGENIERIA SAS</t>
  </si>
  <si>
    <t>CONSORCIO RC-B - FDLK-LP-013-2024</t>
  </si>
  <si>
    <t>CONSORCIO PARQUES KD E&amp;E 2024</t>
  </si>
  <si>
    <t>RC ARQUITECTOS SAS</t>
  </si>
  <si>
    <t xml:space="preserve">BUSINES GROUP CG SAS </t>
  </si>
  <si>
    <t>CONSORCIO KENNEPARK BQ 2024</t>
  </si>
  <si>
    <t xml:space="preserve">BRAYCON Ingenieria SAS </t>
  </si>
  <si>
    <t xml:space="preserve">DQ INVERSIONES SAS </t>
  </si>
  <si>
    <t>CONSORCIO PARQUES ARM 2024</t>
  </si>
  <si>
    <t xml:space="preserve">ARM CONSULTORIA Y CONSTRUCCIONES S.A.S. </t>
  </si>
  <si>
    <t xml:space="preserve">PROYECTOS - CR S.A.S BIC </t>
  </si>
  <si>
    <t>CONSORCIO MANTENIMIENTO PARKS</t>
  </si>
  <si>
    <t>CONSORCIO SAN LORENZO</t>
  </si>
  <si>
    <t xml:space="preserve">VÍCTOR RAÚL NEIRA DELVASTO </t>
  </si>
  <si>
    <t xml:space="preserve">Hernando Sandoval Guzman </t>
  </si>
  <si>
    <t>CONSORCIO KENNEDY AVANZA</t>
  </si>
  <si>
    <t xml:space="preserve">DOBLECRUZ INGENIERIA Y ARQUITECTURA S.A.S </t>
  </si>
  <si>
    <t>M&amp;M INGENIEROS ASOCIADOS SAS</t>
  </si>
  <si>
    <t>CONSORCIO MAB KENN PARQUES</t>
  </si>
  <si>
    <t xml:space="preserve">EDILBERTO MATEUS ALVAREZ </t>
  </si>
  <si>
    <t>GRUPO MABRIL SAS</t>
  </si>
  <si>
    <t>PROMCIVILES S.A.S.</t>
  </si>
  <si>
    <t>UNION TEMPORAL PARQUES KENNEDY VE</t>
  </si>
  <si>
    <t xml:space="preserve">VIAL SOLUTIONS S.A.S. </t>
  </si>
  <si>
    <t>EICON SAS</t>
  </si>
  <si>
    <t>CONSORCIO INCITECO IP XXI</t>
  </si>
  <si>
    <t>PROJECTING DESIGNING AND BUILDING LTDA</t>
  </si>
  <si>
    <t>UNIOBRAS SAS</t>
  </si>
  <si>
    <t>CONSORCIO T&amp;G PARQUES IV</t>
  </si>
  <si>
    <t xml:space="preserve">TCONSTRUYE INGENIERIA SAS </t>
  </si>
  <si>
    <t>GYMCOL SAS</t>
  </si>
  <si>
    <t>CONSORCIO JH KENNEDY</t>
  </si>
  <si>
    <t xml:space="preserve">HMR INGENIERIA S.A.S. </t>
  </si>
  <si>
    <t>CONSORCIO PARQUES KENNEDY</t>
  </si>
  <si>
    <t>GRUPO IPROGEX ZOMAC S.A.S.</t>
  </si>
  <si>
    <t>INGECOL HS Y CIA S EN C</t>
  </si>
  <si>
    <t>CONSORCIO CGC 2024</t>
  </si>
  <si>
    <t xml:space="preserve">JAIME CEPEDA FONSECA </t>
  </si>
  <si>
    <t>JONATHAN GOMEZ</t>
  </si>
  <si>
    <t>CONSTRUCTORA COINAR SAS</t>
  </si>
  <si>
    <t>CONSORCIO PARQUES KASAF 2025</t>
  </si>
  <si>
    <t>SAFRID INGENIERIA SAS</t>
  </si>
  <si>
    <t xml:space="preserve">CONSTRUCTORA KASAF SAS </t>
  </si>
  <si>
    <t xml:space="preserve">CONSORCIO PARQUES K. 24	</t>
  </si>
  <si>
    <t xml:space="preserve">LUGARQ DISEÑO Y CONSTRUCCION SAS </t>
  </si>
  <si>
    <t xml:space="preserve">BYGGER SAS </t>
  </si>
  <si>
    <t>GERMAN RAMIREZ BARBOSA</t>
  </si>
  <si>
    <t>CONSTRUCOL SAS</t>
  </si>
  <si>
    <t>CONSORCIO DISTRITAL-5G</t>
  </si>
  <si>
    <t>GLORIA E. CEDIEL E.</t>
  </si>
  <si>
    <t>SINCOMAQ S.A.S</t>
  </si>
  <si>
    <t>CONSORCIO PARQUES VECINALES 24</t>
  </si>
  <si>
    <t>OSCAR ANDRÉS CUERVO ACOSTA</t>
  </si>
  <si>
    <t xml:space="preserve">ICSSA SAS </t>
  </si>
  <si>
    <t xml:space="preserve">ALFÉREZ INGENIERÍA SAS </t>
  </si>
  <si>
    <t xml:space="preserve">INFORMACIÓN GENERAL DE LOS PROPONENTES </t>
  </si>
  <si>
    <t>Verificación Capacidad Residual</t>
  </si>
  <si>
    <t>LICITACION PUBLICA FDLK-LP-013-2024</t>
  </si>
  <si>
    <t>CONSORCIO PARQUES KENNEDY 2024 - 1</t>
  </si>
  <si>
    <t>MANUEL RICARDO LUNA MACA</t>
  </si>
  <si>
    <t>011 de 2014</t>
  </si>
  <si>
    <t>MUNICIPIO DE NILO</t>
  </si>
  <si>
    <t>MEJORAMIENTO DEL PARQUE PRINCIPAL DE PUEBLO NUEVO Y PAVIMENTACION EN CONCRETO DE LA CALLE 2 DEL MUNICIPIO DE NILO FASE II, DEPARTAMENTO DE CUNDINAMARCA.</t>
  </si>
  <si>
    <t>HABILITACIÓN DEL PARQUE ZONA HISTÓRICA ORESTE SINDICE, PAVIMENTACIÓN EN ADOQUÍN Y CONSTRUCCIÓN DE ALAMEDAS DE LAS DIFERENTES CALLES DEL CASCO URBANO DEL MUNICIPIO DE NILO FASE II, DEPARTAMENTO DE CUNDINAMARCA.</t>
  </si>
  <si>
    <t>002 de 2019</t>
  </si>
  <si>
    <t>JOSE ARVEY FORERO SOTO</t>
  </si>
  <si>
    <t>1938-2015</t>
  </si>
  <si>
    <t>221 DE 2017</t>
  </si>
  <si>
    <t xml:space="preserve">1938-2015: CONTRATAR POR EL SISTEMA DE PRECIO DE GLOBAL FIJO LOS ESTUDIOS Y DISEÑOS TÉCNICOS Y GENERALES DEL PARQUE Y POR EL SISTEMA DE PRECIOS UNITARIOS FIJOS SIN FORMULA DE AJUSTE, LAS OBRAS DE LA CONSTRUCCIÓN  DE LA PRIMERA ETAPA DE DEL PARQUE METROPOLITANO ZONA FRANCA CÓDIGO 09-125 </t>
  </si>
  <si>
    <t xml:space="preserve">CONTRATO 221 DE 2017: REALIZAR POR EL SISTEMA DE PRECIO GLOBAL FIJO LOS ESTUDIOS Y DISEÑOS TECNICOS Y POR EL SISTEMA DE PRECIOS UNITARIOS FIJOS LA CONSTRUCCIÒN DE PARQUES EN LA LOCALIDAD OCTAVA DE KENNEDY - BOGOTÀ D.C. </t>
  </si>
  <si>
    <t>IDRD</t>
  </si>
  <si>
    <t>FDLK</t>
  </si>
  <si>
    <t>CONSORCIO DAMASCO 2018</t>
  </si>
  <si>
    <t>CONSORCIO PARQUES ZONALES</t>
  </si>
  <si>
    <t>105/2004</t>
  </si>
  <si>
    <t>416/2006</t>
  </si>
  <si>
    <t>CONSTRUCCIÓN PARQUE LINEAL RECREATIVO BARRIO LA CEIBA Y ALTAGRACIA</t>
  </si>
  <si>
    <t>GOBERNACION DEL CESAR</t>
  </si>
  <si>
    <t>25 - 67</t>
  </si>
  <si>
    <t>26 - 66</t>
  </si>
  <si>
    <t>CONSORCIO SIMILOA</t>
  </si>
  <si>
    <t>CONSORCIO PARQUE MANDINGUILLA</t>
  </si>
  <si>
    <t>MEJORAMIENTO DEL PARQUE PRINCIPAL Y CALLE 3 DEL CORREGIMIENTO DE MANDINGUILLA EN EL MUNICIPIO DE CHIMICHAGUA</t>
  </si>
  <si>
    <t>NELSON RAFAEL PABA SOLANO</t>
  </si>
  <si>
    <t>253 de 2017</t>
  </si>
  <si>
    <t>219 de 2017</t>
  </si>
  <si>
    <t>4600092666 DE 2021</t>
  </si>
  <si>
    <t>CO1.PCCNTR.2934108</t>
  </si>
  <si>
    <t>1–01–31300-1185-2021</t>
  </si>
  <si>
    <t>REALIZAR EL MANTENIMIENTO Y/O DOTACION DE PARQUES VECINALES Y/O DE BOLSILLO EN LA LOCALIDAD DE ENGATIVA, POR EL SISTEMA DE PRECIOS UNITARIOS Y MONTO AGOTABLE.</t>
  </si>
  <si>
    <t>COMPLEMENTAR Y/O ACTUALIZAR Y/O AJUSTAR LOS ESTUDIOS Y DISEÑOS EXISTENTES Y CONSTRUIR LA MALLA VIAL Y ESPACIO PÚBLICO DE LA LOCALIDAD DE KENNEDY DE BOGOTÁ D.C.</t>
  </si>
  <si>
    <t>CONSTRUCCIÓN, MEJORAMIENTO Y MANTENIMIENTO DEL ESPACIO PUBLICO DEL PARQUE LLERAS Y MOVILIDAD PEATONAL ASOCIADA</t>
  </si>
  <si>
    <t xml:space="preserve">ESTUDIOS Y DISEÑOS TÉCNICOS A NIVEL DE DETALLE Y CONSTRUCCIÓN DE LA PLAZOLETA Y VÍA DE ACCESO PARA EL MEGA COLEGIO SAN MARCOS DEL MUNICIPIO DE FUNZA CUNDINAMARCA
 </t>
  </si>
  <si>
    <t>RECONSTRUCCIÓN DE ANDENES Y CALZADAS EN LOS SITIOS INTERVENIDOS POR LA FUNCIÓN OPERATIVA DE REPARACIÓN DE DAÑOS DE ACUEDUCTO Y ALCANTARILLADO Y POR LA FUNCIÓN COMERCIAL DE LA ZONA 1 Y DONDE SEA REQUERIDO ENEL MARCO DE SUS OBLGACIONES.</t>
  </si>
  <si>
    <t>FONDO DE DESARROLLO LOCAL DE ENGATIVÁ</t>
  </si>
  <si>
    <t>ALCALDIA
LOCAL DE
KENNEDY</t>
  </si>
  <si>
    <t>DISTRITO ESPECIAL DE CIENCIA, TECNOLOGÍA E INNOVACIÓN DE MEDELLÍN - SECRETARÍA DE SUMINISTROS Y SERVICIOS</t>
  </si>
  <si>
    <t>ALCALDIA DE FUNZA</t>
  </si>
  <si>
    <t>EMPRESA DE ACUEDUCTO Y ALCANTARILLADO DE BOGOTÁ - EAAB</t>
  </si>
  <si>
    <t>60 - 93</t>
  </si>
  <si>
    <t>64 - 98</t>
  </si>
  <si>
    <t>58 - 88</t>
  </si>
  <si>
    <t>CONSORCIO JP MEDELLIN</t>
  </si>
  <si>
    <t>CONSORCIO JH FUNZA 012</t>
  </si>
  <si>
    <t>CONSORCIO HI BOGOTA</t>
  </si>
  <si>
    <t>CONSORCIO SAN JOSE</t>
  </si>
  <si>
    <t>CONSORCIO MALLA VIAL 010</t>
  </si>
  <si>
    <t>585-2019</t>
  </si>
  <si>
    <t>4663978-2023</t>
  </si>
  <si>
    <t>REALIZAR LA CONSTRUCCION DE LAS OBRAS DE MEJORAMIENTO DE ESPACIO EN EL NODO COMERCIAL DEL TERRITORIO, CON OPORTUNIDAD CERROS NORORIENTALES</t>
  </si>
  <si>
    <t>CONSTRUCCION DE LA FASE I DEL PARQUE DE LA FAMILIA DEL MUNICIPIO DE FUNZA, CUNDINAMARCA</t>
  </si>
  <si>
    <t>Secretaria de Habitat</t>
  </si>
  <si>
    <t>Alcaldia de Funza</t>
  </si>
  <si>
    <t>Union temporal Byging SH</t>
  </si>
  <si>
    <t>Consorcio Profunza</t>
  </si>
  <si>
    <t>126-2014</t>
  </si>
  <si>
    <t>133-2015</t>
  </si>
  <si>
    <t>REALIZAR EL MANTENIMIENTO ADECUACION DOTACION Y/O CONSTRUCCION DE PARQUES DE ESCALA VECINAL DE LA LOCALIDAD DE BOSA</t>
  </si>
  <si>
    <t>EJECUTAR POR EL SISTEMA DE PRECIOS UNITARIOS FIJOS SIN FORMULA DE AJUSTE LA CONSTRUCCION, MANTENIMIENTO, ADECUACION Y DOTACION DE DIFERENTES PARQUES DE LA LOCALIDAD DE BOSA, INCLUIDO EL ESPACIO PUBLICO ASOCIADO</t>
  </si>
  <si>
    <t>Fondo de desarrollo local de bosa</t>
  </si>
  <si>
    <t>CONSORCIO HIN</t>
  </si>
  <si>
    <t>CONSORCIO CONSTRUIMOS</t>
  </si>
  <si>
    <t>151-2019</t>
  </si>
  <si>
    <t>2-01-31300-0422-2011</t>
  </si>
  <si>
    <t>283-2011</t>
  </si>
  <si>
    <t xml:space="preserve">MEJORAMIENTO DEL PARQUE RECREAR EN EL BARRIO KENNEDY DEL MUNICIPIO DE BUCARAMANGA </t>
  </si>
  <si>
    <t>RECUPERACIÓN DEL ESPACIO PÚBLICO DE LOS SITIOS INTERVENIDOS POR ACUEDUCTO Y ALCANTARILLADO DE BOGOTÁ EN EL ÁREA DE COBERTURA DE LA ZONA 1.</t>
  </si>
  <si>
    <t>CONSTRUCCIÓN DE CICLORUTAS Y BERMAS: TRAMO 1: COSTADO NOR-OCCIDENTAL DE LA CARRERA 5A ENTRE CAMELLÓN DE LOS MANZANOS Y CAMELLON DE SAN NICOLAS (LONG=1024,00 ML); TRAMO 2: COSTADO SUR-OCCIDENTAL CARRERA 5A ENTRE CAMELLON DEL ABRA Y SECTOR EL DIAMANTE (L=488 ML)</t>
  </si>
  <si>
    <t>MUNICIPIO DE BUCARAMANGA</t>
  </si>
  <si>
    <t>EAAB</t>
  </si>
  <si>
    <t>MUNICIPIO DE COTA</t>
  </si>
  <si>
    <t>DUVANA SAS</t>
  </si>
  <si>
    <t>UNION TEMPORAL ESPACIO PUBLICO 2011</t>
  </si>
  <si>
    <t>UNION TEMPORAL CICLOBERMAS 2011</t>
  </si>
  <si>
    <t>011-2002</t>
  </si>
  <si>
    <t>REALIZAR LAS OBRAS DE CONSTRUCCIÓN DE PARQUES DE
ESCALA LOCAL EN ALGUNOS BARRIOS DEL MUNICIPIO DE
VILLAVICENCIO, DEPARTAMENTO DEL META</t>
  </si>
  <si>
    <t>EMPRESA DE DESARROLLO URBANO DE VILLAVICENCIO</t>
  </si>
  <si>
    <t>LA BALLENITA AZUL LTDA</t>
  </si>
  <si>
    <t>021 de 2015</t>
  </si>
  <si>
    <t>3441 - 2018</t>
  </si>
  <si>
    <t>UEL-IDRD N° 219-2008</t>
  </si>
  <si>
    <t>020-2015</t>
  </si>
  <si>
    <t>CONSTRUCCIÓN DE PARQUES RECREO - DEPORTIVOS EN URBANIZACIONES DONDE SE DESARROLLA EL PROGRAMA DE 100.000 VIVIENDAS – ZONA NORTE GRUPO 7</t>
  </si>
  <si>
    <t>"REALIZAR POR EL SISTEMA DE PRECIOS UNITARIOS FIJOS LAS OBRAS DE CONSTRUCCIÓN DE LOS PARQUES VECINALES VILLA HELENA COD 09-026, URBANIZACION LOS ANGELES I SECTOR COD. 10-186, LAS GUACAMAYAS COD. 04-066, Y URBANIZACION PIAMONTE II SECTOR COD. 07-047 EN BOGOTÁ D.C.", CON CARGO AL PROYECTO 1082, “CONSTRUCCIÓN Y ADECUACIÓN DE PARQUES Y EQUIPAMIENTO PARA TODOS."</t>
  </si>
  <si>
    <t>CONTRATAR POR EL SISTEMA DE PRECIO GLOBAL FIJO LOS DISEÑOS Y ESTUDIOS TÉCNICOS Y POR EL SISTEMA DE PRECIOS UNITARIOS FIJOS, SIN FORMULA DE AJUSTE, LA CONSTRUCCIÓN Y ADECUACIÓN DE DIFERENTES PARQUES UBICADOS EN LA LOCALIDAD DE RAFAEL URIBE URIBE DE BOGOTÁ DISTRITO CAPITAL.</t>
  </si>
  <si>
    <t>CONSTRUCCIÓN DE PARQUES RECREO - DEPORTIVOS EN URBANIZACIONES DONDE SE DESARROLLA EL PROGRAMA DE 100.000 VIVIENDAS – ZONA NORTE GRUPO 8</t>
  </si>
  <si>
    <t>PATRIMONIO AUTONOMO FIDEICOMISO ASISTENCIA
TECNICAFINDETER -ADMINISTRADO POR LA FIDUCIARIA BANCOLOMBIA S.A</t>
  </si>
  <si>
    <t>CONSORCIO ARQING CARTAGENA</t>
  </si>
  <si>
    <t>CONSORCIO ARQING PARQUES II</t>
  </si>
  <si>
    <t>CONSORCIO SCALA 2009</t>
  </si>
  <si>
    <t>CONSORCIO ARQING SINCELEJO</t>
  </si>
  <si>
    <t>GPR 70
PBS 18</t>
  </si>
  <si>
    <t>GPR 118
PBS 28</t>
  </si>
  <si>
    <t>GPR 15
PBS 4</t>
  </si>
  <si>
    <t>GPR 71
PBS 19</t>
  </si>
  <si>
    <t>64 DE 2015</t>
  </si>
  <si>
    <t>CO-MP-001-2015</t>
  </si>
  <si>
    <t>CONSTRUCCION PARQUE DEPORTIVO Y RECREATIVO LAS VEGAS-ZONA DE FUTBOL MELGAR (TOLIMA)</t>
  </si>
  <si>
    <t>CONSTRUCCION DEL NUEVO PARQUE SANTANDER EN EL MUNICIPIO DE PLATO MAGDALENA</t>
  </si>
  <si>
    <t>ALCALDIA DE MELGAR</t>
  </si>
  <si>
    <t>MUNICIPIO DE PLATO MAGDALENA</t>
  </si>
  <si>
    <t>098 DE 2017</t>
  </si>
  <si>
    <t>LIC-001-2017</t>
  </si>
  <si>
    <t>3141 DE 2017</t>
  </si>
  <si>
    <t>403 DE 2019</t>
  </si>
  <si>
    <t xml:space="preserve">CONSTRUCCION DEL CENTRO DE INTEGRACION CUIDADANO DEL MUNICIPIO DE CHINACOTA ACORDE AL CONVENIO No. M1009 DE  2016 SUSCRITO ENTRE LA NACION -MINISTERIO DEL INTERIOR - FNDO NACIONAL DE SEGURIDAD Y CONVIVENCIA CUIDADANA - FONSECON Y EL MUNICIPIO DE CHINACOTA </t>
  </si>
  <si>
    <t>ADECUACION Y EMBELLECIMIENTO DEL PARQUE PRINCIPAL RAIMUNDO ORDOÑEZ YAÑEZ EN EL MUNICIPIO DE LOURDES, NORTE DE SANTANDER</t>
  </si>
  <si>
    <t>SUMINISTRO E INSTALACION DE MOBILIAROI URBANO, ASI COMO EL MANTENIMIENTO DE LA INFRAESTRUCTRA FISICA DE LOS PARQUES VECINALES Y DE BOLSILLO QUE CONFORMAN EL SISTEMA DISTRITAL DE PARQUES (GRUPO No. 3)</t>
  </si>
  <si>
    <t xml:space="preserve">REALIZAR EL MANTENIMIENTO Y ADECUACION DE LOS PARQUES VECINDALES Y/O DE BOLSILLO POR EL SISTEMA DE PRECIOS UNITARIOS FIJOS SIN FORMULA DE REAJUSTE A MONTO AGOTABLE DE LA LOCALIDAD DE CIUDAD BOLIVAR </t>
  </si>
  <si>
    <t xml:space="preserve">MUNICIPIO DE CHINACOTA </t>
  </si>
  <si>
    <t>MUNICIPIO DE LOURDES</t>
  </si>
  <si>
    <t>FONDO DE DESARROLLO LOCAL DE CIUDAD BOLIVAR</t>
  </si>
  <si>
    <t>UNION TEMPORAL CIC CHINACOTA</t>
  </si>
  <si>
    <t>CONSORCIO JUEGOS Y PARTES</t>
  </si>
  <si>
    <t>CONSORCIO OPORTO</t>
  </si>
  <si>
    <t>NI-1000-1406-01-
20</t>
  </si>
  <si>
    <t>2006</t>
  </si>
  <si>
    <t>MOVIMIENTO DE TIERRA Y OBRA CIVIL DEL PARQUE DE LA CESIÓN 1 DEL PROYECTO CENTRO INTERNACIONAL DEL CARIBE</t>
  </si>
  <si>
    <t>“RECUPERACIÓN Y/O REHABILITACIÓN DEL ESPACIO PÚBLICO PARA MEJORAR LA MOVILIDAD PEATONAL Y VIAL EN EL MUNICIPIO DE SAN</t>
  </si>
  <si>
    <t>GRUPO ARGOS SA</t>
  </si>
  <si>
    <t>ALCALDIA SAN JOSE DE 
CUCUTA</t>
  </si>
  <si>
    <t>CONSORCIO MALLA VIAL</t>
  </si>
  <si>
    <t>197 DEL 31 DE 
MAYO DE 2019</t>
  </si>
  <si>
    <t>2160850</t>
  </si>
  <si>
    <t>MANTENIMIENTO DE ESCENARIOS
DEPORTIVOS EN
DIFERENTES BARRIOS DEL
MUNICIPIO DE
BUCARAMANGA- GRUPO 2</t>
  </si>
  <si>
    <t>ADECUACION Y REMODELACION
DEL PARQUE SIMON BOLIVAR DE
ANDES - ANTIOQUIA</t>
  </si>
  <si>
    <t>ALCALDIA DE 
BUCARAMANGA</t>
  </si>
  <si>
    <t>FONDO FINANCIERO DE 
PROYECTOS DE DESARROLLO FONADE</t>
  </si>
  <si>
    <t>CONSORCIO</t>
  </si>
  <si>
    <t>2661 de2022</t>
  </si>
  <si>
    <t>567 DE 2017</t>
  </si>
  <si>
    <t>CONTRATAR MEDIANTE EL SISTEMA
DE PRECIOS UNITARIOS Y A MONTO
AGOTABLE EL MANTENIMIENTO,
MEJORAMIENTO, ADECUACIÓN,
REPARACIÓN Y
RECUPERACIÓN DE LA
INFRAESTRUCTURA DE LOS
PARQUES DE LA RED DE
PROXIMIDAD QUE INTEGRAN EL
SISTEMA DISTRITAL DE PARQUES.</t>
  </si>
  <si>
    <t>CONTRATAR LA EJECUCION DE
OBRAS DE LAS INTERVENCIONES DE
MEJORAMIENTOS EN LAS AREAS
PRIORZADAS EN LASECRETARIA EN
EL MARCO DEL PLAN DE
DESARROLLO DISTRITAL 2016-2020
"BOGOTA MEJOR PARA TODOS".</t>
  </si>
  <si>
    <t>INSTITUTO DISTRITAL DE RECREACION Y DEPORTE</t>
  </si>
  <si>
    <t>ECRETARIA DISTRITAL DEL HABITAT</t>
  </si>
  <si>
    <t>CONSORCIO VALMAT - CTO 2661 DE 2022</t>
  </si>
  <si>
    <t>CONSORCIO PARQUES 2017</t>
  </si>
  <si>
    <t>45 y 72</t>
  </si>
  <si>
    <t>34 y 61</t>
  </si>
  <si>
    <t>296-FDLU-2018</t>
  </si>
  <si>
    <t>265-FDLU-2019</t>
  </si>
  <si>
    <t>REALIZAR POR EL SISTEMA DE PRECIOS UNITARIOS FIJOS, SIN FORMULA DE REAJUSTE LAS OBRAS DE CONSTRUCCION DEL PARQUES VECINAL URBANIZACION MIRAVALLE I, II Y III ETAPA, EL CORTIJO, SAN JUAN BAUTISTA Y SAN LUIS DE LA LOCALIDAD DE USME</t>
  </si>
  <si>
    <t>“REALIZAR POR EL SISTEMA DE PRECIOS UNITARIOS FIJOS, SIN FORMULA DE REAJUSTE LA OBRA DE CONSTRUCCIÓN DE LA ETAPA II Y III DEL PARQUE VECINAL URBANIZACIÓN MIRAVALLE I, II Y III ETAPA, EL CORTIJO, SAN JUAN BAUTISTA Y SAN LUIS CÓD. 05-042 DE LA LOCALIDAD DE USME EN BOGOTÁ D.C.”.</t>
  </si>
  <si>
    <t>BOGOTA DISTRITO CAPITAL- FONDO DE DESARROLLO
LOCAL DE USME</t>
  </si>
  <si>
    <t>FONDO DE DESARROLLO LOCAL DE USME - ALCALDIA
DE USME</t>
  </si>
  <si>
    <t>CONSORCIO PARQUES USME 2019</t>
  </si>
  <si>
    <t>CONSORCIO MIRAVALLE 2020</t>
  </si>
  <si>
    <t>72 y 79</t>
  </si>
  <si>
    <t>LP-CO-No. 11 DE 2019</t>
  </si>
  <si>
    <t>338-DIADQ-CADCO-CENACINGENIEROS-2019</t>
  </si>
  <si>
    <t>CONSTRUCCION Y ADECUACION DEL PARQUE PRINCIPAL EN EL
MUNICIPIO DE FOSCA CUNDINAMARCA</t>
  </si>
  <si>
    <t>FOSCA</t>
  </si>
  <si>
    <t>CENTRAL ADMINISTRATIVA Y CONTABLE
ESPECIALIZADA CENAC INGENIEROS</t>
  </si>
  <si>
    <t>CONSORCIO CONSTRUCCIONES URBANISTICAS</t>
  </si>
  <si>
    <t>CONSORCIO OBRAS CIVILES</t>
  </si>
  <si>
    <t>205-2014</t>
  </si>
  <si>
    <t>317-2018</t>
  </si>
  <si>
    <t>596 de 2020</t>
  </si>
  <si>
    <t>FDLSC-CO-507-2021</t>
  </si>
  <si>
    <t>RENOVACIÓN ARQUITECTONICA Y PAISAJÍSTICA DEL PARQUE BOLÍVAR Y PARQUE CASTAÑEDA DEL MUNICIPIO DEL ESPINAL - DEPARTAMENTO DEL TOLIMA</t>
  </si>
  <si>
    <t>RENOVACION ARQUITECTONICA Y PAISAJISTA DEL PARQUE PRINCIPAL DEL CORREGIMIENTO DE CHICORAL TOLIMA, EN EL MUNICIPIO DE EL ESPINAL, TOLIMA.</t>
  </si>
  <si>
    <t>MUNICIPIO DE EL ESPINAL</t>
  </si>
  <si>
    <t>MUNICIPIO DEL ESPINAL</t>
  </si>
  <si>
    <t>FONDO DE DESARROLLO LOCAL DE SAN CRISTOBAL</t>
  </si>
  <si>
    <t>CONSORCIO PARQUES DEL ESPINAL</t>
  </si>
  <si>
    <t>ARLOS ARTURO ARANGO SALAZAR - CONSORCIO
CHICORAL 2018</t>
  </si>
  <si>
    <t>CONSORCIO GAMA GALAN DQ</t>
  </si>
  <si>
    <t>CONSORCIO VIA DJ</t>
  </si>
  <si>
    <t>086-2010</t>
  </si>
  <si>
    <t>001-2016</t>
  </si>
  <si>
    <t>REMODELACION PARQUE FUENMAYOR Y TULIO ENRIQUE TASCON DEL MUNICIPIO DE BUGA</t>
  </si>
  <si>
    <t>CONSTRUCCIÓN DE ANDENES Y OBRAS COMPLEMENTARIAS EN LA CARRERA 6 ENTRE CALLES 8 Y 11 CASCO URBANO MUNICIPIO DE NEMOCON</t>
  </si>
  <si>
    <t>ALCALDIA MUNICIPAL DE GUADALAJARA DE BUGA</t>
  </si>
  <si>
    <t>MUNICIPIO DE NEMOCON</t>
  </si>
  <si>
    <t>CONSORCIO PARQUES 2010</t>
  </si>
  <si>
    <t>CONINSA SAS</t>
  </si>
  <si>
    <t>22010714</t>
  </si>
  <si>
    <t>21014604</t>
  </si>
  <si>
    <t xml:space="preserve"> SUMINISTRO Y MANO DE OBRA A TODO COSTO PARA LA CONSTRUCCIÓN, MANTENIMIENTOS Y RECUPERACIÓN DEL PARQUE LA MARGARITA</t>
  </si>
  <si>
    <t xml:space="preserve"> LA CONSTRUCCIÓN A TODO COSTO DE LOS DE PARQUES DE LA UNIDAD DE GESTION 4 Y UNIDAD DE GESTION 6 DE LA CARGA LOCAL DEL PROYECTO URBANISMO LA FELICIDAD</t>
  </si>
  <si>
    <t>CONSTRUCTORA COLPATRIA SAS</t>
  </si>
  <si>
    <t>LYD PROYECTOS S.A.S.</t>
  </si>
  <si>
    <t xml:space="preserve"> 3674 - 2019</t>
  </si>
  <si>
    <t>200 - 216</t>
  </si>
  <si>
    <t xml:space="preserve"> REALIZAR LA CONSTRUCCIÓN DEL PARQUE METROPOLITANO PLANTA DE TRATAMIENTO EL SALITRE PM-09, COMO COMPLEMENTO DE LA PLANTA DE TRATAMIENTO PTAR – SALITRE</t>
  </si>
  <si>
    <t xml:space="preserve"> OBRAS DE CONSTRUCCION DE ESPACIO PUBLICO EN LA UPZ´S AMERICAS, BAVARIA CALANDAIMA, CARVAJAL, CASTILLA, GRAN BRITALIA, KENNEDY CENTRAL, PATIO BONITO, TIMIZA Y TINTAL NORTE DE LA LOCALIDAD DE KENNEDY </t>
  </si>
  <si>
    <t>CONSORCIO LEGO</t>
  </si>
  <si>
    <t>CONSORCIO ESPACIOS PUBLICOS UPZ KENNEDY</t>
  </si>
  <si>
    <t>185 DE 2008</t>
  </si>
  <si>
    <t xml:space="preserve"> Contratar por el sistema de precios unitarios fijos, sin formula de ajuste, la recuperacion y mantenimiento de las superficies por el IDRD y el DADEP y que componen el Sietema Distrital de Parques para el grupo 1</t>
  </si>
  <si>
    <t>CONSORCIO MYM NACIONAL</t>
  </si>
  <si>
    <t>240-2008</t>
  </si>
  <si>
    <t>321-2022</t>
  </si>
  <si>
    <t>REALIZAR POR EL SISTEMA DE PRECIO GLOBAL FIJO LOS DISEÑOS Y ESTUDIOS Y POR EL SISTEMA DE PRECIOS UNITARIOS FIJOS LA CONSTRUCCIÓN DE DIFERENTES PARQUES DE LA LOCALIDAD DE SUBA DE BOGOTÁ D.C.</t>
  </si>
  <si>
    <t>CONTRATAR A PRECIOS UNITARIOS FIJOS, A MONTO AGOTABLE, LA CONSTRUCCIÓN, MEJORAMIENTO, MANTENIMIENTO Y/O DOTACIÓN DE LOS PARQUES CATALOGADOS COMO VECINALES Y DE BOLSILLO, DE LA LOCALIDAD DE RAFAEL URIBE URIBE EN BOGOTÁ D.C”</t>
  </si>
  <si>
    <t>FONDO DE DESARROLLO LOCAL DE RAFAEL URIBE URIBE</t>
  </si>
  <si>
    <t>CONSORCIO PARQUES ING</t>
  </si>
  <si>
    <t>CONSORCIO PARQUES RU 2022</t>
  </si>
  <si>
    <t>171-2019</t>
  </si>
  <si>
    <t>3639-2019</t>
  </si>
  <si>
    <t>CONSTRUCCIÓN DEL URBANISMO Y PAISAJISMO EN EL PARQUE DEPORTIVO DE IBAGUÉ</t>
  </si>
  <si>
    <t>REALIZAR LOS ESTUDIOS Y DISEÑOS TÉCNICOS DE INGENIERÍA Y ARQUITECTURA Y LAS OBRAS DE CONSTRUCCIÓN DEL PARQUE TIMIZA, LOCALIDAD DE KENNEDY</t>
  </si>
  <si>
    <t>IMDRI</t>
  </si>
  <si>
    <t>CONSORCIO PARQUE TIMIZA</t>
  </si>
  <si>
    <t>202-2015</t>
  </si>
  <si>
    <t>LA CONSTRUCCION DEL TRAMO II DEL PROYECTO PARQUE LINEAL QUEBRADA LA IGLESIA LOCALIZADO EN EL MUNICIPIO DE BUCARAMANGA</t>
  </si>
  <si>
    <t>AREA METROPOLITANA DE BUCARAMANGA</t>
  </si>
  <si>
    <t>UNION TEMPORAL PARQUE LINEAL TRAMO II</t>
  </si>
  <si>
    <t>3200-2017</t>
  </si>
  <si>
    <t>365-2017</t>
  </si>
  <si>
    <t>3895-2018</t>
  </si>
  <si>
    <t>156-2015</t>
  </si>
  <si>
    <t>3390-2019</t>
  </si>
  <si>
    <t>3507-2015</t>
  </si>
  <si>
    <t>REALIZAR    POR    EL    SISTEMA    DE    PRECIOS UNITARIOS FIJOS LAS OBRAS DE CONSTRUCCIÓN DE LA PRIMERA ETAPA DEL PARQUE ZONAL LAS MARGARITAS   –   GILMA   JIMÉNEZ   PZ   82,   CON CARGO  AL  PROYECTO  1082  CONSTRUCCIÓN  Y ADECUACIÓN  DE  PARQUES  Y  EQUIPAMIENTOS PARA TODOS</t>
  </si>
  <si>
    <t>CONSTRUCCIÓN   DE   LAS  OBRAS   REQUERIDAS PARA  LA  CONSOLIDACIÓN  DEL  PARQUE  LINEAL RÍO DE ORO — BAVARIA 2, UBICADO EN EL ÁREA URBANA  DEL  MUNICIPIO  DE  BUCARAMANGA,  EN EL   BARRIO   VILLAS   DE   SAN   IGNACIO   DE   LA COMUNA 1</t>
  </si>
  <si>
    <t>REALIZAR LAS CONSTRUCCIONES DE LAS OBRAS INCONCLUSAS   DEL   PARQUE   METROPOLITANO CIUDADELA  PORVENIR  ETAPA  1;  LOCALIDAD  DE BOSA EN BOGOTA D.C.</t>
  </si>
  <si>
    <t>CONTRATAR  BAJO  LA  MODALIDAD  DE  PRECIOS UNITARIOS    FIJOS,    NO    REAJUSTABLES,    LA CONSTRUCCIÓN    DE     OBRAS     EN     ESPACIO PUBLICO     ADYACENTES     A     LA     QUEBRADA VAREJONES   PRODUCTO   DEL   CONTRATO   DE CONSULTORÍA   160   DE   2014   -   FASE   I,   DE   LA LOCALIDAD DE SAN CRISTÓBAL D.C.</t>
  </si>
  <si>
    <t>CONTRATAR     A     PRECIOS     UNITARIOS,     EL MANTENIMIENTO,           ADECUACIÓN           Y MEJORAMIENTO    INTEGRAL,    PREVENTIVO    Y CORRECTIVO  DE  LOS  CAMPOS  DEPORTIVOS  EN GRAMA  NATURAL  Y  GRAMA  SINTÉTICA  Y  SUS ZONAS      ALEDAÑAS      UBICADOS      EN      LOS DIFERENTES   PARQUES   QUE   COMPONEN   EL SISTEMA  DISTRITAL  DE  PARQUES  DE  BOGOTÁ D.C.,       EN       EL       MARCO       DELPROYECTO “SOSTENIBILIDAD      Y      MEJORAMIENTO      DE PARQUES, ESPACIOS DE VIDA.” GRUPO 3</t>
  </si>
  <si>
    <t>CONTRATAR   POR   EL   SISTEMA   DE   PRECIOS UNITARIOS  FIJOS  SIN  FORMULA  DE  AJUSTE  LAS OBRAS   DE   CONSTRUCCIÓN   Y/O   ADECUACIÓN DEL  PARQUE  ZONAL  ILLIMANI  CÓD.  19-346  EN BOGOTÁ D.C.</t>
  </si>
  <si>
    <t>INSTITUTO DISTRITAL PARA LA RECREACION Y EL DEPORTE</t>
  </si>
  <si>
    <t>CONSORCIO GRAMAS 2019</t>
  </si>
  <si>
    <t xml:space="preserve">COP 1517 2021 </t>
  </si>
  <si>
    <t xml:space="preserve">CONSTRUCCION FASE 1 - 
PARQUE BIBLIOTECA "MIRADORDEL SUR" COMUNA 6 - MUNICIPIODE NEIVA HUILA </t>
  </si>
  <si>
    <t>MUNICIPIO DE NEIVA</t>
  </si>
  <si>
    <t>CONSORCIO PARQUE JLA 2014</t>
  </si>
  <si>
    <t>221039-2007</t>
  </si>
  <si>
    <t>LP-001-2021</t>
  </si>
  <si>
    <t>CONSTRUCCION DE UNA PLAZOLETA PARA REALIZAR ACTIVIDADES LUDICAS
DEPORTIVAS Y CULTURALES EN EL BARRIO LA CANDELARIA MUNICIPIO DE
OROCUE DEPARTAMENTO DE CASANARE</t>
  </si>
  <si>
    <t>ADECUACION Y CONSTRUCCION DEL PARQUE PRINCIPAL ETAPA I1 DEL
MUNICIPIO DE SUSA CUNDINAMARCA</t>
  </si>
  <si>
    <t>MUNICIPIO DE OROCUE</t>
  </si>
  <si>
    <t>MUNICIPIO DE SUSA</t>
  </si>
  <si>
    <t>UNION TEMPORAL MR-8</t>
  </si>
  <si>
    <t>CO1.PCCNTR. 1240323</t>
  </si>
  <si>
    <t>MP - 0944 - 2022</t>
  </si>
  <si>
    <t xml:space="preserve">EJECUCIÓN DE LAS OBRAS DE CONSTRUCCION D LA NUEVA PLANTA FISICA DEL COLEGIO NIÑO JESUS, UBICADO EN LA LOCALIDAD 07-BOSA DEL DISTRITO CAPITAL, DE ACUERDO CON LOS PLANOS Y ESPECIFICACIONES ENTREGADOS POR LA SECRETARIA DE EDUCACIÓN DEL DISTRITO </t>
  </si>
  <si>
    <t>REALIZAR EL MEJORAMIENTO ARQUITECTONICO Y URBANO PARA REVITALIZACION DE LA GALERIA CENTRAL DEL MUNICIPIO DE PALMIRA EN EL MARCO DEL CONVENIO 492 FIP-2021.</t>
  </si>
  <si>
    <t>SECRETARIA DE EDUCACION
DISTRITAL</t>
  </si>
  <si>
    <t>MUNICIPIO DE PALMIRA</t>
  </si>
  <si>
    <t>CONSORCIO SAFRICON DEL LLANO</t>
  </si>
  <si>
    <t>COP-300-2018</t>
  </si>
  <si>
    <t>NO 097 2021</t>
  </si>
  <si>
    <t>REALIZAR LA CONSTRUCCION DE LOS PARQUES VECINALES Y DE BOLSILLO POR EL SISTEMA DE PREVIOS UNITARIOS FIJOS SIN FORMULA DE REAJUSTE A MONTO AGOTABLE EN LA LOCALIDAD DE CIUDAD BOLIVAR</t>
  </si>
  <si>
    <t xml:space="preserve">MEJORAMIENTO DEL PARQUE PRINCIPAL FRANCISCO CONVERS DEL CASCO URBANO DEL MUNICIPIO DE SAN FRANCISCO DEPARTAMENTO DE CUNDINAMARCA, EN CUMPLIMIENTO AL CONVENIO INTERADMINISTRATIVO </t>
  </si>
  <si>
    <t>FDL CIUDAD BOLIVAR</t>
  </si>
  <si>
    <t>MUNICIPIO DE SAN FRANCISCO CUNDINAMARCA</t>
  </si>
  <si>
    <t>UNION TEMPORAL ASOPARQUES 2018</t>
  </si>
  <si>
    <t>UNION TEMPORAL MEJORAMIENTO PARQUE SAN FRANCISCO 2021</t>
  </si>
  <si>
    <t>CONSTRUCCIÓN DE OBRAS CIVILES PARA LAS UNIDADES MILITARES DEL EJÉRCITO NACIONAL ITEM III: SEGUNDA ETAPA URBANISMO DEL ESTABLECIMIENTO DE SANIDAD MILITAR CALI</t>
  </si>
  <si>
    <t>REALIZAR LAS OBRAS DE CONSERVACION DE LA MALLA VIAL Y ESPACIO PUBLICO ASOCIADO EN LA LOCALIDAD DE SAN CRISTOBAL, BOGOTA, D.C. A TRAVES DEL SISTEMA DE PRECIOS UNITARIOS FIJOS
SIN FORMULA DE REAJUSTE Y A MONTO AGOTABLE</t>
  </si>
  <si>
    <t>EJECUTAR A PRECIOS UNITARIOS SIN FORMULADEREAJUSTEYAMONTOAGOTABLE,LASACTIVIDADESNECESARIASPARALACONSTRUCCIONDELAMALLAVIALDELALOCALIDADDESANCRISTOBAL, EN BOGOTA D.C.</t>
  </si>
  <si>
    <t>149 de 2007</t>
  </si>
  <si>
    <t>4211 - 2017</t>
  </si>
  <si>
    <t>149-2007-CONSTRUCCION DE ANDENES
FALTANTES DE LA CARRERA 13 ENTRE
CALLE 26 Y CALLE 45 COSTADO
OCCIDENTAL EN BOGOTA D.C</t>
  </si>
  <si>
    <t>REALIZAR POR EL SISTEMA DE PRECIO
GLOBAL FIJO LOS ESTUDIOS Y DISEÑOS Y
POR EL SISTEMA DE PRECIOS UNITARIOS
FIJOS LA CONSTRUCCION DEL PARQUE
ZONAL CASABLANCA, CODIGO 11-069.</t>
  </si>
  <si>
    <t>IDU</t>
  </si>
  <si>
    <t>CONSORCIO ESPACIOS PUBLICOS</t>
  </si>
  <si>
    <t>CONSORCIO INRAESTRUCTURA CASABLANCA</t>
  </si>
  <si>
    <t>1801 DE 2018</t>
  </si>
  <si>
    <t>020 DE 2017</t>
  </si>
  <si>
    <t>CONSTRUCCION PARQUE CRISTO REY EN EL MUNICIPIO DE SAN JOSE DE CUCUTA, NORTE DE SANTANDER- NORTE DE SANTANDER Y OBRAS DE MOBILIARIO URBANO.</t>
  </si>
  <si>
    <t>MEJORAMIENTO DEL PARQUE PRINCIPAL DE LA GARITA ETAPA I DEL MUNICIPIO DE LOS PATIOS, NORTE DE SANTANDER</t>
  </si>
  <si>
    <t>MUNICIPIO DE SAN JOSE DE CUCUTA, NORTE DE SANTANDER</t>
  </si>
  <si>
    <t>MUNICIPIO DE LOS PATIOS, NORTE DE SANTANDER</t>
  </si>
  <si>
    <t>CONSORCIO CRISTO REY</t>
  </si>
  <si>
    <t>CONSORCIO PARQUE LA GARITA</t>
  </si>
  <si>
    <t>3639 de 2019</t>
  </si>
  <si>
    <t>113 DE 2023</t>
  </si>
  <si>
    <t>REALIZAR LOS ESTUDIOS Y DISEÑOS TECNICOS DE INGENIERÍA Y ARQUITECTURA Y LAS OBRAS DE CONSTRUCCIÓN DEL PARQUE TIMIZA, LOCALIDAD DE KENNEDY</t>
  </si>
  <si>
    <t>Construcción parque Principal del corregimiento de Puente Sogamoso, zona rural del Municipio de Puerto Wilches Santander</t>
  </si>
  <si>
    <t>Alcaldía Municipal de Puerto Wilches</t>
  </si>
  <si>
    <t>CONSORCIO RECREACIÓN SOGAMOSO</t>
  </si>
  <si>
    <t>562 DE 2017</t>
  </si>
  <si>
    <t>CP-MP-SP-026-2011</t>
  </si>
  <si>
    <t>CONSTRUCCIÓN DE PUENTES PEATONALES EN LAS COMUNIDADES INDÍGENAS EN 
LOS MUNICIPIOS DE LETICIA Y PUERTO NARIÑO, DEPARTAMENTO DE AMAZONAS</t>
  </si>
  <si>
    <t xml:space="preserve">CONSTRUCCION DEL PARQUE ECOTURISTICO CERRO LA CANTERA DEL 
MUNICIPIO DE PIEDECUESTA </t>
  </si>
  <si>
    <t>ALCALDÍA DE LETICIA</t>
  </si>
  <si>
    <t>MUNICIPIO DE PIEDECUESTA SANTANDER</t>
  </si>
  <si>
    <t>CONSORCIO GA PUENTES</t>
  </si>
  <si>
    <t>CONSORCIO CERRO LA CANTERA</t>
  </si>
  <si>
    <t>NO SE OTORGA EL PUNTAJE DE FACTOR DE SOSTENIBILIDAD TODA VEZ QUE NO SE APORTÓ EL FORMATO 12 DENTRO DE LOS DOCUMENTOS DE LA PROPUESTA</t>
  </si>
  <si>
    <t xml:space="preserve">CONSORCIO KENNEDY 013 2024	</t>
  </si>
  <si>
    <t>NO SE OTORGA EL PUNTAJE POR VINCULACIÓN DE PERSONAS CON DISCAPACIDAD DADO QUE EL CONSORCIADO GRUPO IPROGEX ZOMAC SAS NO APORTA EL 40% DE LA EXPERIENCIA REQUERIDA TAL COMO LO SOLICITA EL PLIEGO DE CONDICIONES</t>
  </si>
  <si>
    <t xml:space="preserve">CARLOS ARTURO ARANGO 
SALAZAR </t>
  </si>
  <si>
    <t xml:space="preserve">BRAYCON INGENIERIA SAS </t>
  </si>
  <si>
    <t>NO SE RELACIONA LA CONFORMACIÓN ACCIONARIA DEL CONSORCIADO GRUPO MABRIL SAS, CONSTITUIDA EL 17 DE ENERO DE 2022.
EL OFERENTE EN EL TERMINO DEL TRASLADO DEL INFORME PRELIMINAR, ALLEGA POR MEDIO DE LA PLATAFORMA SECOP II UN DOCUMENTO DE SUBSANACIÓN, SIN EMBARGO EL MISMO CORRESPONDE A UNA SUBSANACION PARA EL PROCESO FDLSC-LP-005-2024 DE LA ALCALDÍA LOCAL DE SAN CRISTOBAL</t>
  </si>
  <si>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color rgb="FF000000"/>
        <rFont val="Calibri"/>
        <family val="2"/>
      </rPr>
      <t>NO CUMPLE LA CAPACIDAD RESIDUAL, DADO QUE EL CONSORCIADO CONSTRUCTORA PC INGENIERIA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CONTRUCTORA PC INGENIERA SAS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</si>
  <si>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NO CUMPLE LA CAPACIDAD RESIDUAL, DADO QUE EL CONSORCIA DOBLE CRUZ INGENIERIA Y ARQUITECTURA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DOBLE CRUZ INGENIERIA Y ARQUITECTURA  S.A.S.,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POR ULTIMO, EL OFERENTE NO ESTA TOMANDO LOS FORMATOS No. 5 PUBLICADOS POR EL FDLK PARA EL PRESENTE PROCESO DE SELECCIÓN.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</si>
  <si>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NO CUMPLE LA CAPACIDAD RESIDUAL, DADO QUE EL INTEGRANTE VIAL SOLUTIONS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AMBOS INTEGRANTES DE LA UNIÓN TEMPORAL, EN SU PROPUESTA NO ACREDITAN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</si>
  <si>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 xml:space="preserve">
EL OFERENTE NO ESTA TOMANDO LOS FORMATOS No. 5 PUBLICADOS POR EL FDLK PARA EL PRESENTE PROCESO DE SELECCIÓN.
DE IGUAL FORMA, EL INTEGRANTE INGECOL HS CIA S EN C DEL CONSORCIO, APORTA VENCIDO EL CERTIFICADO DE ANTECEDENTES DEL REVISOR FISCAL O CONTADOR INDEPENDIENTE.
SE REQUIERE SUBSANAR LO ANTERIOR EN TERMINOS DEL TRASLADO DEL INFORME PRELIMINAR DE EVALUACION
</t>
    </r>
    <r>
      <rPr>
        <b/>
        <sz val="12"/>
        <rFont val="Calibri"/>
        <family val="2"/>
      </rPr>
      <t xml:space="preserve">
</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</si>
  <si>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color rgb="FF000000"/>
        <rFont val="Calibri"/>
        <family val="2"/>
      </rPr>
      <t>EL OFERENTE NO ESTA TOMANDO LOS FORMATOS No. 5 PUBLICADOS POR EL FDLK PARA EL PRESENTE PROCESO DE SELECCIÓN.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</si>
  <si>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2"/>
        <rFont val="Calibri"/>
        <family val="2"/>
      </rPr>
      <t xml:space="preserve">
NO CUMPLE LA CAPACIDAD RESIDUAL, DADO QUE EL CONSORCIADO LUGARQ DISEÑO Y CONSTRUCCION SAS NO APORTA LA DOCUMENTACIÓN REQUERIDA PARA DETERMINAR LA CAPACIDAD RESIDUAL COMO LO SOLICITA EL PLIEGO DE CONDICIONES EN SU NUMERAL 3.10 CAPACIDAD RESIDUAL.
EL INTEGRANTE BYGGER SAS APORTA VENCIDO TANTO EL CERTIFICADO DE ANTECEDENTES DEL CONTADOR PUBLICO COMO EL CERTIFICADO DE ANTECEDENTES DEL CONTADOR PUBLICO INDEPENDIENTE/REVISOR FISCAL.
SE REQUIERE SUBSANAR LO ANTERIOR EN TERMINOS DEL TRASLADO DEL INFORME PRELIMINAR DE EVALUACION.
</t>
    </r>
    <r>
      <rPr>
        <b/>
        <sz val="12"/>
        <rFont val="Calibri"/>
        <family val="2"/>
      </rPr>
      <t>DADO QUE DENTRO DE LOS DOCUMENTOS DE SUBSANACIÓN ALLEGADOS POR EL OFERENTE NO SE APORTO EL ESTADO DE RESULTADOS INTEGRAL PARA DETERMINAR EL MEJOR INGRESO OPERACIONAL.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</si>
</sst>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240A]\ * #,##0.00_-;_-[$$-240A]\ * &quot;-&quot;??_-;_-@_-"/>
    <numFmt numFmtId="165" formatCode="[$$-240A]#,##0.00;[Red]\([$$-240A]#,##0.00\)"/>
    <numFmt numFmtId="166" formatCode="#,##0;[Red]#,##0"/>
    <numFmt numFmtId="167" formatCode="_-&quot;$&quot;\ * #,##0.00_-;\-&quot;$&quot;\ * #,##0.00_-;_-&quot;$&quot;\ * &quot;-&quot;_-;_-@_-"/>
    <numFmt numFmtId="168" formatCode="0.00000"/>
    <numFmt numFmtId="169" formatCode="&quot;$&quot;\ #,##0"/>
    <numFmt numFmtId="170" formatCode="&quot;$&quot;#,##0"/>
    <numFmt numFmtId="171" formatCode="[$-240A]d&quot; de &quot;mmmm&quot; de &quot;yyyy;@"/>
    <numFmt numFmtId="172" formatCode="&quot;$&quot;#,##0.00"/>
    <numFmt numFmtId="173" formatCode="&quot;$&quot;\ #,##0.00"/>
    <numFmt numFmtId="174" formatCode="[$$-240A]\ #,##0.00000;[Red][$$-240A]\ #,##0.00000"/>
    <numFmt numFmtId="175" formatCode="&quot;$&quot;\ #,##0.00;[Red]&quot;$&quot;\ \-#,##0.00"/>
    <numFmt numFmtId="176" formatCode="_-&quot;$&quot;* #,##0_-;\-&quot;$&quot;* #,##0_-;_-&quot;$&quot;* &quot;-&quot;_-;_-@_-"/>
    <numFmt numFmtId="177" formatCode="_ &quot;$&quot;\ * #,##0_ ;_ &quot;$&quot;\ * \-#,##0_ ;_ &quot;$&quot;\ * &quot;-&quot;_ ;_ @_ "/>
    <numFmt numFmtId="178" formatCode="_-* #,##0.00\ &quot;Pts&quot;_-;\-* #,##0.00\ &quot;Pts&quot;_-;_-* &quot;-&quot;??\ &quot;Pts&quot;_-;_-@_-"/>
    <numFmt numFmtId="179" formatCode="_ * #,##0.00_ ;_ * \-#,##0.00_ ;_ * &quot;-&quot;??_ ;_ @_ "/>
    <numFmt numFmtId="180" formatCode="_-&quot;$&quot;* #,##0.00_-;\-&quot;$&quot;* #,##0.00_-;_-&quot;$&quot;* &quot;-&quot;??_-;_-@_-"/>
  </numFmts>
  <fonts count="46"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0"/>
      <color theme="0"/>
      <name val="Calibri"/>
      <family val="2"/>
      <scheme val="minor"/>
    </font>
    <font>
      <b/>
      <sz val="9"/>
      <color indexed="81"/>
      <name val="Tahoma"/>
      <family val="2"/>
    </font>
    <font>
      <sz val="9"/>
      <color indexed="81"/>
      <name val="Tahoma"/>
      <family val="2"/>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2"/>
      <color theme="0"/>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b/>
      <sz val="16"/>
      <color theme="0"/>
      <name val="Calibri"/>
      <family val="2"/>
      <scheme val="minor"/>
    </font>
    <font>
      <sz val="16"/>
      <color theme="1"/>
      <name val="Calibri"/>
      <family val="2"/>
      <scheme val="minor"/>
    </font>
    <font>
      <i/>
      <sz val="11"/>
      <color theme="1"/>
      <name val="Calibri"/>
      <family val="2"/>
      <scheme val="minor"/>
    </font>
    <font>
      <b/>
      <sz val="24"/>
      <color theme="0"/>
      <name val="Calibri"/>
      <family val="2"/>
      <scheme val="minor"/>
    </font>
    <font>
      <b/>
      <sz val="12"/>
      <color theme="1"/>
      <name val="Calibri"/>
      <family val="2"/>
      <scheme val="minor"/>
    </font>
    <font>
      <sz val="12"/>
      <color theme="1"/>
      <name val="Calibri"/>
      <family val="2"/>
      <scheme val="minor"/>
    </font>
    <font>
      <b/>
      <sz val="36"/>
      <name val="Calibri"/>
      <family val="2"/>
      <scheme val="minor"/>
    </font>
    <font>
      <sz val="11"/>
      <color rgb="FF000000"/>
      <name val="Calibri"/>
      <family val="2"/>
      <charset val="1"/>
    </font>
    <font>
      <b/>
      <sz val="26"/>
      <name val="Arial"/>
      <family val="2"/>
      <charset val="1"/>
    </font>
    <font>
      <sz val="11"/>
      <name val="Calibri"/>
      <family val="2"/>
      <charset val="1"/>
    </font>
    <font>
      <b/>
      <sz val="14"/>
      <name val="Calibri"/>
      <family val="2"/>
    </font>
    <font>
      <b/>
      <sz val="14"/>
      <color rgb="FF000000"/>
      <name val="Calibri"/>
      <family val="2"/>
    </font>
    <font>
      <b/>
      <sz val="14"/>
      <color rgb="FF000000"/>
      <name val="Calibri"/>
      <family val="2"/>
    </font>
    <font>
      <b/>
      <sz val="14"/>
      <color rgb="FF000000"/>
      <name val="Calibri"/>
      <family val="2"/>
      <charset val="1"/>
    </font>
    <font>
      <b/>
      <sz val="11"/>
      <color rgb="FFFF0000"/>
      <name val="Calibri"/>
      <family val="2"/>
      <scheme val="minor"/>
    </font>
    <font>
      <b/>
      <sz val="12"/>
      <name val="Calibri"/>
      <family val="2"/>
    </font>
    <font>
      <b/>
      <i/>
      <sz val="14"/>
      <color rgb="FF000000"/>
      <name val="Calibri"/>
      <family val="2"/>
    </font>
    <font>
      <b/>
      <i/>
      <sz val="12"/>
      <name val="Calibri"/>
      <family val="2"/>
    </font>
    <font>
      <sz val="10"/>
      <color rgb="FF000000"/>
      <name val="Times New Roman"/>
      <family val="1"/>
    </font>
  </fonts>
  <fills count="10">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
      <patternFill patternType="solid">
        <fgColor rgb="FF00B050"/>
        <bgColor indexed="64"/>
      </patternFill>
    </fill>
    <fill>
      <patternFill patternType="solid">
        <fgColor rgb="FFC6E0B4"/>
        <bgColor rgb="FF000000"/>
      </patternFill>
    </fill>
  </fills>
  <borders count="7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indexed="64"/>
      </left>
      <right/>
      <top style="medium">
        <color indexed="64"/>
      </top>
      <bottom style="medium">
        <color indexed="64"/>
      </bottom>
      <diagonal/>
    </border>
    <border>
      <left style="thin">
        <color auto="1"/>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style="medium">
        <color indexed="64"/>
      </right>
      <top style="thin">
        <color auto="1"/>
      </top>
      <bottom style="thin">
        <color auto="1"/>
      </bottom>
      <diagonal/>
    </border>
    <border>
      <left style="medium">
        <color rgb="FF000000"/>
      </left>
      <right/>
      <top/>
      <bottom/>
      <diagonal/>
    </border>
    <border>
      <left/>
      <right style="medium">
        <color rgb="FF000000"/>
      </right>
      <top/>
      <bottom/>
      <diagonal/>
    </border>
    <border>
      <left style="medium">
        <color indexed="64"/>
      </left>
      <right style="medium">
        <color indexed="64"/>
      </right>
      <top style="thin">
        <color auto="1"/>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indexed="64"/>
      </right>
      <top style="medium">
        <color rgb="FF000000"/>
      </top>
      <bottom/>
      <diagonal/>
    </border>
    <border>
      <left/>
      <right style="medium">
        <color auto="1"/>
      </right>
      <top/>
      <bottom/>
      <diagonal/>
    </border>
    <border>
      <left/>
      <right style="medium">
        <color indexed="64"/>
      </right>
      <top/>
      <bottom style="medium">
        <color rgb="FF000000"/>
      </bottom>
      <diagonal/>
    </border>
    <border>
      <left style="medium">
        <color auto="1"/>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diagonal/>
    </border>
  </borders>
  <cellStyleXfs count="33">
    <xf numFmtId="0" fontId="0" fillId="0" borderId="0"/>
    <xf numFmtId="42"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xf numFmtId="0" fontId="34" fillId="0" borderId="0"/>
    <xf numFmtId="0" fontId="1" fillId="0" borderId="0"/>
    <xf numFmtId="0" fontId="1" fillId="0" borderId="0"/>
    <xf numFmtId="0" fontId="4" fillId="0" borderId="0"/>
    <xf numFmtId="0" fontId="4" fillId="0" borderId="0"/>
    <xf numFmtId="175" fontId="4" fillId="0" borderId="0" applyFont="0" applyFill="0" applyBorder="0" applyAlignment="0" applyProtection="0"/>
    <xf numFmtId="43" fontId="45" fillId="0" borderId="0" applyFont="0" applyFill="0" applyBorder="0" applyAlignment="0" applyProtection="0"/>
    <xf numFmtId="176" fontId="1" fillId="0" borderId="0" applyFont="0" applyFill="0" applyBorder="0" applyAlignment="0" applyProtection="0"/>
    <xf numFmtId="177" fontId="4" fillId="0" borderId="0" applyFont="0" applyFill="0" applyBorder="0" applyAlignment="0" applyProtection="0"/>
    <xf numFmtId="0" fontId="4" fillId="0" borderId="0"/>
    <xf numFmtId="0" fontId="4" fillId="0" borderId="0"/>
    <xf numFmtId="9" fontId="45" fillId="0" borderId="0" applyFont="0" applyFill="0" applyBorder="0" applyAlignment="0" applyProtection="0"/>
    <xf numFmtId="178" fontId="4" fillId="0" borderId="0" applyFont="0" applyFill="0" applyBorder="0" applyAlignment="0" applyProtection="0"/>
    <xf numFmtId="0" fontId="1" fillId="0" borderId="0"/>
    <xf numFmtId="179" fontId="4" fillId="0" borderId="0" applyFont="0" applyFill="0" applyBorder="0" applyAlignment="0" applyProtection="0"/>
    <xf numFmtId="0" fontId="1" fillId="0" borderId="0"/>
    <xf numFmtId="44" fontId="4"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9" fontId="34" fillId="0" borderId="0" applyFont="0" applyFill="0" applyBorder="0" applyAlignment="0" applyProtection="0"/>
    <xf numFmtId="180" fontId="1"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0" fontId="4" fillId="0" borderId="0"/>
    <xf numFmtId="9" fontId="4" fillId="0" borderId="0" applyFont="0" applyFill="0" applyBorder="0" applyAlignment="0" applyProtection="0"/>
    <xf numFmtId="0" fontId="1" fillId="0" borderId="0"/>
    <xf numFmtId="42" fontId="34" fillId="0" borderId="0" applyFont="0" applyFill="0" applyBorder="0" applyAlignment="0" applyProtection="0"/>
  </cellStyleXfs>
  <cellXfs count="448">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6" fontId="5" fillId="0" borderId="0" xfId="0" applyNumberFormat="1" applyFont="1"/>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165" fontId="4" fillId="0" borderId="0" xfId="0" applyNumberFormat="1" applyFont="1" applyAlignment="1">
      <alignment horizontal="center"/>
    </xf>
    <xf numFmtId="165" fontId="10" fillId="0" borderId="0" xfId="0" applyNumberFormat="1" applyFont="1"/>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7" fontId="5" fillId="0" borderId="1" xfId="1" applyNumberFormat="1"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9" fontId="0" fillId="0" borderId="0" xfId="0" applyNumberFormat="1" applyAlignment="1">
      <alignment horizontal="center"/>
    </xf>
    <xf numFmtId="0" fontId="3" fillId="0" borderId="0" xfId="0" applyFont="1" applyAlignment="1">
      <alignment horizontal="center" vertical="center" wrapText="1"/>
    </xf>
    <xf numFmtId="0" fontId="4" fillId="0" borderId="0" xfId="0" applyFont="1" applyAlignment="1">
      <alignment horizontal="center"/>
    </xf>
    <xf numFmtId="0" fontId="9" fillId="0" borderId="0" xfId="0" applyFont="1"/>
    <xf numFmtId="168" fontId="9" fillId="0" borderId="0" xfId="0" applyNumberFormat="1" applyFont="1"/>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17" fillId="6" borderId="13" xfId="0" applyFont="1" applyFill="1" applyBorder="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xf>
    <xf numFmtId="0" fontId="17" fillId="6" borderId="1" xfId="0" applyFont="1" applyFill="1" applyBorder="1" applyAlignment="1">
      <alignment horizontal="center" vertical="center" wrapText="1"/>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0"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7"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0"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0"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0" fontId="0" fillId="0" borderId="11" xfId="0" applyNumberFormat="1" applyBorder="1" applyAlignment="1">
      <alignment horizontal="center" vertical="center" wrapText="1"/>
    </xf>
    <xf numFmtId="170" fontId="0" fillId="0" borderId="1" xfId="1" applyNumberFormat="1" applyFont="1" applyBorder="1" applyAlignment="1">
      <alignment horizontal="center" vertical="center" wrapText="1"/>
    </xf>
    <xf numFmtId="169"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2" fontId="3" fillId="0" borderId="1" xfId="0" applyNumberFormat="1" applyFont="1" applyBorder="1" applyAlignment="1">
      <alignment horizontal="center" vertical="center" wrapText="1"/>
    </xf>
    <xf numFmtId="0" fontId="3"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7" fillId="6" borderId="1" xfId="0" applyFont="1" applyFill="1" applyBorder="1" applyAlignment="1">
      <alignment horizontal="center" vertical="center"/>
    </xf>
    <xf numFmtId="0" fontId="17" fillId="6" borderId="1" xfId="0" applyFont="1" applyFill="1" applyBorder="1"/>
    <xf numFmtId="165" fontId="23" fillId="0" borderId="1" xfId="0" applyNumberFormat="1" applyFont="1" applyBorder="1" applyAlignment="1">
      <alignment horizontal="center"/>
    </xf>
    <xf numFmtId="165" fontId="5" fillId="0" borderId="1" xfId="0" applyNumberFormat="1" applyFont="1" applyBorder="1"/>
    <xf numFmtId="0" fontId="24" fillId="6" borderId="26" xfId="0" applyFont="1" applyFill="1" applyBorder="1" applyAlignment="1">
      <alignment horizontal="center" vertical="center" wrapText="1"/>
    </xf>
    <xf numFmtId="0" fontId="24" fillId="6" borderId="35" xfId="0" applyFont="1" applyFill="1" applyBorder="1" applyAlignment="1">
      <alignment horizontal="center" vertical="center" wrapText="1"/>
    </xf>
    <xf numFmtId="0" fontId="4" fillId="0" borderId="28" xfId="0" applyFont="1" applyBorder="1" applyAlignment="1">
      <alignment horizontal="center"/>
    </xf>
    <xf numFmtId="165" fontId="4" fillId="0" borderId="40" xfId="0" applyNumberFormat="1" applyFont="1" applyBorder="1" applyAlignment="1">
      <alignment horizontal="center"/>
    </xf>
    <xf numFmtId="0" fontId="4" fillId="0" borderId="13" xfId="0" applyFont="1" applyBorder="1" applyAlignment="1">
      <alignment horizontal="center"/>
    </xf>
    <xf numFmtId="165" fontId="4" fillId="0" borderId="31" xfId="0" applyNumberFormat="1" applyFont="1" applyBorder="1" applyAlignment="1">
      <alignment horizontal="center"/>
    </xf>
    <xf numFmtId="0" fontId="4" fillId="0" borderId="15" xfId="0" applyFont="1" applyBorder="1" applyAlignment="1">
      <alignment horizontal="center"/>
    </xf>
    <xf numFmtId="165" fontId="4" fillId="0" borderId="17" xfId="0" applyNumberFormat="1" applyFont="1" applyBorder="1" applyAlignment="1">
      <alignment horizontal="center"/>
    </xf>
    <xf numFmtId="0" fontId="17" fillId="6" borderId="26" xfId="0" applyFont="1" applyFill="1" applyBorder="1" applyAlignment="1">
      <alignment horizontal="center" vertical="center"/>
    </xf>
    <xf numFmtId="171" fontId="0" fillId="5" borderId="1" xfId="0" applyNumberFormat="1" applyFill="1" applyBorder="1" applyAlignment="1">
      <alignment horizontal="center"/>
    </xf>
    <xf numFmtId="0" fontId="0" fillId="0" borderId="1" xfId="0" applyBorder="1"/>
    <xf numFmtId="171"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27" fillId="6" borderId="1" xfId="0" applyFont="1" applyFill="1" applyBorder="1" applyAlignment="1">
      <alignment horizontal="center" vertical="center" wrapText="1"/>
    </xf>
    <xf numFmtId="171" fontId="0" fillId="0" borderId="1" xfId="0" applyNumberFormat="1" applyBorder="1" applyAlignment="1">
      <alignment horizontal="center"/>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0"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0" fontId="5" fillId="0" borderId="1" xfId="0" applyNumberFormat="1" applyFont="1" applyBorder="1" applyAlignment="1">
      <alignment horizontal="center" vertical="center"/>
    </xf>
    <xf numFmtId="0" fontId="28" fillId="5" borderId="1" xfId="0" applyFont="1" applyFill="1" applyBorder="1" applyAlignment="1" applyProtection="1">
      <alignment horizontal="center" vertical="center"/>
      <protection locked="0"/>
    </xf>
    <xf numFmtId="0" fontId="0" fillId="5" borderId="11" xfId="4" applyNumberFormat="1" applyFont="1" applyFill="1" applyBorder="1" applyAlignment="1" applyProtection="1">
      <alignment horizontal="center" vertical="center" wrapText="1"/>
      <protection locked="0"/>
    </xf>
    <xf numFmtId="170"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0"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69"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4" fontId="0" fillId="0" borderId="11" xfId="4" applyNumberFormat="1" applyFont="1" applyFill="1" applyBorder="1" applyAlignment="1">
      <alignment horizontal="center" vertical="center" wrapText="1"/>
    </xf>
    <xf numFmtId="0" fontId="0" fillId="0" borderId="11" xfId="4" applyNumberFormat="1" applyFont="1" applyFill="1" applyBorder="1" applyAlignment="1">
      <alignment horizontal="center" vertical="center" wrapText="1"/>
    </xf>
    <xf numFmtId="2" fontId="0" fillId="0" borderId="1" xfId="4" applyNumberFormat="1" applyFont="1" applyFill="1" applyBorder="1" applyAlignment="1">
      <alignment horizontal="center" vertical="center" wrapText="1"/>
    </xf>
    <xf numFmtId="0" fontId="0" fillId="0" borderId="1" xfId="4" applyNumberFormat="1" applyFont="1" applyFill="1" applyBorder="1" applyAlignment="1">
      <alignment horizontal="center" vertical="center" wrapText="1"/>
    </xf>
    <xf numFmtId="2" fontId="0" fillId="0" borderId="16" xfId="4" applyNumberFormat="1" applyFont="1" applyFill="1" applyBorder="1" applyAlignment="1">
      <alignment horizontal="center" vertical="center" wrapText="1"/>
    </xf>
    <xf numFmtId="0" fontId="0" fillId="0" borderId="16" xfId="4" applyNumberFormat="1" applyFont="1" applyFill="1" applyBorder="1" applyAlignment="1">
      <alignment horizontal="center" vertical="center" wrapText="1"/>
    </xf>
    <xf numFmtId="172" fontId="0" fillId="5" borderId="1" xfId="1" applyNumberFormat="1" applyFont="1" applyFill="1" applyBorder="1" applyAlignment="1">
      <alignment horizontal="center" vertical="center" wrapText="1"/>
    </xf>
    <xf numFmtId="172"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2" fontId="0" fillId="0" borderId="0" xfId="1" applyNumberFormat="1" applyFont="1" applyFill="1" applyBorder="1" applyAlignment="1">
      <alignment horizontal="center" vertical="center" wrapText="1"/>
    </xf>
    <xf numFmtId="10" fontId="28" fillId="5" borderId="1" xfId="0" applyNumberFormat="1" applyFont="1" applyFill="1" applyBorder="1" applyAlignment="1" applyProtection="1">
      <alignment horizontal="center" vertical="center"/>
      <protection locked="0"/>
    </xf>
    <xf numFmtId="9" fontId="28" fillId="5" borderId="1" xfId="4" applyFont="1" applyFill="1" applyBorder="1" applyAlignment="1" applyProtection="1">
      <alignment horizontal="center" vertical="center"/>
      <protection locked="0"/>
    </xf>
    <xf numFmtId="0" fontId="28" fillId="5" borderId="1" xfId="0" applyFont="1" applyFill="1" applyBorder="1" applyAlignment="1">
      <alignment horizontal="center" vertical="center"/>
    </xf>
    <xf numFmtId="9" fontId="28" fillId="5" borderId="1" xfId="4" applyFont="1" applyFill="1" applyBorder="1" applyAlignment="1">
      <alignment horizontal="center" vertical="center"/>
    </xf>
    <xf numFmtId="0" fontId="28" fillId="0" borderId="1" xfId="0" applyFont="1" applyBorder="1" applyAlignment="1">
      <alignment horizontal="center" vertical="center"/>
    </xf>
    <xf numFmtId="9" fontId="28" fillId="0" borderId="1" xfId="0" applyNumberFormat="1" applyFont="1" applyBorder="1" applyAlignment="1">
      <alignment horizontal="center" vertical="center"/>
    </xf>
    <xf numFmtId="0" fontId="9" fillId="0" borderId="0" xfId="0" applyFont="1" applyAlignment="1">
      <alignment horizontal="center" vertical="center"/>
    </xf>
    <xf numFmtId="0" fontId="28" fillId="5" borderId="1" xfId="0" applyFont="1" applyFill="1" applyBorder="1" applyAlignment="1" applyProtection="1">
      <alignment horizontal="center" vertical="center" wrapText="1"/>
      <protection locked="0"/>
    </xf>
    <xf numFmtId="0" fontId="0" fillId="0" borderId="0" xfId="0" applyAlignment="1">
      <alignment vertical="center"/>
    </xf>
    <xf numFmtId="0" fontId="17" fillId="6" borderId="32" xfId="0" applyFont="1" applyFill="1" applyBorder="1" applyAlignment="1">
      <alignment horizontal="center" vertical="center" wrapText="1"/>
    </xf>
    <xf numFmtId="1" fontId="19" fillId="0" borderId="1" xfId="2" applyNumberFormat="1" applyFont="1" applyFill="1" applyBorder="1" applyAlignment="1">
      <alignment horizontal="center" vertical="center" wrapText="1"/>
    </xf>
    <xf numFmtId="0" fontId="4" fillId="0" borderId="32" xfId="0" applyFont="1" applyBorder="1" applyAlignment="1">
      <alignment horizontal="center"/>
    </xf>
    <xf numFmtId="165" fontId="4" fillId="0" borderId="46" xfId="0" applyNumberFormat="1" applyFont="1" applyBorder="1" applyAlignment="1">
      <alignment horizontal="center"/>
    </xf>
    <xf numFmtId="0" fontId="18" fillId="0" borderId="1" xfId="3" applyFont="1" applyBorder="1" applyAlignment="1" applyProtection="1">
      <alignment horizontal="center" vertical="center" wrapText="1"/>
      <protection locked="0"/>
    </xf>
    <xf numFmtId="0" fontId="11" fillId="6" borderId="16" xfId="0" applyFont="1" applyFill="1" applyBorder="1" applyAlignment="1">
      <alignment horizontal="center" vertical="center" wrapText="1"/>
    </xf>
    <xf numFmtId="0" fontId="0" fillId="5" borderId="16" xfId="0" applyFill="1" applyBorder="1" applyAlignment="1" applyProtection="1">
      <alignment horizontal="center" vertical="center" wrapText="1"/>
      <protection locked="0"/>
    </xf>
    <xf numFmtId="9" fontId="0" fillId="0" borderId="1" xfId="0" applyNumberFormat="1" applyBorder="1" applyAlignment="1">
      <alignment horizontal="center" vertical="center"/>
    </xf>
    <xf numFmtId="0" fontId="5" fillId="0" borderId="1" xfId="0" applyFont="1" applyBorder="1"/>
    <xf numFmtId="174" fontId="10" fillId="0" borderId="0" xfId="0" applyNumberFormat="1" applyFont="1"/>
    <xf numFmtId="2" fontId="19" fillId="0" borderId="1" xfId="2" applyNumberFormat="1" applyFont="1" applyFill="1" applyBorder="1" applyAlignment="1">
      <alignment horizontal="center" vertical="center" wrapText="1"/>
    </xf>
    <xf numFmtId="0" fontId="5" fillId="0" borderId="1" xfId="0" applyFont="1" applyBorder="1" applyAlignment="1">
      <alignment vertical="center" wrapText="1"/>
    </xf>
    <xf numFmtId="0" fontId="31" fillId="0" borderId="1" xfId="0" applyFont="1" applyBorder="1" applyAlignment="1">
      <alignment horizontal="center" vertical="center"/>
    </xf>
    <xf numFmtId="9" fontId="32" fillId="0" borderId="1" xfId="0" applyNumberFormat="1" applyFont="1" applyBorder="1" applyAlignment="1">
      <alignment horizontal="center" vertical="center"/>
    </xf>
    <xf numFmtId="2" fontId="32" fillId="0" borderId="1" xfId="0" applyNumberFormat="1" applyFont="1" applyBorder="1" applyAlignment="1">
      <alignment horizontal="center" vertical="center"/>
    </xf>
    <xf numFmtId="2" fontId="15" fillId="0" borderId="1" xfId="0" applyNumberFormat="1" applyFont="1" applyBorder="1" applyAlignment="1">
      <alignment horizontal="center" vertical="center"/>
    </xf>
    <xf numFmtId="0" fontId="11" fillId="6" borderId="52"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9" xfId="0" applyBorder="1" applyAlignment="1">
      <alignment horizontal="center" vertical="center" wrapText="1"/>
    </xf>
    <xf numFmtId="0" fontId="0" fillId="0" borderId="52" xfId="0" applyBorder="1" applyAlignment="1">
      <alignment horizontal="center" vertical="center" wrapText="1"/>
    </xf>
    <xf numFmtId="0" fontId="32" fillId="5" borderId="8" xfId="0" applyFont="1" applyFill="1" applyBorder="1" applyAlignment="1" applyProtection="1">
      <alignment horizontal="center" vertical="center" wrapText="1"/>
      <protection locked="0"/>
    </xf>
    <xf numFmtId="0" fontId="11" fillId="8" borderId="11" xfId="0" applyFont="1" applyFill="1" applyBorder="1" applyAlignment="1">
      <alignment vertical="center" wrapText="1"/>
    </xf>
    <xf numFmtId="0" fontId="26" fillId="0" borderId="0" xfId="0" applyFont="1" applyAlignment="1">
      <alignment vertical="center" wrapText="1"/>
    </xf>
    <xf numFmtId="0" fontId="32" fillId="5" borderId="7" xfId="0" applyFont="1" applyFill="1" applyBorder="1" applyAlignment="1" applyProtection="1">
      <alignment horizontal="center" vertical="center" wrapText="1"/>
      <protection locked="0"/>
    </xf>
    <xf numFmtId="0" fontId="36" fillId="0" borderId="0" xfId="5" applyFont="1"/>
    <xf numFmtId="0" fontId="36" fillId="0" borderId="0" xfId="5" applyFont="1" applyAlignment="1">
      <alignment wrapText="1"/>
    </xf>
    <xf numFmtId="0" fontId="0" fillId="0" borderId="73" xfId="0" applyBorder="1" applyAlignment="1">
      <alignment horizontal="center" vertical="center" wrapText="1"/>
    </xf>
    <xf numFmtId="0" fontId="0" fillId="0" borderId="19" xfId="0" applyBorder="1" applyAlignment="1">
      <alignment horizontal="center" vertical="center" wrapText="1"/>
    </xf>
    <xf numFmtId="0" fontId="41" fillId="0" borderId="9" xfId="0" applyFont="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14" fillId="0" borderId="1" xfId="0" applyFont="1" applyBorder="1" applyAlignment="1">
      <alignment horizontal="center" vertical="center"/>
    </xf>
    <xf numFmtId="0" fontId="14" fillId="0" borderId="31" xfId="0" applyFont="1" applyBorder="1" applyAlignment="1">
      <alignment horizontal="center" vertical="center"/>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7" fillId="6" borderId="1" xfId="0" applyFont="1" applyFill="1" applyBorder="1" applyAlignment="1">
      <alignment horizontal="center" vertical="center" wrapText="1"/>
    </xf>
    <xf numFmtId="0" fontId="10" fillId="0" borderId="5" xfId="0" applyFont="1" applyBorder="1" applyAlignment="1">
      <alignment horizontal="center" wrapText="1"/>
    </xf>
    <xf numFmtId="0" fontId="17" fillId="6" borderId="6" xfId="0" applyFont="1" applyFill="1" applyBorder="1" applyAlignment="1">
      <alignment horizontal="center" vertical="center" wrapText="1"/>
    </xf>
    <xf numFmtId="0" fontId="5" fillId="0" borderId="1" xfId="0" applyFont="1" applyBorder="1" applyAlignment="1">
      <alignment horizontal="justify" vertical="center" wrapText="1"/>
    </xf>
    <xf numFmtId="0" fontId="17" fillId="6" borderId="8" xfId="0" applyFont="1" applyFill="1" applyBorder="1" applyAlignment="1">
      <alignment horizontal="center" wrapText="1"/>
    </xf>
    <xf numFmtId="0" fontId="17" fillId="6" borderId="1" xfId="0" applyFont="1" applyFill="1" applyBorder="1" applyAlignment="1">
      <alignment horizontal="center" wrapText="1"/>
    </xf>
    <xf numFmtId="0" fontId="17" fillId="6" borderId="27" xfId="0" applyFont="1" applyFill="1" applyBorder="1" applyAlignment="1">
      <alignment horizontal="center" vertical="center"/>
    </xf>
    <xf numFmtId="0" fontId="17" fillId="6" borderId="35" xfId="0" applyFont="1" applyFill="1" applyBorder="1" applyAlignment="1">
      <alignment horizontal="center" vertical="center"/>
    </xf>
    <xf numFmtId="0" fontId="5" fillId="0" borderId="7" xfId="0" applyFont="1" applyBorder="1" applyAlignment="1">
      <alignment horizontal="center"/>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0" fontId="14" fillId="0" borderId="40" xfId="0" applyFont="1" applyBorder="1" applyAlignment="1">
      <alignment horizontal="center" vertical="center"/>
    </xf>
    <xf numFmtId="42" fontId="17" fillId="6" borderId="1" xfId="1" applyFont="1" applyFill="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
    </xf>
    <xf numFmtId="0" fontId="17" fillId="6" borderId="9" xfId="0" applyFont="1" applyFill="1" applyBorder="1" applyAlignment="1">
      <alignment horizontal="center" vertical="center"/>
    </xf>
    <xf numFmtId="0" fontId="17" fillId="6" borderId="8" xfId="0"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42" fontId="17" fillId="6" borderId="18" xfId="1" applyFont="1" applyFill="1" applyBorder="1" applyAlignment="1">
      <alignment horizontal="center" vertical="center"/>
    </xf>
    <xf numFmtId="42" fontId="17" fillId="6" borderId="39" xfId="1" applyFont="1" applyFill="1" applyBorder="1" applyAlignment="1">
      <alignment horizontal="center" vertical="center"/>
    </xf>
    <xf numFmtId="42" fontId="17" fillId="6" borderId="19" xfId="1" applyFont="1" applyFill="1" applyBorder="1" applyAlignment="1">
      <alignment horizontal="center" vertical="center"/>
    </xf>
    <xf numFmtId="42" fontId="17"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64" fontId="5" fillId="0" borderId="1" xfId="1" applyNumberFormat="1" applyFont="1" applyFill="1" applyBorder="1" applyAlignment="1">
      <alignment horizontal="center" vertical="center"/>
    </xf>
    <xf numFmtId="42" fontId="21" fillId="6" borderId="2" xfId="1" applyFont="1" applyFill="1" applyBorder="1" applyAlignment="1">
      <alignment horizontal="center"/>
    </xf>
    <xf numFmtId="0" fontId="26" fillId="0" borderId="48" xfId="0" applyFont="1" applyBorder="1" applyAlignment="1">
      <alignment horizontal="center"/>
    </xf>
    <xf numFmtId="0" fontId="26" fillId="0" borderId="0" xfId="0" applyFont="1" applyAlignment="1">
      <alignment horizontal="center"/>
    </xf>
    <xf numFmtId="0" fontId="26" fillId="0" borderId="39" xfId="0" applyFont="1" applyBorder="1" applyAlignment="1">
      <alignment horizontal="center" vertical="center" wrapText="1"/>
    </xf>
    <xf numFmtId="0" fontId="26" fillId="0" borderId="3" xfId="0" applyFont="1" applyBorder="1" applyAlignment="1">
      <alignment horizontal="center" vertical="center" wrapText="1"/>
    </xf>
    <xf numFmtId="42" fontId="21" fillId="6" borderId="1" xfId="1" applyFont="1" applyFill="1" applyBorder="1" applyAlignment="1">
      <alignment horizontal="center" vertical="center"/>
    </xf>
    <xf numFmtId="0" fontId="27" fillId="6" borderId="48" xfId="0" applyFont="1" applyFill="1" applyBorder="1" applyAlignment="1">
      <alignment horizontal="center"/>
    </xf>
    <xf numFmtId="0" fontId="27" fillId="6" borderId="0" xfId="0" applyFont="1" applyFill="1" applyAlignment="1">
      <alignment horizontal="center"/>
    </xf>
    <xf numFmtId="0" fontId="26" fillId="0" borderId="47" xfId="0" applyFont="1" applyBorder="1" applyAlignment="1">
      <alignment horizontal="center" vertical="center" wrapText="1"/>
    </xf>
    <xf numFmtId="0" fontId="26" fillId="0" borderId="6" xfId="0" applyFont="1" applyBorder="1" applyAlignment="1">
      <alignment horizontal="center" vertical="center" wrapText="1"/>
    </xf>
    <xf numFmtId="0" fontId="21" fillId="6" borderId="18" xfId="0" applyFont="1" applyFill="1" applyBorder="1" applyAlignment="1">
      <alignment horizontal="center" vertical="center"/>
    </xf>
    <xf numFmtId="0" fontId="21" fillId="6" borderId="39" xfId="0" applyFont="1" applyFill="1" applyBorder="1" applyAlignment="1">
      <alignment horizontal="center" vertical="center"/>
    </xf>
    <xf numFmtId="0" fontId="21" fillId="6" borderId="19"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1" xfId="0" applyFont="1" applyFill="1" applyBorder="1" applyAlignment="1">
      <alignment horizontal="center"/>
    </xf>
    <xf numFmtId="0" fontId="26" fillId="0" borderId="1" xfId="0" applyFont="1" applyBorder="1" applyAlignment="1">
      <alignment horizontal="center"/>
    </xf>
    <xf numFmtId="0" fontId="25" fillId="0" borderId="1" xfId="0" applyFont="1" applyBorder="1" applyAlignment="1">
      <alignment horizontal="center"/>
    </xf>
    <xf numFmtId="0" fontId="21" fillId="6" borderId="1" xfId="0" applyFont="1" applyFill="1" applyBorder="1" applyAlignment="1">
      <alignment horizontal="center" vertical="center" wrapText="1"/>
    </xf>
    <xf numFmtId="0" fontId="21" fillId="6" borderId="48" xfId="0" applyFont="1" applyFill="1" applyBorder="1" applyAlignment="1">
      <alignment horizontal="center" wrapText="1"/>
    </xf>
    <xf numFmtId="0" fontId="21" fillId="6" borderId="0" xfId="0" applyFont="1" applyFill="1" applyAlignment="1">
      <alignment horizontal="center" wrapText="1"/>
    </xf>
    <xf numFmtId="0" fontId="26" fillId="0" borderId="48" xfId="0" applyFont="1" applyBorder="1" applyAlignment="1">
      <alignment horizontal="center" vertical="center" wrapText="1"/>
    </xf>
    <xf numFmtId="0" fontId="26" fillId="0" borderId="0" xfId="0" applyFont="1" applyAlignment="1">
      <alignment horizontal="center" vertical="center" wrapText="1"/>
    </xf>
    <xf numFmtId="0" fontId="21" fillId="6" borderId="48" xfId="0" applyFont="1" applyFill="1" applyBorder="1" applyAlignment="1">
      <alignment horizontal="center" vertical="center" wrapText="1"/>
    </xf>
    <xf numFmtId="0" fontId="21" fillId="6" borderId="0" xfId="0" applyFont="1" applyFill="1" applyAlignment="1">
      <alignment horizontal="center" vertical="center" wrapText="1"/>
    </xf>
    <xf numFmtId="0" fontId="11" fillId="6" borderId="25"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5" fillId="0" borderId="34" xfId="0" applyFont="1" applyBorder="1" applyAlignment="1">
      <alignment horizontal="justify" vertical="center" wrapText="1"/>
    </xf>
    <xf numFmtId="0" fontId="5" fillId="0" borderId="20" xfId="0" applyFont="1" applyBorder="1" applyAlignment="1">
      <alignment horizontal="justify" vertical="center" wrapText="1"/>
    </xf>
    <xf numFmtId="2" fontId="19" fillId="0" borderId="1"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0" fillId="6" borderId="23" xfId="0" applyFont="1" applyFill="1" applyBorder="1" applyAlignment="1">
      <alignment horizontal="center" vertical="center"/>
    </xf>
    <xf numFmtId="0" fontId="30" fillId="6" borderId="24" xfId="0" applyFont="1" applyFill="1" applyBorder="1" applyAlignment="1">
      <alignment horizontal="center" vertical="center"/>
    </xf>
    <xf numFmtId="0" fontId="30" fillId="6" borderId="37" xfId="0" applyFont="1" applyFill="1" applyBorder="1" applyAlignment="1">
      <alignment horizontal="center" vertical="center"/>
    </xf>
    <xf numFmtId="0" fontId="30" fillId="6" borderId="38" xfId="0" applyFont="1" applyFill="1" applyBorder="1" applyAlignment="1">
      <alignment horizontal="center" vertical="center"/>
    </xf>
    <xf numFmtId="0" fontId="20" fillId="6" borderId="1" xfId="0" applyFont="1" applyFill="1" applyBorder="1" applyAlignment="1">
      <alignment horizontal="center" vertical="center" wrapText="1"/>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17" fillId="6" borderId="24" xfId="0" applyFont="1" applyFill="1" applyBorder="1" applyAlignment="1">
      <alignment horizontal="center" vertical="center"/>
    </xf>
    <xf numFmtId="0" fontId="17" fillId="6" borderId="30" xfId="0" applyFont="1" applyFill="1" applyBorder="1" applyAlignment="1">
      <alignment horizontal="center" vertical="center"/>
    </xf>
    <xf numFmtId="0" fontId="17" fillId="6" borderId="32" xfId="0" applyFont="1" applyFill="1" applyBorder="1" applyAlignment="1">
      <alignment horizontal="center" vertical="center" wrapText="1"/>
    </xf>
    <xf numFmtId="0" fontId="17" fillId="6" borderId="33" xfId="0" applyFont="1" applyFill="1" applyBorder="1" applyAlignment="1">
      <alignment horizontal="center" vertical="center" wrapText="1"/>
    </xf>
    <xf numFmtId="0" fontId="17" fillId="6" borderId="28" xfId="0" applyFont="1" applyFill="1" applyBorder="1" applyAlignment="1">
      <alignment horizontal="center" vertical="center" wrapText="1"/>
    </xf>
    <xf numFmtId="0" fontId="5" fillId="0" borderId="36" xfId="0" applyFont="1" applyBorder="1" applyAlignment="1">
      <alignment horizontal="justify" vertical="center" wrapText="1"/>
    </xf>
    <xf numFmtId="0" fontId="5" fillId="0" borderId="39" xfId="0" applyFont="1" applyBorder="1" applyAlignment="1">
      <alignment horizontal="justify" vertical="center" wrapText="1"/>
    </xf>
    <xf numFmtId="0" fontId="5" fillId="0" borderId="1" xfId="0" applyFont="1" applyBorder="1" applyAlignment="1">
      <alignment horizontal="justify" vertical="top" wrapText="1"/>
    </xf>
    <xf numFmtId="0" fontId="17" fillId="6" borderId="32" xfId="0" applyFont="1" applyFill="1" applyBorder="1" applyAlignment="1">
      <alignment horizontal="center" vertical="center"/>
    </xf>
    <xf numFmtId="0" fontId="17" fillId="6" borderId="33" xfId="0" applyFont="1" applyFill="1" applyBorder="1" applyAlignment="1">
      <alignment horizontal="center" vertical="center"/>
    </xf>
    <xf numFmtId="0" fontId="17" fillId="6" borderId="28" xfId="0" applyFont="1" applyFill="1" applyBorder="1" applyAlignment="1">
      <alignment horizontal="center" vertical="center"/>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33" fillId="0" borderId="1" xfId="0" applyFont="1" applyBorder="1" applyAlignment="1">
      <alignment horizontal="center" vertical="center" wrapText="1"/>
    </xf>
    <xf numFmtId="0" fontId="21" fillId="6" borderId="23" xfId="0" applyFont="1" applyFill="1" applyBorder="1" applyAlignment="1">
      <alignment horizontal="center"/>
    </xf>
    <xf numFmtId="0" fontId="21" fillId="6" borderId="24" xfId="0" applyFont="1" applyFill="1" applyBorder="1" applyAlignment="1">
      <alignment horizontal="center"/>
    </xf>
    <xf numFmtId="0" fontId="21" fillId="6"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1" fillId="6" borderId="25" xfId="0" applyFont="1" applyFill="1" applyBorder="1" applyAlignment="1">
      <alignment horizontal="center"/>
    </xf>
    <xf numFmtId="0" fontId="21" fillId="6" borderId="7" xfId="0" applyFont="1" applyFill="1" applyBorder="1" applyAlignment="1">
      <alignment horizontal="center"/>
    </xf>
    <xf numFmtId="0" fontId="21" fillId="6" borderId="14" xfId="0" applyFont="1" applyFill="1" applyBorder="1" applyAlignment="1">
      <alignment horizontal="center"/>
    </xf>
    <xf numFmtId="0" fontId="17" fillId="6" borderId="25" xfId="0" applyFont="1" applyFill="1" applyBorder="1" applyAlignment="1">
      <alignment horizontal="center"/>
    </xf>
    <xf numFmtId="0" fontId="17" fillId="6" borderId="7" xfId="0" applyFont="1" applyFill="1" applyBorder="1" applyAlignment="1">
      <alignment horizontal="center"/>
    </xf>
    <xf numFmtId="0" fontId="17" fillId="6" borderId="9" xfId="0" applyFont="1" applyFill="1" applyBorder="1" applyAlignment="1">
      <alignment horizontal="center"/>
    </xf>
    <xf numFmtId="0" fontId="17" fillId="6" borderId="8" xfId="0" applyFont="1" applyFill="1" applyBorder="1" applyAlignment="1">
      <alignment horizontal="center"/>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17" fillId="6" borderId="25"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14" xfId="0" applyFont="1" applyFill="1" applyBorder="1" applyAlignment="1">
      <alignment horizontal="center" vertical="center"/>
    </xf>
    <xf numFmtId="0" fontId="22" fillId="2" borderId="1" xfId="2"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69" fontId="5" fillId="0" borderId="9" xfId="1" applyNumberFormat="1" applyFont="1" applyFill="1" applyBorder="1" applyAlignment="1">
      <alignment horizontal="left" vertical="center" wrapText="1"/>
    </xf>
    <xf numFmtId="169" fontId="5" fillId="0" borderId="7" xfId="1" applyNumberFormat="1" applyFont="1" applyFill="1" applyBorder="1" applyAlignment="1">
      <alignment horizontal="left" vertical="center" wrapText="1"/>
    </xf>
    <xf numFmtId="2" fontId="5" fillId="0" borderId="9"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8" fillId="0" borderId="1" xfId="3" applyFont="1" applyBorder="1" applyAlignment="1" applyProtection="1">
      <alignment horizontal="center" vertical="center" wrapText="1"/>
      <protection locked="0"/>
    </xf>
    <xf numFmtId="0" fontId="32" fillId="5" borderId="9" xfId="0" applyFont="1" applyFill="1" applyBorder="1" applyAlignment="1" applyProtection="1">
      <alignment horizontal="center" vertical="center" wrapText="1"/>
      <protection locked="0"/>
    </xf>
    <xf numFmtId="0" fontId="32" fillId="5" borderId="8" xfId="0" applyFont="1" applyFill="1" applyBorder="1" applyAlignment="1" applyProtection="1">
      <alignment horizontal="center" vertical="center" wrapText="1"/>
      <protection locked="0"/>
    </xf>
    <xf numFmtId="1" fontId="15" fillId="0" borderId="1" xfId="0" applyNumberFormat="1" applyFont="1" applyBorder="1" applyAlignment="1">
      <alignment horizontal="center" vertical="center"/>
    </xf>
    <xf numFmtId="0" fontId="0" fillId="0" borderId="43" xfId="0" quotePrefix="1" applyBorder="1" applyAlignment="1" applyProtection="1">
      <alignment horizontal="justify" vertical="center" wrapText="1"/>
      <protection locked="0"/>
    </xf>
    <xf numFmtId="0" fontId="0" fillId="0" borderId="41" xfId="0" applyBorder="1" applyAlignment="1" applyProtection="1">
      <alignment horizontal="justify" vertical="center" wrapText="1"/>
      <protection locked="0"/>
    </xf>
    <xf numFmtId="0" fontId="0" fillId="0" borderId="45" xfId="0" applyBorder="1" applyAlignment="1" applyProtection="1">
      <alignment horizontal="justify" vertical="center" wrapText="1"/>
      <protection locked="0"/>
    </xf>
    <xf numFmtId="0" fontId="0" fillId="0" borderId="43" xfId="0" applyBorder="1" applyAlignment="1" applyProtection="1">
      <alignment horizontal="justify" vertical="center" wrapText="1"/>
      <protection locked="0"/>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vertical="center" wrapText="1"/>
    </xf>
    <xf numFmtId="0" fontId="0" fillId="0" borderId="16" xfId="0" applyBorder="1" applyAlignment="1">
      <alignment horizontal="center" vertical="center" wrapText="1"/>
    </xf>
    <xf numFmtId="170" fontId="0" fillId="0" borderId="11" xfId="0" applyNumberFormat="1" applyBorder="1" applyAlignment="1">
      <alignment horizontal="center" vertical="center" wrapText="1"/>
    </xf>
    <xf numFmtId="42" fontId="0" fillId="0" borderId="11" xfId="1" applyFont="1" applyBorder="1" applyAlignment="1">
      <alignment horizontal="center" vertical="center" wrapText="1"/>
    </xf>
    <xf numFmtId="42" fontId="0" fillId="0" borderId="1" xfId="1" applyFont="1" applyBorder="1" applyAlignment="1">
      <alignment horizontal="center" vertical="center" wrapText="1"/>
    </xf>
    <xf numFmtId="42"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xf>
    <xf numFmtId="14" fontId="3" fillId="0" borderId="1" xfId="0" applyNumberFormat="1" applyFont="1" applyBorder="1" applyAlignment="1">
      <alignment horizontal="center"/>
    </xf>
    <xf numFmtId="0" fontId="7" fillId="0" borderId="1" xfId="3" applyFont="1" applyBorder="1" applyAlignment="1">
      <alignment horizontal="center" vertical="center" wrapText="1"/>
    </xf>
    <xf numFmtId="2" fontId="7" fillId="3" borderId="1" xfId="1" applyNumberFormat="1" applyFont="1" applyFill="1" applyBorder="1" applyAlignment="1">
      <alignment horizontal="center" vertical="center" wrapText="1"/>
    </xf>
    <xf numFmtId="14" fontId="0" fillId="0" borderId="1" xfId="0" applyNumberFormat="1" applyBorder="1" applyAlignment="1">
      <alignment horizontal="center"/>
    </xf>
    <xf numFmtId="169" fontId="7" fillId="3" borderId="1" xfId="1" applyNumberFormat="1" applyFont="1" applyFill="1" applyBorder="1" applyAlignment="1">
      <alignment horizontal="center" vertical="center" wrapText="1"/>
    </xf>
    <xf numFmtId="0" fontId="17" fillId="6" borderId="1" xfId="0" applyFont="1" applyFill="1" applyBorder="1" applyAlignment="1">
      <alignment horizontal="center"/>
    </xf>
    <xf numFmtId="0" fontId="7" fillId="3" borderId="1" xfId="0" applyFont="1" applyFill="1" applyBorder="1" applyAlignment="1">
      <alignment horizontal="center" vertical="center" wrapText="1"/>
    </xf>
    <xf numFmtId="169"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170" fontId="0" fillId="0" borderId="42" xfId="0" applyNumberFormat="1" applyBorder="1" applyAlignment="1">
      <alignment horizontal="center" vertical="center" wrapText="1"/>
    </xf>
    <xf numFmtId="0" fontId="0" fillId="0" borderId="5" xfId="0" applyBorder="1" applyAlignment="1">
      <alignment horizontal="center" vertical="center" wrapText="1"/>
    </xf>
    <xf numFmtId="0" fontId="0" fillId="0" borderId="44" xfId="0" applyBorder="1" applyAlignment="1">
      <alignment horizontal="center" vertical="center" wrapText="1"/>
    </xf>
    <xf numFmtId="42" fontId="0" fillId="0" borderId="42" xfId="1" applyFont="1" applyBorder="1" applyAlignment="1">
      <alignment horizontal="center" vertical="center" wrapText="1"/>
    </xf>
    <xf numFmtId="42" fontId="0" fillId="0" borderId="5" xfId="1" applyFont="1" applyBorder="1" applyAlignment="1">
      <alignment horizontal="center" vertical="center" wrapText="1"/>
    </xf>
    <xf numFmtId="42" fontId="0" fillId="0" borderId="44"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1" xfId="0" applyBorder="1" applyAlignment="1">
      <alignment horizontal="center" vertical="center"/>
    </xf>
    <xf numFmtId="0" fontId="17" fillId="6" borderId="1" xfId="0" applyFont="1" applyFill="1"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3" fillId="0" borderId="1" xfId="0" applyFont="1" applyBorder="1" applyAlignment="1">
      <alignment horizontal="justify" vertical="center" wrapText="1"/>
    </xf>
    <xf numFmtId="0" fontId="0" fillId="0" borderId="0" xfId="0" applyAlignment="1">
      <alignment horizontal="center"/>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2" fontId="0" fillId="0" borderId="11" xfId="0" applyNumberFormat="1" applyBorder="1" applyAlignment="1">
      <alignment horizontal="center" vertical="center" wrapText="1"/>
    </xf>
    <xf numFmtId="2" fontId="0" fillId="0" borderId="1" xfId="0" applyNumberFormat="1" applyBorder="1" applyAlignment="1">
      <alignment horizontal="center" vertical="center" wrapText="1"/>
    </xf>
    <xf numFmtId="2" fontId="0" fillId="0" borderId="16" xfId="0" applyNumberFormat="1" applyBorder="1" applyAlignment="1">
      <alignment horizontal="center" vertical="center" wrapText="1"/>
    </xf>
    <xf numFmtId="42" fontId="0" fillId="5" borderId="42" xfId="1" applyFont="1" applyFill="1" applyBorder="1" applyAlignment="1" applyProtection="1">
      <alignment horizontal="center" vertical="center" wrapText="1"/>
      <protection locked="0"/>
    </xf>
    <xf numFmtId="42" fontId="0" fillId="5" borderId="5" xfId="1" applyFont="1" applyFill="1" applyBorder="1" applyAlignment="1" applyProtection="1">
      <alignment horizontal="center" vertical="center" wrapText="1"/>
      <protection locked="0"/>
    </xf>
    <xf numFmtId="42" fontId="0" fillId="5" borderId="44" xfId="1" applyFont="1" applyFill="1" applyBorder="1" applyAlignment="1" applyProtection="1">
      <alignment horizontal="center" vertical="center" wrapText="1"/>
      <protection locked="0"/>
    </xf>
    <xf numFmtId="0" fontId="0" fillId="0" borderId="42" xfId="0" applyBorder="1" applyAlignment="1">
      <alignment horizontal="center" vertical="center" wrapText="1"/>
    </xf>
    <xf numFmtId="2" fontId="0" fillId="0" borderId="42" xfId="0" applyNumberFormat="1" applyBorder="1" applyAlignment="1">
      <alignment horizontal="center" vertical="center" wrapText="1"/>
    </xf>
    <xf numFmtId="2" fontId="0" fillId="0" borderId="5" xfId="0" applyNumberFormat="1" applyBorder="1" applyAlignment="1">
      <alignment horizontal="center" vertical="center" wrapText="1"/>
    </xf>
    <xf numFmtId="2" fontId="0" fillId="0" borderId="44" xfId="0" applyNumberFormat="1" applyBorder="1" applyAlignment="1">
      <alignment horizontal="center" vertical="center" wrapText="1"/>
    </xf>
    <xf numFmtId="0" fontId="0" fillId="0" borderId="12" xfId="0"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11" fillId="8" borderId="49" xfId="0" applyFont="1" applyFill="1" applyBorder="1" applyAlignment="1">
      <alignment horizontal="center" vertical="center" wrapText="1"/>
    </xf>
    <xf numFmtId="0" fontId="11" fillId="8" borderId="50" xfId="0" applyFont="1" applyFill="1" applyBorder="1" applyAlignment="1">
      <alignment horizontal="center" vertical="center" wrapText="1"/>
    </xf>
    <xf numFmtId="170" fontId="0" fillId="5" borderId="11" xfId="1"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170" fontId="0" fillId="5" borderId="16" xfId="1" applyNumberFormat="1" applyFont="1" applyFill="1" applyBorder="1" applyAlignment="1" applyProtection="1">
      <alignment horizontal="center" vertical="center" wrapText="1"/>
      <protection locked="0"/>
    </xf>
    <xf numFmtId="0" fontId="11" fillId="6" borderId="1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7" xfId="0" applyFont="1" applyFill="1" applyBorder="1" applyAlignment="1">
      <alignment horizontal="center" vertical="center" wrapText="1"/>
    </xf>
    <xf numFmtId="1" fontId="7" fillId="0" borderId="1" xfId="1"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30" fillId="6" borderId="26" xfId="0" applyFont="1" applyFill="1" applyBorder="1" applyAlignment="1">
      <alignment horizontal="center" vertical="center"/>
    </xf>
    <xf numFmtId="0" fontId="30" fillId="6" borderId="27" xfId="0" applyFont="1" applyFill="1" applyBorder="1" applyAlignment="1">
      <alignment horizontal="center" vertical="center"/>
    </xf>
    <xf numFmtId="0" fontId="30" fillId="6" borderId="51" xfId="0" applyFont="1" applyFill="1" applyBorder="1" applyAlignment="1">
      <alignment horizontal="center" vertical="center"/>
    </xf>
    <xf numFmtId="0" fontId="30" fillId="6" borderId="35" xfId="0" applyFont="1" applyFill="1" applyBorder="1" applyAlignment="1">
      <alignment horizontal="center" vertical="center"/>
    </xf>
    <xf numFmtId="173" fontId="7" fillId="0" borderId="1" xfId="1" applyNumberFormat="1"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5" xfId="0" applyFont="1" applyFill="1" applyBorder="1" applyAlignment="1">
      <alignment horizontal="center" vertical="center" wrapText="1"/>
    </xf>
    <xf numFmtId="9" fontId="11" fillId="8" borderId="11" xfId="4" applyFont="1" applyFill="1" applyBorder="1" applyAlignment="1">
      <alignment horizontal="center" vertical="center" wrapText="1"/>
    </xf>
    <xf numFmtId="169" fontId="7" fillId="0" borderId="9" xfId="1" applyNumberFormat="1" applyFont="1" applyFill="1" applyBorder="1" applyAlignment="1">
      <alignment horizontal="center" vertical="center" wrapText="1"/>
    </xf>
    <xf numFmtId="169" fontId="7" fillId="0" borderId="8" xfId="1" applyNumberFormat="1" applyFont="1" applyFill="1" applyBorder="1" applyAlignment="1">
      <alignment horizontal="center" vertical="center" wrapText="1"/>
    </xf>
    <xf numFmtId="2" fontId="7" fillId="0" borderId="9" xfId="1" applyNumberFormat="1" applyFont="1" applyFill="1" applyBorder="1" applyAlignment="1">
      <alignment horizontal="center" vertical="center" wrapText="1"/>
    </xf>
    <xf numFmtId="2" fontId="7" fillId="0" borderId="8" xfId="1" applyNumberFormat="1" applyFont="1" applyFill="1" applyBorder="1" applyAlignment="1">
      <alignment horizontal="center" vertical="center" wrapText="1"/>
    </xf>
    <xf numFmtId="0" fontId="11" fillId="8" borderId="24" xfId="0" applyFont="1" applyFill="1" applyBorder="1" applyAlignment="1">
      <alignment horizontal="center" vertical="center" wrapText="1"/>
    </xf>
    <xf numFmtId="1" fontId="3" fillId="0" borderId="1" xfId="0" applyNumberFormat="1" applyFont="1" applyBorder="1" applyAlignment="1">
      <alignment horizontal="center" vertical="center" wrapText="1"/>
    </xf>
    <xf numFmtId="0" fontId="0" fillId="0" borderId="9"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23" xfId="5" applyFont="1" applyBorder="1" applyAlignment="1">
      <alignment horizontal="center" vertical="center"/>
    </xf>
    <xf numFmtId="0" fontId="37" fillId="0" borderId="25" xfId="5" applyFont="1" applyBorder="1" applyAlignment="1">
      <alignment horizontal="center" vertical="center"/>
    </xf>
    <xf numFmtId="0" fontId="37" fillId="0" borderId="29" xfId="5" applyFont="1" applyBorder="1" applyAlignment="1">
      <alignment horizontal="center" vertical="center"/>
    </xf>
    <xf numFmtId="0" fontId="37" fillId="9" borderId="54" xfId="0" applyFont="1" applyFill="1" applyBorder="1" applyAlignment="1">
      <alignment horizontal="center" vertical="center" wrapText="1"/>
    </xf>
    <xf numFmtId="0" fontId="37" fillId="9" borderId="55" xfId="0" applyFont="1" applyFill="1" applyBorder="1" applyAlignment="1">
      <alignment horizontal="center" vertical="center"/>
    </xf>
    <xf numFmtId="0" fontId="37" fillId="9" borderId="56" xfId="0" applyFont="1" applyFill="1" applyBorder="1" applyAlignment="1">
      <alignment horizontal="center" vertical="center"/>
    </xf>
    <xf numFmtId="0" fontId="37" fillId="9" borderId="58" xfId="0" applyFont="1" applyFill="1" applyBorder="1" applyAlignment="1">
      <alignment horizontal="center" vertical="center"/>
    </xf>
    <xf numFmtId="0" fontId="37" fillId="9" borderId="0" xfId="0" applyFont="1" applyFill="1" applyAlignment="1">
      <alignment horizontal="center" vertical="center"/>
    </xf>
    <xf numFmtId="0" fontId="37" fillId="9" borderId="59" xfId="0" applyFont="1" applyFill="1" applyBorder="1" applyAlignment="1">
      <alignment horizontal="center" vertical="center"/>
    </xf>
    <xf numFmtId="0" fontId="37" fillId="0" borderId="53" xfId="5" applyFont="1" applyBorder="1" applyAlignment="1">
      <alignment horizontal="center" vertical="center" wrapText="1"/>
    </xf>
    <xf numFmtId="0" fontId="37" fillId="0" borderId="57" xfId="5" applyFont="1" applyBorder="1" applyAlignment="1">
      <alignment horizontal="center" vertical="center" wrapText="1"/>
    </xf>
    <xf numFmtId="0" fontId="37" fillId="0" borderId="60" xfId="5" applyFont="1" applyBorder="1" applyAlignment="1">
      <alignment horizontal="center" vertical="center" wrapText="1"/>
    </xf>
    <xf numFmtId="0" fontId="37" fillId="9" borderId="66" xfId="0" applyFont="1" applyFill="1" applyBorder="1" applyAlignment="1">
      <alignment horizontal="center" vertical="center" wrapText="1"/>
    </xf>
    <xf numFmtId="0" fontId="37" fillId="9" borderId="37" xfId="0" applyFont="1" applyFill="1" applyBorder="1" applyAlignment="1">
      <alignment horizontal="center" vertical="center"/>
    </xf>
    <xf numFmtId="0" fontId="37" fillId="9" borderId="38" xfId="0" applyFont="1" applyFill="1" applyBorder="1" applyAlignment="1">
      <alignment horizontal="center" vertical="center"/>
    </xf>
    <xf numFmtId="0" fontId="37" fillId="9" borderId="34" xfId="0" applyFont="1" applyFill="1" applyBorder="1" applyAlignment="1">
      <alignment horizontal="center" vertical="center"/>
    </xf>
    <xf numFmtId="0" fontId="37" fillId="9" borderId="64" xfId="0" applyFont="1" applyFill="1" applyBorder="1" applyAlignment="1">
      <alignment horizontal="center" vertical="center"/>
    </xf>
    <xf numFmtId="0" fontId="37" fillId="9" borderId="67" xfId="0" applyFont="1" applyFill="1" applyBorder="1" applyAlignment="1">
      <alignment horizontal="center" vertical="center"/>
    </xf>
    <xf numFmtId="0" fontId="37" fillId="9" borderId="68" xfId="0" applyFont="1" applyFill="1" applyBorder="1" applyAlignment="1">
      <alignment horizontal="center" vertical="center"/>
    </xf>
    <xf numFmtId="0" fontId="37" fillId="9" borderId="69" xfId="0" applyFont="1" applyFill="1" applyBorder="1" applyAlignment="1">
      <alignment horizontal="center" vertical="center"/>
    </xf>
    <xf numFmtId="0" fontId="42" fillId="9" borderId="54" xfId="0" applyFont="1" applyFill="1" applyBorder="1" applyAlignment="1">
      <alignment horizontal="center" vertical="center" wrapText="1"/>
    </xf>
    <xf numFmtId="0" fontId="42" fillId="9" borderId="55" xfId="0" applyFont="1" applyFill="1" applyBorder="1" applyAlignment="1">
      <alignment horizontal="center" vertical="center"/>
    </xf>
    <xf numFmtId="0" fontId="42" fillId="9" borderId="56" xfId="0" applyFont="1" applyFill="1" applyBorder="1" applyAlignment="1">
      <alignment horizontal="center" vertical="center"/>
    </xf>
    <xf numFmtId="0" fontId="42" fillId="9" borderId="58" xfId="0" applyFont="1" applyFill="1" applyBorder="1" applyAlignment="1">
      <alignment horizontal="center" vertical="center"/>
    </xf>
    <xf numFmtId="0" fontId="42" fillId="9" borderId="0" xfId="0" applyFont="1" applyFill="1" applyAlignment="1">
      <alignment horizontal="center" vertical="center"/>
    </xf>
    <xf numFmtId="0" fontId="42" fillId="9" borderId="59" xfId="0" applyFont="1" applyFill="1" applyBorder="1" applyAlignment="1">
      <alignment horizontal="center" vertical="center"/>
    </xf>
    <xf numFmtId="0" fontId="37" fillId="0" borderId="53" xfId="5" applyFont="1" applyBorder="1" applyAlignment="1">
      <alignment horizontal="center" vertical="center"/>
    </xf>
    <xf numFmtId="0" fontId="37" fillId="0" borderId="57" xfId="5" applyFont="1" applyBorder="1" applyAlignment="1">
      <alignment horizontal="center" vertical="center"/>
    </xf>
    <xf numFmtId="0" fontId="37" fillId="0" borderId="60" xfId="5" applyFont="1" applyBorder="1" applyAlignment="1">
      <alignment horizontal="center" vertical="center"/>
    </xf>
    <xf numFmtId="0" fontId="40" fillId="9" borderId="54" xfId="0" applyFont="1" applyFill="1" applyBorder="1" applyAlignment="1">
      <alignment horizontal="center" vertical="center" wrapText="1"/>
    </xf>
    <xf numFmtId="0" fontId="40" fillId="9" borderId="55" xfId="0" applyFont="1" applyFill="1" applyBorder="1" applyAlignment="1">
      <alignment horizontal="center" vertical="center" wrapText="1"/>
    </xf>
    <xf numFmtId="0" fontId="40" fillId="9" borderId="56" xfId="0" applyFont="1" applyFill="1" applyBorder="1" applyAlignment="1">
      <alignment horizontal="center" vertical="center" wrapText="1"/>
    </xf>
    <xf numFmtId="0" fontId="40" fillId="9" borderId="58" xfId="0" applyFont="1" applyFill="1" applyBorder="1" applyAlignment="1">
      <alignment horizontal="center" vertical="center" wrapText="1"/>
    </xf>
    <xf numFmtId="0" fontId="40" fillId="9" borderId="0" xfId="0" applyFont="1" applyFill="1" applyAlignment="1">
      <alignment horizontal="center" vertical="center" wrapText="1"/>
    </xf>
    <xf numFmtId="0" fontId="40" fillId="9" borderId="59" xfId="0" applyFont="1" applyFill="1" applyBorder="1" applyAlignment="1">
      <alignment horizontal="center" vertical="center" wrapText="1"/>
    </xf>
    <xf numFmtId="0" fontId="37" fillId="9" borderId="63" xfId="0" applyFont="1" applyFill="1" applyBorder="1" applyAlignment="1">
      <alignment horizontal="center" vertical="center"/>
    </xf>
    <xf numFmtId="0" fontId="37" fillId="9" borderId="61" xfId="0" applyFont="1" applyFill="1" applyBorder="1" applyAlignment="1">
      <alignment horizontal="center" vertical="center"/>
    </xf>
    <xf numFmtId="0" fontId="37" fillId="9" borderId="62" xfId="0" applyFont="1" applyFill="1" applyBorder="1" applyAlignment="1">
      <alignment horizontal="center" vertical="center"/>
    </xf>
    <xf numFmtId="0" fontId="37" fillId="9" borderId="65" xfId="0" applyFont="1" applyFill="1" applyBorder="1" applyAlignment="1">
      <alignment horizontal="center" vertical="center"/>
    </xf>
    <xf numFmtId="0" fontId="42" fillId="9" borderId="55" xfId="0" applyFont="1" applyFill="1" applyBorder="1" applyAlignment="1">
      <alignment horizontal="center" vertical="center" wrapText="1"/>
    </xf>
    <xf numFmtId="0" fontId="42" fillId="9" borderId="63" xfId="0" applyFont="1" applyFill="1" applyBorder="1" applyAlignment="1">
      <alignment horizontal="center" vertical="center" wrapText="1"/>
    </xf>
    <xf numFmtId="0" fontId="42" fillId="9" borderId="58" xfId="0" applyFont="1" applyFill="1" applyBorder="1" applyAlignment="1">
      <alignment horizontal="center" vertical="center" wrapText="1"/>
    </xf>
    <xf numFmtId="0" fontId="42" fillId="9" borderId="0" xfId="0" applyFont="1" applyFill="1" applyAlignment="1">
      <alignment horizontal="center" vertical="center" wrapText="1"/>
    </xf>
    <xf numFmtId="0" fontId="42" fillId="9" borderId="64" xfId="0" applyFont="1" applyFill="1" applyBorder="1" applyAlignment="1">
      <alignment horizontal="center" vertical="center" wrapText="1"/>
    </xf>
    <xf numFmtId="0" fontId="42" fillId="9" borderId="61" xfId="0" applyFont="1" applyFill="1" applyBorder="1" applyAlignment="1">
      <alignment horizontal="center" vertical="center" wrapText="1"/>
    </xf>
    <xf numFmtId="0" fontId="42" fillId="9" borderId="62" xfId="0" applyFont="1" applyFill="1" applyBorder="1" applyAlignment="1">
      <alignment horizontal="center" vertical="center" wrapText="1"/>
    </xf>
    <xf numFmtId="0" fontId="42" fillId="9" borderId="65" xfId="0" applyFont="1" applyFill="1" applyBorder="1" applyAlignment="1">
      <alignment horizontal="center" vertical="center" wrapText="1"/>
    </xf>
    <xf numFmtId="0" fontId="42" fillId="9" borderId="54" xfId="0" applyFont="1" applyFill="1" applyBorder="1" applyAlignment="1">
      <alignment horizontal="center" vertical="top" wrapText="1"/>
    </xf>
    <xf numFmtId="0" fontId="42" fillId="9" borderId="55" xfId="0" applyFont="1" applyFill="1" applyBorder="1" applyAlignment="1">
      <alignment horizontal="center" vertical="top" wrapText="1"/>
    </xf>
    <xf numFmtId="0" fontId="42" fillId="9" borderId="63" xfId="0" applyFont="1" applyFill="1" applyBorder="1" applyAlignment="1">
      <alignment horizontal="center" vertical="top" wrapText="1"/>
    </xf>
    <xf numFmtId="0" fontId="42" fillId="9" borderId="58" xfId="0" applyFont="1" applyFill="1" applyBorder="1" applyAlignment="1">
      <alignment horizontal="center" vertical="top" wrapText="1"/>
    </xf>
    <xf numFmtId="0" fontId="42" fillId="9" borderId="0" xfId="0" applyFont="1" applyFill="1" applyAlignment="1">
      <alignment horizontal="center" vertical="top" wrapText="1"/>
    </xf>
    <xf numFmtId="0" fontId="42" fillId="9" borderId="64" xfId="0" applyFont="1" applyFill="1" applyBorder="1" applyAlignment="1">
      <alignment horizontal="center" vertical="top" wrapText="1"/>
    </xf>
    <xf numFmtId="0" fontId="42" fillId="9" borderId="61" xfId="0" applyFont="1" applyFill="1" applyBorder="1" applyAlignment="1">
      <alignment horizontal="center" vertical="top" wrapText="1"/>
    </xf>
    <xf numFmtId="0" fontId="42" fillId="9" borderId="62" xfId="0" applyFont="1" applyFill="1" applyBorder="1" applyAlignment="1">
      <alignment horizontal="center" vertical="top" wrapText="1"/>
    </xf>
    <xf numFmtId="0" fontId="42" fillId="9" borderId="65" xfId="0" applyFont="1" applyFill="1" applyBorder="1" applyAlignment="1">
      <alignment horizontal="center" vertical="top" wrapText="1"/>
    </xf>
    <xf numFmtId="0" fontId="42" fillId="9" borderId="59" xfId="0" applyFont="1" applyFill="1" applyBorder="1" applyAlignment="1">
      <alignment horizontal="center" vertical="top" wrapText="1"/>
    </xf>
    <xf numFmtId="0" fontId="37" fillId="9" borderId="66" xfId="0" applyFont="1" applyFill="1" applyBorder="1" applyAlignment="1">
      <alignment horizontal="center" vertical="center"/>
    </xf>
    <xf numFmtId="0" fontId="38" fillId="9" borderId="54" xfId="0" applyFont="1" applyFill="1" applyBorder="1" applyAlignment="1">
      <alignment horizontal="center" vertical="center" wrapText="1"/>
    </xf>
    <xf numFmtId="0" fontId="39" fillId="9" borderId="55" xfId="0" applyFont="1" applyFill="1" applyBorder="1" applyAlignment="1">
      <alignment horizontal="center" vertical="center" wrapText="1"/>
    </xf>
    <xf numFmtId="0" fontId="39" fillId="9" borderId="56" xfId="0" applyFont="1" applyFill="1" applyBorder="1" applyAlignment="1">
      <alignment horizontal="center" vertical="center" wrapText="1"/>
    </xf>
    <xf numFmtId="0" fontId="39" fillId="9" borderId="58" xfId="0" applyFont="1" applyFill="1" applyBorder="1" applyAlignment="1">
      <alignment horizontal="center" vertical="center" wrapText="1"/>
    </xf>
    <xf numFmtId="0" fontId="39" fillId="9" borderId="0" xfId="0" applyFont="1" applyFill="1" applyAlignment="1">
      <alignment horizontal="center" vertical="center" wrapText="1"/>
    </xf>
    <xf numFmtId="0" fontId="39" fillId="9" borderId="59" xfId="0" applyFont="1" applyFill="1" applyBorder="1" applyAlignment="1">
      <alignment horizontal="center" vertical="center" wrapText="1"/>
    </xf>
    <xf numFmtId="0" fontId="35" fillId="0" borderId="71" xfId="5" applyFont="1" applyBorder="1" applyAlignment="1">
      <alignment horizontal="center" vertical="center" wrapText="1"/>
    </xf>
    <xf numFmtId="0" fontId="35" fillId="0" borderId="72" xfId="5" applyFont="1" applyBorder="1" applyAlignment="1">
      <alignment horizontal="center" vertical="center" wrapText="1"/>
    </xf>
    <xf numFmtId="0" fontId="35" fillId="0" borderId="70" xfId="5" applyFont="1" applyBorder="1" applyAlignment="1">
      <alignment horizontal="center" vertical="center" wrapText="1"/>
    </xf>
  </cellXfs>
  <cellStyles count="33">
    <cellStyle name="Bueno" xfId="2" builtinId="26"/>
    <cellStyle name="Millares [0] 5 2" xfId="23" xr:uid="{D8A1AAEB-5E3E-463B-88C4-3DAE7C2E0E00}"/>
    <cellStyle name="Millares 2" xfId="11" xr:uid="{01F99FA8-DAFB-4FE8-B523-149DFBB4684C}"/>
    <cellStyle name="Millares 2 2" xfId="13" xr:uid="{14E4F9B6-2667-40CF-9210-60FB552A727A}"/>
    <cellStyle name="Millares 3" xfId="19" xr:uid="{BDFC6A0F-9415-4F93-B5A4-6FFD6D2076E9}"/>
    <cellStyle name="Moneda [0]" xfId="1" builtinId="7"/>
    <cellStyle name="Moneda [0] 2" xfId="12" xr:uid="{6B5883F0-0760-49B4-BD06-F654357D5C56}"/>
    <cellStyle name="Moneda [0] 3" xfId="32" xr:uid="{C871E1F7-4BF0-4AF8-94E6-D085915CE2BB}"/>
    <cellStyle name="Moneda 2" xfId="10" xr:uid="{E1417681-665A-45F0-9727-9D29A7CF8D67}"/>
    <cellStyle name="Moneda 2 2 2 2 2" xfId="17" xr:uid="{766F171D-D67C-4385-A1A0-D6C7F657FDB5}"/>
    <cellStyle name="Moneda 3" xfId="28" xr:uid="{DCE8EC34-CB0E-4E8D-92C9-5B0AD054B40F}"/>
    <cellStyle name="Moneda 3 2 2" xfId="26" xr:uid="{79E785B5-D127-45E9-89C9-5BC0149919FB}"/>
    <cellStyle name="Moneda 4" xfId="21" xr:uid="{837CB935-C388-41B3-89A8-225D08D76581}"/>
    <cellStyle name="Moneda 4 4" xfId="27" xr:uid="{92725DEA-BF15-4720-BBDB-F8BB4145CF6C}"/>
    <cellStyle name="Normal" xfId="0" builtinId="0"/>
    <cellStyle name="Normal 2" xfId="3" xr:uid="{00000000-0005-0000-0000-000003000000}"/>
    <cellStyle name="Normal 2 10 2 2" xfId="29" xr:uid="{B5FDA55A-F6F0-4C4D-BCE7-1413724EAB9A}"/>
    <cellStyle name="Normal 2 10 3" xfId="9" xr:uid="{2BE23107-3B69-4D1E-9A82-E1A1ECBF5965}"/>
    <cellStyle name="Normal 2 2" xfId="5" xr:uid="{00000000-0005-0000-0000-000004000000}"/>
    <cellStyle name="Normal 2 2 2" xfId="8" xr:uid="{5BB5D6A5-75D8-4AEC-841C-1D83B1A07B9A}"/>
    <cellStyle name="Normal 3" xfId="6" xr:uid="{0CB4C113-8236-46D5-B39E-1B9C777D039C}"/>
    <cellStyle name="Normal 3 11" xfId="7" xr:uid="{D48832C1-7970-49DD-B8BD-326353C078E8}"/>
    <cellStyle name="Normal 3 11 3" xfId="18" xr:uid="{4A662A4B-8778-4CFD-9DD6-2CA20DE6EE5F}"/>
    <cellStyle name="Normal 3 2" xfId="14" xr:uid="{614FDDE2-FE0F-455D-ABF4-CF0577F9EF88}"/>
    <cellStyle name="Normal 3 2 2" xfId="15" xr:uid="{2FF8D4D6-3870-4D9F-9FE9-CFDE531D98C3}"/>
    <cellStyle name="Normal 3 4 2" xfId="24" xr:uid="{5C9588DD-507B-4C99-89B8-544776FE0998}"/>
    <cellStyle name="Normal 3 5" xfId="20" xr:uid="{34EBE6F1-C9E9-4DCB-89CD-C93D7E83909A}"/>
    <cellStyle name="Normal 9 2" xfId="22" xr:uid="{6D9F7BB1-1026-440F-BADE-F37560BF5D54}"/>
    <cellStyle name="Normal 9 2 3" xfId="31" xr:uid="{52FE0932-173A-4A55-AC8E-35AE56D31D9D}"/>
    <cellStyle name="Porcentaje" xfId="4" builtinId="5"/>
    <cellStyle name="Porcentaje 2" xfId="16" xr:uid="{561A5D7F-CE35-42BF-BAD7-EFBDF8039117}"/>
    <cellStyle name="Porcentaje 2 2" xfId="30" xr:uid="{3472A543-EA2A-4F74-B5B3-D4605EB73185}"/>
    <cellStyle name="Porcentaje 3" xfId="25" xr:uid="{EA71F811-5334-4594-9ECA-D3186688708E}"/>
  </cellStyles>
  <dxfs count="1260">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ont>
        <color rgb="FF9C0006"/>
      </font>
      <fill>
        <patternFill>
          <bgColor rgb="FFFFC7CE"/>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 Type="http://schemas.openxmlformats.org/officeDocument/2006/relationships/image" Target="../media/image4.JP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2" Type="http://schemas.openxmlformats.org/officeDocument/2006/relationships/image" Target="../media/image3.JP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JP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JP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2</xdr:row>
      <xdr:rowOff>3029</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367391</xdr:colOff>
      <xdr:row>1</xdr:row>
      <xdr:rowOff>176894</xdr:rowOff>
    </xdr:from>
    <xdr:to>
      <xdr:col>1</xdr:col>
      <xdr:colOff>2789464</xdr:colOff>
      <xdr:row>2</xdr:row>
      <xdr:rowOff>127720</xdr:rowOff>
    </xdr:to>
    <xdr:pic>
      <xdr:nvPicPr>
        <xdr:cNvPr id="2" name="Imagen 1">
          <a:extLst>
            <a:ext uri="{FF2B5EF4-FFF2-40B4-BE49-F238E27FC236}">
              <a16:creationId xmlns:a16="http://schemas.microsoft.com/office/drawing/2014/main" id="{7284BD5A-4410-4238-8161-7971124EA18C}"/>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67394"/>
          <a:ext cx="2803073" cy="9033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224220</xdr:colOff>
      <xdr:row>3</xdr:row>
      <xdr:rowOff>202425</xdr:rowOff>
    </xdr:from>
    <xdr:to>
      <xdr:col>1</xdr:col>
      <xdr:colOff>2768015</xdr:colOff>
      <xdr:row>4</xdr:row>
      <xdr:rowOff>357162</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4220" y="814746"/>
          <a:ext cx="2965616" cy="10936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2945815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121228</xdr:colOff>
      <xdr:row>119</xdr:row>
      <xdr:rowOff>138545</xdr:rowOff>
    </xdr:from>
    <xdr:to>
      <xdr:col>13</xdr:col>
      <xdr:colOff>130753</xdr:colOff>
      <xdr:row>140</xdr:row>
      <xdr:rowOff>148070</xdr:rowOff>
    </xdr:to>
    <xdr:pic>
      <xdr:nvPicPr>
        <xdr:cNvPr id="2" name="Imagen 1">
          <a:extLst>
            <a:ext uri="{FF2B5EF4-FFF2-40B4-BE49-F238E27FC236}">
              <a16:creationId xmlns:a16="http://schemas.microsoft.com/office/drawing/2014/main" id="{CDC662D5-6DDD-44E4-BCAD-C940A8688D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87046" y="23639318"/>
          <a:ext cx="7629525" cy="4010025"/>
        </a:xfrm>
        <a:prstGeom prst="rect">
          <a:avLst/>
        </a:prstGeom>
      </xdr:spPr>
    </xdr:pic>
    <xdr:clientData/>
  </xdr:twoCellAnchor>
  <xdr:twoCellAnchor editAs="oneCell">
    <xdr:from>
      <xdr:col>3</xdr:col>
      <xdr:colOff>69272</xdr:colOff>
      <xdr:row>143</xdr:row>
      <xdr:rowOff>34636</xdr:rowOff>
    </xdr:from>
    <xdr:to>
      <xdr:col>13</xdr:col>
      <xdr:colOff>145472</xdr:colOff>
      <xdr:row>163</xdr:row>
      <xdr:rowOff>167986</xdr:rowOff>
    </xdr:to>
    <xdr:pic>
      <xdr:nvPicPr>
        <xdr:cNvPr id="3" name="Imagen 2">
          <a:extLst>
            <a:ext uri="{FF2B5EF4-FFF2-40B4-BE49-F238E27FC236}">
              <a16:creationId xmlns:a16="http://schemas.microsoft.com/office/drawing/2014/main" id="{0A852175-DC18-454C-BAFE-145D329280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35090" y="28124727"/>
          <a:ext cx="7696200" cy="3943350"/>
        </a:xfrm>
        <a:prstGeom prst="rect">
          <a:avLst/>
        </a:prstGeom>
      </xdr:spPr>
    </xdr:pic>
    <xdr:clientData/>
  </xdr:twoCellAnchor>
  <xdr:twoCellAnchor editAs="oneCell">
    <xdr:from>
      <xdr:col>3</xdr:col>
      <xdr:colOff>34636</xdr:colOff>
      <xdr:row>165</xdr:row>
      <xdr:rowOff>121227</xdr:rowOff>
    </xdr:from>
    <xdr:to>
      <xdr:col>13</xdr:col>
      <xdr:colOff>63211</xdr:colOff>
      <xdr:row>187</xdr:row>
      <xdr:rowOff>92652</xdr:rowOff>
    </xdr:to>
    <xdr:pic>
      <xdr:nvPicPr>
        <xdr:cNvPr id="4" name="Imagen 3">
          <a:extLst>
            <a:ext uri="{FF2B5EF4-FFF2-40B4-BE49-F238E27FC236}">
              <a16:creationId xmlns:a16="http://schemas.microsoft.com/office/drawing/2014/main" id="{2B87451C-3C34-4C62-A00A-D303B8BFBD7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100454" y="32419636"/>
          <a:ext cx="7648575" cy="4162425"/>
        </a:xfrm>
        <a:prstGeom prst="rect">
          <a:avLst/>
        </a:prstGeom>
      </xdr:spPr>
    </xdr:pic>
    <xdr:clientData/>
  </xdr:twoCellAnchor>
  <xdr:twoCellAnchor editAs="oneCell">
    <xdr:from>
      <xdr:col>3</xdr:col>
      <xdr:colOff>0</xdr:colOff>
      <xdr:row>188</xdr:row>
      <xdr:rowOff>86591</xdr:rowOff>
    </xdr:from>
    <xdr:to>
      <xdr:col>13</xdr:col>
      <xdr:colOff>85725</xdr:colOff>
      <xdr:row>210</xdr:row>
      <xdr:rowOff>10391</xdr:rowOff>
    </xdr:to>
    <xdr:pic>
      <xdr:nvPicPr>
        <xdr:cNvPr id="5" name="Imagen 4">
          <a:extLst>
            <a:ext uri="{FF2B5EF4-FFF2-40B4-BE49-F238E27FC236}">
              <a16:creationId xmlns:a16="http://schemas.microsoft.com/office/drawing/2014/main" id="{695EC79F-0C90-4C14-9AFD-BB7349E2BF4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065818" y="36783818"/>
          <a:ext cx="7705725" cy="4114800"/>
        </a:xfrm>
        <a:prstGeom prst="rect">
          <a:avLst/>
        </a:prstGeom>
      </xdr:spPr>
    </xdr:pic>
    <xdr:clientData/>
  </xdr:twoCellAnchor>
  <xdr:twoCellAnchor editAs="oneCell">
    <xdr:from>
      <xdr:col>2</xdr:col>
      <xdr:colOff>294408</xdr:colOff>
      <xdr:row>395</xdr:row>
      <xdr:rowOff>86591</xdr:rowOff>
    </xdr:from>
    <xdr:to>
      <xdr:col>13</xdr:col>
      <xdr:colOff>606135</xdr:colOff>
      <xdr:row>417</xdr:row>
      <xdr:rowOff>104050</xdr:rowOff>
    </xdr:to>
    <xdr:pic>
      <xdr:nvPicPr>
        <xdr:cNvPr id="6" name="Imagen 5">
          <a:extLst>
            <a:ext uri="{FF2B5EF4-FFF2-40B4-BE49-F238E27FC236}">
              <a16:creationId xmlns:a16="http://schemas.microsoft.com/office/drawing/2014/main" id="{138FA580-0006-41DE-8AC9-F56920766588}"/>
            </a:ext>
          </a:extLst>
        </xdr:cNvPr>
        <xdr:cNvPicPr>
          <a:picLocks noChangeAspect="1"/>
        </xdr:cNvPicPr>
      </xdr:nvPicPr>
      <xdr:blipFill>
        <a:blip xmlns:r="http://schemas.openxmlformats.org/officeDocument/2006/relationships" r:embed="rId5"/>
        <a:stretch>
          <a:fillRect/>
        </a:stretch>
      </xdr:blipFill>
      <xdr:spPr>
        <a:xfrm>
          <a:off x="6598226" y="76373182"/>
          <a:ext cx="8693727" cy="4208459"/>
        </a:xfrm>
        <a:prstGeom prst="rect">
          <a:avLst/>
        </a:prstGeom>
      </xdr:spPr>
    </xdr:pic>
    <xdr:clientData/>
  </xdr:twoCellAnchor>
  <xdr:twoCellAnchor editAs="oneCell">
    <xdr:from>
      <xdr:col>2</xdr:col>
      <xdr:colOff>329045</xdr:colOff>
      <xdr:row>418</xdr:row>
      <xdr:rowOff>103909</xdr:rowOff>
    </xdr:from>
    <xdr:to>
      <xdr:col>13</xdr:col>
      <xdr:colOff>588818</xdr:colOff>
      <xdr:row>440</xdr:row>
      <xdr:rowOff>78437</xdr:rowOff>
    </xdr:to>
    <xdr:pic>
      <xdr:nvPicPr>
        <xdr:cNvPr id="7" name="Imagen 6">
          <a:extLst>
            <a:ext uri="{FF2B5EF4-FFF2-40B4-BE49-F238E27FC236}">
              <a16:creationId xmlns:a16="http://schemas.microsoft.com/office/drawing/2014/main" id="{77A0033C-EEBA-4727-AE4E-B18F8896751C}"/>
            </a:ext>
          </a:extLst>
        </xdr:cNvPr>
        <xdr:cNvPicPr>
          <a:picLocks noChangeAspect="1"/>
        </xdr:cNvPicPr>
      </xdr:nvPicPr>
      <xdr:blipFill>
        <a:blip xmlns:r="http://schemas.openxmlformats.org/officeDocument/2006/relationships" r:embed="rId6"/>
        <a:stretch>
          <a:fillRect/>
        </a:stretch>
      </xdr:blipFill>
      <xdr:spPr>
        <a:xfrm>
          <a:off x="6632863" y="80789318"/>
          <a:ext cx="8641773" cy="4165528"/>
        </a:xfrm>
        <a:prstGeom prst="rect">
          <a:avLst/>
        </a:prstGeom>
      </xdr:spPr>
    </xdr:pic>
    <xdr:clientData/>
  </xdr:twoCellAnchor>
  <xdr:twoCellAnchor editAs="oneCell">
    <xdr:from>
      <xdr:col>2</xdr:col>
      <xdr:colOff>259771</xdr:colOff>
      <xdr:row>464</xdr:row>
      <xdr:rowOff>138545</xdr:rowOff>
    </xdr:from>
    <xdr:to>
      <xdr:col>13</xdr:col>
      <xdr:colOff>571500</xdr:colOff>
      <xdr:row>486</xdr:row>
      <xdr:rowOff>77810</xdr:rowOff>
    </xdr:to>
    <xdr:pic>
      <xdr:nvPicPr>
        <xdr:cNvPr id="8" name="Imagen 7">
          <a:extLst>
            <a:ext uri="{FF2B5EF4-FFF2-40B4-BE49-F238E27FC236}">
              <a16:creationId xmlns:a16="http://schemas.microsoft.com/office/drawing/2014/main" id="{57358309-6808-4CC1-9794-2A19CA127190}"/>
            </a:ext>
          </a:extLst>
        </xdr:cNvPr>
        <xdr:cNvPicPr>
          <a:picLocks noChangeAspect="1"/>
        </xdr:cNvPicPr>
      </xdr:nvPicPr>
      <xdr:blipFill>
        <a:blip xmlns:r="http://schemas.openxmlformats.org/officeDocument/2006/relationships" r:embed="rId7"/>
        <a:stretch>
          <a:fillRect/>
        </a:stretch>
      </xdr:blipFill>
      <xdr:spPr>
        <a:xfrm>
          <a:off x="6563589" y="89621590"/>
          <a:ext cx="8693729" cy="4130265"/>
        </a:xfrm>
        <a:prstGeom prst="rect">
          <a:avLst/>
        </a:prstGeom>
      </xdr:spPr>
    </xdr:pic>
    <xdr:clientData/>
  </xdr:twoCellAnchor>
  <xdr:twoCellAnchor editAs="oneCell">
    <xdr:from>
      <xdr:col>2</xdr:col>
      <xdr:colOff>401051</xdr:colOff>
      <xdr:row>510</xdr:row>
      <xdr:rowOff>116974</xdr:rowOff>
    </xdr:from>
    <xdr:to>
      <xdr:col>13</xdr:col>
      <xdr:colOff>319229</xdr:colOff>
      <xdr:row>532</xdr:row>
      <xdr:rowOff>33421</xdr:rowOff>
    </xdr:to>
    <xdr:pic>
      <xdr:nvPicPr>
        <xdr:cNvPr id="9" name="Imagen 8">
          <a:extLst>
            <a:ext uri="{FF2B5EF4-FFF2-40B4-BE49-F238E27FC236}">
              <a16:creationId xmlns:a16="http://schemas.microsoft.com/office/drawing/2014/main" id="{80A090BC-06D1-4D10-98D5-D5199683ACB4}"/>
            </a:ext>
          </a:extLst>
        </xdr:cNvPr>
        <xdr:cNvPicPr>
          <a:picLocks noChangeAspect="1"/>
        </xdr:cNvPicPr>
      </xdr:nvPicPr>
      <xdr:blipFill>
        <a:blip xmlns:r="http://schemas.openxmlformats.org/officeDocument/2006/relationships" r:embed="rId8"/>
        <a:stretch>
          <a:fillRect/>
        </a:stretch>
      </xdr:blipFill>
      <xdr:spPr>
        <a:xfrm>
          <a:off x="6700919" y="96336185"/>
          <a:ext cx="8373705" cy="3960394"/>
        </a:xfrm>
        <a:prstGeom prst="rect">
          <a:avLst/>
        </a:prstGeom>
      </xdr:spPr>
    </xdr:pic>
    <xdr:clientData/>
  </xdr:twoCellAnchor>
  <xdr:twoCellAnchor editAs="oneCell">
    <xdr:from>
      <xdr:col>3</xdr:col>
      <xdr:colOff>83552</xdr:colOff>
      <xdr:row>27</xdr:row>
      <xdr:rowOff>66843</xdr:rowOff>
    </xdr:from>
    <xdr:to>
      <xdr:col>12</xdr:col>
      <xdr:colOff>217236</xdr:colOff>
      <xdr:row>48</xdr:row>
      <xdr:rowOff>174037</xdr:rowOff>
    </xdr:to>
    <xdr:pic>
      <xdr:nvPicPr>
        <xdr:cNvPr id="10" name="Imagen 9">
          <a:extLst>
            <a:ext uri="{FF2B5EF4-FFF2-40B4-BE49-F238E27FC236}">
              <a16:creationId xmlns:a16="http://schemas.microsoft.com/office/drawing/2014/main" id="{11BDEB11-F14B-14C2-1C69-846FC005C7FF}"/>
            </a:ext>
          </a:extLst>
        </xdr:cNvPr>
        <xdr:cNvPicPr>
          <a:picLocks noChangeAspect="1"/>
        </xdr:cNvPicPr>
      </xdr:nvPicPr>
      <xdr:blipFill>
        <a:blip xmlns:r="http://schemas.openxmlformats.org/officeDocument/2006/relationships" r:embed="rId9"/>
        <a:stretch>
          <a:fillRect/>
        </a:stretch>
      </xdr:blipFill>
      <xdr:spPr>
        <a:xfrm>
          <a:off x="7152105" y="5815264"/>
          <a:ext cx="7051842" cy="3967326"/>
        </a:xfrm>
        <a:prstGeom prst="rect">
          <a:avLst/>
        </a:prstGeom>
      </xdr:spPr>
    </xdr:pic>
    <xdr:clientData/>
  </xdr:twoCellAnchor>
  <xdr:twoCellAnchor editAs="oneCell">
    <xdr:from>
      <xdr:col>3</xdr:col>
      <xdr:colOff>100263</xdr:colOff>
      <xdr:row>50</xdr:row>
      <xdr:rowOff>167105</xdr:rowOff>
    </xdr:from>
    <xdr:to>
      <xdr:col>12</xdr:col>
      <xdr:colOff>284079</xdr:colOff>
      <xdr:row>72</xdr:row>
      <xdr:rowOff>53680</xdr:rowOff>
    </xdr:to>
    <xdr:pic>
      <xdr:nvPicPr>
        <xdr:cNvPr id="11" name="Imagen 10">
          <a:extLst>
            <a:ext uri="{FF2B5EF4-FFF2-40B4-BE49-F238E27FC236}">
              <a16:creationId xmlns:a16="http://schemas.microsoft.com/office/drawing/2014/main" id="{246BD6AB-7D88-A875-9503-DADDCB9FF238}"/>
            </a:ext>
          </a:extLst>
        </xdr:cNvPr>
        <xdr:cNvPicPr>
          <a:picLocks noChangeAspect="1"/>
        </xdr:cNvPicPr>
      </xdr:nvPicPr>
      <xdr:blipFill>
        <a:blip xmlns:r="http://schemas.openxmlformats.org/officeDocument/2006/relationships" r:embed="rId10"/>
        <a:stretch>
          <a:fillRect/>
        </a:stretch>
      </xdr:blipFill>
      <xdr:spPr>
        <a:xfrm>
          <a:off x="7168816" y="10160000"/>
          <a:ext cx="7101974" cy="3930522"/>
        </a:xfrm>
        <a:prstGeom prst="rect">
          <a:avLst/>
        </a:prstGeom>
      </xdr:spPr>
    </xdr:pic>
    <xdr:clientData/>
  </xdr:twoCellAnchor>
  <xdr:twoCellAnchor editAs="oneCell">
    <xdr:from>
      <xdr:col>3</xdr:col>
      <xdr:colOff>100262</xdr:colOff>
      <xdr:row>73</xdr:row>
      <xdr:rowOff>150395</xdr:rowOff>
    </xdr:from>
    <xdr:to>
      <xdr:col>12</xdr:col>
      <xdr:colOff>317499</xdr:colOff>
      <xdr:row>95</xdr:row>
      <xdr:rowOff>75125</xdr:rowOff>
    </xdr:to>
    <xdr:pic>
      <xdr:nvPicPr>
        <xdr:cNvPr id="12" name="Imagen 11">
          <a:extLst>
            <a:ext uri="{FF2B5EF4-FFF2-40B4-BE49-F238E27FC236}">
              <a16:creationId xmlns:a16="http://schemas.microsoft.com/office/drawing/2014/main" id="{F63099F2-8429-AEF4-8F01-FF4445B6053C}"/>
            </a:ext>
          </a:extLst>
        </xdr:cNvPr>
        <xdr:cNvPicPr>
          <a:picLocks noChangeAspect="1"/>
        </xdr:cNvPicPr>
      </xdr:nvPicPr>
      <xdr:blipFill>
        <a:blip xmlns:r="http://schemas.openxmlformats.org/officeDocument/2006/relationships" r:embed="rId11"/>
        <a:stretch>
          <a:fillRect/>
        </a:stretch>
      </xdr:blipFill>
      <xdr:spPr>
        <a:xfrm>
          <a:off x="7168815" y="14387763"/>
          <a:ext cx="7135395" cy="3968678"/>
        </a:xfrm>
        <a:prstGeom prst="rect">
          <a:avLst/>
        </a:prstGeom>
      </xdr:spPr>
    </xdr:pic>
    <xdr:clientData/>
  </xdr:twoCellAnchor>
  <xdr:twoCellAnchor editAs="oneCell">
    <xdr:from>
      <xdr:col>2</xdr:col>
      <xdr:colOff>417763</xdr:colOff>
      <xdr:row>694</xdr:row>
      <xdr:rowOff>150394</xdr:rowOff>
    </xdr:from>
    <xdr:to>
      <xdr:col>13</xdr:col>
      <xdr:colOff>7294</xdr:colOff>
      <xdr:row>716</xdr:row>
      <xdr:rowOff>83552</xdr:rowOff>
    </xdr:to>
    <xdr:pic>
      <xdr:nvPicPr>
        <xdr:cNvPr id="14" name="Imagen 13">
          <a:extLst>
            <a:ext uri="{FF2B5EF4-FFF2-40B4-BE49-F238E27FC236}">
              <a16:creationId xmlns:a16="http://schemas.microsoft.com/office/drawing/2014/main" id="{1E004888-FF00-FF91-6CD3-ACEBFF1A0354}"/>
            </a:ext>
          </a:extLst>
        </xdr:cNvPr>
        <xdr:cNvPicPr>
          <a:picLocks noChangeAspect="1"/>
        </xdr:cNvPicPr>
      </xdr:nvPicPr>
      <xdr:blipFill>
        <a:blip xmlns:r="http://schemas.openxmlformats.org/officeDocument/2006/relationships" r:embed="rId12"/>
        <a:stretch>
          <a:fillRect/>
        </a:stretch>
      </xdr:blipFill>
      <xdr:spPr>
        <a:xfrm>
          <a:off x="6717631" y="130325394"/>
          <a:ext cx="8045058" cy="3977105"/>
        </a:xfrm>
        <a:prstGeom prst="rect">
          <a:avLst/>
        </a:prstGeom>
      </xdr:spPr>
    </xdr:pic>
    <xdr:clientData/>
  </xdr:twoCellAnchor>
  <xdr:twoCellAnchor editAs="oneCell">
    <xdr:from>
      <xdr:col>2</xdr:col>
      <xdr:colOff>367632</xdr:colOff>
      <xdr:row>717</xdr:row>
      <xdr:rowOff>83552</xdr:rowOff>
    </xdr:from>
    <xdr:to>
      <xdr:col>13</xdr:col>
      <xdr:colOff>166651</xdr:colOff>
      <xdr:row>739</xdr:row>
      <xdr:rowOff>33421</xdr:rowOff>
    </xdr:to>
    <xdr:pic>
      <xdr:nvPicPr>
        <xdr:cNvPr id="15" name="Imagen 14">
          <a:extLst>
            <a:ext uri="{FF2B5EF4-FFF2-40B4-BE49-F238E27FC236}">
              <a16:creationId xmlns:a16="http://schemas.microsoft.com/office/drawing/2014/main" id="{C80B27F9-4B42-832B-6585-8E8CDDB1F942}"/>
            </a:ext>
          </a:extLst>
        </xdr:cNvPr>
        <xdr:cNvPicPr>
          <a:picLocks noChangeAspect="1"/>
        </xdr:cNvPicPr>
      </xdr:nvPicPr>
      <xdr:blipFill>
        <a:blip xmlns:r="http://schemas.openxmlformats.org/officeDocument/2006/relationships" r:embed="rId13"/>
        <a:stretch>
          <a:fillRect/>
        </a:stretch>
      </xdr:blipFill>
      <xdr:spPr>
        <a:xfrm>
          <a:off x="6667500" y="134503026"/>
          <a:ext cx="8254546" cy="3993816"/>
        </a:xfrm>
        <a:prstGeom prst="rect">
          <a:avLst/>
        </a:prstGeom>
      </xdr:spPr>
    </xdr:pic>
    <xdr:clientData/>
  </xdr:twoCellAnchor>
  <xdr:twoCellAnchor editAs="oneCell">
    <xdr:from>
      <xdr:col>2</xdr:col>
      <xdr:colOff>66841</xdr:colOff>
      <xdr:row>740</xdr:row>
      <xdr:rowOff>167105</xdr:rowOff>
    </xdr:from>
    <xdr:to>
      <xdr:col>13</xdr:col>
      <xdr:colOff>517751</xdr:colOff>
      <xdr:row>761</xdr:row>
      <xdr:rowOff>100263</xdr:rowOff>
    </xdr:to>
    <xdr:pic>
      <xdr:nvPicPr>
        <xdr:cNvPr id="16" name="Imagen 15">
          <a:extLst>
            <a:ext uri="{FF2B5EF4-FFF2-40B4-BE49-F238E27FC236}">
              <a16:creationId xmlns:a16="http://schemas.microsoft.com/office/drawing/2014/main" id="{10D75F05-3C4B-05B5-5B72-09FC17FFBEF8}"/>
            </a:ext>
          </a:extLst>
        </xdr:cNvPr>
        <xdr:cNvPicPr>
          <a:picLocks noChangeAspect="1"/>
        </xdr:cNvPicPr>
      </xdr:nvPicPr>
      <xdr:blipFill>
        <a:blip xmlns:r="http://schemas.openxmlformats.org/officeDocument/2006/relationships" r:embed="rId14"/>
        <a:stretch>
          <a:fillRect/>
        </a:stretch>
      </xdr:blipFill>
      <xdr:spPr>
        <a:xfrm>
          <a:off x="6366709" y="138831052"/>
          <a:ext cx="8906437" cy="3793290"/>
        </a:xfrm>
        <a:prstGeom prst="rect">
          <a:avLst/>
        </a:prstGeom>
      </xdr:spPr>
    </xdr:pic>
    <xdr:clientData/>
  </xdr:twoCellAnchor>
  <xdr:twoCellAnchor editAs="oneCell">
    <xdr:from>
      <xdr:col>3</xdr:col>
      <xdr:colOff>484606</xdr:colOff>
      <xdr:row>211</xdr:row>
      <xdr:rowOff>100263</xdr:rowOff>
    </xdr:from>
    <xdr:to>
      <xdr:col>12</xdr:col>
      <xdr:colOff>33422</xdr:colOff>
      <xdr:row>233</xdr:row>
      <xdr:rowOff>102908</xdr:rowOff>
    </xdr:to>
    <xdr:pic>
      <xdr:nvPicPr>
        <xdr:cNvPr id="17" name="Imagen 16">
          <a:extLst>
            <a:ext uri="{FF2B5EF4-FFF2-40B4-BE49-F238E27FC236}">
              <a16:creationId xmlns:a16="http://schemas.microsoft.com/office/drawing/2014/main" id="{EA04311B-E9B8-4446-85D9-D683718941EA}"/>
            </a:ext>
          </a:extLst>
        </xdr:cNvPr>
        <xdr:cNvPicPr>
          <a:picLocks noChangeAspect="1"/>
        </xdr:cNvPicPr>
      </xdr:nvPicPr>
      <xdr:blipFill>
        <a:blip xmlns:r="http://schemas.openxmlformats.org/officeDocument/2006/relationships" r:embed="rId15"/>
        <a:stretch>
          <a:fillRect/>
        </a:stretch>
      </xdr:blipFill>
      <xdr:spPr>
        <a:xfrm>
          <a:off x="7553159" y="39804474"/>
          <a:ext cx="6466974" cy="4046592"/>
        </a:xfrm>
        <a:prstGeom prst="rect">
          <a:avLst/>
        </a:prstGeom>
      </xdr:spPr>
    </xdr:pic>
    <xdr:clientData/>
  </xdr:twoCellAnchor>
  <xdr:twoCellAnchor editAs="oneCell">
    <xdr:from>
      <xdr:col>2</xdr:col>
      <xdr:colOff>267369</xdr:colOff>
      <xdr:row>280</xdr:row>
      <xdr:rowOff>33421</xdr:rowOff>
    </xdr:from>
    <xdr:to>
      <xdr:col>13</xdr:col>
      <xdr:colOff>420431</xdr:colOff>
      <xdr:row>302</xdr:row>
      <xdr:rowOff>44401</xdr:rowOff>
    </xdr:to>
    <xdr:pic>
      <xdr:nvPicPr>
        <xdr:cNvPr id="18" name="Imagen 17">
          <a:extLst>
            <a:ext uri="{FF2B5EF4-FFF2-40B4-BE49-F238E27FC236}">
              <a16:creationId xmlns:a16="http://schemas.microsoft.com/office/drawing/2014/main" id="{B7AC4E30-27C5-4BB4-AADA-0FE4A97BAC60}"/>
            </a:ext>
          </a:extLst>
        </xdr:cNvPr>
        <xdr:cNvPicPr>
          <a:picLocks noChangeAspect="1"/>
        </xdr:cNvPicPr>
      </xdr:nvPicPr>
      <xdr:blipFill>
        <a:blip xmlns:r="http://schemas.openxmlformats.org/officeDocument/2006/relationships" r:embed="rId16"/>
        <a:stretch>
          <a:fillRect/>
        </a:stretch>
      </xdr:blipFill>
      <xdr:spPr>
        <a:xfrm>
          <a:off x="6567237" y="52471053"/>
          <a:ext cx="8608589" cy="4054927"/>
        </a:xfrm>
        <a:prstGeom prst="rect">
          <a:avLst/>
        </a:prstGeom>
      </xdr:spPr>
    </xdr:pic>
    <xdr:clientData/>
  </xdr:twoCellAnchor>
  <xdr:twoCellAnchor editAs="oneCell">
    <xdr:from>
      <xdr:col>2</xdr:col>
      <xdr:colOff>501317</xdr:colOff>
      <xdr:row>235</xdr:row>
      <xdr:rowOff>0</xdr:rowOff>
    </xdr:from>
    <xdr:to>
      <xdr:col>13</xdr:col>
      <xdr:colOff>237740</xdr:colOff>
      <xdr:row>256</xdr:row>
      <xdr:rowOff>50131</xdr:rowOff>
    </xdr:to>
    <xdr:pic>
      <xdr:nvPicPr>
        <xdr:cNvPr id="19" name="Imagen 18">
          <a:extLst>
            <a:ext uri="{FF2B5EF4-FFF2-40B4-BE49-F238E27FC236}">
              <a16:creationId xmlns:a16="http://schemas.microsoft.com/office/drawing/2014/main" id="{966D4327-BD14-436B-A72D-70C42EF389BD}"/>
            </a:ext>
          </a:extLst>
        </xdr:cNvPr>
        <xdr:cNvPicPr>
          <a:picLocks noChangeAspect="1"/>
        </xdr:cNvPicPr>
      </xdr:nvPicPr>
      <xdr:blipFill>
        <a:blip xmlns:r="http://schemas.openxmlformats.org/officeDocument/2006/relationships" r:embed="rId17"/>
        <a:stretch>
          <a:fillRect/>
        </a:stretch>
      </xdr:blipFill>
      <xdr:spPr>
        <a:xfrm>
          <a:off x="6801185" y="44132500"/>
          <a:ext cx="8191950" cy="3910263"/>
        </a:xfrm>
        <a:prstGeom prst="rect">
          <a:avLst/>
        </a:prstGeom>
      </xdr:spPr>
    </xdr:pic>
    <xdr:clientData/>
  </xdr:twoCellAnchor>
  <xdr:twoCellAnchor editAs="oneCell">
    <xdr:from>
      <xdr:col>2</xdr:col>
      <xdr:colOff>284078</xdr:colOff>
      <xdr:row>257</xdr:row>
      <xdr:rowOff>83553</xdr:rowOff>
    </xdr:from>
    <xdr:to>
      <xdr:col>13</xdr:col>
      <xdr:colOff>301458</xdr:colOff>
      <xdr:row>279</xdr:row>
      <xdr:rowOff>0</xdr:rowOff>
    </xdr:to>
    <xdr:pic>
      <xdr:nvPicPr>
        <xdr:cNvPr id="20" name="Imagen 19">
          <a:extLst>
            <a:ext uri="{FF2B5EF4-FFF2-40B4-BE49-F238E27FC236}">
              <a16:creationId xmlns:a16="http://schemas.microsoft.com/office/drawing/2014/main" id="{A3444699-CF14-B844-5013-A4029735E7E2}"/>
            </a:ext>
          </a:extLst>
        </xdr:cNvPr>
        <xdr:cNvPicPr>
          <a:picLocks noChangeAspect="1"/>
        </xdr:cNvPicPr>
      </xdr:nvPicPr>
      <xdr:blipFill>
        <a:blip xmlns:r="http://schemas.openxmlformats.org/officeDocument/2006/relationships" r:embed="rId18"/>
        <a:stretch>
          <a:fillRect/>
        </a:stretch>
      </xdr:blipFill>
      <xdr:spPr>
        <a:xfrm>
          <a:off x="6583946" y="48276711"/>
          <a:ext cx="8472907" cy="3960394"/>
        </a:xfrm>
        <a:prstGeom prst="rect">
          <a:avLst/>
        </a:prstGeom>
      </xdr:spPr>
    </xdr:pic>
    <xdr:clientData/>
  </xdr:twoCellAnchor>
  <xdr:twoCellAnchor editAs="oneCell">
    <xdr:from>
      <xdr:col>2</xdr:col>
      <xdr:colOff>217236</xdr:colOff>
      <xdr:row>304</xdr:row>
      <xdr:rowOff>33419</xdr:rowOff>
    </xdr:from>
    <xdr:to>
      <xdr:col>13</xdr:col>
      <xdr:colOff>395877</xdr:colOff>
      <xdr:row>325</xdr:row>
      <xdr:rowOff>33420</xdr:rowOff>
    </xdr:to>
    <xdr:pic>
      <xdr:nvPicPr>
        <xdr:cNvPr id="21" name="Imagen 20">
          <a:extLst>
            <a:ext uri="{FF2B5EF4-FFF2-40B4-BE49-F238E27FC236}">
              <a16:creationId xmlns:a16="http://schemas.microsoft.com/office/drawing/2014/main" id="{F23FBE20-D632-4A9F-BC77-1F87C0742FFF}"/>
            </a:ext>
          </a:extLst>
        </xdr:cNvPr>
        <xdr:cNvPicPr>
          <a:picLocks noChangeAspect="1"/>
        </xdr:cNvPicPr>
      </xdr:nvPicPr>
      <xdr:blipFill>
        <a:blip xmlns:r="http://schemas.openxmlformats.org/officeDocument/2006/relationships" r:embed="rId19"/>
        <a:stretch>
          <a:fillRect/>
        </a:stretch>
      </xdr:blipFill>
      <xdr:spPr>
        <a:xfrm>
          <a:off x="6517104" y="56899340"/>
          <a:ext cx="8634168" cy="4127501"/>
        </a:xfrm>
        <a:prstGeom prst="rect">
          <a:avLst/>
        </a:prstGeom>
      </xdr:spPr>
    </xdr:pic>
    <xdr:clientData/>
  </xdr:twoCellAnchor>
  <xdr:twoCellAnchor editAs="oneCell">
    <xdr:from>
      <xdr:col>2</xdr:col>
      <xdr:colOff>267369</xdr:colOff>
      <xdr:row>326</xdr:row>
      <xdr:rowOff>116974</xdr:rowOff>
    </xdr:from>
    <xdr:to>
      <xdr:col>13</xdr:col>
      <xdr:colOff>233947</xdr:colOff>
      <xdr:row>348</xdr:row>
      <xdr:rowOff>43148</xdr:rowOff>
    </xdr:to>
    <xdr:pic>
      <xdr:nvPicPr>
        <xdr:cNvPr id="22" name="Imagen 21">
          <a:extLst>
            <a:ext uri="{FF2B5EF4-FFF2-40B4-BE49-F238E27FC236}">
              <a16:creationId xmlns:a16="http://schemas.microsoft.com/office/drawing/2014/main" id="{D363384F-A627-4EC7-9A70-31D6BB05DF46}"/>
            </a:ext>
          </a:extLst>
        </xdr:cNvPr>
        <xdr:cNvPicPr>
          <a:picLocks noChangeAspect="1"/>
        </xdr:cNvPicPr>
      </xdr:nvPicPr>
      <xdr:blipFill>
        <a:blip xmlns:r="http://schemas.openxmlformats.org/officeDocument/2006/relationships" r:embed="rId20"/>
        <a:stretch>
          <a:fillRect/>
        </a:stretch>
      </xdr:blipFill>
      <xdr:spPr>
        <a:xfrm>
          <a:off x="6567237" y="61310921"/>
          <a:ext cx="8422105" cy="3970122"/>
        </a:xfrm>
        <a:prstGeom prst="rect">
          <a:avLst/>
        </a:prstGeom>
      </xdr:spPr>
    </xdr:pic>
    <xdr:clientData/>
  </xdr:twoCellAnchor>
  <xdr:twoCellAnchor editAs="oneCell">
    <xdr:from>
      <xdr:col>2</xdr:col>
      <xdr:colOff>501316</xdr:colOff>
      <xdr:row>349</xdr:row>
      <xdr:rowOff>116973</xdr:rowOff>
    </xdr:from>
    <xdr:to>
      <xdr:col>13</xdr:col>
      <xdr:colOff>100263</xdr:colOff>
      <xdr:row>370</xdr:row>
      <xdr:rowOff>121772</xdr:rowOff>
    </xdr:to>
    <xdr:pic>
      <xdr:nvPicPr>
        <xdr:cNvPr id="23" name="Imagen 22">
          <a:extLst>
            <a:ext uri="{FF2B5EF4-FFF2-40B4-BE49-F238E27FC236}">
              <a16:creationId xmlns:a16="http://schemas.microsoft.com/office/drawing/2014/main" id="{E6395E33-7655-46D6-92FF-7AAEFC708D35}"/>
            </a:ext>
          </a:extLst>
        </xdr:cNvPr>
        <xdr:cNvPicPr>
          <a:picLocks noChangeAspect="1"/>
        </xdr:cNvPicPr>
      </xdr:nvPicPr>
      <xdr:blipFill>
        <a:blip xmlns:r="http://schemas.openxmlformats.org/officeDocument/2006/relationships" r:embed="rId21"/>
        <a:stretch>
          <a:fillRect/>
        </a:stretch>
      </xdr:blipFill>
      <xdr:spPr>
        <a:xfrm>
          <a:off x="6801184" y="65555394"/>
          <a:ext cx="8054474" cy="3864931"/>
        </a:xfrm>
        <a:prstGeom prst="rect">
          <a:avLst/>
        </a:prstGeom>
      </xdr:spPr>
    </xdr:pic>
    <xdr:clientData/>
  </xdr:twoCellAnchor>
  <xdr:twoCellAnchor editAs="oneCell">
    <xdr:from>
      <xdr:col>2</xdr:col>
      <xdr:colOff>317500</xdr:colOff>
      <xdr:row>487</xdr:row>
      <xdr:rowOff>150394</xdr:rowOff>
    </xdr:from>
    <xdr:to>
      <xdr:col>13</xdr:col>
      <xdr:colOff>116973</xdr:colOff>
      <xdr:row>508</xdr:row>
      <xdr:rowOff>134149</xdr:rowOff>
    </xdr:to>
    <xdr:pic>
      <xdr:nvPicPr>
        <xdr:cNvPr id="24" name="Imagen 23">
          <a:extLst>
            <a:ext uri="{FF2B5EF4-FFF2-40B4-BE49-F238E27FC236}">
              <a16:creationId xmlns:a16="http://schemas.microsoft.com/office/drawing/2014/main" id="{2DAE70D1-12E6-4A46-89BD-BD5C34D81694}"/>
            </a:ext>
          </a:extLst>
        </xdr:cNvPr>
        <xdr:cNvPicPr>
          <a:picLocks noChangeAspect="1"/>
        </xdr:cNvPicPr>
      </xdr:nvPicPr>
      <xdr:blipFill>
        <a:blip xmlns:r="http://schemas.openxmlformats.org/officeDocument/2006/relationships" r:embed="rId22"/>
        <a:stretch>
          <a:fillRect/>
        </a:stretch>
      </xdr:blipFill>
      <xdr:spPr>
        <a:xfrm>
          <a:off x="6617368" y="92125131"/>
          <a:ext cx="8255000" cy="3843886"/>
        </a:xfrm>
        <a:prstGeom prst="rect">
          <a:avLst/>
        </a:prstGeom>
      </xdr:spPr>
    </xdr:pic>
    <xdr:clientData/>
  </xdr:twoCellAnchor>
  <xdr:twoCellAnchor editAs="oneCell">
    <xdr:from>
      <xdr:col>2</xdr:col>
      <xdr:colOff>300789</xdr:colOff>
      <xdr:row>533</xdr:row>
      <xdr:rowOff>133684</xdr:rowOff>
    </xdr:from>
    <xdr:to>
      <xdr:col>13</xdr:col>
      <xdr:colOff>221766</xdr:colOff>
      <xdr:row>555</xdr:row>
      <xdr:rowOff>83552</xdr:rowOff>
    </xdr:to>
    <xdr:pic>
      <xdr:nvPicPr>
        <xdr:cNvPr id="25" name="Imagen 24">
          <a:extLst>
            <a:ext uri="{FF2B5EF4-FFF2-40B4-BE49-F238E27FC236}">
              <a16:creationId xmlns:a16="http://schemas.microsoft.com/office/drawing/2014/main" id="{EC053EF8-935D-49A2-B8ED-7A7F579D5D4B}"/>
            </a:ext>
          </a:extLst>
        </xdr:cNvPr>
        <xdr:cNvPicPr>
          <a:picLocks noChangeAspect="1"/>
        </xdr:cNvPicPr>
      </xdr:nvPicPr>
      <xdr:blipFill>
        <a:blip xmlns:r="http://schemas.openxmlformats.org/officeDocument/2006/relationships" r:embed="rId23"/>
        <a:stretch>
          <a:fillRect/>
        </a:stretch>
      </xdr:blipFill>
      <xdr:spPr>
        <a:xfrm>
          <a:off x="6600657" y="100597368"/>
          <a:ext cx="8376504" cy="3993816"/>
        </a:xfrm>
        <a:prstGeom prst="rect">
          <a:avLst/>
        </a:prstGeom>
      </xdr:spPr>
    </xdr:pic>
    <xdr:clientData/>
  </xdr:twoCellAnchor>
  <xdr:twoCellAnchor editAs="oneCell">
    <xdr:from>
      <xdr:col>2</xdr:col>
      <xdr:colOff>501316</xdr:colOff>
      <xdr:row>556</xdr:row>
      <xdr:rowOff>100264</xdr:rowOff>
    </xdr:from>
    <xdr:to>
      <xdr:col>13</xdr:col>
      <xdr:colOff>50131</xdr:colOff>
      <xdr:row>578</xdr:row>
      <xdr:rowOff>48381</xdr:rowOff>
    </xdr:to>
    <xdr:pic>
      <xdr:nvPicPr>
        <xdr:cNvPr id="26" name="Imagen 25">
          <a:extLst>
            <a:ext uri="{FF2B5EF4-FFF2-40B4-BE49-F238E27FC236}">
              <a16:creationId xmlns:a16="http://schemas.microsoft.com/office/drawing/2014/main" id="{348F836A-8694-4274-9DD8-CED15BDBD096}"/>
            </a:ext>
          </a:extLst>
        </xdr:cNvPr>
        <xdr:cNvPicPr>
          <a:picLocks noChangeAspect="1"/>
        </xdr:cNvPicPr>
      </xdr:nvPicPr>
      <xdr:blipFill>
        <a:blip xmlns:r="http://schemas.openxmlformats.org/officeDocument/2006/relationships" r:embed="rId24"/>
        <a:stretch>
          <a:fillRect/>
        </a:stretch>
      </xdr:blipFill>
      <xdr:spPr>
        <a:xfrm>
          <a:off x="6801184" y="104808422"/>
          <a:ext cx="8004342" cy="3992064"/>
        </a:xfrm>
        <a:prstGeom prst="rect">
          <a:avLst/>
        </a:prstGeom>
      </xdr:spPr>
    </xdr:pic>
    <xdr:clientData/>
  </xdr:twoCellAnchor>
  <xdr:twoCellAnchor editAs="oneCell">
    <xdr:from>
      <xdr:col>3</xdr:col>
      <xdr:colOff>66841</xdr:colOff>
      <xdr:row>602</xdr:row>
      <xdr:rowOff>116973</xdr:rowOff>
    </xdr:from>
    <xdr:to>
      <xdr:col>12</xdr:col>
      <xdr:colOff>200526</xdr:colOff>
      <xdr:row>624</xdr:row>
      <xdr:rowOff>96247</xdr:rowOff>
    </xdr:to>
    <xdr:pic>
      <xdr:nvPicPr>
        <xdr:cNvPr id="27" name="Imagen 26">
          <a:extLst>
            <a:ext uri="{FF2B5EF4-FFF2-40B4-BE49-F238E27FC236}">
              <a16:creationId xmlns:a16="http://schemas.microsoft.com/office/drawing/2014/main" id="{BF56A3C5-7314-48CC-8EF4-BFD1F4D2A6BD}"/>
            </a:ext>
          </a:extLst>
        </xdr:cNvPr>
        <xdr:cNvPicPr>
          <a:picLocks noChangeAspect="1"/>
        </xdr:cNvPicPr>
      </xdr:nvPicPr>
      <xdr:blipFill>
        <a:blip xmlns:r="http://schemas.openxmlformats.org/officeDocument/2006/relationships" r:embed="rId25"/>
        <a:stretch>
          <a:fillRect/>
        </a:stretch>
      </xdr:blipFill>
      <xdr:spPr>
        <a:xfrm>
          <a:off x="7135394" y="113314078"/>
          <a:ext cx="7051843" cy="4023222"/>
        </a:xfrm>
        <a:prstGeom prst="rect">
          <a:avLst/>
        </a:prstGeom>
      </xdr:spPr>
    </xdr:pic>
    <xdr:clientData/>
  </xdr:twoCellAnchor>
  <xdr:twoCellAnchor editAs="oneCell">
    <xdr:from>
      <xdr:col>2</xdr:col>
      <xdr:colOff>284078</xdr:colOff>
      <xdr:row>625</xdr:row>
      <xdr:rowOff>116973</xdr:rowOff>
    </xdr:from>
    <xdr:to>
      <xdr:col>13</xdr:col>
      <xdr:colOff>100262</xdr:colOff>
      <xdr:row>647</xdr:row>
      <xdr:rowOff>37205</xdr:rowOff>
    </xdr:to>
    <xdr:pic>
      <xdr:nvPicPr>
        <xdr:cNvPr id="28" name="Imagen 27">
          <a:extLst>
            <a:ext uri="{FF2B5EF4-FFF2-40B4-BE49-F238E27FC236}">
              <a16:creationId xmlns:a16="http://schemas.microsoft.com/office/drawing/2014/main" id="{0EED1775-83AC-4998-64C6-47B70E21BCD1}"/>
            </a:ext>
          </a:extLst>
        </xdr:cNvPr>
        <xdr:cNvPicPr>
          <a:picLocks noChangeAspect="1"/>
        </xdr:cNvPicPr>
      </xdr:nvPicPr>
      <xdr:blipFill>
        <a:blip xmlns:r="http://schemas.openxmlformats.org/officeDocument/2006/relationships" r:embed="rId26"/>
        <a:stretch>
          <a:fillRect/>
        </a:stretch>
      </xdr:blipFill>
      <xdr:spPr>
        <a:xfrm>
          <a:off x="6583946" y="117558552"/>
          <a:ext cx="8271711" cy="3964179"/>
        </a:xfrm>
        <a:prstGeom prst="rect">
          <a:avLst/>
        </a:prstGeom>
      </xdr:spPr>
    </xdr:pic>
    <xdr:clientData/>
  </xdr:twoCellAnchor>
  <xdr:twoCellAnchor editAs="oneCell">
    <xdr:from>
      <xdr:col>2</xdr:col>
      <xdr:colOff>384341</xdr:colOff>
      <xdr:row>671</xdr:row>
      <xdr:rowOff>167105</xdr:rowOff>
    </xdr:from>
    <xdr:to>
      <xdr:col>13</xdr:col>
      <xdr:colOff>150393</xdr:colOff>
      <xdr:row>692</xdr:row>
      <xdr:rowOff>117221</xdr:rowOff>
    </xdr:to>
    <xdr:pic>
      <xdr:nvPicPr>
        <xdr:cNvPr id="29" name="Imagen 28">
          <a:extLst>
            <a:ext uri="{FF2B5EF4-FFF2-40B4-BE49-F238E27FC236}">
              <a16:creationId xmlns:a16="http://schemas.microsoft.com/office/drawing/2014/main" id="{DBEB26E3-EA55-A259-33BB-C6991CD012EE}"/>
            </a:ext>
          </a:extLst>
        </xdr:cNvPr>
        <xdr:cNvPicPr>
          <a:picLocks noChangeAspect="1"/>
        </xdr:cNvPicPr>
      </xdr:nvPicPr>
      <xdr:blipFill>
        <a:blip xmlns:r="http://schemas.openxmlformats.org/officeDocument/2006/relationships" r:embed="rId27"/>
        <a:stretch>
          <a:fillRect/>
        </a:stretch>
      </xdr:blipFill>
      <xdr:spPr>
        <a:xfrm>
          <a:off x="6684209" y="126097631"/>
          <a:ext cx="8221579" cy="381024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0"/>
  <sheetViews>
    <sheetView view="pageBreakPreview" zoomScaleNormal="100" zoomScaleSheetLayoutView="100" workbookViewId="0">
      <pane ySplit="6" topLeftCell="A21" activePane="bottomLeft" state="frozenSplit"/>
      <selection pane="bottomLeft" activeCell="B44" sqref="B44"/>
    </sheetView>
  </sheetViews>
  <sheetFormatPr baseColWidth="10" defaultColWidth="11.42578125" defaultRowHeight="15" x14ac:dyDescent="0.25"/>
  <cols>
    <col min="1" max="1" width="32.5703125" style="4" customWidth="1"/>
    <col min="2" max="2" width="14.7109375" style="4" customWidth="1"/>
    <col min="3" max="3" width="11.85546875" style="4" customWidth="1"/>
    <col min="4" max="4" width="17.85546875" style="4" customWidth="1"/>
    <col min="5" max="6" width="11.42578125" style="4"/>
    <col min="7" max="7" width="13.85546875" style="4" customWidth="1"/>
    <col min="8" max="8" width="12.85546875" style="4" customWidth="1"/>
    <col min="9" max="9" width="17.42578125" style="4" customWidth="1"/>
    <col min="10" max="16384" width="11.42578125" style="4"/>
  </cols>
  <sheetData>
    <row r="1" spans="1:9" x14ac:dyDescent="0.25">
      <c r="A1" s="177" t="s">
        <v>0</v>
      </c>
      <c r="B1" s="177"/>
      <c r="C1" s="177"/>
      <c r="D1" s="177"/>
      <c r="E1" s="177"/>
      <c r="F1" s="177"/>
      <c r="G1" s="177"/>
      <c r="H1" s="177"/>
      <c r="I1" s="177"/>
    </row>
    <row r="2" spans="1:9" ht="91.5" customHeight="1" x14ac:dyDescent="0.25">
      <c r="A2" s="178"/>
      <c r="B2" s="179" t="s">
        <v>1</v>
      </c>
      <c r="C2" s="179"/>
      <c r="D2" s="180" t="s">
        <v>196</v>
      </c>
      <c r="E2" s="180"/>
      <c r="F2" s="180"/>
      <c r="G2" s="180"/>
      <c r="H2" s="180"/>
      <c r="I2" s="180"/>
    </row>
    <row r="3" spans="1:9" x14ac:dyDescent="0.25">
      <c r="A3" s="178"/>
      <c r="B3" s="181" t="s">
        <v>2</v>
      </c>
      <c r="C3" s="182"/>
      <c r="D3" s="182"/>
      <c r="E3" s="182"/>
      <c r="F3" s="182"/>
      <c r="G3" s="182"/>
      <c r="H3" s="182"/>
      <c r="I3" s="182"/>
    </row>
    <row r="4" spans="1:9" ht="15.75" customHeight="1" x14ac:dyDescent="0.25">
      <c r="A4" s="75" t="s">
        <v>3</v>
      </c>
      <c r="B4" s="185" t="s">
        <v>133</v>
      </c>
      <c r="C4" s="185"/>
      <c r="D4" s="185"/>
      <c r="E4" s="189" t="s">
        <v>4</v>
      </c>
      <c r="F4" s="189"/>
      <c r="G4" s="190" t="s">
        <v>210</v>
      </c>
      <c r="H4" s="185"/>
      <c r="I4" s="191"/>
    </row>
    <row r="5" spans="1:9" x14ac:dyDescent="0.25">
      <c r="A5" s="171" t="s">
        <v>5</v>
      </c>
      <c r="B5" s="153" t="s">
        <v>160</v>
      </c>
      <c r="C5" s="206">
        <v>2851556145</v>
      </c>
      <c r="D5" s="206"/>
      <c r="E5" s="196" t="s">
        <v>158</v>
      </c>
      <c r="F5" s="197"/>
      <c r="G5" s="200">
        <v>7</v>
      </c>
      <c r="H5" s="201"/>
      <c r="I5" s="204" t="s">
        <v>131</v>
      </c>
    </row>
    <row r="6" spans="1:9" x14ac:dyDescent="0.25">
      <c r="A6" s="172"/>
      <c r="B6" s="150"/>
      <c r="C6" s="206"/>
      <c r="D6" s="206"/>
      <c r="E6" s="198"/>
      <c r="F6" s="199"/>
      <c r="G6" s="202"/>
      <c r="H6" s="203"/>
      <c r="I6" s="205"/>
    </row>
    <row r="8" spans="1:9" x14ac:dyDescent="0.25">
      <c r="A8" s="35" t="s">
        <v>55</v>
      </c>
      <c r="B8" s="74" t="s">
        <v>6</v>
      </c>
      <c r="C8" s="192" t="s">
        <v>56</v>
      </c>
      <c r="D8" s="193"/>
    </row>
    <row r="9" spans="1:9" x14ac:dyDescent="0.25">
      <c r="A9" s="76">
        <f>C5</f>
        <v>2851556145</v>
      </c>
      <c r="B9" s="77">
        <v>1300000</v>
      </c>
      <c r="C9" s="194">
        <f>A9/B9</f>
        <v>2193.5047269230768</v>
      </c>
      <c r="D9" s="195"/>
    </row>
    <row r="10" spans="1:9" x14ac:dyDescent="0.25">
      <c r="A10" s="76">
        <f>+C6</f>
        <v>0</v>
      </c>
      <c r="B10" s="77">
        <f>B43</f>
        <v>1300000</v>
      </c>
      <c r="C10" s="194">
        <f>A10/B10</f>
        <v>0</v>
      </c>
      <c r="D10" s="195"/>
    </row>
    <row r="11" spans="1:9" ht="15.75" thickBot="1" x14ac:dyDescent="0.3">
      <c r="A11" s="8"/>
      <c r="B11" s="9"/>
      <c r="C11" s="5"/>
    </row>
    <row r="12" spans="1:9" ht="15.75" thickBot="1" x14ac:dyDescent="0.3">
      <c r="A12" s="78" t="s">
        <v>7</v>
      </c>
      <c r="B12" s="79" t="s">
        <v>8</v>
      </c>
      <c r="C12" s="5"/>
    </row>
    <row r="13" spans="1:9" x14ac:dyDescent="0.25">
      <c r="A13" s="80">
        <v>1984</v>
      </c>
      <c r="B13" s="81">
        <v>11298</v>
      </c>
      <c r="C13" s="5"/>
    </row>
    <row r="14" spans="1:9" x14ac:dyDescent="0.25">
      <c r="A14" s="80">
        <v>1995</v>
      </c>
      <c r="B14" s="81">
        <v>118934</v>
      </c>
      <c r="C14" s="5"/>
    </row>
    <row r="15" spans="1:9" x14ac:dyDescent="0.25">
      <c r="A15" s="82">
        <v>1996</v>
      </c>
      <c r="B15" s="83">
        <v>142125</v>
      </c>
      <c r="C15" s="5"/>
      <c r="D15" s="151"/>
    </row>
    <row r="16" spans="1:9" x14ac:dyDescent="0.25">
      <c r="A16" s="82">
        <v>1997</v>
      </c>
      <c r="B16" s="83">
        <v>172005</v>
      </c>
      <c r="C16" s="5"/>
    </row>
    <row r="17" spans="1:9" x14ac:dyDescent="0.25">
      <c r="A17" s="82">
        <v>1998</v>
      </c>
      <c r="B17" s="83">
        <v>203826</v>
      </c>
      <c r="C17" s="5"/>
    </row>
    <row r="18" spans="1:9" x14ac:dyDescent="0.25">
      <c r="A18" s="82">
        <v>1999</v>
      </c>
      <c r="B18" s="83">
        <v>236460</v>
      </c>
      <c r="C18" s="5"/>
    </row>
    <row r="19" spans="1:9" ht="15.75" thickBot="1" x14ac:dyDescent="0.3">
      <c r="A19" s="82">
        <v>2000</v>
      </c>
      <c r="B19" s="83">
        <v>260100</v>
      </c>
    </row>
    <row r="20" spans="1:9" ht="15.75" thickBot="1" x14ac:dyDescent="0.3">
      <c r="A20" s="82">
        <v>2001</v>
      </c>
      <c r="B20" s="83">
        <v>286000</v>
      </c>
      <c r="D20" s="86" t="s">
        <v>9</v>
      </c>
      <c r="E20" s="183" t="s">
        <v>10</v>
      </c>
      <c r="F20" s="183"/>
      <c r="G20" s="183"/>
      <c r="H20" s="183"/>
      <c r="I20" s="184"/>
    </row>
    <row r="21" spans="1:9" ht="15" customHeight="1" x14ac:dyDescent="0.25">
      <c r="A21" s="82">
        <v>2002</v>
      </c>
      <c r="B21" s="83">
        <v>309000</v>
      </c>
      <c r="D21" s="6">
        <v>72101500</v>
      </c>
      <c r="E21" s="186" t="s">
        <v>163</v>
      </c>
      <c r="F21" s="187"/>
      <c r="G21" s="187"/>
      <c r="H21" s="187"/>
      <c r="I21" s="188"/>
    </row>
    <row r="22" spans="1:9" ht="15" customHeight="1" x14ac:dyDescent="0.25">
      <c r="A22" s="82">
        <v>2003</v>
      </c>
      <c r="B22" s="83">
        <v>332000</v>
      </c>
      <c r="D22" s="6">
        <v>72102900</v>
      </c>
      <c r="E22" s="186" t="s">
        <v>161</v>
      </c>
      <c r="F22" s="187"/>
      <c r="G22" s="187"/>
      <c r="H22" s="187"/>
      <c r="I22" s="188"/>
    </row>
    <row r="23" spans="1:9" ht="15" customHeight="1" x14ac:dyDescent="0.25">
      <c r="A23" s="82">
        <v>2004</v>
      </c>
      <c r="B23" s="83">
        <v>358000</v>
      </c>
      <c r="D23" s="6">
        <v>72103300</v>
      </c>
      <c r="E23" s="186" t="s">
        <v>162</v>
      </c>
      <c r="F23" s="187"/>
      <c r="G23" s="187"/>
      <c r="H23" s="187"/>
      <c r="I23" s="188"/>
    </row>
    <row r="24" spans="1:9" ht="15" customHeight="1" x14ac:dyDescent="0.25">
      <c r="A24" s="82">
        <v>2005</v>
      </c>
      <c r="B24" s="83">
        <v>381500</v>
      </c>
      <c r="D24" s="6">
        <v>72141100</v>
      </c>
      <c r="E24" s="186" t="s">
        <v>159</v>
      </c>
      <c r="F24" s="187"/>
      <c r="G24" s="187"/>
      <c r="H24" s="187"/>
      <c r="I24" s="188"/>
    </row>
    <row r="25" spans="1:9" ht="15" customHeight="1" x14ac:dyDescent="0.25">
      <c r="A25" s="82">
        <v>2006</v>
      </c>
      <c r="B25" s="83">
        <v>408000</v>
      </c>
      <c r="D25" s="6">
        <v>72141500</v>
      </c>
      <c r="E25" s="173"/>
      <c r="F25" s="173"/>
      <c r="G25" s="173"/>
      <c r="H25" s="173"/>
      <c r="I25" s="174"/>
    </row>
    <row r="26" spans="1:9" ht="15" customHeight="1" x14ac:dyDescent="0.25">
      <c r="A26" s="82">
        <v>2007</v>
      </c>
      <c r="B26" s="83">
        <v>433700</v>
      </c>
      <c r="D26" s="6">
        <v>72153900</v>
      </c>
      <c r="E26" s="173" t="s">
        <v>164</v>
      </c>
      <c r="F26" s="173"/>
      <c r="G26" s="173"/>
      <c r="H26" s="173"/>
      <c r="I26" s="174"/>
    </row>
    <row r="27" spans="1:9" ht="15" customHeight="1" thickBot="1" x14ac:dyDescent="0.3">
      <c r="A27" s="82">
        <v>2008</v>
      </c>
      <c r="B27" s="83">
        <v>461500</v>
      </c>
      <c r="D27" s="7"/>
      <c r="E27" s="175"/>
      <c r="F27" s="175"/>
      <c r="G27" s="175"/>
      <c r="H27" s="175"/>
      <c r="I27" s="176"/>
    </row>
    <row r="28" spans="1:9" x14ac:dyDescent="0.25">
      <c r="A28" s="82">
        <v>2009</v>
      </c>
      <c r="B28" s="83">
        <v>496900</v>
      </c>
    </row>
    <row r="29" spans="1:9" ht="15.75" customHeight="1" x14ac:dyDescent="0.25">
      <c r="A29" s="82">
        <v>2010</v>
      </c>
      <c r="B29" s="83">
        <v>515000</v>
      </c>
    </row>
    <row r="30" spans="1:9" ht="15" customHeight="1" x14ac:dyDescent="0.25">
      <c r="A30" s="82">
        <v>2011</v>
      </c>
      <c r="B30" s="83">
        <v>535600</v>
      </c>
    </row>
    <row r="31" spans="1:9" ht="15" customHeight="1" x14ac:dyDescent="0.25">
      <c r="A31" s="82">
        <v>2012</v>
      </c>
      <c r="B31" s="83">
        <v>566700</v>
      </c>
    </row>
    <row r="32" spans="1:9" ht="15" customHeight="1" x14ac:dyDescent="0.25">
      <c r="A32" s="82">
        <v>2013</v>
      </c>
      <c r="B32" s="83">
        <v>589500</v>
      </c>
    </row>
    <row r="33" spans="1:3" x14ac:dyDescent="0.25">
      <c r="A33" s="82">
        <v>2014</v>
      </c>
      <c r="B33" s="83">
        <v>616000</v>
      </c>
    </row>
    <row r="34" spans="1:3" x14ac:dyDescent="0.25">
      <c r="A34" s="82">
        <v>2015</v>
      </c>
      <c r="B34" s="83">
        <v>644350</v>
      </c>
    </row>
    <row r="35" spans="1:3" x14ac:dyDescent="0.25">
      <c r="A35" s="82">
        <v>2016</v>
      </c>
      <c r="B35" s="83">
        <v>689455</v>
      </c>
    </row>
    <row r="36" spans="1:3" x14ac:dyDescent="0.25">
      <c r="A36" s="82">
        <v>2017</v>
      </c>
      <c r="B36" s="83">
        <v>737717</v>
      </c>
    </row>
    <row r="37" spans="1:3" x14ac:dyDescent="0.25">
      <c r="A37" s="82">
        <v>2018</v>
      </c>
      <c r="B37" s="83">
        <v>781242</v>
      </c>
    </row>
    <row r="38" spans="1:3" x14ac:dyDescent="0.25">
      <c r="A38" s="82">
        <v>2019</v>
      </c>
      <c r="B38" s="83">
        <v>828116</v>
      </c>
    </row>
    <row r="39" spans="1:3" x14ac:dyDescent="0.25">
      <c r="A39" s="82">
        <v>2020</v>
      </c>
      <c r="B39" s="83">
        <v>877803</v>
      </c>
    </row>
    <row r="40" spans="1:3" x14ac:dyDescent="0.25">
      <c r="A40" s="144">
        <v>2021</v>
      </c>
      <c r="B40" s="145">
        <v>908526</v>
      </c>
    </row>
    <row r="41" spans="1:3" x14ac:dyDescent="0.25">
      <c r="A41" s="144">
        <v>2022</v>
      </c>
      <c r="B41" s="145">
        <v>1000000</v>
      </c>
    </row>
    <row r="42" spans="1:3" x14ac:dyDescent="0.25">
      <c r="A42" s="144">
        <v>2023</v>
      </c>
      <c r="B42" s="145">
        <v>1160000</v>
      </c>
    </row>
    <row r="43" spans="1:3" ht="15.75" thickBot="1" x14ac:dyDescent="0.3">
      <c r="A43" s="84">
        <v>2024</v>
      </c>
      <c r="B43" s="85">
        <v>1300000</v>
      </c>
    </row>
    <row r="44" spans="1:3" x14ac:dyDescent="0.25">
      <c r="A44" s="21"/>
      <c r="B44" s="8"/>
    </row>
    <row r="45" spans="1:3" x14ac:dyDescent="0.25">
      <c r="A45" s="4" t="s">
        <v>11</v>
      </c>
      <c r="C45" s="4" t="s">
        <v>79</v>
      </c>
    </row>
    <row r="46" spans="1:3" x14ac:dyDescent="0.25">
      <c r="A46" s="4" t="s">
        <v>12</v>
      </c>
      <c r="C46" s="4" t="s">
        <v>77</v>
      </c>
    </row>
    <row r="47" spans="1:3" x14ac:dyDescent="0.25">
      <c r="A47" s="4" t="s">
        <v>13</v>
      </c>
      <c r="C47" s="4" t="s">
        <v>13</v>
      </c>
    </row>
    <row r="48" spans="1:3" x14ac:dyDescent="0.25">
      <c r="A48" s="1"/>
    </row>
    <row r="50" spans="1:3" x14ac:dyDescent="0.25">
      <c r="A50" s="4" t="s">
        <v>14</v>
      </c>
      <c r="C50" s="4" t="s">
        <v>117</v>
      </c>
    </row>
    <row r="51" spans="1:3" x14ac:dyDescent="0.25">
      <c r="A51" s="4" t="s">
        <v>15</v>
      </c>
      <c r="C51" s="4" t="s">
        <v>118</v>
      </c>
    </row>
    <row r="52" spans="1:3" x14ac:dyDescent="0.25">
      <c r="A52" s="4" t="s">
        <v>13</v>
      </c>
    </row>
    <row r="54" spans="1:3" x14ac:dyDescent="0.25">
      <c r="A54" s="18" t="s">
        <v>16</v>
      </c>
    </row>
    <row r="55" spans="1:3" x14ac:dyDescent="0.25">
      <c r="A55" s="18" t="s">
        <v>17</v>
      </c>
    </row>
    <row r="56" spans="1:3" x14ac:dyDescent="0.25">
      <c r="A56" s="18" t="s">
        <v>18</v>
      </c>
    </row>
    <row r="57" spans="1:3" x14ac:dyDescent="0.25">
      <c r="A57" s="18" t="s">
        <v>19</v>
      </c>
    </row>
    <row r="58" spans="1:3" x14ac:dyDescent="0.25">
      <c r="A58" s="18" t="s">
        <v>20</v>
      </c>
    </row>
    <row r="59" spans="1:3" x14ac:dyDescent="0.25">
      <c r="A59" s="18" t="s">
        <v>21</v>
      </c>
    </row>
    <row r="60" spans="1:3" x14ac:dyDescent="0.25">
      <c r="A60" s="17"/>
    </row>
  </sheetData>
  <mergeCells count="25">
    <mergeCell ref="E23:I23"/>
    <mergeCell ref="C8:D8"/>
    <mergeCell ref="C9:D9"/>
    <mergeCell ref="E5:F6"/>
    <mergeCell ref="G5:H6"/>
    <mergeCell ref="I5:I6"/>
    <mergeCell ref="C5:D5"/>
    <mergeCell ref="C6:D6"/>
    <mergeCell ref="C10:D10"/>
    <mergeCell ref="A5:A6"/>
    <mergeCell ref="E26:I26"/>
    <mergeCell ref="E27:I27"/>
    <mergeCell ref="A1:I1"/>
    <mergeCell ref="A2:A3"/>
    <mergeCell ref="B2:C2"/>
    <mergeCell ref="D2:I2"/>
    <mergeCell ref="B3:I3"/>
    <mergeCell ref="E20:I20"/>
    <mergeCell ref="B4:D4"/>
    <mergeCell ref="E24:I24"/>
    <mergeCell ref="E25:I25"/>
    <mergeCell ref="E4:F4"/>
    <mergeCell ref="G4:I4"/>
    <mergeCell ref="E21:I21"/>
    <mergeCell ref="E22:I22"/>
  </mergeCells>
  <pageMargins left="0.7" right="0.7" top="0.75" bottom="0.75" header="0.3" footer="0.3"/>
  <pageSetup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19"/>
  <sheetViews>
    <sheetView view="pageBreakPreview" zoomScale="55" zoomScaleNormal="70" zoomScaleSheetLayoutView="55" workbookViewId="0">
      <pane ySplit="9" topLeftCell="A34" activePane="bottomLeft" state="frozen"/>
      <selection pane="bottomLeft" activeCell="E38" sqref="E38"/>
    </sheetView>
  </sheetViews>
  <sheetFormatPr baseColWidth="10" defaultColWidth="11.42578125" defaultRowHeight="12.75" x14ac:dyDescent="0.2"/>
  <cols>
    <col min="1" max="1" width="5.7109375" style="22" customWidth="1"/>
    <col min="2" max="2" width="48.28515625" style="22" customWidth="1"/>
    <col min="3" max="3" width="53.5703125" style="22" customWidth="1"/>
    <col min="4" max="4" width="23.28515625" style="22" customWidth="1"/>
    <col min="5" max="5" width="51.5703125" style="22" customWidth="1"/>
    <col min="6" max="6" width="23.140625" style="22" customWidth="1"/>
    <col min="7" max="7" width="39.5703125" style="22" bestFit="1" customWidth="1"/>
    <col min="8" max="8" width="22.7109375" style="22" customWidth="1"/>
    <col min="9" max="9" width="28.42578125" style="22" hidden="1" customWidth="1"/>
    <col min="10" max="10" width="20.85546875" style="22" hidden="1" customWidth="1"/>
    <col min="11" max="11" width="23.140625" style="22" hidden="1" customWidth="1"/>
    <col min="12" max="12" width="14.7109375" style="22" hidden="1" customWidth="1"/>
    <col min="13" max="13" width="20.28515625" style="22" customWidth="1"/>
    <col min="14" max="14" width="23.5703125" style="22" customWidth="1"/>
    <col min="15" max="15" width="46.85546875" style="22" customWidth="1"/>
    <col min="16" max="16" width="16.7109375" style="22" customWidth="1"/>
    <col min="17" max="16384" width="11.42578125" style="22"/>
  </cols>
  <sheetData>
    <row r="1" spans="1:16" ht="15" customHeight="1" x14ac:dyDescent="0.2">
      <c r="A1" s="229" t="s">
        <v>0</v>
      </c>
      <c r="B1" s="230"/>
      <c r="C1" s="230"/>
      <c r="D1" s="230"/>
      <c r="E1" s="230"/>
      <c r="F1" s="230"/>
      <c r="G1" s="230"/>
      <c r="H1" s="230"/>
      <c r="I1" s="230"/>
      <c r="J1" s="230"/>
      <c r="K1" s="230"/>
      <c r="L1" s="230"/>
      <c r="M1" s="230"/>
      <c r="N1" s="230"/>
      <c r="O1" s="230"/>
      <c r="P1" s="164"/>
    </row>
    <row r="2" spans="1:16" ht="75" customHeight="1" x14ac:dyDescent="0.2">
      <c r="A2" s="223"/>
      <c r="B2" s="223"/>
      <c r="C2" s="224" t="s">
        <v>1</v>
      </c>
      <c r="D2" s="224"/>
      <c r="E2" s="227"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F2" s="228"/>
      <c r="G2" s="228"/>
      <c r="H2" s="228"/>
      <c r="I2" s="228"/>
      <c r="J2" s="228"/>
      <c r="K2" s="228"/>
      <c r="L2" s="228"/>
      <c r="M2" s="228"/>
      <c r="N2" s="228"/>
      <c r="O2" s="228"/>
      <c r="P2" s="164"/>
    </row>
    <row r="3" spans="1:16" ht="18.75" x14ac:dyDescent="0.3">
      <c r="A3" s="223"/>
      <c r="B3" s="223"/>
      <c r="C3" s="225" t="s">
        <v>2</v>
      </c>
      <c r="D3" s="226"/>
      <c r="E3" s="226"/>
      <c r="F3" s="226"/>
      <c r="G3" s="226"/>
      <c r="H3" s="226"/>
      <c r="I3" s="226"/>
      <c r="J3" s="226"/>
      <c r="K3" s="226"/>
      <c r="L3" s="226"/>
      <c r="M3" s="226"/>
      <c r="N3" s="226"/>
      <c r="O3" s="226"/>
    </row>
    <row r="4" spans="1:16" ht="18.75" x14ac:dyDescent="0.3">
      <c r="A4" s="221" t="s">
        <v>3</v>
      </c>
      <c r="B4" s="221"/>
      <c r="C4" s="222" t="str">
        <f>+'DATOS INICIALES'!B4</f>
        <v>LICITACION PÚBLICA</v>
      </c>
      <c r="D4" s="222"/>
      <c r="E4" s="222"/>
      <c r="F4" s="207" t="s">
        <v>4</v>
      </c>
      <c r="G4" s="207"/>
      <c r="H4" s="208" t="str">
        <f>+'DATOS INICIALES'!G4</f>
        <v>FDLK-LP-013-20234</v>
      </c>
      <c r="I4" s="209"/>
      <c r="J4" s="209"/>
      <c r="K4" s="209"/>
      <c r="L4" s="209"/>
      <c r="M4" s="209"/>
      <c r="N4" s="209"/>
      <c r="O4" s="209"/>
    </row>
    <row r="5" spans="1:16" ht="18.75" customHeight="1" x14ac:dyDescent="0.2">
      <c r="A5" s="217" t="s">
        <v>5</v>
      </c>
      <c r="B5" s="218"/>
      <c r="C5" s="153" t="str">
        <f>+'DATOS INICIALES'!B5</f>
        <v>PRESUPUESTO</v>
      </c>
      <c r="D5" s="206">
        <f>+'DATOS INICIALES'!C5</f>
        <v>2851556145</v>
      </c>
      <c r="E5" s="206"/>
      <c r="F5" s="212" t="s">
        <v>132</v>
      </c>
      <c r="G5" s="212"/>
      <c r="H5" s="212"/>
      <c r="I5" s="212"/>
      <c r="J5" s="212"/>
      <c r="K5" s="212"/>
      <c r="L5" s="212"/>
      <c r="M5" s="212"/>
      <c r="N5" s="215">
        <f>+'DATOS INICIALES'!G5</f>
        <v>7</v>
      </c>
      <c r="O5" s="210" t="str">
        <f>+'DATOS INICIALES'!I5</f>
        <v>MESES</v>
      </c>
    </row>
    <row r="6" spans="1:16" ht="18.75" customHeight="1" x14ac:dyDescent="0.25">
      <c r="A6" s="219"/>
      <c r="B6" s="220"/>
      <c r="C6" s="150"/>
      <c r="D6" s="206"/>
      <c r="E6" s="206"/>
      <c r="F6" s="212"/>
      <c r="G6" s="212"/>
      <c r="H6" s="212"/>
      <c r="I6" s="212"/>
      <c r="J6" s="212"/>
      <c r="K6" s="212"/>
      <c r="L6" s="212"/>
      <c r="M6" s="212"/>
      <c r="N6" s="216"/>
      <c r="O6" s="211"/>
    </row>
    <row r="7" spans="1:16" x14ac:dyDescent="0.2">
      <c r="D7" s="23"/>
    </row>
    <row r="8" spans="1:16" ht="21" x14ac:dyDescent="0.35">
      <c r="A8" s="213" t="s">
        <v>293</v>
      </c>
      <c r="B8" s="214"/>
      <c r="C8" s="214"/>
      <c r="D8" s="214"/>
      <c r="E8" s="214"/>
      <c r="F8" s="214"/>
      <c r="G8" s="214"/>
      <c r="H8" s="214"/>
      <c r="I8" s="214"/>
      <c r="J8" s="214"/>
      <c r="K8" s="214"/>
      <c r="L8" s="214"/>
      <c r="M8" s="214"/>
      <c r="N8" s="214"/>
      <c r="O8" s="214"/>
    </row>
    <row r="9" spans="1:16" ht="63" x14ac:dyDescent="0.2">
      <c r="A9" s="98" t="s">
        <v>81</v>
      </c>
      <c r="B9" s="98" t="s">
        <v>27</v>
      </c>
      <c r="C9" s="98" t="s">
        <v>46</v>
      </c>
      <c r="D9" s="98" t="s">
        <v>28</v>
      </c>
      <c r="E9" s="98" t="s">
        <v>47</v>
      </c>
      <c r="F9" s="98" t="s">
        <v>28</v>
      </c>
      <c r="G9" s="98" t="s">
        <v>48</v>
      </c>
      <c r="H9" s="98" t="s">
        <v>28</v>
      </c>
      <c r="I9" s="98" t="s">
        <v>49</v>
      </c>
      <c r="J9" s="98" t="s">
        <v>28</v>
      </c>
      <c r="K9" s="98" t="s">
        <v>50</v>
      </c>
      <c r="L9" s="98" t="s">
        <v>28</v>
      </c>
      <c r="M9" s="98" t="s">
        <v>53</v>
      </c>
      <c r="N9" s="98" t="s">
        <v>52</v>
      </c>
      <c r="O9" s="98" t="s">
        <v>221</v>
      </c>
    </row>
    <row r="10" spans="1:16" s="139" customFormat="1" ht="51.75" customHeight="1" x14ac:dyDescent="0.25">
      <c r="A10" s="108">
        <v>1</v>
      </c>
      <c r="B10" s="140" t="s">
        <v>216</v>
      </c>
      <c r="C10" s="140" t="s">
        <v>197</v>
      </c>
      <c r="D10" s="133">
        <v>0.6</v>
      </c>
      <c r="E10" s="140" t="s">
        <v>217</v>
      </c>
      <c r="F10" s="134">
        <v>0.4</v>
      </c>
      <c r="G10" s="135"/>
      <c r="H10" s="136"/>
      <c r="I10" s="135"/>
      <c r="J10" s="136"/>
      <c r="K10" s="135"/>
      <c r="L10" s="136"/>
      <c r="M10" s="137">
        <f>+COUNTIF(C10:L10,"*")</f>
        <v>2</v>
      </c>
      <c r="N10" s="138">
        <f>+SUM(D10,F10,H10,J10,L10)</f>
        <v>1</v>
      </c>
      <c r="O10" s="140"/>
    </row>
    <row r="11" spans="1:16" s="139" customFormat="1" ht="40.5" customHeight="1" x14ac:dyDescent="0.25">
      <c r="A11" s="108">
        <v>2</v>
      </c>
      <c r="B11" s="140" t="s">
        <v>218</v>
      </c>
      <c r="C11" s="140" t="s">
        <v>219</v>
      </c>
      <c r="D11" s="133">
        <v>0.9</v>
      </c>
      <c r="E11" s="140" t="s">
        <v>220</v>
      </c>
      <c r="F11" s="134">
        <v>0.1</v>
      </c>
      <c r="G11" s="135"/>
      <c r="H11" s="136"/>
      <c r="I11" s="135"/>
      <c r="J11" s="136"/>
      <c r="K11" s="135"/>
      <c r="L11" s="136"/>
      <c r="M11" s="137">
        <f t="shared" ref="M11:M119" si="0">+COUNTIF(C11:L11,"*")</f>
        <v>2</v>
      </c>
      <c r="N11" s="138">
        <f t="shared" ref="N11:N119" si="1">+SUM(D11,F11,H11,J11,L11)</f>
        <v>1</v>
      </c>
      <c r="O11" s="140"/>
    </row>
    <row r="12" spans="1:16" s="139" customFormat="1" ht="40.5" customHeight="1" x14ac:dyDescent="0.25">
      <c r="A12" s="108">
        <v>3</v>
      </c>
      <c r="B12" s="140" t="s">
        <v>222</v>
      </c>
      <c r="C12" s="140" t="s">
        <v>223</v>
      </c>
      <c r="D12" s="133">
        <v>0.5</v>
      </c>
      <c r="E12" s="140" t="s">
        <v>224</v>
      </c>
      <c r="F12" s="134">
        <v>0.5</v>
      </c>
      <c r="G12" s="135"/>
      <c r="H12" s="136"/>
      <c r="I12" s="135"/>
      <c r="J12" s="136"/>
      <c r="K12" s="135"/>
      <c r="L12" s="136"/>
      <c r="M12" s="137">
        <f t="shared" si="0"/>
        <v>2</v>
      </c>
      <c r="N12" s="138">
        <f t="shared" si="1"/>
        <v>1</v>
      </c>
      <c r="O12" s="140"/>
    </row>
    <row r="13" spans="1:16" s="139" customFormat="1" ht="46.5" customHeight="1" x14ac:dyDescent="0.25">
      <c r="A13" s="108">
        <v>4</v>
      </c>
      <c r="B13" s="140" t="s">
        <v>225</v>
      </c>
      <c r="C13" s="140" t="s">
        <v>225</v>
      </c>
      <c r="D13" s="133">
        <v>1</v>
      </c>
      <c r="E13" s="140"/>
      <c r="F13" s="134"/>
      <c r="G13" s="135"/>
      <c r="H13" s="136"/>
      <c r="I13" s="135"/>
      <c r="J13" s="136"/>
      <c r="K13" s="135"/>
      <c r="L13" s="136"/>
      <c r="M13" s="137">
        <f t="shared" si="0"/>
        <v>1</v>
      </c>
      <c r="N13" s="138">
        <f t="shared" si="1"/>
        <v>1</v>
      </c>
      <c r="O13" s="140"/>
    </row>
    <row r="14" spans="1:16" s="139" customFormat="1" ht="40.5" customHeight="1" x14ac:dyDescent="0.25">
      <c r="A14" s="108">
        <v>5</v>
      </c>
      <c r="B14" s="140" t="s">
        <v>226</v>
      </c>
      <c r="C14" s="140" t="s">
        <v>227</v>
      </c>
      <c r="D14" s="133">
        <v>0.9</v>
      </c>
      <c r="E14" s="140" t="s">
        <v>228</v>
      </c>
      <c r="F14" s="134">
        <v>0.1</v>
      </c>
      <c r="G14" s="135"/>
      <c r="H14" s="136"/>
      <c r="I14" s="135"/>
      <c r="J14" s="136"/>
      <c r="K14" s="135"/>
      <c r="L14" s="136"/>
      <c r="M14" s="137">
        <f t="shared" si="0"/>
        <v>2</v>
      </c>
      <c r="N14" s="138">
        <f t="shared" si="1"/>
        <v>1</v>
      </c>
      <c r="O14" s="140"/>
    </row>
    <row r="15" spans="1:16" s="139" customFormat="1" ht="40.5" customHeight="1" x14ac:dyDescent="0.25">
      <c r="A15" s="108">
        <v>6</v>
      </c>
      <c r="B15" s="140" t="s">
        <v>296</v>
      </c>
      <c r="C15" s="140" t="s">
        <v>203</v>
      </c>
      <c r="D15" s="133">
        <v>0.95</v>
      </c>
      <c r="E15" s="140" t="s">
        <v>229</v>
      </c>
      <c r="F15" s="134">
        <v>0.05</v>
      </c>
      <c r="G15" s="135"/>
      <c r="H15" s="136"/>
      <c r="I15" s="135"/>
      <c r="J15" s="136"/>
      <c r="K15" s="135"/>
      <c r="L15" s="136"/>
      <c r="M15" s="137">
        <f t="shared" si="0"/>
        <v>2</v>
      </c>
      <c r="N15" s="138">
        <f t="shared" si="1"/>
        <v>1</v>
      </c>
      <c r="O15" s="140"/>
    </row>
    <row r="16" spans="1:16" s="139" customFormat="1" ht="54.75" customHeight="1" x14ac:dyDescent="0.25">
      <c r="A16" s="108">
        <v>7</v>
      </c>
      <c r="B16" s="140" t="s">
        <v>201</v>
      </c>
      <c r="C16" s="140" t="s">
        <v>201</v>
      </c>
      <c r="D16" s="133">
        <v>1</v>
      </c>
      <c r="E16" s="140"/>
      <c r="F16" s="134"/>
      <c r="G16" s="135"/>
      <c r="H16" s="136"/>
      <c r="I16" s="135"/>
      <c r="J16" s="136"/>
      <c r="K16" s="135"/>
      <c r="L16" s="136"/>
      <c r="M16" s="137">
        <f t="shared" si="0"/>
        <v>1</v>
      </c>
      <c r="N16" s="138">
        <f t="shared" si="1"/>
        <v>1</v>
      </c>
      <c r="O16" s="140"/>
    </row>
    <row r="17" spans="1:15" s="139" customFormat="1" ht="54.75" customHeight="1" x14ac:dyDescent="0.25">
      <c r="A17" s="108">
        <v>8</v>
      </c>
      <c r="B17" s="140" t="s">
        <v>230</v>
      </c>
      <c r="C17" s="140" t="s">
        <v>231</v>
      </c>
      <c r="D17" s="133">
        <v>0.7</v>
      </c>
      <c r="E17" s="140" t="s">
        <v>232</v>
      </c>
      <c r="F17" s="134">
        <v>0.3</v>
      </c>
      <c r="G17" s="135"/>
      <c r="H17" s="136"/>
      <c r="I17" s="135"/>
      <c r="J17" s="136"/>
      <c r="K17" s="135"/>
      <c r="L17" s="136"/>
      <c r="M17" s="137">
        <f t="shared" si="0"/>
        <v>2</v>
      </c>
      <c r="N17" s="138">
        <f t="shared" si="1"/>
        <v>1</v>
      </c>
      <c r="O17" s="140"/>
    </row>
    <row r="18" spans="1:15" s="139" customFormat="1" ht="40.5" customHeight="1" x14ac:dyDescent="0.25">
      <c r="A18" s="108">
        <v>9</v>
      </c>
      <c r="B18" s="140" t="s">
        <v>233</v>
      </c>
      <c r="C18" s="140" t="s">
        <v>234</v>
      </c>
      <c r="D18" s="133">
        <v>0.9</v>
      </c>
      <c r="E18" s="140" t="s">
        <v>235</v>
      </c>
      <c r="F18" s="134">
        <v>0.1</v>
      </c>
      <c r="G18" s="135"/>
      <c r="H18" s="136"/>
      <c r="I18" s="135"/>
      <c r="J18" s="136"/>
      <c r="K18" s="135"/>
      <c r="L18" s="136"/>
      <c r="M18" s="137">
        <f t="shared" si="0"/>
        <v>2</v>
      </c>
      <c r="N18" s="138">
        <f t="shared" si="1"/>
        <v>1</v>
      </c>
      <c r="O18" s="140"/>
    </row>
    <row r="19" spans="1:15" s="139" customFormat="1" ht="40.5" customHeight="1" x14ac:dyDescent="0.25">
      <c r="A19" s="108">
        <v>10</v>
      </c>
      <c r="B19" s="140" t="s">
        <v>579</v>
      </c>
      <c r="C19" s="140" t="s">
        <v>202</v>
      </c>
      <c r="D19" s="133">
        <v>0.9</v>
      </c>
      <c r="E19" s="140" t="s">
        <v>236</v>
      </c>
      <c r="F19" s="134">
        <v>0.1</v>
      </c>
      <c r="G19" s="135"/>
      <c r="H19" s="136"/>
      <c r="I19" s="135"/>
      <c r="J19" s="136"/>
      <c r="K19" s="135"/>
      <c r="L19" s="136"/>
      <c r="M19" s="137">
        <f t="shared" si="0"/>
        <v>2</v>
      </c>
      <c r="N19" s="138">
        <f t="shared" si="1"/>
        <v>1</v>
      </c>
      <c r="O19" s="140"/>
    </row>
    <row r="20" spans="1:15" s="139" customFormat="1" ht="40.5" customHeight="1" x14ac:dyDescent="0.25">
      <c r="A20" s="108">
        <v>11</v>
      </c>
      <c r="B20" s="140" t="s">
        <v>240</v>
      </c>
      <c r="C20" s="140" t="s">
        <v>237</v>
      </c>
      <c r="D20" s="133">
        <v>0.5</v>
      </c>
      <c r="E20" s="140" t="s">
        <v>238</v>
      </c>
      <c r="F20" s="134">
        <v>0.5</v>
      </c>
      <c r="G20" s="135"/>
      <c r="H20" s="136"/>
      <c r="I20" s="135"/>
      <c r="J20" s="136"/>
      <c r="K20" s="135"/>
      <c r="L20" s="136"/>
      <c r="M20" s="137">
        <f t="shared" si="0"/>
        <v>2</v>
      </c>
      <c r="N20" s="138">
        <f t="shared" si="1"/>
        <v>1</v>
      </c>
      <c r="O20" s="140"/>
    </row>
    <row r="21" spans="1:15" s="139" customFormat="1" ht="40.5" customHeight="1" x14ac:dyDescent="0.25">
      <c r="A21" s="108">
        <v>12</v>
      </c>
      <c r="B21" s="140" t="s">
        <v>239</v>
      </c>
      <c r="C21" s="140" t="s">
        <v>241</v>
      </c>
      <c r="D21" s="133">
        <v>0.9</v>
      </c>
      <c r="E21" s="140" t="s">
        <v>242</v>
      </c>
      <c r="F21" s="134">
        <v>0.1</v>
      </c>
      <c r="G21" s="135"/>
      <c r="H21" s="136"/>
      <c r="I21" s="135"/>
      <c r="J21" s="136"/>
      <c r="K21" s="135"/>
      <c r="L21" s="136"/>
      <c r="M21" s="137">
        <f t="shared" si="0"/>
        <v>2</v>
      </c>
      <c r="N21" s="138">
        <f t="shared" si="1"/>
        <v>1</v>
      </c>
      <c r="O21" s="140"/>
    </row>
    <row r="22" spans="1:15" s="139" customFormat="1" ht="40.5" customHeight="1" x14ac:dyDescent="0.25">
      <c r="A22" s="108">
        <v>13</v>
      </c>
      <c r="B22" s="140" t="s">
        <v>243</v>
      </c>
      <c r="C22" s="140" t="s">
        <v>582</v>
      </c>
      <c r="D22" s="133">
        <v>0.45</v>
      </c>
      <c r="E22" s="140" t="s">
        <v>581</v>
      </c>
      <c r="F22" s="134">
        <v>0.05</v>
      </c>
      <c r="G22" s="135" t="s">
        <v>245</v>
      </c>
      <c r="H22" s="136">
        <v>0.5</v>
      </c>
      <c r="I22" s="135"/>
      <c r="J22" s="136"/>
      <c r="K22" s="135"/>
      <c r="L22" s="136"/>
      <c r="M22" s="137">
        <f t="shared" si="0"/>
        <v>3</v>
      </c>
      <c r="N22" s="138">
        <f t="shared" si="1"/>
        <v>1</v>
      </c>
      <c r="O22" s="140"/>
    </row>
    <row r="23" spans="1:15" s="139" customFormat="1" ht="40.5" customHeight="1" x14ac:dyDescent="0.25">
      <c r="A23" s="108">
        <v>14</v>
      </c>
      <c r="B23" s="140" t="s">
        <v>246</v>
      </c>
      <c r="C23" s="140" t="s">
        <v>247</v>
      </c>
      <c r="D23" s="133">
        <v>0.1</v>
      </c>
      <c r="E23" s="140" t="s">
        <v>248</v>
      </c>
      <c r="F23" s="134">
        <v>0.9</v>
      </c>
      <c r="G23" s="135"/>
      <c r="H23" s="136"/>
      <c r="I23" s="135"/>
      <c r="J23" s="136"/>
      <c r="K23" s="135"/>
      <c r="L23" s="136"/>
      <c r="M23" s="137">
        <f t="shared" si="0"/>
        <v>2</v>
      </c>
      <c r="N23" s="138">
        <f t="shared" si="1"/>
        <v>1</v>
      </c>
      <c r="O23" s="140"/>
    </row>
    <row r="24" spans="1:15" s="139" customFormat="1" ht="40.5" customHeight="1" x14ac:dyDescent="0.25">
      <c r="A24" s="108">
        <v>15</v>
      </c>
      <c r="B24" s="140" t="s">
        <v>249</v>
      </c>
      <c r="C24" s="140" t="s">
        <v>198</v>
      </c>
      <c r="D24" s="133">
        <v>0.1</v>
      </c>
      <c r="E24" s="140" t="s">
        <v>195</v>
      </c>
      <c r="F24" s="134">
        <v>0.9</v>
      </c>
      <c r="G24" s="135"/>
      <c r="H24" s="136"/>
      <c r="I24" s="135"/>
      <c r="J24" s="136"/>
      <c r="K24" s="135"/>
      <c r="L24" s="136"/>
      <c r="M24" s="137">
        <f t="shared" si="0"/>
        <v>2</v>
      </c>
      <c r="N24" s="138">
        <f t="shared" si="1"/>
        <v>1</v>
      </c>
      <c r="O24" s="140"/>
    </row>
    <row r="25" spans="1:15" s="139" customFormat="1" ht="40.5" customHeight="1" x14ac:dyDescent="0.25">
      <c r="A25" s="108">
        <v>16</v>
      </c>
      <c r="B25" s="140" t="s">
        <v>250</v>
      </c>
      <c r="C25" s="140" t="s">
        <v>251</v>
      </c>
      <c r="D25" s="133">
        <v>0.45</v>
      </c>
      <c r="E25" s="140" t="s">
        <v>252</v>
      </c>
      <c r="F25" s="134">
        <v>0.1</v>
      </c>
      <c r="G25" s="135" t="s">
        <v>199</v>
      </c>
      <c r="H25" s="136">
        <v>0.45</v>
      </c>
      <c r="I25" s="135"/>
      <c r="J25" s="136"/>
      <c r="K25" s="135"/>
      <c r="L25" s="136"/>
      <c r="M25" s="137">
        <f t="shared" si="0"/>
        <v>3</v>
      </c>
      <c r="N25" s="138">
        <f t="shared" si="1"/>
        <v>1</v>
      </c>
      <c r="O25" s="140"/>
    </row>
    <row r="26" spans="1:15" s="139" customFormat="1" ht="54.75" customHeight="1" x14ac:dyDescent="0.25">
      <c r="A26" s="108">
        <v>17</v>
      </c>
      <c r="B26" s="140" t="s">
        <v>253</v>
      </c>
      <c r="C26" s="140" t="s">
        <v>254</v>
      </c>
      <c r="D26" s="133">
        <v>0.1</v>
      </c>
      <c r="E26" s="140" t="s">
        <v>255</v>
      </c>
      <c r="F26" s="134">
        <v>0.9</v>
      </c>
      <c r="G26" s="135"/>
      <c r="H26" s="136"/>
      <c r="I26" s="135"/>
      <c r="J26" s="136"/>
      <c r="K26" s="135"/>
      <c r="L26" s="136"/>
      <c r="M26" s="137">
        <f t="shared" si="0"/>
        <v>2</v>
      </c>
      <c r="N26" s="138">
        <f t="shared" si="1"/>
        <v>1</v>
      </c>
      <c r="O26" s="140"/>
    </row>
    <row r="27" spans="1:15" s="139" customFormat="1" ht="54.75" customHeight="1" x14ac:dyDescent="0.25">
      <c r="A27" s="108">
        <v>18</v>
      </c>
      <c r="B27" s="140" t="s">
        <v>256</v>
      </c>
      <c r="C27" s="140" t="s">
        <v>257</v>
      </c>
      <c r="D27" s="133">
        <v>0.1</v>
      </c>
      <c r="E27" s="140" t="s">
        <v>258</v>
      </c>
      <c r="F27" s="134">
        <v>0.9</v>
      </c>
      <c r="G27" s="135"/>
      <c r="H27" s="136"/>
      <c r="I27" s="135"/>
      <c r="J27" s="136"/>
      <c r="K27" s="135"/>
      <c r="L27" s="136"/>
      <c r="M27" s="137">
        <f t="shared" si="0"/>
        <v>2</v>
      </c>
      <c r="N27" s="138">
        <f t="shared" si="1"/>
        <v>1</v>
      </c>
      <c r="O27" s="140"/>
    </row>
    <row r="28" spans="1:15" s="139" customFormat="1" ht="54.75" customHeight="1" x14ac:dyDescent="0.25">
      <c r="A28" s="108">
        <v>19</v>
      </c>
      <c r="B28" s="140" t="s">
        <v>259</v>
      </c>
      <c r="C28" s="140" t="s">
        <v>259</v>
      </c>
      <c r="D28" s="133">
        <v>1</v>
      </c>
      <c r="E28" s="140"/>
      <c r="F28" s="134"/>
      <c r="G28" s="135"/>
      <c r="H28" s="136"/>
      <c r="I28" s="135"/>
      <c r="J28" s="136"/>
      <c r="K28" s="135"/>
      <c r="L28" s="136"/>
      <c r="M28" s="137">
        <f t="shared" si="0"/>
        <v>1</v>
      </c>
      <c r="N28" s="138">
        <f t="shared" si="1"/>
        <v>1</v>
      </c>
      <c r="O28" s="140"/>
    </row>
    <row r="29" spans="1:15" s="139" customFormat="1" ht="54.75" customHeight="1" x14ac:dyDescent="0.25">
      <c r="A29" s="108">
        <v>20</v>
      </c>
      <c r="B29" s="140" t="s">
        <v>260</v>
      </c>
      <c r="C29" s="140" t="s">
        <v>261</v>
      </c>
      <c r="D29" s="133">
        <v>0.1</v>
      </c>
      <c r="E29" s="140" t="s">
        <v>262</v>
      </c>
      <c r="F29" s="134">
        <v>0.9</v>
      </c>
      <c r="G29" s="135"/>
      <c r="H29" s="136"/>
      <c r="I29" s="135"/>
      <c r="J29" s="136"/>
      <c r="K29" s="135"/>
      <c r="L29" s="136"/>
      <c r="M29" s="137">
        <f t="shared" si="0"/>
        <v>2</v>
      </c>
      <c r="N29" s="138">
        <f t="shared" si="1"/>
        <v>1</v>
      </c>
      <c r="O29" s="140"/>
    </row>
    <row r="30" spans="1:15" s="139" customFormat="1" ht="54.75" customHeight="1" x14ac:dyDescent="0.25">
      <c r="A30" s="108">
        <v>21</v>
      </c>
      <c r="B30" s="140" t="s">
        <v>263</v>
      </c>
      <c r="C30" s="140" t="s">
        <v>204</v>
      </c>
      <c r="D30" s="133">
        <v>0.9</v>
      </c>
      <c r="E30" s="140" t="s">
        <v>205</v>
      </c>
      <c r="F30" s="134">
        <v>0.1</v>
      </c>
      <c r="G30" s="135"/>
      <c r="H30" s="136"/>
      <c r="I30" s="135"/>
      <c r="J30" s="136"/>
      <c r="K30" s="135"/>
      <c r="L30" s="136"/>
      <c r="M30" s="137">
        <f t="shared" si="0"/>
        <v>2</v>
      </c>
      <c r="N30" s="138">
        <f t="shared" si="1"/>
        <v>1</v>
      </c>
      <c r="O30" s="140"/>
    </row>
    <row r="31" spans="1:15" s="139" customFormat="1" ht="54.75" customHeight="1" x14ac:dyDescent="0.25">
      <c r="A31" s="108">
        <v>22</v>
      </c>
      <c r="B31" s="140" t="s">
        <v>264</v>
      </c>
      <c r="C31" s="140" t="s">
        <v>264</v>
      </c>
      <c r="D31" s="133">
        <v>1</v>
      </c>
      <c r="E31" s="140"/>
      <c r="F31" s="134"/>
      <c r="G31" s="135"/>
      <c r="H31" s="136"/>
      <c r="I31" s="135"/>
      <c r="J31" s="136"/>
      <c r="K31" s="135"/>
      <c r="L31" s="136"/>
      <c r="M31" s="137">
        <f t="shared" si="0"/>
        <v>1</v>
      </c>
      <c r="N31" s="138">
        <f t="shared" si="1"/>
        <v>1</v>
      </c>
      <c r="O31" s="140" t="s">
        <v>297</v>
      </c>
    </row>
    <row r="32" spans="1:15" s="139" customFormat="1" ht="54.75" customHeight="1" x14ac:dyDescent="0.25">
      <c r="A32" s="108">
        <v>23</v>
      </c>
      <c r="B32" s="140" t="s">
        <v>265</v>
      </c>
      <c r="C32" s="140" t="s">
        <v>265</v>
      </c>
      <c r="D32" s="133">
        <v>1</v>
      </c>
      <c r="E32" s="140"/>
      <c r="F32" s="134"/>
      <c r="G32" s="135"/>
      <c r="H32" s="136"/>
      <c r="I32" s="135"/>
      <c r="J32" s="136"/>
      <c r="K32" s="135"/>
      <c r="L32" s="136"/>
      <c r="M32" s="137">
        <f t="shared" si="0"/>
        <v>1</v>
      </c>
      <c r="N32" s="138">
        <f t="shared" si="1"/>
        <v>1</v>
      </c>
      <c r="O32" s="140" t="s">
        <v>303</v>
      </c>
    </row>
    <row r="33" spans="1:15" s="139" customFormat="1" ht="54.75" customHeight="1" x14ac:dyDescent="0.25">
      <c r="A33" s="108">
        <v>24</v>
      </c>
      <c r="B33" s="140" t="s">
        <v>266</v>
      </c>
      <c r="C33" s="140" t="s">
        <v>267</v>
      </c>
      <c r="D33" s="133">
        <v>0.9</v>
      </c>
      <c r="E33" s="140" t="s">
        <v>268</v>
      </c>
      <c r="F33" s="134">
        <v>0.1</v>
      </c>
      <c r="G33" s="135"/>
      <c r="H33" s="136"/>
      <c r="I33" s="135"/>
      <c r="J33" s="136"/>
      <c r="K33" s="135"/>
      <c r="L33" s="136"/>
      <c r="M33" s="137">
        <f t="shared" si="0"/>
        <v>2</v>
      </c>
      <c r="N33" s="138">
        <f t="shared" si="1"/>
        <v>1</v>
      </c>
      <c r="O33" s="140" t="s">
        <v>321</v>
      </c>
    </row>
    <row r="34" spans="1:15" s="139" customFormat="1" ht="54.75" customHeight="1" x14ac:dyDescent="0.25">
      <c r="A34" s="108">
        <v>25</v>
      </c>
      <c r="B34" s="140" t="s">
        <v>269</v>
      </c>
      <c r="C34" s="140" t="s">
        <v>270</v>
      </c>
      <c r="D34" s="133">
        <v>0.9</v>
      </c>
      <c r="E34" s="140" t="s">
        <v>200</v>
      </c>
      <c r="F34" s="134">
        <v>0.1</v>
      </c>
      <c r="G34" s="135"/>
      <c r="H34" s="136"/>
      <c r="I34" s="135"/>
      <c r="J34" s="136"/>
      <c r="K34" s="135"/>
      <c r="L34" s="136"/>
      <c r="M34" s="137">
        <f t="shared" si="0"/>
        <v>2</v>
      </c>
      <c r="N34" s="138">
        <f t="shared" si="1"/>
        <v>1</v>
      </c>
      <c r="O34" s="140"/>
    </row>
    <row r="35" spans="1:15" s="139" customFormat="1" ht="54.75" customHeight="1" x14ac:dyDescent="0.25">
      <c r="A35" s="108">
        <v>26</v>
      </c>
      <c r="B35" s="140" t="s">
        <v>271</v>
      </c>
      <c r="C35" s="140" t="s">
        <v>272</v>
      </c>
      <c r="D35" s="133">
        <v>0.1</v>
      </c>
      <c r="E35" s="140" t="s">
        <v>273</v>
      </c>
      <c r="F35" s="134">
        <v>0.9</v>
      </c>
      <c r="G35" s="135"/>
      <c r="H35" s="136"/>
      <c r="I35" s="135"/>
      <c r="J35" s="136"/>
      <c r="K35" s="135"/>
      <c r="L35" s="136"/>
      <c r="M35" s="137">
        <f t="shared" si="0"/>
        <v>2</v>
      </c>
      <c r="N35" s="138">
        <f t="shared" si="1"/>
        <v>1</v>
      </c>
      <c r="O35" s="140"/>
    </row>
    <row r="36" spans="1:15" s="139" customFormat="1" ht="54.75" customHeight="1" x14ac:dyDescent="0.25">
      <c r="A36" s="108">
        <v>27</v>
      </c>
      <c r="B36" s="140" t="s">
        <v>274</v>
      </c>
      <c r="C36" s="140" t="s">
        <v>275</v>
      </c>
      <c r="D36" s="133">
        <v>0.45</v>
      </c>
      <c r="E36" s="140" t="s">
        <v>276</v>
      </c>
      <c r="F36" s="134">
        <v>0.45</v>
      </c>
      <c r="G36" s="135" t="s">
        <v>277</v>
      </c>
      <c r="H36" s="136">
        <v>0.1</v>
      </c>
      <c r="I36" s="135"/>
      <c r="J36" s="136"/>
      <c r="K36" s="135"/>
      <c r="L36" s="136"/>
      <c r="M36" s="137">
        <f t="shared" si="0"/>
        <v>3</v>
      </c>
      <c r="N36" s="138">
        <f t="shared" si="1"/>
        <v>1</v>
      </c>
      <c r="O36" s="140"/>
    </row>
    <row r="37" spans="1:15" s="139" customFormat="1" ht="54.75" customHeight="1" x14ac:dyDescent="0.25">
      <c r="A37" s="108">
        <v>28</v>
      </c>
      <c r="B37" s="140" t="s">
        <v>278</v>
      </c>
      <c r="C37" s="140" t="s">
        <v>279</v>
      </c>
      <c r="D37" s="133">
        <v>0.9</v>
      </c>
      <c r="E37" s="140" t="s">
        <v>280</v>
      </c>
      <c r="F37" s="134">
        <v>0.1</v>
      </c>
      <c r="G37" s="135"/>
      <c r="H37" s="136"/>
      <c r="I37" s="135"/>
      <c r="J37" s="136"/>
      <c r="K37" s="135"/>
      <c r="L37" s="136"/>
      <c r="M37" s="137">
        <f t="shared" ref="M37:M42" si="2">+COUNTIF(C37:L37,"*")</f>
        <v>2</v>
      </c>
      <c r="N37" s="138">
        <f t="shared" ref="N37:N42" si="3">+SUM(D37,F37,H37,J37,L37)</f>
        <v>1</v>
      </c>
      <c r="O37" s="140"/>
    </row>
    <row r="38" spans="1:15" s="139" customFormat="1" ht="54.75" customHeight="1" x14ac:dyDescent="0.25">
      <c r="A38" s="108">
        <v>29</v>
      </c>
      <c r="B38" s="140" t="s">
        <v>281</v>
      </c>
      <c r="C38" s="140" t="s">
        <v>282</v>
      </c>
      <c r="D38" s="133">
        <v>0.9</v>
      </c>
      <c r="E38" s="140" t="s">
        <v>283</v>
      </c>
      <c r="F38" s="134">
        <v>0.1</v>
      </c>
      <c r="G38" s="135"/>
      <c r="H38" s="136"/>
      <c r="I38" s="135"/>
      <c r="J38" s="136"/>
      <c r="K38" s="135"/>
      <c r="L38" s="136"/>
      <c r="M38" s="137">
        <f t="shared" si="2"/>
        <v>2</v>
      </c>
      <c r="N38" s="138">
        <f t="shared" si="3"/>
        <v>1</v>
      </c>
      <c r="O38" s="140"/>
    </row>
    <row r="39" spans="1:15" s="139" customFormat="1" ht="54.75" customHeight="1" x14ac:dyDescent="0.25">
      <c r="A39" s="108">
        <v>30</v>
      </c>
      <c r="B39" s="140" t="s">
        <v>284</v>
      </c>
      <c r="C39" s="140" t="s">
        <v>284</v>
      </c>
      <c r="D39" s="133">
        <v>1</v>
      </c>
      <c r="E39" s="140"/>
      <c r="F39" s="134"/>
      <c r="G39" s="135"/>
      <c r="H39" s="136"/>
      <c r="I39" s="135"/>
      <c r="J39" s="136"/>
      <c r="K39" s="135"/>
      <c r="L39" s="136"/>
      <c r="M39" s="137">
        <f t="shared" si="2"/>
        <v>1</v>
      </c>
      <c r="N39" s="138">
        <f t="shared" si="3"/>
        <v>1</v>
      </c>
      <c r="O39" s="140"/>
    </row>
    <row r="40" spans="1:15" s="139" customFormat="1" ht="54.75" customHeight="1" x14ac:dyDescent="0.25">
      <c r="A40" s="108">
        <v>31</v>
      </c>
      <c r="B40" s="140" t="s">
        <v>285</v>
      </c>
      <c r="C40" s="140" t="s">
        <v>285</v>
      </c>
      <c r="D40" s="133">
        <v>1</v>
      </c>
      <c r="E40" s="140"/>
      <c r="F40" s="134"/>
      <c r="G40" s="135"/>
      <c r="H40" s="136"/>
      <c r="I40" s="135"/>
      <c r="J40" s="136"/>
      <c r="K40" s="135"/>
      <c r="L40" s="136"/>
      <c r="M40" s="137">
        <f t="shared" si="2"/>
        <v>1</v>
      </c>
      <c r="N40" s="138">
        <f t="shared" si="3"/>
        <v>1</v>
      </c>
      <c r="O40" s="140"/>
    </row>
    <row r="41" spans="1:15" s="139" customFormat="1" ht="54.75" customHeight="1" x14ac:dyDescent="0.25">
      <c r="A41" s="108">
        <v>32</v>
      </c>
      <c r="B41" s="140" t="s">
        <v>286</v>
      </c>
      <c r="C41" s="140" t="s">
        <v>287</v>
      </c>
      <c r="D41" s="133">
        <v>0.5</v>
      </c>
      <c r="E41" s="140" t="s">
        <v>288</v>
      </c>
      <c r="F41" s="134">
        <v>0.5</v>
      </c>
      <c r="G41" s="135"/>
      <c r="H41" s="136"/>
      <c r="I41" s="135"/>
      <c r="J41" s="136"/>
      <c r="K41" s="135"/>
      <c r="L41" s="136"/>
      <c r="M41" s="137">
        <f t="shared" si="2"/>
        <v>2</v>
      </c>
      <c r="N41" s="138">
        <f t="shared" si="3"/>
        <v>1</v>
      </c>
      <c r="O41" s="140"/>
    </row>
    <row r="42" spans="1:15" s="139" customFormat="1" ht="54.75" customHeight="1" x14ac:dyDescent="0.25">
      <c r="A42" s="108">
        <v>33</v>
      </c>
      <c r="B42" s="140" t="s">
        <v>289</v>
      </c>
      <c r="C42" s="140" t="s">
        <v>290</v>
      </c>
      <c r="D42" s="133">
        <v>0.55000000000000004</v>
      </c>
      <c r="E42" s="140" t="s">
        <v>291</v>
      </c>
      <c r="F42" s="134">
        <v>0.35</v>
      </c>
      <c r="G42" s="135" t="s">
        <v>292</v>
      </c>
      <c r="H42" s="136">
        <v>0.1</v>
      </c>
      <c r="I42" s="135"/>
      <c r="J42" s="136"/>
      <c r="K42" s="135"/>
      <c r="L42" s="136"/>
      <c r="M42" s="137">
        <f t="shared" si="2"/>
        <v>3</v>
      </c>
      <c r="N42" s="138">
        <f t="shared" si="3"/>
        <v>1</v>
      </c>
      <c r="O42" s="140"/>
    </row>
    <row r="43" spans="1:15" s="139" customFormat="1" ht="54.75" hidden="1" customHeight="1" x14ac:dyDescent="0.25">
      <c r="A43" s="108">
        <v>34</v>
      </c>
      <c r="B43" s="140"/>
      <c r="C43" s="140"/>
      <c r="D43" s="133"/>
      <c r="E43" s="140"/>
      <c r="F43" s="134"/>
      <c r="G43" s="135"/>
      <c r="H43" s="136"/>
      <c r="I43" s="135"/>
      <c r="J43" s="136"/>
      <c r="K43" s="135"/>
      <c r="L43" s="136"/>
      <c r="M43" s="137"/>
      <c r="N43" s="138"/>
    </row>
    <row r="44" spans="1:15" s="139" customFormat="1" ht="54.75" hidden="1" customHeight="1" x14ac:dyDescent="0.25">
      <c r="A44" s="108">
        <v>35</v>
      </c>
      <c r="B44" s="140"/>
      <c r="C44" s="140"/>
      <c r="D44" s="133"/>
      <c r="E44" s="140"/>
      <c r="F44" s="134"/>
      <c r="G44" s="135"/>
      <c r="H44" s="136"/>
      <c r="I44" s="135"/>
      <c r="J44" s="136"/>
      <c r="K44" s="135"/>
      <c r="L44" s="136"/>
      <c r="M44" s="137"/>
      <c r="N44" s="138"/>
    </row>
    <row r="45" spans="1:15" s="139" customFormat="1" ht="54.75" hidden="1" customHeight="1" x14ac:dyDescent="0.25">
      <c r="A45" s="108">
        <v>36</v>
      </c>
      <c r="B45" s="140"/>
      <c r="C45" s="140"/>
      <c r="D45" s="133"/>
      <c r="E45" s="140"/>
      <c r="F45" s="134"/>
      <c r="G45" s="135"/>
      <c r="H45" s="136"/>
      <c r="I45" s="135"/>
      <c r="J45" s="136"/>
      <c r="K45" s="135"/>
      <c r="L45" s="136"/>
      <c r="M45" s="137"/>
      <c r="N45" s="138"/>
    </row>
    <row r="46" spans="1:15" s="139" customFormat="1" ht="54.75" hidden="1" customHeight="1" x14ac:dyDescent="0.25">
      <c r="A46" s="108">
        <v>37</v>
      </c>
      <c r="B46" s="140"/>
      <c r="C46" s="140"/>
      <c r="D46" s="133"/>
      <c r="E46" s="140"/>
      <c r="F46" s="134"/>
      <c r="G46" s="135"/>
      <c r="H46" s="136"/>
      <c r="I46" s="135"/>
      <c r="J46" s="136"/>
      <c r="K46" s="135"/>
      <c r="L46" s="136"/>
      <c r="M46" s="137"/>
      <c r="N46" s="138"/>
    </row>
    <row r="47" spans="1:15" s="139" customFormat="1" ht="54.75" hidden="1" customHeight="1" x14ac:dyDescent="0.25">
      <c r="A47" s="108">
        <v>38</v>
      </c>
      <c r="B47" s="140"/>
      <c r="C47" s="140"/>
      <c r="D47" s="133"/>
      <c r="E47" s="140"/>
      <c r="F47" s="134"/>
      <c r="G47" s="135"/>
      <c r="H47" s="136"/>
      <c r="I47" s="135"/>
      <c r="J47" s="136"/>
      <c r="K47" s="135"/>
      <c r="L47" s="136"/>
      <c r="M47" s="137"/>
      <c r="N47" s="138"/>
    </row>
    <row r="48" spans="1:15" s="139" customFormat="1" ht="54.75" hidden="1" customHeight="1" x14ac:dyDescent="0.25">
      <c r="A48" s="108">
        <v>39</v>
      </c>
      <c r="B48" s="140"/>
      <c r="C48" s="140"/>
      <c r="D48" s="133"/>
      <c r="E48" s="140"/>
      <c r="F48" s="134"/>
      <c r="G48" s="135"/>
      <c r="H48" s="136"/>
      <c r="I48" s="135"/>
      <c r="J48" s="136"/>
      <c r="K48" s="135"/>
      <c r="L48" s="136"/>
      <c r="M48" s="137"/>
      <c r="N48" s="138"/>
    </row>
    <row r="49" spans="1:14" s="139" customFormat="1" ht="54.75" hidden="1" customHeight="1" x14ac:dyDescent="0.25">
      <c r="A49" s="108">
        <v>40</v>
      </c>
      <c r="B49" s="140"/>
      <c r="C49" s="140"/>
      <c r="D49" s="133"/>
      <c r="E49" s="140"/>
      <c r="F49" s="134"/>
      <c r="G49" s="135"/>
      <c r="H49" s="136"/>
      <c r="I49" s="135"/>
      <c r="J49" s="136"/>
      <c r="K49" s="135"/>
      <c r="L49" s="136"/>
      <c r="M49" s="137"/>
      <c r="N49" s="138"/>
    </row>
    <row r="50" spans="1:14" s="139" customFormat="1" ht="54.75" hidden="1" customHeight="1" x14ac:dyDescent="0.25">
      <c r="A50" s="108">
        <v>41</v>
      </c>
      <c r="B50" s="140"/>
      <c r="C50" s="140"/>
      <c r="D50" s="133"/>
      <c r="E50" s="140"/>
      <c r="F50" s="134"/>
      <c r="G50" s="135"/>
      <c r="H50" s="136"/>
      <c r="I50" s="135"/>
      <c r="J50" s="136"/>
      <c r="K50" s="135"/>
      <c r="L50" s="136"/>
      <c r="M50" s="137"/>
      <c r="N50" s="138"/>
    </row>
    <row r="51" spans="1:14" s="139" customFormat="1" ht="54.75" hidden="1" customHeight="1" x14ac:dyDescent="0.25">
      <c r="A51" s="108">
        <v>42</v>
      </c>
      <c r="B51" s="140"/>
      <c r="C51" s="140"/>
      <c r="D51" s="133"/>
      <c r="E51" s="140"/>
      <c r="F51" s="134"/>
      <c r="G51" s="135"/>
      <c r="H51" s="136"/>
      <c r="I51" s="135"/>
      <c r="J51" s="136"/>
      <c r="K51" s="135"/>
      <c r="L51" s="136"/>
      <c r="M51" s="137"/>
      <c r="N51" s="138"/>
    </row>
    <row r="52" spans="1:14" s="139" customFormat="1" ht="54.75" hidden="1" customHeight="1" x14ac:dyDescent="0.25">
      <c r="A52" s="108">
        <v>43</v>
      </c>
      <c r="B52" s="140"/>
      <c r="C52" s="140"/>
      <c r="D52" s="133"/>
      <c r="E52" s="140"/>
      <c r="F52" s="134"/>
      <c r="G52" s="135"/>
      <c r="H52" s="136"/>
      <c r="I52" s="135"/>
      <c r="J52" s="136"/>
      <c r="K52" s="135"/>
      <c r="L52" s="136"/>
      <c r="M52" s="137"/>
      <c r="N52" s="138"/>
    </row>
    <row r="53" spans="1:14" s="139" customFormat="1" ht="54.75" hidden="1" customHeight="1" x14ac:dyDescent="0.25">
      <c r="A53" s="108">
        <v>44</v>
      </c>
      <c r="B53" s="140"/>
      <c r="C53" s="140"/>
      <c r="D53" s="133"/>
      <c r="E53" s="140"/>
      <c r="F53" s="134"/>
      <c r="G53" s="135"/>
      <c r="H53" s="136"/>
      <c r="I53" s="135"/>
      <c r="J53" s="136"/>
      <c r="K53" s="135"/>
      <c r="L53" s="136"/>
      <c r="M53" s="137"/>
      <c r="N53" s="138"/>
    </row>
    <row r="54" spans="1:14" s="139" customFormat="1" ht="54.75" hidden="1" customHeight="1" x14ac:dyDescent="0.25">
      <c r="A54" s="108">
        <v>45</v>
      </c>
      <c r="B54" s="140"/>
      <c r="C54" s="140"/>
      <c r="D54" s="133"/>
      <c r="E54" s="140"/>
      <c r="F54" s="134"/>
      <c r="G54" s="135"/>
      <c r="H54" s="136"/>
      <c r="I54" s="135"/>
      <c r="J54" s="136"/>
      <c r="K54" s="135"/>
      <c r="L54" s="136"/>
      <c r="M54" s="137"/>
      <c r="N54" s="138"/>
    </row>
    <row r="55" spans="1:14" s="139" customFormat="1" ht="54.75" hidden="1" customHeight="1" x14ac:dyDescent="0.25">
      <c r="A55" s="108">
        <v>46</v>
      </c>
      <c r="B55" s="140"/>
      <c r="C55" s="140"/>
      <c r="D55" s="133"/>
      <c r="E55" s="140"/>
      <c r="F55" s="134"/>
      <c r="G55" s="135"/>
      <c r="H55" s="136"/>
      <c r="I55" s="135"/>
      <c r="J55" s="136"/>
      <c r="K55" s="135"/>
      <c r="L55" s="136"/>
      <c r="M55" s="137"/>
      <c r="N55" s="138"/>
    </row>
    <row r="56" spans="1:14" s="139" customFormat="1" ht="54.75" hidden="1" customHeight="1" x14ac:dyDescent="0.25">
      <c r="A56" s="108">
        <v>47</v>
      </c>
      <c r="B56" s="140"/>
      <c r="C56" s="140"/>
      <c r="D56" s="133"/>
      <c r="E56" s="140"/>
      <c r="F56" s="134"/>
      <c r="G56" s="135"/>
      <c r="H56" s="136"/>
      <c r="I56" s="135"/>
      <c r="J56" s="136"/>
      <c r="K56" s="135"/>
      <c r="L56" s="136"/>
      <c r="M56" s="137"/>
      <c r="N56" s="138"/>
    </row>
    <row r="57" spans="1:14" s="139" customFormat="1" ht="54.75" hidden="1" customHeight="1" x14ac:dyDescent="0.25">
      <c r="A57" s="108">
        <v>48</v>
      </c>
      <c r="B57" s="140"/>
      <c r="C57" s="140"/>
      <c r="D57" s="133"/>
      <c r="E57" s="140"/>
      <c r="F57" s="134"/>
      <c r="G57" s="135"/>
      <c r="H57" s="136"/>
      <c r="I57" s="135"/>
      <c r="J57" s="136"/>
      <c r="K57" s="135"/>
      <c r="L57" s="136"/>
      <c r="M57" s="137"/>
      <c r="N57" s="138"/>
    </row>
    <row r="58" spans="1:14" s="139" customFormat="1" ht="54.75" hidden="1" customHeight="1" x14ac:dyDescent="0.25">
      <c r="A58" s="108">
        <v>49</v>
      </c>
      <c r="B58" s="140"/>
      <c r="C58" s="140"/>
      <c r="D58" s="133"/>
      <c r="E58" s="140"/>
      <c r="F58" s="134"/>
      <c r="G58" s="135"/>
      <c r="H58" s="136"/>
      <c r="I58" s="135"/>
      <c r="J58" s="136"/>
      <c r="K58" s="135"/>
      <c r="L58" s="136"/>
      <c r="M58" s="137"/>
      <c r="N58" s="138"/>
    </row>
    <row r="59" spans="1:14" s="139" customFormat="1" ht="54.75" hidden="1" customHeight="1" x14ac:dyDescent="0.25">
      <c r="A59" s="108">
        <v>50</v>
      </c>
      <c r="B59" s="140"/>
      <c r="C59" s="140"/>
      <c r="D59" s="133"/>
      <c r="E59" s="140"/>
      <c r="F59" s="134"/>
      <c r="G59" s="135"/>
      <c r="H59" s="136"/>
      <c r="I59" s="135"/>
      <c r="J59" s="136"/>
      <c r="K59" s="135"/>
      <c r="L59" s="136"/>
      <c r="M59" s="137"/>
      <c r="N59" s="138"/>
    </row>
    <row r="60" spans="1:14" s="139" customFormat="1" ht="54.75" hidden="1" customHeight="1" x14ac:dyDescent="0.25">
      <c r="A60" s="108">
        <v>51</v>
      </c>
      <c r="B60" s="140"/>
      <c r="C60" s="140"/>
      <c r="D60" s="133"/>
      <c r="E60" s="140"/>
      <c r="F60" s="134"/>
      <c r="G60" s="135"/>
      <c r="H60" s="136"/>
      <c r="I60" s="135"/>
      <c r="J60" s="136"/>
      <c r="K60" s="135"/>
      <c r="L60" s="136"/>
      <c r="M60" s="137"/>
      <c r="N60" s="138"/>
    </row>
    <row r="61" spans="1:14" s="139" customFormat="1" ht="54.75" hidden="1" customHeight="1" x14ac:dyDescent="0.25">
      <c r="A61" s="108">
        <v>52</v>
      </c>
      <c r="B61" s="140"/>
      <c r="C61" s="140"/>
      <c r="D61" s="133"/>
      <c r="E61" s="140"/>
      <c r="F61" s="134"/>
      <c r="G61" s="135"/>
      <c r="H61" s="136"/>
      <c r="I61" s="135"/>
      <c r="J61" s="136"/>
      <c r="K61" s="135"/>
      <c r="L61" s="136"/>
      <c r="M61" s="137"/>
      <c r="N61" s="138"/>
    </row>
    <row r="62" spans="1:14" s="139" customFormat="1" ht="54.75" hidden="1" customHeight="1" x14ac:dyDescent="0.25">
      <c r="A62" s="108">
        <v>53</v>
      </c>
      <c r="B62" s="140"/>
      <c r="C62" s="140"/>
      <c r="D62" s="133"/>
      <c r="E62" s="140"/>
      <c r="F62" s="134"/>
      <c r="G62" s="135"/>
      <c r="H62" s="136"/>
      <c r="I62" s="135"/>
      <c r="J62" s="136"/>
      <c r="K62" s="135"/>
      <c r="L62" s="136"/>
      <c r="M62" s="137"/>
      <c r="N62" s="138"/>
    </row>
    <row r="63" spans="1:14" s="139" customFormat="1" ht="54.75" hidden="1" customHeight="1" x14ac:dyDescent="0.25">
      <c r="A63" s="108">
        <v>54</v>
      </c>
      <c r="B63" s="140"/>
      <c r="C63" s="140"/>
      <c r="D63" s="133"/>
      <c r="E63" s="140"/>
      <c r="F63" s="134"/>
      <c r="G63" s="135"/>
      <c r="H63" s="136"/>
      <c r="I63" s="135"/>
      <c r="J63" s="136"/>
      <c r="K63" s="135"/>
      <c r="L63" s="136"/>
      <c r="M63" s="137"/>
      <c r="N63" s="138"/>
    </row>
    <row r="64" spans="1:14" s="139" customFormat="1" ht="54.75" hidden="1" customHeight="1" x14ac:dyDescent="0.25">
      <c r="A64" s="108">
        <v>55</v>
      </c>
      <c r="B64" s="140"/>
      <c r="C64" s="140"/>
      <c r="D64" s="133"/>
      <c r="E64" s="140"/>
      <c r="F64" s="134"/>
      <c r="G64" s="135"/>
      <c r="H64" s="136"/>
      <c r="I64" s="135"/>
      <c r="J64" s="136"/>
      <c r="K64" s="135"/>
      <c r="L64" s="136"/>
      <c r="M64" s="137"/>
      <c r="N64" s="138"/>
    </row>
    <row r="65" spans="1:14" s="139" customFormat="1" ht="54.75" hidden="1" customHeight="1" x14ac:dyDescent="0.25">
      <c r="A65" s="108">
        <v>56</v>
      </c>
      <c r="B65" s="140"/>
      <c r="C65" s="140"/>
      <c r="D65" s="133"/>
      <c r="E65" s="140"/>
      <c r="F65" s="134"/>
      <c r="G65" s="135"/>
      <c r="H65" s="136"/>
      <c r="I65" s="135"/>
      <c r="J65" s="136"/>
      <c r="K65" s="135"/>
      <c r="L65" s="136"/>
      <c r="M65" s="137"/>
      <c r="N65" s="138"/>
    </row>
    <row r="66" spans="1:14" s="139" customFormat="1" ht="54.75" hidden="1" customHeight="1" x14ac:dyDescent="0.25">
      <c r="A66" s="108">
        <v>57</v>
      </c>
      <c r="B66" s="140"/>
      <c r="C66" s="140"/>
      <c r="D66" s="133"/>
      <c r="E66" s="140"/>
      <c r="F66" s="134"/>
      <c r="G66" s="135"/>
      <c r="H66" s="136"/>
      <c r="I66" s="135"/>
      <c r="J66" s="136"/>
      <c r="K66" s="135"/>
      <c r="L66" s="136"/>
      <c r="M66" s="137"/>
      <c r="N66" s="138"/>
    </row>
    <row r="67" spans="1:14" s="139" customFormat="1" ht="54.75" hidden="1" customHeight="1" x14ac:dyDescent="0.25">
      <c r="A67" s="108">
        <v>58</v>
      </c>
      <c r="B67" s="140"/>
      <c r="C67" s="140"/>
      <c r="D67" s="133"/>
      <c r="E67" s="140"/>
      <c r="F67" s="134"/>
      <c r="G67" s="135"/>
      <c r="H67" s="136"/>
      <c r="I67" s="135"/>
      <c r="J67" s="136"/>
      <c r="K67" s="135"/>
      <c r="L67" s="136"/>
      <c r="M67" s="137"/>
      <c r="N67" s="138"/>
    </row>
    <row r="68" spans="1:14" s="139" customFormat="1" ht="54.75" hidden="1" customHeight="1" x14ac:dyDescent="0.25">
      <c r="A68" s="108">
        <v>59</v>
      </c>
      <c r="B68" s="140"/>
      <c r="C68" s="140"/>
      <c r="D68" s="133"/>
      <c r="E68" s="140"/>
      <c r="F68" s="134"/>
      <c r="G68" s="135"/>
      <c r="H68" s="136"/>
      <c r="I68" s="135"/>
      <c r="J68" s="136"/>
      <c r="K68" s="135"/>
      <c r="L68" s="136"/>
      <c r="M68" s="137"/>
      <c r="N68" s="138"/>
    </row>
    <row r="69" spans="1:14" s="139" customFormat="1" ht="54.75" hidden="1" customHeight="1" x14ac:dyDescent="0.25">
      <c r="A69" s="108">
        <v>60</v>
      </c>
      <c r="B69" s="140"/>
      <c r="C69" s="140"/>
      <c r="D69" s="133"/>
      <c r="E69" s="140"/>
      <c r="F69" s="134"/>
      <c r="G69" s="135"/>
      <c r="H69" s="136"/>
      <c r="I69" s="135"/>
      <c r="J69" s="136"/>
      <c r="K69" s="135"/>
      <c r="L69" s="136"/>
      <c r="M69" s="137"/>
      <c r="N69" s="138"/>
    </row>
    <row r="70" spans="1:14" s="139" customFormat="1" ht="54.75" hidden="1" customHeight="1" x14ac:dyDescent="0.25">
      <c r="A70" s="108">
        <v>61</v>
      </c>
      <c r="B70" s="140"/>
      <c r="C70" s="140"/>
      <c r="D70" s="133"/>
      <c r="E70" s="140"/>
      <c r="F70" s="134"/>
      <c r="G70" s="135"/>
      <c r="H70" s="136"/>
      <c r="I70" s="135"/>
      <c r="J70" s="136"/>
      <c r="K70" s="135"/>
      <c r="L70" s="136"/>
      <c r="M70" s="137"/>
      <c r="N70" s="138"/>
    </row>
    <row r="71" spans="1:14" s="139" customFormat="1" ht="54.75" hidden="1" customHeight="1" x14ac:dyDescent="0.25">
      <c r="A71" s="108">
        <v>62</v>
      </c>
      <c r="B71" s="140"/>
      <c r="C71" s="140"/>
      <c r="D71" s="133"/>
      <c r="E71" s="140"/>
      <c r="F71" s="134"/>
      <c r="G71" s="135"/>
      <c r="H71" s="136"/>
      <c r="I71" s="135"/>
      <c r="J71" s="136"/>
      <c r="K71" s="135"/>
      <c r="L71" s="136"/>
      <c r="M71" s="137"/>
      <c r="N71" s="138"/>
    </row>
    <row r="72" spans="1:14" s="139" customFormat="1" ht="54.75" hidden="1" customHeight="1" x14ac:dyDescent="0.25">
      <c r="A72" s="108">
        <v>63</v>
      </c>
      <c r="B72" s="140"/>
      <c r="C72" s="140"/>
      <c r="D72" s="133"/>
      <c r="E72" s="140"/>
      <c r="F72" s="134"/>
      <c r="G72" s="135"/>
      <c r="H72" s="136"/>
      <c r="I72" s="135"/>
      <c r="J72" s="136"/>
      <c r="K72" s="135"/>
      <c r="L72" s="136"/>
      <c r="M72" s="137"/>
      <c r="N72" s="138"/>
    </row>
    <row r="73" spans="1:14" s="139" customFormat="1" ht="54.75" hidden="1" customHeight="1" x14ac:dyDescent="0.25">
      <c r="A73" s="108">
        <v>64</v>
      </c>
      <c r="B73" s="140"/>
      <c r="C73" s="140"/>
      <c r="D73" s="133"/>
      <c r="E73" s="140"/>
      <c r="F73" s="134"/>
      <c r="G73" s="135"/>
      <c r="H73" s="136"/>
      <c r="I73" s="135"/>
      <c r="J73" s="136"/>
      <c r="K73" s="135"/>
      <c r="L73" s="136"/>
      <c r="M73" s="137"/>
      <c r="N73" s="138"/>
    </row>
    <row r="74" spans="1:14" s="139" customFormat="1" ht="54.75" hidden="1" customHeight="1" x14ac:dyDescent="0.25">
      <c r="A74" s="108">
        <v>65</v>
      </c>
      <c r="B74" s="140"/>
      <c r="C74" s="140"/>
      <c r="D74" s="133"/>
      <c r="E74" s="140"/>
      <c r="F74" s="134"/>
      <c r="G74" s="135"/>
      <c r="H74" s="136"/>
      <c r="I74" s="135"/>
      <c r="J74" s="136"/>
      <c r="K74" s="135"/>
      <c r="L74" s="136"/>
      <c r="M74" s="137"/>
      <c r="N74" s="138"/>
    </row>
    <row r="75" spans="1:14" s="139" customFormat="1" ht="54.75" hidden="1" customHeight="1" x14ac:dyDescent="0.25">
      <c r="A75" s="108">
        <v>66</v>
      </c>
      <c r="B75" s="140"/>
      <c r="C75" s="140"/>
      <c r="D75" s="133"/>
      <c r="E75" s="140"/>
      <c r="F75" s="134"/>
      <c r="G75" s="135"/>
      <c r="H75" s="136"/>
      <c r="I75" s="135"/>
      <c r="J75" s="136"/>
      <c r="K75" s="135"/>
      <c r="L75" s="136"/>
      <c r="M75" s="137"/>
      <c r="N75" s="138"/>
    </row>
    <row r="76" spans="1:14" s="139" customFormat="1" ht="54.75" hidden="1" customHeight="1" x14ac:dyDescent="0.25">
      <c r="A76" s="108">
        <v>67</v>
      </c>
      <c r="B76" s="140"/>
      <c r="C76" s="140"/>
      <c r="D76" s="133"/>
      <c r="E76" s="140"/>
      <c r="F76" s="134"/>
      <c r="G76" s="135"/>
      <c r="H76" s="136"/>
      <c r="I76" s="135"/>
      <c r="J76" s="136"/>
      <c r="K76" s="135"/>
      <c r="L76" s="136"/>
      <c r="M76" s="137"/>
      <c r="N76" s="138"/>
    </row>
    <row r="77" spans="1:14" s="139" customFormat="1" ht="54.75" hidden="1" customHeight="1" x14ac:dyDescent="0.25">
      <c r="A77" s="108">
        <v>68</v>
      </c>
      <c r="B77" s="140"/>
      <c r="C77" s="140"/>
      <c r="D77" s="133"/>
      <c r="E77" s="140"/>
      <c r="F77" s="134"/>
      <c r="G77" s="135"/>
      <c r="H77" s="136"/>
      <c r="I77" s="135"/>
      <c r="J77" s="136"/>
      <c r="K77" s="135"/>
      <c r="L77" s="136"/>
      <c r="M77" s="137"/>
      <c r="N77" s="138"/>
    </row>
    <row r="78" spans="1:14" s="139" customFormat="1" ht="54.75" hidden="1" customHeight="1" x14ac:dyDescent="0.25">
      <c r="A78" s="108">
        <v>69</v>
      </c>
      <c r="B78" s="140"/>
      <c r="C78" s="140"/>
      <c r="D78" s="133"/>
      <c r="E78" s="140"/>
      <c r="F78" s="134"/>
      <c r="G78" s="135"/>
      <c r="H78" s="136"/>
      <c r="I78" s="135"/>
      <c r="J78" s="136"/>
      <c r="K78" s="135"/>
      <c r="L78" s="136"/>
      <c r="M78" s="137"/>
      <c r="N78" s="138"/>
    </row>
    <row r="79" spans="1:14" s="139" customFormat="1" ht="54.75" hidden="1" customHeight="1" x14ac:dyDescent="0.25">
      <c r="A79" s="108">
        <v>70</v>
      </c>
      <c r="B79" s="140"/>
      <c r="C79" s="140"/>
      <c r="D79" s="133"/>
      <c r="E79" s="140"/>
      <c r="F79" s="134"/>
      <c r="G79" s="135"/>
      <c r="H79" s="136"/>
      <c r="I79" s="135"/>
      <c r="J79" s="136"/>
      <c r="K79" s="135"/>
      <c r="L79" s="136"/>
      <c r="M79" s="137"/>
      <c r="N79" s="138"/>
    </row>
    <row r="80" spans="1:14" s="139" customFormat="1" ht="54.75" hidden="1" customHeight="1" x14ac:dyDescent="0.25">
      <c r="A80" s="108">
        <v>71</v>
      </c>
      <c r="B80" s="140"/>
      <c r="C80" s="140"/>
      <c r="D80" s="133"/>
      <c r="E80" s="140"/>
      <c r="F80" s="134"/>
      <c r="G80" s="135"/>
      <c r="H80" s="136"/>
      <c r="I80" s="135"/>
      <c r="J80" s="136"/>
      <c r="K80" s="135"/>
      <c r="L80" s="136"/>
      <c r="M80" s="137"/>
      <c r="N80" s="138"/>
    </row>
    <row r="81" spans="1:14" s="139" customFormat="1" ht="54.75" hidden="1" customHeight="1" x14ac:dyDescent="0.25">
      <c r="A81" s="108">
        <v>72</v>
      </c>
      <c r="B81" s="140"/>
      <c r="C81" s="140"/>
      <c r="D81" s="133"/>
      <c r="E81" s="140"/>
      <c r="F81" s="134"/>
      <c r="G81" s="135"/>
      <c r="H81" s="136"/>
      <c r="I81" s="135"/>
      <c r="J81" s="136"/>
      <c r="K81" s="135"/>
      <c r="L81" s="136"/>
      <c r="M81" s="137"/>
      <c r="N81" s="138"/>
    </row>
    <row r="82" spans="1:14" s="139" customFormat="1" ht="54.75" hidden="1" customHeight="1" x14ac:dyDescent="0.25">
      <c r="A82" s="108">
        <v>73</v>
      </c>
      <c r="B82" s="140"/>
      <c r="C82" s="140"/>
      <c r="D82" s="133"/>
      <c r="E82" s="140"/>
      <c r="F82" s="134"/>
      <c r="G82" s="135"/>
      <c r="H82" s="136"/>
      <c r="I82" s="135"/>
      <c r="J82" s="136"/>
      <c r="K82" s="135"/>
      <c r="L82" s="136"/>
      <c r="M82" s="137"/>
      <c r="N82" s="138"/>
    </row>
    <row r="83" spans="1:14" s="139" customFormat="1" ht="54.75" hidden="1" customHeight="1" x14ac:dyDescent="0.25">
      <c r="A83" s="108">
        <v>74</v>
      </c>
      <c r="B83" s="140"/>
      <c r="C83" s="140"/>
      <c r="D83" s="133"/>
      <c r="E83" s="140"/>
      <c r="F83" s="134"/>
      <c r="G83" s="135"/>
      <c r="H83" s="136"/>
      <c r="I83" s="135"/>
      <c r="J83" s="136"/>
      <c r="K83" s="135"/>
      <c r="L83" s="136"/>
      <c r="M83" s="137"/>
      <c r="N83" s="138"/>
    </row>
    <row r="84" spans="1:14" s="139" customFormat="1" ht="54.75" hidden="1" customHeight="1" x14ac:dyDescent="0.25">
      <c r="A84" s="108">
        <v>75</v>
      </c>
      <c r="B84" s="140"/>
      <c r="C84" s="140"/>
      <c r="D84" s="133"/>
      <c r="E84" s="140"/>
      <c r="F84" s="134"/>
      <c r="G84" s="135"/>
      <c r="H84" s="136"/>
      <c r="I84" s="135"/>
      <c r="J84" s="136"/>
      <c r="K84" s="135"/>
      <c r="L84" s="136"/>
      <c r="M84" s="137"/>
      <c r="N84" s="138"/>
    </row>
    <row r="85" spans="1:14" s="139" customFormat="1" ht="54.75" hidden="1" customHeight="1" x14ac:dyDescent="0.25">
      <c r="A85" s="108">
        <v>76</v>
      </c>
      <c r="B85" s="140"/>
      <c r="C85" s="140"/>
      <c r="D85" s="133"/>
      <c r="E85" s="140"/>
      <c r="F85" s="134"/>
      <c r="G85" s="135"/>
      <c r="H85" s="136"/>
      <c r="I85" s="135"/>
      <c r="J85" s="136"/>
      <c r="K85" s="135"/>
      <c r="L85" s="136"/>
      <c r="M85" s="137"/>
      <c r="N85" s="138"/>
    </row>
    <row r="86" spans="1:14" s="139" customFormat="1" ht="54.75" hidden="1" customHeight="1" x14ac:dyDescent="0.25">
      <c r="A86" s="108">
        <v>77</v>
      </c>
      <c r="B86" s="140"/>
      <c r="C86" s="140"/>
      <c r="D86" s="133"/>
      <c r="E86" s="140"/>
      <c r="F86" s="134"/>
      <c r="G86" s="135"/>
      <c r="H86" s="136"/>
      <c r="I86" s="135"/>
      <c r="J86" s="136"/>
      <c r="K86" s="135"/>
      <c r="L86" s="136"/>
      <c r="M86" s="137"/>
      <c r="N86" s="138"/>
    </row>
    <row r="87" spans="1:14" s="139" customFormat="1" ht="54.75" hidden="1" customHeight="1" x14ac:dyDescent="0.25">
      <c r="A87" s="108">
        <v>78</v>
      </c>
      <c r="B87" s="140"/>
      <c r="C87" s="140"/>
      <c r="D87" s="133"/>
      <c r="E87" s="140"/>
      <c r="F87" s="134"/>
      <c r="G87" s="135"/>
      <c r="H87" s="136"/>
      <c r="I87" s="135"/>
      <c r="J87" s="136"/>
      <c r="K87" s="135"/>
      <c r="L87" s="136"/>
      <c r="M87" s="137"/>
      <c r="N87" s="138"/>
    </row>
    <row r="88" spans="1:14" s="139" customFormat="1" ht="54.75" hidden="1" customHeight="1" x14ac:dyDescent="0.25">
      <c r="A88" s="108">
        <v>79</v>
      </c>
      <c r="B88" s="140"/>
      <c r="C88" s="140"/>
      <c r="D88" s="133"/>
      <c r="E88" s="140"/>
      <c r="F88" s="134"/>
      <c r="G88" s="135"/>
      <c r="H88" s="136"/>
      <c r="I88" s="135"/>
      <c r="J88" s="136"/>
      <c r="K88" s="135"/>
      <c r="L88" s="136"/>
      <c r="M88" s="137"/>
      <c r="N88" s="138"/>
    </row>
    <row r="89" spans="1:14" s="139" customFormat="1" ht="54.75" hidden="1" customHeight="1" x14ac:dyDescent="0.25">
      <c r="A89" s="108">
        <v>80</v>
      </c>
      <c r="B89" s="140"/>
      <c r="C89" s="140"/>
      <c r="D89" s="133"/>
      <c r="E89" s="140"/>
      <c r="F89" s="134"/>
      <c r="G89" s="135"/>
      <c r="H89" s="136"/>
      <c r="I89" s="135"/>
      <c r="J89" s="136"/>
      <c r="K89" s="135"/>
      <c r="L89" s="136"/>
      <c r="M89" s="137"/>
      <c r="N89" s="138"/>
    </row>
    <row r="90" spans="1:14" s="139" customFormat="1" ht="54.75" hidden="1" customHeight="1" x14ac:dyDescent="0.25">
      <c r="A90" s="108">
        <v>81</v>
      </c>
      <c r="B90" s="140"/>
      <c r="C90" s="140"/>
      <c r="D90" s="133"/>
      <c r="E90" s="140"/>
      <c r="F90" s="134"/>
      <c r="G90" s="135"/>
      <c r="H90" s="136"/>
      <c r="I90" s="135"/>
      <c r="J90" s="136"/>
      <c r="K90" s="135"/>
      <c r="L90" s="136"/>
      <c r="M90" s="137"/>
      <c r="N90" s="138"/>
    </row>
    <row r="91" spans="1:14" s="139" customFormat="1" ht="54.75" hidden="1" customHeight="1" x14ac:dyDescent="0.25">
      <c r="A91" s="108">
        <v>82</v>
      </c>
      <c r="B91" s="140"/>
      <c r="C91" s="140"/>
      <c r="D91" s="133"/>
      <c r="E91" s="140"/>
      <c r="F91" s="134"/>
      <c r="G91" s="135"/>
      <c r="H91" s="136"/>
      <c r="I91" s="135"/>
      <c r="J91" s="136"/>
      <c r="K91" s="135"/>
      <c r="L91" s="136"/>
      <c r="M91" s="137"/>
      <c r="N91" s="138"/>
    </row>
    <row r="92" spans="1:14" s="139" customFormat="1" ht="54.75" hidden="1" customHeight="1" x14ac:dyDescent="0.25">
      <c r="A92" s="108">
        <v>83</v>
      </c>
      <c r="B92" s="140"/>
      <c r="C92" s="140"/>
      <c r="D92" s="133"/>
      <c r="E92" s="140"/>
      <c r="F92" s="134"/>
      <c r="G92" s="135"/>
      <c r="H92" s="136"/>
      <c r="I92" s="135"/>
      <c r="J92" s="136"/>
      <c r="K92" s="135"/>
      <c r="L92" s="136"/>
      <c r="M92" s="137"/>
      <c r="N92" s="138"/>
    </row>
    <row r="93" spans="1:14" s="139" customFormat="1" ht="54.75" hidden="1" customHeight="1" x14ac:dyDescent="0.25">
      <c r="A93" s="108">
        <v>84</v>
      </c>
      <c r="B93" s="140"/>
      <c r="C93" s="140"/>
      <c r="D93" s="133"/>
      <c r="E93" s="140"/>
      <c r="F93" s="134"/>
      <c r="G93" s="135"/>
      <c r="H93" s="136"/>
      <c r="I93" s="135"/>
      <c r="J93" s="136"/>
      <c r="K93" s="135"/>
      <c r="L93" s="136"/>
      <c r="M93" s="137"/>
      <c r="N93" s="138"/>
    </row>
    <row r="94" spans="1:14" s="139" customFormat="1" ht="54.75" hidden="1" customHeight="1" x14ac:dyDescent="0.25">
      <c r="A94" s="108">
        <v>85</v>
      </c>
      <c r="B94" s="140"/>
      <c r="C94" s="140"/>
      <c r="D94" s="133"/>
      <c r="E94" s="140"/>
      <c r="F94" s="134"/>
      <c r="G94" s="135"/>
      <c r="H94" s="136"/>
      <c r="I94" s="135"/>
      <c r="J94" s="136"/>
      <c r="K94" s="135"/>
      <c r="L94" s="136"/>
      <c r="M94" s="137"/>
      <c r="N94" s="138"/>
    </row>
    <row r="95" spans="1:14" s="139" customFormat="1" ht="54.75" hidden="1" customHeight="1" x14ac:dyDescent="0.25">
      <c r="A95" s="108">
        <v>86</v>
      </c>
      <c r="B95" s="140"/>
      <c r="C95" s="140"/>
      <c r="D95" s="133"/>
      <c r="E95" s="140"/>
      <c r="F95" s="134"/>
      <c r="G95" s="135"/>
      <c r="H95" s="136"/>
      <c r="I95" s="135"/>
      <c r="J95" s="136"/>
      <c r="K95" s="135"/>
      <c r="L95" s="136"/>
      <c r="M95" s="137"/>
      <c r="N95" s="138"/>
    </row>
    <row r="96" spans="1:14" s="139" customFormat="1" ht="54.75" hidden="1" customHeight="1" x14ac:dyDescent="0.25">
      <c r="A96" s="108">
        <v>87</v>
      </c>
      <c r="B96" s="140"/>
      <c r="C96" s="140"/>
      <c r="D96" s="133"/>
      <c r="E96" s="140"/>
      <c r="F96" s="134"/>
      <c r="G96" s="135"/>
      <c r="H96" s="136"/>
      <c r="I96" s="135"/>
      <c r="J96" s="136"/>
      <c r="K96" s="135"/>
      <c r="L96" s="136"/>
      <c r="M96" s="137"/>
      <c r="N96" s="138"/>
    </row>
    <row r="97" spans="1:15" s="139" customFormat="1" ht="54.75" hidden="1" customHeight="1" x14ac:dyDescent="0.25">
      <c r="A97" s="108">
        <v>88</v>
      </c>
      <c r="B97" s="140"/>
      <c r="C97" s="140"/>
      <c r="D97" s="133"/>
      <c r="E97" s="140"/>
      <c r="F97" s="134"/>
      <c r="G97" s="135"/>
      <c r="H97" s="136"/>
      <c r="I97" s="135"/>
      <c r="J97" s="136"/>
      <c r="K97" s="135"/>
      <c r="L97" s="136"/>
      <c r="M97" s="137"/>
      <c r="N97" s="138"/>
    </row>
    <row r="98" spans="1:15" s="139" customFormat="1" ht="54.75" hidden="1" customHeight="1" x14ac:dyDescent="0.25">
      <c r="A98" s="108">
        <v>89</v>
      </c>
      <c r="B98" s="140"/>
      <c r="C98" s="140"/>
      <c r="D98" s="133"/>
      <c r="E98" s="140"/>
      <c r="F98" s="134"/>
      <c r="G98" s="135"/>
      <c r="H98" s="136"/>
      <c r="I98" s="135"/>
      <c r="J98" s="136"/>
      <c r="K98" s="135"/>
      <c r="L98" s="136"/>
      <c r="M98" s="137"/>
      <c r="N98" s="138"/>
    </row>
    <row r="99" spans="1:15" s="139" customFormat="1" ht="54.75" hidden="1" customHeight="1" x14ac:dyDescent="0.25">
      <c r="A99" s="108">
        <v>90</v>
      </c>
      <c r="B99" s="140"/>
      <c r="C99" s="140"/>
      <c r="D99" s="133"/>
      <c r="E99" s="140"/>
      <c r="F99" s="134"/>
      <c r="G99" s="135"/>
      <c r="H99" s="136"/>
      <c r="I99" s="135"/>
      <c r="J99" s="136"/>
      <c r="K99" s="135"/>
      <c r="L99" s="136"/>
      <c r="M99" s="137"/>
      <c r="N99" s="138"/>
    </row>
    <row r="100" spans="1:15" s="139" customFormat="1" ht="54.75" hidden="1" customHeight="1" x14ac:dyDescent="0.25">
      <c r="A100" s="108">
        <v>91</v>
      </c>
      <c r="B100" s="140"/>
      <c r="C100" s="140"/>
      <c r="D100" s="133"/>
      <c r="E100" s="140"/>
      <c r="F100" s="134"/>
      <c r="G100" s="135"/>
      <c r="H100" s="136"/>
      <c r="I100" s="135"/>
      <c r="J100" s="136"/>
      <c r="K100" s="135"/>
      <c r="L100" s="136"/>
      <c r="M100" s="137"/>
      <c r="N100" s="138"/>
    </row>
    <row r="101" spans="1:15" s="139" customFormat="1" ht="54.75" hidden="1" customHeight="1" x14ac:dyDescent="0.25">
      <c r="A101" s="108">
        <v>92</v>
      </c>
      <c r="B101" s="140"/>
      <c r="C101" s="140"/>
      <c r="D101" s="133"/>
      <c r="E101" s="140"/>
      <c r="F101" s="134"/>
      <c r="G101" s="135"/>
      <c r="H101" s="136"/>
      <c r="I101" s="135"/>
      <c r="J101" s="136"/>
      <c r="K101" s="135"/>
      <c r="L101" s="136"/>
      <c r="M101" s="137"/>
      <c r="N101" s="138"/>
    </row>
    <row r="102" spans="1:15" s="139" customFormat="1" ht="54.75" hidden="1" customHeight="1" x14ac:dyDescent="0.25">
      <c r="A102" s="108">
        <v>93</v>
      </c>
      <c r="B102" s="140"/>
      <c r="C102" s="140"/>
      <c r="D102" s="133"/>
      <c r="E102" s="140"/>
      <c r="F102" s="134"/>
      <c r="G102" s="135"/>
      <c r="H102" s="136"/>
      <c r="I102" s="135"/>
      <c r="J102" s="136"/>
      <c r="K102" s="135"/>
      <c r="L102" s="136"/>
      <c r="M102" s="137"/>
      <c r="N102" s="138"/>
    </row>
    <row r="103" spans="1:15" s="139" customFormat="1" ht="54.75" hidden="1" customHeight="1" x14ac:dyDescent="0.25">
      <c r="A103" s="108">
        <v>94</v>
      </c>
      <c r="B103" s="140"/>
      <c r="C103" s="140"/>
      <c r="D103" s="133"/>
      <c r="E103" s="140"/>
      <c r="F103" s="134"/>
      <c r="G103" s="135"/>
      <c r="H103" s="136"/>
      <c r="I103" s="135"/>
      <c r="J103" s="136"/>
      <c r="K103" s="135"/>
      <c r="L103" s="136"/>
      <c r="M103" s="137"/>
      <c r="N103" s="138"/>
    </row>
    <row r="104" spans="1:15" s="139" customFormat="1" ht="54.75" hidden="1" customHeight="1" x14ac:dyDescent="0.25">
      <c r="A104" s="108">
        <v>95</v>
      </c>
      <c r="B104" s="140"/>
      <c r="C104" s="140"/>
      <c r="D104" s="133"/>
      <c r="E104" s="140"/>
      <c r="F104" s="134"/>
      <c r="G104" s="135"/>
      <c r="H104" s="136"/>
      <c r="I104" s="135"/>
      <c r="J104" s="136"/>
      <c r="K104" s="135"/>
      <c r="L104" s="136"/>
      <c r="M104" s="137"/>
      <c r="N104" s="138"/>
    </row>
    <row r="105" spans="1:15" s="139" customFormat="1" ht="54.75" hidden="1" customHeight="1" x14ac:dyDescent="0.25">
      <c r="A105" s="108">
        <v>96</v>
      </c>
      <c r="B105" s="140"/>
      <c r="C105" s="140"/>
      <c r="D105" s="133"/>
      <c r="E105" s="140"/>
      <c r="F105" s="134"/>
      <c r="G105" s="135"/>
      <c r="H105" s="136"/>
      <c r="I105" s="135"/>
      <c r="J105" s="136"/>
      <c r="K105" s="135"/>
      <c r="L105" s="136"/>
      <c r="M105" s="137"/>
      <c r="N105" s="138"/>
    </row>
    <row r="106" spans="1:15" s="139" customFormat="1" ht="54.75" hidden="1" customHeight="1" x14ac:dyDescent="0.25">
      <c r="A106" s="108">
        <v>97</v>
      </c>
      <c r="B106" s="140"/>
      <c r="C106" s="140"/>
      <c r="D106" s="133"/>
      <c r="E106" s="140"/>
      <c r="F106" s="134"/>
      <c r="G106" s="135"/>
      <c r="H106" s="136"/>
      <c r="I106" s="135"/>
      <c r="J106" s="136"/>
      <c r="K106" s="135"/>
      <c r="L106" s="136"/>
      <c r="M106" s="137"/>
      <c r="N106" s="138"/>
    </row>
    <row r="107" spans="1:15" s="139" customFormat="1" ht="54.75" hidden="1" customHeight="1" x14ac:dyDescent="0.25">
      <c r="A107" s="108">
        <v>98</v>
      </c>
      <c r="B107" s="140"/>
      <c r="C107" s="140"/>
      <c r="D107" s="133"/>
      <c r="E107" s="140"/>
      <c r="F107" s="134"/>
      <c r="G107" s="135"/>
      <c r="H107" s="136"/>
      <c r="I107" s="135"/>
      <c r="J107" s="136"/>
      <c r="K107" s="135"/>
      <c r="L107" s="136"/>
      <c r="M107" s="137"/>
      <c r="N107" s="138"/>
    </row>
    <row r="108" spans="1:15" s="139" customFormat="1" ht="54.75" hidden="1" customHeight="1" x14ac:dyDescent="0.25">
      <c r="A108" s="108">
        <v>99</v>
      </c>
      <c r="B108" s="140"/>
      <c r="C108" s="140"/>
      <c r="D108" s="133"/>
      <c r="E108" s="140"/>
      <c r="F108" s="134"/>
      <c r="G108" s="135"/>
      <c r="H108" s="136"/>
      <c r="I108" s="135"/>
      <c r="J108" s="136"/>
      <c r="K108" s="135"/>
      <c r="L108" s="136"/>
      <c r="M108" s="137"/>
      <c r="N108" s="138"/>
    </row>
    <row r="109" spans="1:15" s="139" customFormat="1" ht="54.75" hidden="1" customHeight="1" x14ac:dyDescent="0.25">
      <c r="A109" s="108">
        <v>100</v>
      </c>
      <c r="B109" s="140"/>
      <c r="C109" s="140"/>
      <c r="D109" s="133"/>
      <c r="E109" s="140"/>
      <c r="F109" s="134"/>
      <c r="G109" s="135"/>
      <c r="H109" s="136"/>
      <c r="I109" s="135"/>
      <c r="J109" s="136"/>
      <c r="K109" s="135"/>
      <c r="L109" s="136"/>
      <c r="M109" s="137"/>
      <c r="N109" s="138"/>
    </row>
    <row r="110" spans="1:15" s="139" customFormat="1" ht="54.75" customHeight="1" x14ac:dyDescent="0.2">
      <c r="A110" s="22"/>
      <c r="B110" s="22"/>
      <c r="C110" s="22"/>
      <c r="D110" s="22"/>
      <c r="E110" s="22"/>
      <c r="F110" s="22"/>
      <c r="G110" s="22"/>
      <c r="H110" s="22"/>
      <c r="I110" s="22"/>
      <c r="J110" s="22"/>
      <c r="K110" s="22"/>
      <c r="L110" s="22"/>
      <c r="M110" s="22"/>
      <c r="N110" s="22"/>
      <c r="O110" s="22"/>
    </row>
    <row r="111" spans="1:15" s="139" customFormat="1" ht="54.75" customHeight="1" x14ac:dyDescent="0.2">
      <c r="A111" s="22"/>
      <c r="B111" s="22"/>
      <c r="C111" s="22"/>
      <c r="D111" s="22"/>
      <c r="E111" s="22"/>
      <c r="F111" s="22"/>
      <c r="G111" s="22"/>
      <c r="H111" s="22"/>
      <c r="I111" s="22"/>
      <c r="J111" s="22"/>
      <c r="K111" s="22"/>
      <c r="L111" s="22"/>
      <c r="M111" s="22">
        <f t="shared" si="0"/>
        <v>0</v>
      </c>
      <c r="N111" s="22">
        <f t="shared" si="1"/>
        <v>0</v>
      </c>
      <c r="O111" s="22"/>
    </row>
    <row r="112" spans="1:15" s="139" customFormat="1" ht="54.75" customHeight="1" x14ac:dyDescent="0.2">
      <c r="A112" s="22"/>
      <c r="B112" s="22"/>
      <c r="C112" s="22"/>
      <c r="D112" s="22"/>
      <c r="E112" s="22"/>
      <c r="F112" s="22"/>
      <c r="G112" s="22"/>
      <c r="H112" s="22"/>
      <c r="I112" s="22"/>
      <c r="J112" s="22"/>
      <c r="K112" s="22"/>
      <c r="L112" s="22"/>
      <c r="M112" s="22">
        <f t="shared" si="0"/>
        <v>0</v>
      </c>
      <c r="N112" s="22">
        <f t="shared" si="1"/>
        <v>0</v>
      </c>
      <c r="O112" s="22"/>
    </row>
    <row r="113" spans="1:15" s="139" customFormat="1" ht="54.75" customHeight="1" x14ac:dyDescent="0.2">
      <c r="A113" s="22"/>
      <c r="B113" s="22"/>
      <c r="C113" s="22"/>
      <c r="D113" s="22"/>
      <c r="E113" s="22"/>
      <c r="F113" s="22"/>
      <c r="G113" s="22"/>
      <c r="H113" s="22"/>
      <c r="I113" s="22"/>
      <c r="J113" s="22"/>
      <c r="K113" s="22"/>
      <c r="L113" s="22"/>
      <c r="M113" s="22">
        <f t="shared" si="0"/>
        <v>0</v>
      </c>
      <c r="N113" s="22">
        <f t="shared" si="1"/>
        <v>0</v>
      </c>
      <c r="O113" s="22"/>
    </row>
    <row r="114" spans="1:15" s="139" customFormat="1" ht="54.75" customHeight="1" x14ac:dyDescent="0.2">
      <c r="A114" s="22"/>
      <c r="B114" s="22"/>
      <c r="C114" s="22"/>
      <c r="D114" s="22"/>
      <c r="E114" s="22"/>
      <c r="F114" s="22"/>
      <c r="G114" s="22"/>
      <c r="H114" s="22"/>
      <c r="I114" s="22"/>
      <c r="J114" s="22"/>
      <c r="K114" s="22"/>
      <c r="L114" s="22"/>
      <c r="M114" s="22">
        <f t="shared" si="0"/>
        <v>0</v>
      </c>
      <c r="N114" s="22">
        <f t="shared" si="1"/>
        <v>0</v>
      </c>
      <c r="O114" s="22"/>
    </row>
    <row r="115" spans="1:15" x14ac:dyDescent="0.2">
      <c r="M115" s="22">
        <f t="shared" si="0"/>
        <v>0</v>
      </c>
      <c r="N115" s="22">
        <f t="shared" si="1"/>
        <v>0</v>
      </c>
    </row>
    <row r="116" spans="1:15" x14ac:dyDescent="0.2">
      <c r="M116" s="22">
        <f t="shared" si="0"/>
        <v>0</v>
      </c>
      <c r="N116" s="22">
        <f t="shared" si="1"/>
        <v>0</v>
      </c>
    </row>
    <row r="117" spans="1:15" x14ac:dyDescent="0.2">
      <c r="M117" s="22">
        <f t="shared" si="0"/>
        <v>0</v>
      </c>
      <c r="N117" s="22">
        <f t="shared" si="1"/>
        <v>0</v>
      </c>
    </row>
    <row r="118" spans="1:15" x14ac:dyDescent="0.2">
      <c r="M118" s="22">
        <f t="shared" si="0"/>
        <v>0</v>
      </c>
      <c r="N118" s="22">
        <f t="shared" si="1"/>
        <v>0</v>
      </c>
    </row>
    <row r="119" spans="1:15" x14ac:dyDescent="0.2">
      <c r="J119" s="22">
        <v>0.1</v>
      </c>
      <c r="M119" s="22">
        <f t="shared" si="0"/>
        <v>0</v>
      </c>
      <c r="N119" s="22">
        <f t="shared" si="1"/>
        <v>0.1</v>
      </c>
    </row>
  </sheetData>
  <mergeCells count="16">
    <mergeCell ref="A2:B3"/>
    <mergeCell ref="C2:D2"/>
    <mergeCell ref="C3:O3"/>
    <mergeCell ref="E2:O2"/>
    <mergeCell ref="A1:O1"/>
    <mergeCell ref="F4:G4"/>
    <mergeCell ref="H4:O4"/>
    <mergeCell ref="O5:O6"/>
    <mergeCell ref="F5:M6"/>
    <mergeCell ref="A8:O8"/>
    <mergeCell ref="N5:N6"/>
    <mergeCell ref="A5:B6"/>
    <mergeCell ref="D5:E5"/>
    <mergeCell ref="D6:E6"/>
    <mergeCell ref="A4:B4"/>
    <mergeCell ref="C4:E4"/>
  </mergeCells>
  <phoneticPr fontId="16" type="noConversion"/>
  <conditionalFormatting sqref="B10:B42">
    <cfRule type="duplicateValues" dxfId="1259" priority="1"/>
  </conditionalFormatting>
  <conditionalFormatting sqref="N10:N109">
    <cfRule type="cellIs" dxfId="1258" priority="10" operator="equal">
      <formula>0</formula>
    </cfRule>
    <cfRule type="cellIs" dxfId="1257" priority="11" operator="lessThan">
      <formula>1</formula>
    </cfRule>
    <cfRule type="cellIs" dxfId="1256" priority="12" operator="greaterThan">
      <formula>1</formula>
    </cfRule>
    <cfRule type="cellIs" dxfId="1255" priority="13" operator="equal">
      <formula>1</formula>
    </cfRule>
  </conditionalFormatting>
  <pageMargins left="0.7" right="0.7" top="0.75" bottom="0.75" header="0.3" footer="0.3"/>
  <pageSetup scale="27"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5"/>
  <sheetViews>
    <sheetView view="pageBreakPreview" zoomScale="40" zoomScaleNormal="55" zoomScaleSheetLayoutView="40" workbookViewId="0">
      <pane ySplit="11" topLeftCell="A63" activePane="bottomLeft" state="frozenSplit"/>
      <selection activeCell="D65" sqref="D65"/>
      <selection pane="bottomLeft" activeCell="G28" sqref="G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v>
      </c>
      <c r="B11" s="2" t="s">
        <v>24</v>
      </c>
      <c r="C11" s="287" t="str">
        <f>VLOOKUP(A11,PROPONENTES!$A$10:$B$42,2,FALSE)</f>
        <v>CONSORCIO ARQING</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PROYECTOS DE INGENIERIA PBS SAS</v>
      </c>
      <c r="D15" s="101">
        <f>IF(VLOOKUP(C11,PROPONENTES!B10:N111,3,FALSE)=0,"",VLOOKUP(C11,PROPONENTES!B10:N111,3,FALSE))</f>
        <v>0.6</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3222.2490000000003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4</v>
      </c>
      <c r="J15" s="235">
        <f>IF(AND(I15&gt;=1,I15&lt;=2),L8,IF(AND(I15&gt;=3,I15&lt;=4),L9,IF(AND(I15&gt;=5,I15&lt;=7),L10)))</f>
        <v>2632.2056723076921</v>
      </c>
      <c r="K15" s="235">
        <f>+E20</f>
        <v>6444.4980000000005</v>
      </c>
      <c r="L15" s="236" t="str">
        <f>IF(K15&gt;=J15,"CUMPLE","NO CUMPLE")</f>
        <v>CUMPLE</v>
      </c>
    </row>
    <row r="16" spans="1:12" ht="33.75" customHeight="1" x14ac:dyDescent="0.25">
      <c r="B16" s="244"/>
      <c r="C16" s="100" t="str">
        <f>IF(VLOOKUP(C11,PROPONENTES!B10:N111,4,FALSE)=0,"",VLOOKUP(C11,PROPONENTES!B10:N111,4,FALSE))</f>
        <v xml:space="preserve">GUSTAVO PALACIOS RUBIANO </v>
      </c>
      <c r="D16" s="101">
        <f>IF(VLOOKUP(C11,PROPONENTES!B10:N111,5,FALSE)=0,"",VLOOKUP(C11,PROPONENTES!B10:N111,5,FALSE))</f>
        <v>0.4</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3222.2490000000003</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1614.066</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6444.4980000000005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217</v>
      </c>
      <c r="E24" s="90" t="s">
        <v>217</v>
      </c>
      <c r="F24" s="90" t="s">
        <v>217</v>
      </c>
      <c r="G24" s="90" t="s">
        <v>217</v>
      </c>
      <c r="H24" s="90"/>
      <c r="I24" s="90"/>
      <c r="J24" s="90"/>
      <c r="K24" s="245"/>
      <c r="L24" s="246"/>
    </row>
    <row r="25" spans="2:14" ht="39.75" customHeight="1" x14ac:dyDescent="0.25">
      <c r="B25" s="231" t="s">
        <v>135</v>
      </c>
      <c r="C25" s="232"/>
      <c r="D25" s="90" t="s">
        <v>197</v>
      </c>
      <c r="E25" s="90" t="s">
        <v>197</v>
      </c>
      <c r="F25" s="90" t="s">
        <v>197</v>
      </c>
      <c r="G25" s="90" t="s">
        <v>197</v>
      </c>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376</v>
      </c>
      <c r="E27" s="91" t="s">
        <v>377</v>
      </c>
      <c r="F27" s="91" t="s">
        <v>378</v>
      </c>
      <c r="G27" s="91" t="s">
        <v>379</v>
      </c>
      <c r="H27" s="91"/>
      <c r="I27" s="91"/>
      <c r="J27" s="91"/>
      <c r="K27" s="245"/>
      <c r="L27" s="246"/>
    </row>
    <row r="28" spans="2:14" ht="156.75" customHeight="1" x14ac:dyDescent="0.25">
      <c r="B28" s="250"/>
      <c r="C28" s="25" t="s">
        <v>38</v>
      </c>
      <c r="D28" s="91" t="s">
        <v>380</v>
      </c>
      <c r="E28" s="91" t="s">
        <v>381</v>
      </c>
      <c r="F28" s="91" t="s">
        <v>382</v>
      </c>
      <c r="G28" s="91" t="s">
        <v>383</v>
      </c>
      <c r="H28" s="91"/>
      <c r="I28" s="91"/>
      <c r="J28" s="91"/>
      <c r="K28" s="245"/>
      <c r="L28" s="246"/>
    </row>
    <row r="29" spans="2:14" ht="52.5" customHeight="1" x14ac:dyDescent="0.25">
      <c r="B29" s="250"/>
      <c r="C29" s="25" t="s">
        <v>169</v>
      </c>
      <c r="D29" s="95">
        <v>42417</v>
      </c>
      <c r="E29" s="95">
        <v>43383</v>
      </c>
      <c r="F29" s="95">
        <v>39902</v>
      </c>
      <c r="G29" s="95">
        <v>42446</v>
      </c>
      <c r="H29" s="95"/>
      <c r="I29" s="95"/>
      <c r="J29" s="95"/>
      <c r="K29" s="245"/>
      <c r="L29" s="246"/>
    </row>
    <row r="30" spans="2:14" ht="54.75" customHeight="1" x14ac:dyDescent="0.25">
      <c r="B30" s="250"/>
      <c r="C30" s="25" t="s">
        <v>42</v>
      </c>
      <c r="D30" s="95">
        <v>42639</v>
      </c>
      <c r="E30" s="95">
        <v>43548</v>
      </c>
      <c r="F30" s="95">
        <v>40151</v>
      </c>
      <c r="G30" s="95">
        <v>42628</v>
      </c>
      <c r="H30" s="95"/>
      <c r="I30" s="95"/>
      <c r="J30" s="95"/>
      <c r="K30" s="245"/>
      <c r="L30" s="246"/>
    </row>
    <row r="31" spans="2:14" ht="41.25" customHeight="1" x14ac:dyDescent="0.25">
      <c r="B31" s="250"/>
      <c r="C31" s="25" t="s">
        <v>39</v>
      </c>
      <c r="D31" s="92">
        <v>2016</v>
      </c>
      <c r="E31" s="92">
        <v>2019</v>
      </c>
      <c r="F31" s="92">
        <v>2009</v>
      </c>
      <c r="G31" s="92">
        <v>2016</v>
      </c>
      <c r="H31" s="92"/>
      <c r="I31" s="92"/>
      <c r="J31" s="92"/>
      <c r="K31" s="245"/>
      <c r="L31" s="246"/>
    </row>
    <row r="32" spans="2:14" ht="63" customHeight="1" x14ac:dyDescent="0.25">
      <c r="B32" s="250"/>
      <c r="C32" s="25" t="s">
        <v>40</v>
      </c>
      <c r="D32" s="91" t="s">
        <v>384</v>
      </c>
      <c r="E32" s="91" t="s">
        <v>308</v>
      </c>
      <c r="F32" s="91" t="s">
        <v>308</v>
      </c>
      <c r="G32" s="91" t="s">
        <v>384</v>
      </c>
      <c r="H32" s="91"/>
      <c r="I32" s="91"/>
      <c r="J32" s="91"/>
      <c r="K32" s="245"/>
      <c r="L32" s="246"/>
    </row>
    <row r="33" spans="2:12" ht="46.5" customHeight="1" x14ac:dyDescent="0.25">
      <c r="B33" s="250"/>
      <c r="C33" s="25" t="s">
        <v>41</v>
      </c>
      <c r="D33" s="91" t="s">
        <v>385</v>
      </c>
      <c r="E33" s="91" t="s">
        <v>386</v>
      </c>
      <c r="F33" s="91" t="s">
        <v>387</v>
      </c>
      <c r="G33" s="91" t="s">
        <v>388</v>
      </c>
      <c r="H33" s="91"/>
      <c r="I33" s="91"/>
      <c r="J33" s="91"/>
      <c r="K33" s="245"/>
      <c r="L33" s="246"/>
    </row>
    <row r="34" spans="2:12" ht="27.75" customHeight="1" x14ac:dyDescent="0.25">
      <c r="B34" s="250"/>
      <c r="C34" s="27" t="s">
        <v>35</v>
      </c>
      <c r="D34" s="96" t="s">
        <v>389</v>
      </c>
      <c r="E34" s="96" t="s">
        <v>390</v>
      </c>
      <c r="F34" s="96" t="s">
        <v>391</v>
      </c>
      <c r="G34" s="97" t="s">
        <v>392</v>
      </c>
      <c r="H34" s="97"/>
      <c r="I34" s="97"/>
      <c r="J34" s="97"/>
      <c r="K34" s="245"/>
      <c r="L34" s="246"/>
    </row>
    <row r="35" spans="2:12" ht="102.75" customHeight="1" x14ac:dyDescent="0.25">
      <c r="B35" s="250"/>
      <c r="C35" s="25" t="s">
        <v>137</v>
      </c>
      <c r="D35" s="93">
        <v>2690.11</v>
      </c>
      <c r="E35" s="93">
        <v>2488.64</v>
      </c>
      <c r="F35" s="93">
        <v>1648.13</v>
      </c>
      <c r="G35" s="93">
        <v>1985.65</v>
      </c>
      <c r="H35" s="93"/>
      <c r="I35" s="93"/>
      <c r="J35" s="93"/>
      <c r="K35" s="245"/>
      <c r="L35" s="246"/>
    </row>
    <row r="36" spans="2:12" ht="48" customHeight="1" x14ac:dyDescent="0.25">
      <c r="B36" s="250"/>
      <c r="C36" s="25" t="s">
        <v>76</v>
      </c>
      <c r="D36" s="105">
        <f>IFERROR(D35*VLOOKUP(D31,'DATOS INICIALES'!$A$12:$B$43,2,0),"0")</f>
        <v>1854709790.0500002</v>
      </c>
      <c r="E36" s="105">
        <f>IFERROR(E35*VLOOKUP(E31,'DATOS INICIALES'!$A$12:$B$43,2,0),"0")</f>
        <v>2060882602.24</v>
      </c>
      <c r="F36" s="105">
        <f>IFERROR(F35*VLOOKUP(F31,'DATOS INICIALES'!$A$12:$B$43,2,0),"0")</f>
        <v>818955797</v>
      </c>
      <c r="G36" s="105">
        <f>IFERROR(G35*VLOOKUP(G31,'DATOS INICIALES'!$A$12:$B$43,2,0),"0")</f>
        <v>1369016320.75</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0.3</v>
      </c>
      <c r="E37" s="94">
        <v>0.4</v>
      </c>
      <c r="F37" s="94">
        <v>0.5</v>
      </c>
      <c r="G37" s="94">
        <v>0.3</v>
      </c>
      <c r="H37" s="94"/>
      <c r="I37" s="94"/>
      <c r="J37" s="94"/>
      <c r="K37" s="245"/>
      <c r="L37" s="246"/>
    </row>
    <row r="38" spans="2:12" ht="48.75" customHeight="1" x14ac:dyDescent="0.25">
      <c r="B38" s="250"/>
      <c r="C38" s="25" t="s">
        <v>144</v>
      </c>
      <c r="D38" s="105">
        <f t="shared" ref="D38:J38" si="3">IF(D24="","0",D37*D36)</f>
        <v>556412937.01499999</v>
      </c>
      <c r="E38" s="105">
        <f t="shared" si="3"/>
        <v>824353040.89600003</v>
      </c>
      <c r="F38" s="105">
        <f t="shared" si="3"/>
        <v>409477898.5</v>
      </c>
      <c r="G38" s="105">
        <f t="shared" si="3"/>
        <v>410704896.22499996</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807.03300000000002</v>
      </c>
      <c r="E39" s="106">
        <f t="shared" si="4"/>
        <v>995.45600000000002</v>
      </c>
      <c r="F39" s="106">
        <f t="shared" si="4"/>
        <v>824.06500000000005</v>
      </c>
      <c r="G39" s="106">
        <f t="shared" si="4"/>
        <v>595.69500000000005</v>
      </c>
      <c r="H39" s="106">
        <f t="shared" si="4"/>
        <v>0</v>
      </c>
      <c r="I39" s="106">
        <f t="shared" si="4"/>
        <v>0</v>
      </c>
      <c r="J39" s="106">
        <f t="shared" si="4"/>
        <v>0</v>
      </c>
      <c r="K39" s="245"/>
      <c r="L39" s="246"/>
    </row>
    <row r="40" spans="2:12" ht="65.25" customHeight="1" x14ac:dyDescent="0.25">
      <c r="B40" s="250"/>
      <c r="C40" s="25" t="s">
        <v>140</v>
      </c>
      <c r="D40" s="94">
        <v>0.3</v>
      </c>
      <c r="E40" s="94">
        <v>0.4</v>
      </c>
      <c r="F40" s="94">
        <v>0.5</v>
      </c>
      <c r="G40" s="94">
        <v>0.3</v>
      </c>
      <c r="H40" s="94"/>
      <c r="I40" s="94"/>
      <c r="J40" s="94"/>
      <c r="K40" s="245"/>
      <c r="L40" s="246"/>
    </row>
    <row r="41" spans="2:12" ht="65.25" customHeight="1" x14ac:dyDescent="0.25">
      <c r="B41" s="250"/>
      <c r="C41" s="25" t="s">
        <v>145</v>
      </c>
      <c r="D41" s="107">
        <f t="shared" ref="D41:J41" si="5">IF(D25="","0",D40*D36)</f>
        <v>556412937.01499999</v>
      </c>
      <c r="E41" s="107">
        <f t="shared" si="5"/>
        <v>824353040.89600003</v>
      </c>
      <c r="F41" s="107">
        <f t="shared" si="5"/>
        <v>409477898.5</v>
      </c>
      <c r="G41" s="107">
        <f t="shared" si="5"/>
        <v>410704896.22499996</v>
      </c>
      <c r="H41" s="107" t="str">
        <f t="shared" si="5"/>
        <v>0</v>
      </c>
      <c r="I41" s="107" t="str">
        <f t="shared" si="5"/>
        <v>0</v>
      </c>
      <c r="J41" s="107" t="str">
        <f t="shared" si="5"/>
        <v>0</v>
      </c>
      <c r="K41" s="245"/>
      <c r="L41" s="246"/>
    </row>
    <row r="42" spans="2:12" ht="65.25" customHeight="1" x14ac:dyDescent="0.25">
      <c r="B42" s="250"/>
      <c r="C42" s="25" t="s">
        <v>141</v>
      </c>
      <c r="D42" s="106">
        <f>IF(D25="",0,D35*D40)</f>
        <v>807.03300000000002</v>
      </c>
      <c r="E42" s="106">
        <f t="shared" ref="E42:J42" si="6">IF(E25="",0,E35*E40)</f>
        <v>995.45600000000002</v>
      </c>
      <c r="F42" s="106">
        <f t="shared" si="6"/>
        <v>824.06500000000005</v>
      </c>
      <c r="G42" s="106">
        <f t="shared" si="6"/>
        <v>595.69500000000005</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t="s">
        <v>14</v>
      </c>
      <c r="H46" s="90"/>
      <c r="I46" s="90"/>
      <c r="J46" s="90"/>
      <c r="K46" s="245"/>
      <c r="L46" s="246"/>
    </row>
    <row r="47" spans="2:12" ht="24.75" customHeight="1" x14ac:dyDescent="0.25">
      <c r="B47" s="255" t="s">
        <v>36</v>
      </c>
      <c r="C47" s="28">
        <f>+'DATOS INICIALES'!D21</f>
        <v>72101500</v>
      </c>
      <c r="D47" s="96" t="s">
        <v>79</v>
      </c>
      <c r="E47" s="96" t="s">
        <v>79</v>
      </c>
      <c r="F47" s="96" t="s">
        <v>79</v>
      </c>
      <c r="G47" s="96" t="s">
        <v>79</v>
      </c>
      <c r="H47" s="96"/>
      <c r="I47" s="96"/>
      <c r="J47" s="97"/>
      <c r="K47" s="245"/>
      <c r="L47" s="246"/>
    </row>
    <row r="48" spans="2:12" ht="24.75" customHeight="1" x14ac:dyDescent="0.25">
      <c r="B48" s="256"/>
      <c r="C48" s="28">
        <f>+'DATOS INICIALES'!D22</f>
        <v>72102900</v>
      </c>
      <c r="D48" s="96" t="s">
        <v>79</v>
      </c>
      <c r="E48" s="96" t="s">
        <v>79</v>
      </c>
      <c r="F48" s="96" t="s">
        <v>79</v>
      </c>
      <c r="G48" s="96" t="s">
        <v>79</v>
      </c>
      <c r="H48" s="96"/>
      <c r="I48" s="96"/>
      <c r="J48" s="97"/>
      <c r="K48" s="245"/>
      <c r="L48" s="246"/>
    </row>
    <row r="49" spans="2:12" ht="24.75" customHeight="1" x14ac:dyDescent="0.25">
      <c r="B49" s="256"/>
      <c r="C49" s="28">
        <f>+'DATOS INICIALES'!D23</f>
        <v>72103300</v>
      </c>
      <c r="D49" s="96" t="s">
        <v>79</v>
      </c>
      <c r="E49" s="96" t="s">
        <v>79</v>
      </c>
      <c r="F49" s="96" t="s">
        <v>79</v>
      </c>
      <c r="G49" s="96" t="s">
        <v>79</v>
      </c>
      <c r="H49" s="96"/>
      <c r="I49" s="96"/>
      <c r="J49" s="97"/>
      <c r="K49" s="245"/>
      <c r="L49" s="246"/>
    </row>
    <row r="50" spans="2:12" ht="24.75" customHeight="1" x14ac:dyDescent="0.25">
      <c r="B50" s="256"/>
      <c r="C50" s="28">
        <f>+'DATOS INICIALES'!D24</f>
        <v>72141100</v>
      </c>
      <c r="D50" s="96" t="s">
        <v>79</v>
      </c>
      <c r="E50" s="96" t="s">
        <v>79</v>
      </c>
      <c r="F50" s="96" t="s">
        <v>79</v>
      </c>
      <c r="G50" s="96" t="s">
        <v>79</v>
      </c>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t="s">
        <v>79</v>
      </c>
      <c r="E52" s="96" t="s">
        <v>79</v>
      </c>
      <c r="F52" s="96" t="s">
        <v>79</v>
      </c>
      <c r="G52" s="96" t="s">
        <v>79</v>
      </c>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t="s">
        <v>14</v>
      </c>
      <c r="G55" s="90" t="s">
        <v>14</v>
      </c>
      <c r="H55" s="90"/>
      <c r="I55" s="90"/>
      <c r="J55" s="90"/>
      <c r="K55" s="288"/>
      <c r="L55" s="289"/>
    </row>
    <row r="56" spans="2:12" ht="353.25" customHeight="1" x14ac:dyDescent="0.25">
      <c r="B56" s="258" t="s">
        <v>209</v>
      </c>
      <c r="C56" s="259"/>
      <c r="D56" s="90" t="s">
        <v>14</v>
      </c>
      <c r="E56" s="90" t="s">
        <v>14</v>
      </c>
      <c r="F56" s="90" t="s">
        <v>14</v>
      </c>
      <c r="G56" s="90" t="s">
        <v>14</v>
      </c>
      <c r="H56" s="90"/>
      <c r="I56" s="90"/>
      <c r="J56" s="90"/>
      <c r="K56" s="288"/>
      <c r="L56" s="289"/>
    </row>
    <row r="57" spans="2:12" ht="99" customHeight="1" x14ac:dyDescent="0.25">
      <c r="B57" s="252" t="s">
        <v>211</v>
      </c>
      <c r="C57" s="253"/>
      <c r="D57" s="90" t="s">
        <v>14</v>
      </c>
      <c r="E57" s="90" t="s">
        <v>14</v>
      </c>
      <c r="F57" s="90" t="s">
        <v>14</v>
      </c>
      <c r="G57" s="90" t="s">
        <v>14</v>
      </c>
      <c r="H57" s="90"/>
      <c r="I57" s="90"/>
      <c r="J57" s="90"/>
      <c r="K57" s="288"/>
      <c r="L57" s="289"/>
    </row>
    <row r="58" spans="2:12" ht="92.25" customHeight="1" x14ac:dyDescent="0.25">
      <c r="B58" s="252" t="s">
        <v>207</v>
      </c>
      <c r="C58" s="253"/>
      <c r="D58" s="90" t="s">
        <v>14</v>
      </c>
      <c r="E58" s="90" t="s">
        <v>14</v>
      </c>
      <c r="F58" s="90" t="s">
        <v>14</v>
      </c>
      <c r="G58" s="90" t="s">
        <v>14</v>
      </c>
      <c r="H58" s="90"/>
      <c r="I58" s="90"/>
      <c r="J58" s="90"/>
      <c r="K58" s="288"/>
      <c r="L58" s="289"/>
    </row>
    <row r="59" spans="2:12" ht="291.75" customHeight="1" x14ac:dyDescent="0.25">
      <c r="B59" s="252" t="s">
        <v>208</v>
      </c>
      <c r="C59" s="253"/>
      <c r="D59" s="90" t="s">
        <v>13</v>
      </c>
      <c r="E59" s="90" t="s">
        <v>13</v>
      </c>
      <c r="F59" s="90" t="s">
        <v>13</v>
      </c>
      <c r="G59" s="90" t="s">
        <v>13</v>
      </c>
      <c r="H59" s="90"/>
      <c r="I59" s="90"/>
      <c r="J59" s="90"/>
      <c r="K59" s="288"/>
      <c r="L59" s="289"/>
    </row>
    <row r="60" spans="2:12" ht="336" customHeight="1" x14ac:dyDescent="0.25">
      <c r="B60" s="180" t="s">
        <v>213</v>
      </c>
      <c r="C60" s="180"/>
      <c r="D60" s="90" t="s">
        <v>14</v>
      </c>
      <c r="E60" s="90" t="s">
        <v>14</v>
      </c>
      <c r="F60" s="90" t="s">
        <v>14</v>
      </c>
      <c r="G60" s="90" t="s">
        <v>14</v>
      </c>
      <c r="H60" s="90"/>
      <c r="I60" s="90"/>
      <c r="J60" s="90"/>
      <c r="K60" s="288"/>
      <c r="L60" s="289"/>
    </row>
    <row r="61" spans="2:12" ht="129.75" customHeight="1" x14ac:dyDescent="0.25">
      <c r="B61" s="233" t="s">
        <v>168</v>
      </c>
      <c r="C61" s="234"/>
      <c r="D61" s="90" t="s">
        <v>13</v>
      </c>
      <c r="E61" s="90" t="s">
        <v>13</v>
      </c>
      <c r="F61" s="90" t="s">
        <v>13</v>
      </c>
      <c r="G61" s="90" t="s">
        <v>13</v>
      </c>
      <c r="H61" s="90"/>
      <c r="I61" s="90"/>
      <c r="J61" s="90"/>
      <c r="K61" s="288"/>
      <c r="L61" s="289"/>
    </row>
    <row r="62" spans="2:12" ht="408.75" customHeight="1" x14ac:dyDescent="0.25">
      <c r="B62" s="254" t="s">
        <v>170</v>
      </c>
      <c r="C62" s="254"/>
      <c r="D62" s="90" t="s">
        <v>13</v>
      </c>
      <c r="E62" s="90" t="s">
        <v>13</v>
      </c>
      <c r="F62" s="90" t="s">
        <v>13</v>
      </c>
      <c r="G62" s="90" t="s">
        <v>13</v>
      </c>
      <c r="H62" s="90"/>
      <c r="I62" s="90"/>
      <c r="J62" s="90"/>
      <c r="K62" s="288"/>
      <c r="L62" s="289"/>
    </row>
    <row r="63" spans="2:12" ht="234.75" customHeight="1" x14ac:dyDescent="0.25">
      <c r="B63" s="180" t="s">
        <v>212</v>
      </c>
      <c r="C63" s="180"/>
      <c r="D63" s="90" t="s">
        <v>14</v>
      </c>
      <c r="E63" s="90" t="s">
        <v>14</v>
      </c>
      <c r="F63" s="90" t="s">
        <v>14</v>
      </c>
      <c r="G63" s="90" t="s">
        <v>14</v>
      </c>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K65:L65"/>
    <mergeCell ref="K45:L45"/>
    <mergeCell ref="K46:L46"/>
    <mergeCell ref="K47:L47"/>
    <mergeCell ref="K48:L48"/>
    <mergeCell ref="K49:L49"/>
    <mergeCell ref="K61:L61"/>
    <mergeCell ref="K62:L62"/>
    <mergeCell ref="K63:L63"/>
    <mergeCell ref="K57:L57"/>
    <mergeCell ref="K58:L58"/>
    <mergeCell ref="K59:L59"/>
    <mergeCell ref="K60:L60"/>
    <mergeCell ref="K52:L52"/>
    <mergeCell ref="K53:L53"/>
    <mergeCell ref="K54:L54"/>
    <mergeCell ref="I15:I17"/>
    <mergeCell ref="J15:J17"/>
    <mergeCell ref="K30:L30"/>
    <mergeCell ref="K19:L19"/>
    <mergeCell ref="K31:L31"/>
    <mergeCell ref="K27:L27"/>
    <mergeCell ref="K56:L56"/>
    <mergeCell ref="K55:L55"/>
    <mergeCell ref="K40:L40"/>
    <mergeCell ref="K41:L41"/>
    <mergeCell ref="K42:L42"/>
    <mergeCell ref="K43:L43"/>
    <mergeCell ref="B12:L12"/>
    <mergeCell ref="B13:L13"/>
    <mergeCell ref="I11:L11"/>
    <mergeCell ref="C8:I8"/>
    <mergeCell ref="C9:I9"/>
    <mergeCell ref="C10:I10"/>
    <mergeCell ref="C11:G11"/>
    <mergeCell ref="B2:L2"/>
    <mergeCell ref="B3:L3"/>
    <mergeCell ref="B4:L4"/>
    <mergeCell ref="B5:L5"/>
    <mergeCell ref="B7:I7"/>
    <mergeCell ref="J7:L7"/>
    <mergeCell ref="B65:C65"/>
    <mergeCell ref="B58:C58"/>
    <mergeCell ref="B62:C62"/>
    <mergeCell ref="B57:C57"/>
    <mergeCell ref="B47:B54"/>
    <mergeCell ref="B55:C55"/>
    <mergeCell ref="B56:C56"/>
    <mergeCell ref="B63:C63"/>
    <mergeCell ref="B64:C64"/>
    <mergeCell ref="B59:C59"/>
    <mergeCell ref="B26:C26"/>
    <mergeCell ref="B27:B45"/>
    <mergeCell ref="K28:L28"/>
    <mergeCell ref="K29:L29"/>
    <mergeCell ref="K32:L32"/>
    <mergeCell ref="K33:L33"/>
    <mergeCell ref="K34:L34"/>
    <mergeCell ref="K44:L44"/>
    <mergeCell ref="K35:L35"/>
    <mergeCell ref="K36:L36"/>
    <mergeCell ref="K37:L37"/>
    <mergeCell ref="K38:L38"/>
    <mergeCell ref="K39:L39"/>
    <mergeCell ref="B24:C24"/>
    <mergeCell ref="B60:C60"/>
    <mergeCell ref="B61:C61"/>
    <mergeCell ref="K15:K17"/>
    <mergeCell ref="L15:L17"/>
    <mergeCell ref="K18:L18"/>
    <mergeCell ref="B21:L21"/>
    <mergeCell ref="B22:L22"/>
    <mergeCell ref="B14:B19"/>
    <mergeCell ref="K50:L50"/>
    <mergeCell ref="K51:L51"/>
    <mergeCell ref="K23:L23"/>
    <mergeCell ref="K24:L24"/>
    <mergeCell ref="K25:L25"/>
    <mergeCell ref="K26:L26"/>
    <mergeCell ref="B25:C25"/>
  </mergeCells>
  <conditionalFormatting sqref="D25:J35">
    <cfRule type="containsBlanks" dxfId="1254" priority="23">
      <formula>LEN(TRIM(D25))=0</formula>
    </cfRule>
    <cfRule type="notContainsErrors" dxfId="1253" priority="24">
      <formula>NOT(ISERROR(D25))</formula>
    </cfRule>
  </conditionalFormatting>
  <conditionalFormatting sqref="D34:J34 D24:K24 D37:J37 D40:J40 D43:J43 D46:J53 D55:J63 K64:L64 D65:K65">
    <cfRule type="containsBlanks" dxfId="1252" priority="27">
      <formula>LEN(TRIM(D24))=0</formula>
    </cfRule>
  </conditionalFormatting>
  <conditionalFormatting sqref="D46:J53">
    <cfRule type="cellIs" dxfId="1251" priority="21" operator="equal">
      <formula>"NO CUMPLE"</formula>
    </cfRule>
    <cfRule type="cellIs" dxfId="1250" priority="22" operator="equal">
      <formula>"CUMPLE"</formula>
    </cfRule>
  </conditionalFormatting>
  <conditionalFormatting sqref="D54:J54">
    <cfRule type="cellIs" dxfId="1249" priority="67" operator="equal">
      <formula>"""CUMPLE"""</formula>
    </cfRule>
    <cfRule type="cellIs" dxfId="1248" priority="66" operator="equal">
      <formula>"NO CUMPLE"</formula>
    </cfRule>
    <cfRule type="cellIs" dxfId="1247" priority="65" operator="equal">
      <formula>"CUMPLE"</formula>
    </cfRule>
    <cfRule type="cellIs" dxfId="1246" priority="46" operator="equal">
      <formula>"N/A"</formula>
    </cfRule>
  </conditionalFormatting>
  <conditionalFormatting sqref="D55:J63">
    <cfRule type="cellIs" dxfId="1245" priority="5" operator="equal">
      <formula>"NO CUMPLE"</formula>
    </cfRule>
    <cfRule type="cellIs" dxfId="1244" priority="6" operator="equal">
      <formula>"CUMPLE"</formula>
    </cfRule>
  </conditionalFormatting>
  <conditionalFormatting sqref="D64:J64">
    <cfRule type="cellIs" dxfId="1243" priority="44" operator="equal">
      <formula>"NO CUMPLE"</formula>
    </cfRule>
    <cfRule type="cellIs" dxfId="1242" priority="45" operator="equal">
      <formula>"""CUMPLE"""</formula>
    </cfRule>
    <cfRule type="cellIs" dxfId="1241" priority="42" operator="equal">
      <formula>"N/A"</formula>
    </cfRule>
    <cfRule type="cellIs" dxfId="1240" priority="43" operator="equal">
      <formula>"CUMPLE"</formula>
    </cfRule>
  </conditionalFormatting>
  <conditionalFormatting sqref="D65:J65">
    <cfRule type="cellIs" dxfId="1239" priority="19" operator="equal">
      <formula>"NO CUMPLE"</formula>
    </cfRule>
    <cfRule type="cellIs" dxfId="1238" priority="20" operator="equal">
      <formula>"CUMPLE"</formula>
    </cfRule>
  </conditionalFormatting>
  <conditionalFormatting sqref="D24:K24 D34:J34 D37:J37 D40:J40 D43:J43 D46:J53 D55:J63 K64:L64 D65:K65">
    <cfRule type="notContainsErrors" dxfId="1237" priority="28">
      <formula>NOT(ISERROR(D24))</formula>
    </cfRule>
  </conditionalFormatting>
  <conditionalFormatting sqref="F20:H20">
    <cfRule type="cellIs" dxfId="1236" priority="82" operator="equal">
      <formula>"CUMPLE"</formula>
    </cfRule>
    <cfRule type="cellIs" dxfId="1235" priority="83" operator="equal">
      <formula>"NO CUMPLE"</formula>
    </cfRule>
    <cfRule type="cellIs" dxfId="1234" priority="84" operator="equal">
      <formula>"""CUMPLE"""</formula>
    </cfRule>
  </conditionalFormatting>
  <conditionalFormatting sqref="I11">
    <cfRule type="containsText" dxfId="1233" priority="122" operator="containsText" text="NO CUMPLE">
      <formula>NOT(ISERROR(SEARCH("NO CUMPLE",I11)))</formula>
    </cfRule>
    <cfRule type="containsText" dxfId="1232" priority="107" operator="containsText" text="INHABILITADO">
      <formula>NOT(ISERROR(SEARCH("INHABILITADO",I11)))</formula>
    </cfRule>
    <cfRule type="containsText" dxfId="1231" priority="108" operator="containsText" text="HABILITADO">
      <formula>NOT(ISERROR(SEARCH("HABILITADO",I11)))</formula>
    </cfRule>
    <cfRule type="containsText" dxfId="1230" priority="109" operator="containsText" text="HABILITADO">
      <formula>NOT(ISERROR(SEARCH("HABILITADO",I11)))</formula>
    </cfRule>
  </conditionalFormatting>
  <conditionalFormatting sqref="J20">
    <cfRule type="cellIs" dxfId="1229" priority="16" operator="equal">
      <formula>"SI"</formula>
    </cfRule>
    <cfRule type="cellIs" dxfId="1228" priority="15" operator="equal">
      <formula>"NO"</formula>
    </cfRule>
  </conditionalFormatting>
  <conditionalFormatting sqref="K19">
    <cfRule type="cellIs" dxfId="1227" priority="51" operator="equal">
      <formula>"CUMPLE"</formula>
    </cfRule>
    <cfRule type="cellIs" dxfId="1226" priority="52" operator="equal">
      <formula>"NO CUMPLE"</formula>
    </cfRule>
    <cfRule type="cellIs" dxfId="1225" priority="53" operator="equal">
      <formula>"""CUMPLE"""</formula>
    </cfRule>
  </conditionalFormatting>
  <conditionalFormatting sqref="K25:K63">
    <cfRule type="notContainsErrors" dxfId="1224" priority="2">
      <formula>NOT(ISERROR(K25))</formula>
    </cfRule>
    <cfRule type="containsBlanks" dxfId="1223" priority="1">
      <formula>LEN(TRIM(K25))=0</formula>
    </cfRule>
  </conditionalFormatting>
  <conditionalFormatting sqref="L15">
    <cfRule type="cellIs" dxfId="1222" priority="79" operator="equal">
      <formula>"CUMPLE"</formula>
    </cfRule>
    <cfRule type="cellIs" dxfId="1221" priority="80" operator="equal">
      <formula>"NO CUMPLE"</formula>
    </cfRule>
    <cfRule type="cellIs" dxfId="1220" priority="81" operator="equal">
      <formula>"""CUMPLE"""</formula>
    </cfRule>
  </conditionalFormatting>
  <conditionalFormatting sqref="L20">
    <cfRule type="cellIs" dxfId="1219" priority="11" operator="equal">
      <formula>"NO"</formula>
    </cfRule>
    <cfRule type="cellIs" dxfId="1218" priority="12" operator="equal">
      <formula>"SI"</formula>
    </cfRule>
  </conditionalFormatting>
  <dataValidations count="3">
    <dataValidation type="list" allowBlank="1" showInputMessage="1" showErrorMessage="1" sqref="D65:I65" xr:uid="{00000000-0002-0000-0200-000000000000}">
      <formula1>"CUMPLE,NO CUMPLE"</formula1>
    </dataValidation>
    <dataValidation type="list" allowBlank="1" showInputMessage="1" showErrorMessage="1" sqref="D24:J26" xr:uid="{00000000-0002-0000-0200-000001000000}">
      <formula1>$C$15:$C$19</formula1>
    </dataValidation>
    <dataValidation type="list" allowBlank="1" showInputMessage="1" showErrorMessage="1" sqref="L57:L64" xr:uid="{00000000-0002-0000-0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3000000}">
          <x14:formula1>
            <xm:f>'DATOS INICIALES'!$A$13:$A$43</xm:f>
          </x14:formula1>
          <xm:sqref>D31:I31</xm:sqref>
        </x14:dataValidation>
        <x14:dataValidation type="list" allowBlank="1" showInputMessage="1" showErrorMessage="1" xr:uid="{00000000-0002-0000-0200-000004000000}">
          <x14:formula1>
            <xm:f>'DATOS INICIALES'!$D$21:$D$25</xm:f>
          </x14:formula1>
          <xm:sqref>M47:M54</xm:sqref>
        </x14:dataValidation>
        <x14:dataValidation type="list" allowBlank="1" showInputMessage="1" showErrorMessage="1" xr:uid="{00000000-0002-0000-0200-000005000000}">
          <x14:formula1>
            <xm:f>'DATOS INICIALES'!$A$54:$A$59</xm:f>
          </x14:formula1>
          <xm:sqref>D23:I23</xm:sqref>
        </x14:dataValidation>
        <x14:dataValidation type="list" allowBlank="1" showInputMessage="1" showErrorMessage="1" xr:uid="{00000000-0002-0000-0200-000006000000}">
          <x14:formula1>
            <xm:f>'DATOS INICIALES'!$A$50:$A$52</xm:f>
          </x14:formula1>
          <xm:sqref>D55:I57 D46:J46 J55:J56 D58:J63</xm:sqref>
        </x14:dataValidation>
        <x14:dataValidation type="list" allowBlank="1" showInputMessage="1" showErrorMessage="1" xr:uid="{00000000-0002-0000-0200-000007000000}">
          <x14:formula1>
            <xm:f>'DATOS INICIALES'!$C$45:$C$46</xm:f>
          </x14:formula1>
          <xm:sqref>D47:I53 J47:J52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7"/>
  <sheetViews>
    <sheetView zoomScale="55" zoomScaleNormal="55" workbookViewId="0">
      <pane ySplit="12" topLeftCell="A31" activePane="bottomLeft" state="frozen"/>
      <selection activeCell="E20" sqref="E20"/>
      <selection pane="bottomLeft" activeCell="H18" sqref="H18"/>
    </sheetView>
  </sheetViews>
  <sheetFormatPr baseColWidth="10" defaultColWidth="11.42578125" defaultRowHeight="15" x14ac:dyDescent="0.25"/>
  <cols>
    <col min="1" max="1" width="4.140625" style="13" customWidth="1"/>
    <col min="2" max="2" width="26.85546875" style="13" customWidth="1"/>
    <col min="3" max="3" width="26.7109375" style="13" customWidth="1"/>
    <col min="4" max="4" width="7.85546875" style="38" customWidth="1"/>
    <col min="5" max="5" width="12" style="66" customWidth="1"/>
    <col min="6" max="6" width="29.85546875" style="13" customWidth="1"/>
    <col min="7" max="7" width="26.28515625" style="13" customWidth="1"/>
    <col min="8" max="8" width="26.42578125" style="13" customWidth="1"/>
    <col min="9" max="9" width="23.42578125" style="13" customWidth="1"/>
    <col min="10" max="10" width="24.7109375" style="13" customWidth="1"/>
    <col min="11" max="11" width="20.28515625" style="13" customWidth="1"/>
    <col min="12" max="12" width="16.42578125" style="13" customWidth="1"/>
    <col min="13" max="13" width="16.42578125" style="13" bestFit="1" customWidth="1"/>
    <col min="14" max="14" width="16.42578125" style="13" customWidth="1"/>
    <col min="15" max="15" width="18.7109375" style="13" customWidth="1"/>
    <col min="16" max="16" width="16.28515625" style="13" customWidth="1"/>
    <col min="17" max="17" width="16.42578125" style="13" customWidth="1"/>
    <col min="18" max="18" width="48.5703125" style="13" customWidth="1"/>
    <col min="19" max="16384" width="11.42578125" style="13"/>
  </cols>
  <sheetData>
    <row r="1" spans="1:18" x14ac:dyDescent="0.25">
      <c r="A1" s="24"/>
      <c r="B1" s="88"/>
      <c r="C1" s="88"/>
      <c r="D1" s="88"/>
      <c r="E1" s="88"/>
      <c r="F1" s="88"/>
      <c r="G1" s="88"/>
      <c r="H1" s="88"/>
      <c r="I1" s="88"/>
      <c r="J1" s="88"/>
      <c r="K1" s="88"/>
      <c r="L1" s="88"/>
      <c r="M1" s="88"/>
      <c r="N1" s="88"/>
      <c r="O1" s="88"/>
      <c r="P1" s="88"/>
      <c r="Q1" s="24"/>
      <c r="R1" s="24"/>
    </row>
    <row r="2" spans="1:18" ht="18.75" x14ac:dyDescent="0.3">
      <c r="A2" s="221" t="s">
        <v>22</v>
      </c>
      <c r="B2" s="221"/>
      <c r="C2" s="221"/>
      <c r="D2" s="221"/>
      <c r="E2" s="221"/>
      <c r="F2" s="221"/>
      <c r="G2" s="221"/>
      <c r="H2" s="221"/>
      <c r="I2" s="221"/>
      <c r="J2" s="221"/>
      <c r="K2" s="221"/>
      <c r="L2" s="221"/>
      <c r="M2" s="221"/>
      <c r="N2" s="221"/>
      <c r="O2" s="221"/>
      <c r="P2" s="221"/>
      <c r="Q2" s="221"/>
      <c r="R2" s="221"/>
    </row>
    <row r="3" spans="1:18" x14ac:dyDescent="0.25">
      <c r="A3" s="299"/>
      <c r="B3" s="299"/>
      <c r="C3" s="299"/>
      <c r="D3" s="299"/>
      <c r="E3" s="299"/>
      <c r="F3" s="299"/>
      <c r="G3" s="299"/>
      <c r="H3" s="299"/>
      <c r="I3" s="299"/>
      <c r="J3" s="299"/>
      <c r="K3" s="299"/>
      <c r="L3" s="299"/>
      <c r="M3" s="299"/>
      <c r="N3" s="299"/>
      <c r="O3" s="299"/>
      <c r="P3" s="299"/>
      <c r="Q3" s="299"/>
      <c r="R3" s="299"/>
    </row>
    <row r="4" spans="1:18" ht="18.75" x14ac:dyDescent="0.3">
      <c r="A4" s="221" t="str">
        <f>'DATOS INICIALES'!G4</f>
        <v>FDLK-LP-013-20234</v>
      </c>
      <c r="B4" s="221"/>
      <c r="C4" s="221"/>
      <c r="D4" s="221"/>
      <c r="E4" s="221"/>
      <c r="F4" s="221"/>
      <c r="G4" s="221"/>
      <c r="H4" s="221"/>
      <c r="I4" s="221"/>
      <c r="J4" s="221"/>
      <c r="K4" s="221"/>
      <c r="L4" s="221"/>
      <c r="M4" s="221"/>
      <c r="N4" s="221"/>
      <c r="O4" s="221"/>
      <c r="P4" s="221"/>
      <c r="Q4" s="221"/>
      <c r="R4" s="221"/>
    </row>
    <row r="5" spans="1:18" x14ac:dyDescent="0.25">
      <c r="A5" s="299"/>
      <c r="B5" s="299"/>
      <c r="C5" s="299"/>
      <c r="D5" s="299"/>
      <c r="E5" s="299"/>
      <c r="F5" s="299"/>
      <c r="G5" s="299"/>
      <c r="H5" s="299"/>
      <c r="I5" s="299"/>
      <c r="J5" s="299"/>
      <c r="K5" s="299"/>
      <c r="L5" s="299"/>
      <c r="M5" s="299"/>
      <c r="N5" s="299"/>
      <c r="O5" s="299"/>
      <c r="P5" s="299"/>
      <c r="Q5" s="299"/>
      <c r="R5" s="299"/>
    </row>
    <row r="6" spans="1:18" x14ac:dyDescent="0.25">
      <c r="A6" s="307" t="s">
        <v>32</v>
      </c>
      <c r="B6" s="307"/>
      <c r="C6" s="64" t="s">
        <v>54</v>
      </c>
      <c r="D6" s="308" t="s">
        <v>70</v>
      </c>
      <c r="E6" s="308"/>
      <c r="F6" s="308"/>
      <c r="G6" s="87">
        <v>44498</v>
      </c>
      <c r="H6" s="311"/>
      <c r="I6" s="311"/>
      <c r="J6" s="311"/>
      <c r="K6" s="311"/>
      <c r="L6" s="311"/>
      <c r="M6" s="311"/>
      <c r="N6" s="311"/>
      <c r="O6" s="311"/>
      <c r="P6" s="311"/>
      <c r="Q6" s="311"/>
      <c r="R6" s="311"/>
    </row>
    <row r="7" spans="1:18" x14ac:dyDescent="0.25">
      <c r="A7" s="313" t="s">
        <v>89</v>
      </c>
      <c r="B7" s="313"/>
      <c r="C7" s="313"/>
      <c r="D7" s="313"/>
      <c r="E7" s="313"/>
      <c r="F7" s="313"/>
      <c r="G7" s="313"/>
      <c r="H7" s="313"/>
      <c r="I7" s="313"/>
      <c r="J7" s="313"/>
      <c r="K7" s="313"/>
      <c r="L7" s="313"/>
      <c r="M7" s="313"/>
      <c r="N7" s="313"/>
      <c r="O7" s="313"/>
      <c r="P7" s="313"/>
      <c r="Q7" s="313"/>
      <c r="R7" s="313"/>
    </row>
    <row r="8" spans="1:18" ht="36" customHeight="1" x14ac:dyDescent="0.25">
      <c r="A8" s="309" t="s">
        <v>23</v>
      </c>
      <c r="B8" s="309"/>
      <c r="C8" s="314"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314"/>
      <c r="E8" s="314"/>
      <c r="F8" s="314"/>
      <c r="G8" s="314"/>
      <c r="H8" s="314"/>
      <c r="I8" s="314"/>
      <c r="J8" s="314"/>
      <c r="K8" s="314"/>
      <c r="L8" s="314"/>
      <c r="M8" s="314"/>
      <c r="N8" s="314"/>
      <c r="O8" s="314"/>
      <c r="P8" s="314"/>
      <c r="Q8" s="314"/>
      <c r="R8" s="314"/>
    </row>
    <row r="9" spans="1:18" x14ac:dyDescent="0.25">
      <c r="A9" s="309" t="s">
        <v>68</v>
      </c>
      <c r="B9" s="309"/>
      <c r="C9" s="312">
        <f>+'DATOS INICIALES'!C6</f>
        <v>0</v>
      </c>
      <c r="D9" s="312"/>
      <c r="E9" s="312"/>
      <c r="F9" s="60" t="s">
        <v>95</v>
      </c>
      <c r="G9" s="62">
        <v>4</v>
      </c>
      <c r="H9" s="312"/>
      <c r="I9" s="312"/>
      <c r="J9" s="312"/>
      <c r="K9" s="312"/>
      <c r="L9" s="312"/>
      <c r="M9" s="312"/>
      <c r="N9" s="312"/>
      <c r="O9" s="312"/>
      <c r="P9" s="312"/>
      <c r="Q9" s="312"/>
      <c r="R9" s="312"/>
    </row>
    <row r="10" spans="1:18" x14ac:dyDescent="0.25">
      <c r="A10" s="309" t="s">
        <v>69</v>
      </c>
      <c r="B10" s="309"/>
      <c r="C10" s="310">
        <f>C9/'DATOS INICIALES'!B43</f>
        <v>0</v>
      </c>
      <c r="D10" s="310"/>
      <c r="E10" s="310"/>
      <c r="F10" s="61" t="s">
        <v>96</v>
      </c>
      <c r="G10" s="63">
        <v>0</v>
      </c>
      <c r="H10" s="310"/>
      <c r="I10" s="310"/>
      <c r="J10" s="310"/>
      <c r="K10" s="310"/>
      <c r="L10" s="310"/>
      <c r="M10" s="310"/>
      <c r="N10" s="310"/>
      <c r="O10" s="310"/>
      <c r="P10" s="310"/>
      <c r="Q10" s="310"/>
      <c r="R10" s="310"/>
    </row>
    <row r="11" spans="1:18" ht="9" customHeight="1" x14ac:dyDescent="0.25">
      <c r="E11" s="38"/>
    </row>
    <row r="12" spans="1:18" ht="75.75" thickBot="1" x14ac:dyDescent="0.3">
      <c r="A12" s="43" t="s">
        <v>81</v>
      </c>
      <c r="B12" s="43" t="s">
        <v>24</v>
      </c>
      <c r="C12" s="43" t="s">
        <v>61</v>
      </c>
      <c r="D12" s="43" t="s">
        <v>82</v>
      </c>
      <c r="E12" s="43" t="s">
        <v>106</v>
      </c>
      <c r="F12" s="43" t="s">
        <v>100</v>
      </c>
      <c r="G12" s="43" t="s">
        <v>98</v>
      </c>
      <c r="H12" s="43" t="s">
        <v>99</v>
      </c>
      <c r="I12" s="43" t="s">
        <v>101</v>
      </c>
      <c r="J12" s="43" t="s">
        <v>102</v>
      </c>
      <c r="K12" s="43" t="s">
        <v>103</v>
      </c>
      <c r="L12" s="43" t="s">
        <v>104</v>
      </c>
      <c r="M12" s="43" t="s">
        <v>105</v>
      </c>
      <c r="N12" s="43" t="s">
        <v>107</v>
      </c>
      <c r="O12" s="43" t="s">
        <v>87</v>
      </c>
      <c r="P12" s="43" t="s">
        <v>88</v>
      </c>
      <c r="Q12" s="43" t="s">
        <v>108</v>
      </c>
      <c r="R12" s="43" t="s">
        <v>74</v>
      </c>
    </row>
    <row r="13" spans="1:18" ht="30" x14ac:dyDescent="0.25">
      <c r="A13" s="295">
        <v>1</v>
      </c>
      <c r="B13" s="298" t="str">
        <f>+PROPONENTES!B10</f>
        <v>CONSORCIO ARQING</v>
      </c>
      <c r="C13" s="44" t="str">
        <f>IF(VLOOKUP(B13,PROPONENTES!$B$10:$N$16,2,FALSE)="","",VLOOKUP(B13,PROPONENTES!$B$10:$N$16,2,FALSE))</f>
        <v>PROYECTOS DE INGENIERIA PBS SAS</v>
      </c>
      <c r="D13" s="45">
        <f>VLOOKUP(B13,PROPONENTES!$B$10:$N$16,3,FALSE)</f>
        <v>0.6</v>
      </c>
      <c r="E13" s="109" t="s">
        <v>14</v>
      </c>
      <c r="F13" s="110" t="s">
        <v>15</v>
      </c>
      <c r="G13" s="110" t="s">
        <v>14</v>
      </c>
      <c r="H13" s="111" t="s">
        <v>14</v>
      </c>
      <c r="I13" s="110" t="s">
        <v>14</v>
      </c>
      <c r="J13" s="112" t="s">
        <v>13</v>
      </c>
      <c r="K13" s="112" t="s">
        <v>14</v>
      </c>
      <c r="L13" s="112" t="s">
        <v>14</v>
      </c>
      <c r="M13" s="113" t="s">
        <v>14</v>
      </c>
      <c r="N13" s="44" t="str">
        <f t="shared" ref="N13:N47" si="0">IF(C13="","N/A",IF(AND(OR(E13="CUMPLE",E13="N/A"),OR(F13="CUMPLE",F13="N/A"),OR(G13="CUMPLE",G13="N/A"),OR(H13="CUMPLE",H13="N/A"),OR(I13="CUMPLE",I13="N/A"),OR(J13="CUMPLE",J13="N/A"),OR(K13="CUMPLE",K13="N/A"),OR(L13="CUMPLE",L13="N/A"),OR(M13="CUMPLE",M13="N/A")),"CUMPLE","NO CUMPLE"))</f>
        <v>NO CUMPLE</v>
      </c>
      <c r="O13" s="301" t="e">
        <f>+'K RESIDUAL CALCULO'!N13</f>
        <v>#DIV/0!</v>
      </c>
      <c r="P13" s="302">
        <f>IF($G$9&lt;=12,$C$9-$G$10*$C$9,(($C$9-$G$10)/$G$9)*12)</f>
        <v>0</v>
      </c>
      <c r="Q13" s="305" t="e">
        <f>IF(AND(O13&gt;=P13,OR(N13="CUMPLE",N13="N/A"),OR(N14="CUMPLE",N14="N/A"),OR(N15="CUMPLE",N15="N/A"),OR(N16="CUMPLE",N16="N/A")*OR(N17="CUMPLE",N17="N/A")),"CUMPLE","NO CUMPLE")</f>
        <v>#DIV/0!</v>
      </c>
      <c r="R13" s="294"/>
    </row>
    <row r="14" spans="1:18" ht="30" x14ac:dyDescent="0.25">
      <c r="A14" s="296"/>
      <c r="B14" s="299"/>
      <c r="C14" s="24" t="str">
        <f>IF(VLOOKUP(B13,PROPONENTES!$B$10:$N$16,4,FALSE)="","",VLOOKUP(B13,PROPONENTES!$B$10:$N$16,4,FALSE))</f>
        <v xml:space="preserve">GUSTAVO PALACIOS RUBIANO </v>
      </c>
      <c r="D14" s="37">
        <f>VLOOKUP(B13,PROPONENTES!$B$10:$N$16,5,FALSE)</f>
        <v>0.4</v>
      </c>
      <c r="E14" s="114" t="s">
        <v>14</v>
      </c>
      <c r="F14" s="115" t="s">
        <v>15</v>
      </c>
      <c r="G14" s="115" t="s">
        <v>14</v>
      </c>
      <c r="H14" s="116" t="s">
        <v>14</v>
      </c>
      <c r="I14" s="115" t="s">
        <v>14</v>
      </c>
      <c r="J14" s="117" t="s">
        <v>13</v>
      </c>
      <c r="K14" s="117" t="s">
        <v>14</v>
      </c>
      <c r="L14" s="117" t="s">
        <v>14</v>
      </c>
      <c r="M14" s="115" t="s">
        <v>14</v>
      </c>
      <c r="N14" s="24" t="str">
        <f t="shared" si="0"/>
        <v>NO CUMPLE</v>
      </c>
      <c r="O14" s="299"/>
      <c r="P14" s="303"/>
      <c r="Q14" s="236"/>
      <c r="R14" s="292"/>
    </row>
    <row r="15" spans="1:18" x14ac:dyDescent="0.25">
      <c r="A15" s="296"/>
      <c r="B15" s="299"/>
      <c r="C15" s="24" t="str">
        <f>IF(VLOOKUP(B13,PROPONENTES!$B$10:$N$16,6,FALSE)="","",VLOOKUP(B13,PROPONENTES!$B$10:$N$16,6,FALSE))</f>
        <v/>
      </c>
      <c r="D15" s="37">
        <f>VLOOKUP(B13,PROPONENTES!$B$10:$N$16,7,FALSE)</f>
        <v>0</v>
      </c>
      <c r="E15" s="114"/>
      <c r="F15" s="115"/>
      <c r="G15" s="115"/>
      <c r="H15" s="116"/>
      <c r="I15" s="115"/>
      <c r="J15" s="117"/>
      <c r="K15" s="117"/>
      <c r="L15" s="117"/>
      <c r="M15" s="115"/>
      <c r="N15" s="24" t="str">
        <f t="shared" si="0"/>
        <v>N/A</v>
      </c>
      <c r="O15" s="299"/>
      <c r="P15" s="303"/>
      <c r="Q15" s="236"/>
      <c r="R15" s="292"/>
    </row>
    <row r="16" spans="1:18" x14ac:dyDescent="0.25">
      <c r="A16" s="296"/>
      <c r="B16" s="299"/>
      <c r="C16" s="24" t="str">
        <f>IF(VLOOKUP(B13,PROPONENTES!$B$10:$N$16,8,FALSE)="","",VLOOKUP(B13,PROPONENTES!$B$10:$N$16,8,FALSE))</f>
        <v/>
      </c>
      <c r="D16" s="37">
        <f>VLOOKUP(B13,PROPONENTES!$B$10:$N$16,9,FALSE)</f>
        <v>0</v>
      </c>
      <c r="E16" s="114"/>
      <c r="F16" s="114"/>
      <c r="G16" s="114"/>
      <c r="H16" s="114"/>
      <c r="I16" s="114"/>
      <c r="J16" s="114"/>
      <c r="K16" s="114"/>
      <c r="L16" s="114"/>
      <c r="M16" s="114"/>
      <c r="N16" s="24" t="str">
        <f t="shared" si="0"/>
        <v>N/A</v>
      </c>
      <c r="O16" s="299"/>
      <c r="P16" s="303"/>
      <c r="Q16" s="236"/>
      <c r="R16" s="292"/>
    </row>
    <row r="17" spans="1:18" ht="15.75" thickBot="1" x14ac:dyDescent="0.3">
      <c r="A17" s="297"/>
      <c r="B17" s="300"/>
      <c r="C17" s="49" t="str">
        <f>IF(VLOOKUP(B13,PROPONENTES!$B$10:$N$16,8,FALSE)="","",VLOOKUP(B13,PROPONENTES!$B$10:$N$16,10,FALSE))</f>
        <v/>
      </c>
      <c r="D17" s="50">
        <f>VLOOKUP(B13,PROPONENTES!$B$10:$N$16,11,FALSE)</f>
        <v>0</v>
      </c>
      <c r="E17" s="118"/>
      <c r="F17" s="118"/>
      <c r="G17" s="118"/>
      <c r="H17" s="118"/>
      <c r="I17" s="118"/>
      <c r="J17" s="118"/>
      <c r="K17" s="118"/>
      <c r="L17" s="118"/>
      <c r="M17" s="118"/>
      <c r="N17" s="49" t="str">
        <f t="shared" si="0"/>
        <v>N/A</v>
      </c>
      <c r="O17" s="300"/>
      <c r="P17" s="304"/>
      <c r="Q17" s="306"/>
      <c r="R17" s="293"/>
    </row>
    <row r="18" spans="1:18" ht="66" customHeight="1" x14ac:dyDescent="0.25">
      <c r="A18" s="295">
        <v>2</v>
      </c>
      <c r="B18" s="298" t="str">
        <f>+PROPONENTES!B11</f>
        <v xml:space="preserve">CONSORCIO COMPLEJO DEPORTIVO CUBAGO	</v>
      </c>
      <c r="C18" s="44" t="str">
        <f>IF(VLOOKUP(B18,PROPONENTES!$B$10:$N$16,2,FALSE)="","",VLOOKUP(B18,PROPONENTES!$B$10:$N$16,2,FALSE))</f>
        <v xml:space="preserve">AGORASPORT SA SUCURSAL COLOMBIA </v>
      </c>
      <c r="D18" s="45">
        <f>VLOOKUP(B18,PROPONENTES!$B$10:$N$16,3,FALSE)</f>
        <v>0.9</v>
      </c>
      <c r="E18" s="109" t="s">
        <v>14</v>
      </c>
      <c r="F18" s="110" t="s">
        <v>13</v>
      </c>
      <c r="G18" s="110" t="s">
        <v>15</v>
      </c>
      <c r="H18" s="111" t="s">
        <v>15</v>
      </c>
      <c r="I18" s="110" t="s">
        <v>15</v>
      </c>
      <c r="J18" s="112" t="s">
        <v>13</v>
      </c>
      <c r="K18" s="112" t="s">
        <v>14</v>
      </c>
      <c r="L18" s="112" t="s">
        <v>14</v>
      </c>
      <c r="M18" s="113" t="s">
        <v>15</v>
      </c>
      <c r="N18" s="44" t="str">
        <f t="shared" si="0"/>
        <v>NO CUMPLE</v>
      </c>
      <c r="O18" s="301" t="e">
        <f>+'K RESIDUAL CALCULO'!N18</f>
        <v>#DIV/0!</v>
      </c>
      <c r="P18" s="302">
        <f t="shared" ref="P18" si="1">IF($G$9&lt;=12,$C$9-$G$10*$C$9,(($C$9-$G$10)/$G$9)*12)</f>
        <v>0</v>
      </c>
      <c r="Q18" s="305" t="e">
        <f t="shared" ref="Q18" si="2">IF(AND(O18&gt;=P18,OR(N18="CUMPLE",N18="N/A"),OR(N19="CUMPLE",N19="N/A"),OR(N20="CUMPLE",N20="N/A"),OR(N21="CUMPLE",N21="N/A")*OR(N22="CUMPLE",N22="N/A")),"CUMPLE","NO CUMPLE")</f>
        <v>#DIV/0!</v>
      </c>
      <c r="R18" s="291" t="s">
        <v>150</v>
      </c>
    </row>
    <row r="19" spans="1:18" ht="66" customHeight="1" x14ac:dyDescent="0.25">
      <c r="A19" s="296"/>
      <c r="B19" s="299"/>
      <c r="C19" s="24" t="str">
        <f>IF(VLOOKUP(B18,PROPONENTES!$B$10:$N$16,4,FALSE)="","",VLOOKUP(B18,PROPONENTES!$B$10:$N$16,4,FALSE))</f>
        <v>CARLOS FERNANDO CUBIDES BONILLA</v>
      </c>
      <c r="D19" s="37">
        <f>VLOOKUP(B18,PROPONENTES!$B$10:$N$16,5,FALSE)</f>
        <v>0.1</v>
      </c>
      <c r="E19" s="114"/>
      <c r="F19" s="115"/>
      <c r="G19" s="115"/>
      <c r="H19" s="116"/>
      <c r="I19" s="115"/>
      <c r="J19" s="117"/>
      <c r="K19" s="117"/>
      <c r="L19" s="117"/>
      <c r="M19" s="115"/>
      <c r="N19" s="24" t="str">
        <f t="shared" si="0"/>
        <v>NO CUMPLE</v>
      </c>
      <c r="O19" s="299"/>
      <c r="P19" s="303"/>
      <c r="Q19" s="236"/>
      <c r="R19" s="292"/>
    </row>
    <row r="20" spans="1:18" ht="66" customHeight="1" x14ac:dyDescent="0.25">
      <c r="A20" s="296"/>
      <c r="B20" s="299"/>
      <c r="C20" s="24" t="str">
        <f>IF(VLOOKUP(B18,PROPONENTES!$B$10:$N$16,6,FALSE)="","",VLOOKUP(B18,PROPONENTES!$B$10:$N$16,6,FALSE))</f>
        <v/>
      </c>
      <c r="D20" s="37">
        <f>VLOOKUP(B18,PROPONENTES!$B$10:$N$16,7,FALSE)</f>
        <v>0</v>
      </c>
      <c r="E20" s="114"/>
      <c r="F20" s="115"/>
      <c r="G20" s="115"/>
      <c r="H20" s="116"/>
      <c r="I20" s="115"/>
      <c r="J20" s="117"/>
      <c r="K20" s="117"/>
      <c r="L20" s="117"/>
      <c r="M20" s="115"/>
      <c r="N20" s="24" t="str">
        <f t="shared" si="0"/>
        <v>N/A</v>
      </c>
      <c r="O20" s="299"/>
      <c r="P20" s="303"/>
      <c r="Q20" s="236"/>
      <c r="R20" s="292"/>
    </row>
    <row r="21" spans="1:18" ht="66" customHeight="1" x14ac:dyDescent="0.25">
      <c r="A21" s="296"/>
      <c r="B21" s="299"/>
      <c r="C21" s="24" t="str">
        <f>IF(VLOOKUP(B18,PROPONENTES!$B$10:$N$16,8,FALSE)="","",VLOOKUP(B18,PROPONENTES!$B$10:$N$16,8,FALSE))</f>
        <v/>
      </c>
      <c r="D21" s="37">
        <f>VLOOKUP(B18,PROPONENTES!$B$10:$N$16,9,FALSE)</f>
        <v>0</v>
      </c>
      <c r="E21" s="114"/>
      <c r="F21" s="114"/>
      <c r="G21" s="114"/>
      <c r="H21" s="114"/>
      <c r="I21" s="114"/>
      <c r="J21" s="114"/>
      <c r="K21" s="114"/>
      <c r="L21" s="114"/>
      <c r="M21" s="114"/>
      <c r="N21" s="24" t="str">
        <f t="shared" si="0"/>
        <v>N/A</v>
      </c>
      <c r="O21" s="299"/>
      <c r="P21" s="303"/>
      <c r="Q21" s="236"/>
      <c r="R21" s="292"/>
    </row>
    <row r="22" spans="1:18" ht="66" customHeight="1" thickBot="1" x14ac:dyDescent="0.3">
      <c r="A22" s="297"/>
      <c r="B22" s="300"/>
      <c r="C22" s="49" t="str">
        <f>IF(VLOOKUP(B18,PROPONENTES!$B$10:$N$16,8,FALSE)="","",VLOOKUP(B18,PROPONENTES!$B$10:$N$16,10,FALSE))</f>
        <v/>
      </c>
      <c r="D22" s="50">
        <f>VLOOKUP(B18,PROPONENTES!$B$10:$N$16,11,FALSE)</f>
        <v>0</v>
      </c>
      <c r="E22" s="118"/>
      <c r="F22" s="118"/>
      <c r="G22" s="118"/>
      <c r="H22" s="118"/>
      <c r="I22" s="118"/>
      <c r="J22" s="118"/>
      <c r="K22" s="118"/>
      <c r="L22" s="118"/>
      <c r="M22" s="118"/>
      <c r="N22" s="49" t="str">
        <f t="shared" si="0"/>
        <v>N/A</v>
      </c>
      <c r="O22" s="300"/>
      <c r="P22" s="304"/>
      <c r="Q22" s="306"/>
      <c r="R22" s="293"/>
    </row>
    <row r="23" spans="1:18" ht="56.25" customHeight="1" x14ac:dyDescent="0.25">
      <c r="A23" s="295">
        <v>3</v>
      </c>
      <c r="B23" s="298" t="str">
        <f>+PROPONENTES!B12</f>
        <v>CONSORCIO PARQUES KENNEDY 2024</v>
      </c>
      <c r="C23" s="44" t="str">
        <f>IF(VLOOKUP(B23,PROPONENTES!$B$10:$N$16,2,FALSE)="","",VLOOKUP(B23,PROPONENTES!$B$10:$N$16,2,FALSE))</f>
        <v xml:space="preserve">Andina Juegos &amp; Parques SAS </v>
      </c>
      <c r="D23" s="45">
        <f>VLOOKUP(B23,PROPONENTES!$B$10:$N$16,3,FALSE)</f>
        <v>0.5</v>
      </c>
      <c r="E23" s="109" t="s">
        <v>14</v>
      </c>
      <c r="F23" s="110" t="s">
        <v>13</v>
      </c>
      <c r="G23" s="110" t="s">
        <v>15</v>
      </c>
      <c r="H23" s="111" t="s">
        <v>15</v>
      </c>
      <c r="I23" s="110" t="s">
        <v>15</v>
      </c>
      <c r="J23" s="112" t="s">
        <v>13</v>
      </c>
      <c r="K23" s="112" t="s">
        <v>14</v>
      </c>
      <c r="L23" s="112" t="s">
        <v>14</v>
      </c>
      <c r="M23" s="113" t="s">
        <v>14</v>
      </c>
      <c r="N23" s="44" t="str">
        <f t="shared" si="0"/>
        <v>NO CUMPLE</v>
      </c>
      <c r="O23" s="301" t="e">
        <f>+'K RESIDUAL CALCULO'!N23</f>
        <v>#DIV/0!</v>
      </c>
      <c r="P23" s="302">
        <f t="shared" ref="P23" si="3">IF($G$9&lt;=12,$C$9-$G$10*$C$9,(($C$9-$G$10)/$G$9)*12)</f>
        <v>0</v>
      </c>
      <c r="Q23" s="305" t="e">
        <f t="shared" ref="Q23" si="4">IF(AND(O23&gt;=P23,OR(N23="CUMPLE",N23="N/A"),OR(N24="CUMPLE",N24="N/A"),OR(N25="CUMPLE",N25="N/A"),OR(N26="CUMPLE",N26="N/A")*OR(N27="CUMPLE",N27="N/A")),"CUMPLE","NO CUMPLE")</f>
        <v>#DIV/0!</v>
      </c>
      <c r="R23" s="291" t="s">
        <v>151</v>
      </c>
    </row>
    <row r="24" spans="1:18" ht="56.25" customHeight="1" x14ac:dyDescent="0.25">
      <c r="A24" s="296"/>
      <c r="B24" s="299"/>
      <c r="C24" s="24" t="str">
        <f>IF(VLOOKUP(B23,PROPONENTES!$B$10:$N$16,4,FALSE)="","",VLOOKUP(B23,PROPONENTES!$B$10:$N$16,4,FALSE))</f>
        <v xml:space="preserve">JESVAR MULTIPROYECTOS SAS </v>
      </c>
      <c r="D24" s="37">
        <f>VLOOKUP(B23,PROPONENTES!$B$10:$N$16,5,FALSE)</f>
        <v>0.5</v>
      </c>
      <c r="E24" s="114"/>
      <c r="F24" s="115"/>
      <c r="G24" s="115"/>
      <c r="H24" s="116"/>
      <c r="I24" s="115"/>
      <c r="J24" s="117"/>
      <c r="K24" s="117"/>
      <c r="L24" s="117"/>
      <c r="M24" s="115"/>
      <c r="N24" s="24" t="str">
        <f t="shared" si="0"/>
        <v>NO CUMPLE</v>
      </c>
      <c r="O24" s="299"/>
      <c r="P24" s="303"/>
      <c r="Q24" s="236"/>
      <c r="R24" s="292"/>
    </row>
    <row r="25" spans="1:18" ht="56.25" customHeight="1" x14ac:dyDescent="0.25">
      <c r="A25" s="296"/>
      <c r="B25" s="299"/>
      <c r="C25" s="24" t="str">
        <f>IF(VLOOKUP(B23,PROPONENTES!$B$10:$N$16,6,FALSE)="","",VLOOKUP(B23,PROPONENTES!$B$10:$N$16,6,FALSE))</f>
        <v/>
      </c>
      <c r="D25" s="37">
        <f>VLOOKUP(B23,PROPONENTES!$B$10:$N$16,7,FALSE)</f>
        <v>0</v>
      </c>
      <c r="E25" s="114"/>
      <c r="F25" s="115"/>
      <c r="G25" s="115"/>
      <c r="H25" s="116"/>
      <c r="I25" s="115"/>
      <c r="J25" s="117"/>
      <c r="K25" s="117"/>
      <c r="L25" s="117"/>
      <c r="M25" s="115"/>
      <c r="N25" s="24" t="str">
        <f t="shared" si="0"/>
        <v>N/A</v>
      </c>
      <c r="O25" s="299"/>
      <c r="P25" s="303"/>
      <c r="Q25" s="236"/>
      <c r="R25" s="292"/>
    </row>
    <row r="26" spans="1:18" ht="56.25" customHeight="1" x14ac:dyDescent="0.25">
      <c r="A26" s="296"/>
      <c r="B26" s="299"/>
      <c r="C26" s="24" t="str">
        <f>IF(VLOOKUP(B23,PROPONENTES!$B$10:$N$16,8,FALSE)="","",VLOOKUP(B23,PROPONENTES!$B$10:$N$16,8,FALSE))</f>
        <v/>
      </c>
      <c r="D26" s="37">
        <f>VLOOKUP(B23,PROPONENTES!$B$10:$N$16,9,FALSE)</f>
        <v>0</v>
      </c>
      <c r="E26" s="114"/>
      <c r="F26" s="114"/>
      <c r="G26" s="114"/>
      <c r="H26" s="114"/>
      <c r="I26" s="114"/>
      <c r="J26" s="114"/>
      <c r="K26" s="114"/>
      <c r="L26" s="114"/>
      <c r="M26" s="114"/>
      <c r="N26" s="24" t="str">
        <f t="shared" si="0"/>
        <v>N/A</v>
      </c>
      <c r="O26" s="299"/>
      <c r="P26" s="303"/>
      <c r="Q26" s="236"/>
      <c r="R26" s="292"/>
    </row>
    <row r="27" spans="1:18" ht="56.25" customHeight="1" thickBot="1" x14ac:dyDescent="0.3">
      <c r="A27" s="297"/>
      <c r="B27" s="300"/>
      <c r="C27" s="49" t="str">
        <f>IF(VLOOKUP(B23,PROPONENTES!$B$10:$N$16,8,FALSE)="","",VLOOKUP(B23,PROPONENTES!$B$10:$N$16,10,FALSE))</f>
        <v/>
      </c>
      <c r="D27" s="50">
        <f>VLOOKUP(B23,PROPONENTES!$B$10:$N$16,11,FALSE)</f>
        <v>0</v>
      </c>
      <c r="E27" s="118"/>
      <c r="F27" s="118"/>
      <c r="G27" s="118"/>
      <c r="H27" s="118"/>
      <c r="I27" s="118"/>
      <c r="J27" s="118"/>
      <c r="K27" s="118"/>
      <c r="L27" s="118"/>
      <c r="M27" s="118"/>
      <c r="N27" s="49" t="str">
        <f t="shared" si="0"/>
        <v>N/A</v>
      </c>
      <c r="O27" s="300"/>
      <c r="P27" s="304"/>
      <c r="Q27" s="306"/>
      <c r="R27" s="293"/>
    </row>
    <row r="28" spans="1:18" ht="57" customHeight="1" x14ac:dyDescent="0.25">
      <c r="A28" s="295">
        <v>4</v>
      </c>
      <c r="B28" s="298" t="str">
        <f>+PROPONENTES!B13</f>
        <v>MLG INGENIERIA SAS</v>
      </c>
      <c r="C28" s="44" t="str">
        <f>IF(VLOOKUP(B28,PROPONENTES!$B$10:$N$16,2,FALSE)="","",VLOOKUP(B28,PROPONENTES!$B$10:$N$16,2,FALSE))</f>
        <v>MLG INGENIERIA SAS</v>
      </c>
      <c r="D28" s="45">
        <f>VLOOKUP(B28,PROPONENTES!$B$10:$N$16,3,FALSE)</f>
        <v>1</v>
      </c>
      <c r="E28" s="109" t="s">
        <v>14</v>
      </c>
      <c r="F28" s="110" t="s">
        <v>14</v>
      </c>
      <c r="G28" s="110" t="s">
        <v>14</v>
      </c>
      <c r="H28" s="111" t="s">
        <v>14</v>
      </c>
      <c r="I28" s="110" t="s">
        <v>14</v>
      </c>
      <c r="J28" s="112" t="s">
        <v>13</v>
      </c>
      <c r="K28" s="112" t="s">
        <v>14</v>
      </c>
      <c r="L28" s="112" t="s">
        <v>14</v>
      </c>
      <c r="M28" s="113" t="s">
        <v>14</v>
      </c>
      <c r="N28" s="44" t="str">
        <f t="shared" si="0"/>
        <v>CUMPLE</v>
      </c>
      <c r="O28" s="301" t="e">
        <f>+'K RESIDUAL CALCULO'!N28</f>
        <v>#DIV/0!</v>
      </c>
      <c r="P28" s="302">
        <f t="shared" ref="P28" si="5">IF($G$9&lt;=12,$C$9-$G$10*$C$9,(($C$9-$G$10)/$G$9)*12)</f>
        <v>0</v>
      </c>
      <c r="Q28" s="305" t="e">
        <f t="shared" ref="Q28" si="6">IF(AND(O28&gt;=P28,OR(N28="CUMPLE",N28="N/A"),OR(N29="CUMPLE",N29="N/A"),OR(N30="CUMPLE",N30="N/A"),OR(N31="CUMPLE",N31="N/A")*OR(N32="CUMPLE",N32="N/A")),"CUMPLE","NO CUMPLE")</f>
        <v>#DIV/0!</v>
      </c>
      <c r="R28" s="294" t="s">
        <v>156</v>
      </c>
    </row>
    <row r="29" spans="1:18" ht="35.25" customHeight="1" x14ac:dyDescent="0.25">
      <c r="A29" s="296"/>
      <c r="B29" s="299"/>
      <c r="C29" s="24" t="str">
        <f>IF(VLOOKUP(B28,PROPONENTES!$B$10:$N$16,4,FALSE)="","",VLOOKUP(B28,PROPONENTES!$B$10:$N$16,4,FALSE))</f>
        <v/>
      </c>
      <c r="D29" s="37">
        <f>VLOOKUP(B28,PROPONENTES!$B$10:$N$16,5,FALSE)</f>
        <v>0</v>
      </c>
      <c r="E29" s="114" t="s">
        <v>14</v>
      </c>
      <c r="F29" s="115" t="s">
        <v>14</v>
      </c>
      <c r="G29" s="115" t="s">
        <v>14</v>
      </c>
      <c r="H29" s="116" t="s">
        <v>15</v>
      </c>
      <c r="I29" s="115" t="s">
        <v>14</v>
      </c>
      <c r="J29" s="117" t="s">
        <v>13</v>
      </c>
      <c r="K29" s="117" t="s">
        <v>14</v>
      </c>
      <c r="L29" s="117" t="s">
        <v>14</v>
      </c>
      <c r="M29" s="115" t="s">
        <v>14</v>
      </c>
      <c r="N29" s="24" t="str">
        <f t="shared" si="0"/>
        <v>N/A</v>
      </c>
      <c r="O29" s="299"/>
      <c r="P29" s="303"/>
      <c r="Q29" s="236"/>
      <c r="R29" s="292"/>
    </row>
    <row r="30" spans="1:18" x14ac:dyDescent="0.25">
      <c r="A30" s="296"/>
      <c r="B30" s="299"/>
      <c r="C30" s="24" t="str">
        <f>IF(VLOOKUP(B28,PROPONENTES!$B$10:$N$16,6,FALSE)="","",VLOOKUP(B28,PROPONENTES!$B$10:$N$16,6,FALSE))</f>
        <v/>
      </c>
      <c r="D30" s="37">
        <f>VLOOKUP(B28,PROPONENTES!$B$10:$N$16,7,FALSE)</f>
        <v>0</v>
      </c>
      <c r="E30" s="114"/>
      <c r="F30" s="115"/>
      <c r="G30" s="115"/>
      <c r="H30" s="116"/>
      <c r="I30" s="115"/>
      <c r="J30" s="117"/>
      <c r="K30" s="117"/>
      <c r="L30" s="117"/>
      <c r="M30" s="115"/>
      <c r="N30" s="24" t="str">
        <f t="shared" si="0"/>
        <v>N/A</v>
      </c>
      <c r="O30" s="299"/>
      <c r="P30" s="303"/>
      <c r="Q30" s="236"/>
      <c r="R30" s="292"/>
    </row>
    <row r="31" spans="1:18" x14ac:dyDescent="0.25">
      <c r="A31" s="296"/>
      <c r="B31" s="299"/>
      <c r="C31" s="24" t="str">
        <f>IF(VLOOKUP(B28,PROPONENTES!$B$10:$N$16,8,FALSE)="","",VLOOKUP(B28,PROPONENTES!$B$10:$N$16,8,FALSE))</f>
        <v/>
      </c>
      <c r="D31" s="37">
        <f>VLOOKUP(B28,PROPONENTES!$B$10:$N$16,9,FALSE)</f>
        <v>0</v>
      </c>
      <c r="E31" s="114"/>
      <c r="F31" s="114"/>
      <c r="G31" s="114"/>
      <c r="H31" s="114"/>
      <c r="I31" s="114"/>
      <c r="J31" s="114"/>
      <c r="K31" s="114"/>
      <c r="L31" s="114"/>
      <c r="M31" s="114"/>
      <c r="N31" s="24" t="str">
        <f t="shared" si="0"/>
        <v>N/A</v>
      </c>
      <c r="O31" s="299"/>
      <c r="P31" s="303"/>
      <c r="Q31" s="236"/>
      <c r="R31" s="292"/>
    </row>
    <row r="32" spans="1:18" ht="15.75" thickBot="1" x14ac:dyDescent="0.3">
      <c r="A32" s="297"/>
      <c r="B32" s="300"/>
      <c r="C32" s="49" t="str">
        <f>IF(VLOOKUP(B28,PROPONENTES!$B$10:$N$16,8,FALSE)="","",VLOOKUP(B28,PROPONENTES!$B$10:$N$16,10,FALSE))</f>
        <v/>
      </c>
      <c r="D32" s="50">
        <f>VLOOKUP(B28,PROPONENTES!$B$10:$N$16,11,FALSE)</f>
        <v>0</v>
      </c>
      <c r="E32" s="118"/>
      <c r="F32" s="118"/>
      <c r="G32" s="118"/>
      <c r="H32" s="118"/>
      <c r="I32" s="118"/>
      <c r="J32" s="118"/>
      <c r="K32" s="118"/>
      <c r="L32" s="118"/>
      <c r="M32" s="118"/>
      <c r="N32" s="49" t="str">
        <f t="shared" si="0"/>
        <v>N/A</v>
      </c>
      <c r="O32" s="300"/>
      <c r="P32" s="304"/>
      <c r="Q32" s="306"/>
      <c r="R32" s="293"/>
    </row>
    <row r="33" spans="1:18" ht="48" customHeight="1" x14ac:dyDescent="0.25">
      <c r="A33" s="295">
        <v>5</v>
      </c>
      <c r="B33" s="298" t="str">
        <f>+PROPONENTES!B14</f>
        <v>CONSORCIO PARQUES KENNEDY DP 2024</v>
      </c>
      <c r="C33" s="44" t="str">
        <f>IF(VLOOKUP(B33,PROPONENTES!$B$10:$N$16,2,FALSE)="","",VLOOKUP(B33,PROPONENTES!$B$10:$N$16,2,FALSE))</f>
        <v xml:space="preserve">CONSULTORIA Y CONSTRUCCIONES DARLEV SAS </v>
      </c>
      <c r="D33" s="45">
        <f>VLOOKUP(B33,PROPONENTES!$B$10:$N$16,3,FALSE)</f>
        <v>0.9</v>
      </c>
      <c r="E33" s="109" t="s">
        <v>14</v>
      </c>
      <c r="F33" s="110" t="s">
        <v>15</v>
      </c>
      <c r="G33" s="110" t="s">
        <v>15</v>
      </c>
      <c r="H33" s="110" t="s">
        <v>15</v>
      </c>
      <c r="I33" s="110" t="s">
        <v>15</v>
      </c>
      <c r="J33" s="112" t="s">
        <v>13</v>
      </c>
      <c r="K33" s="112" t="s">
        <v>15</v>
      </c>
      <c r="L33" s="112" t="s">
        <v>15</v>
      </c>
      <c r="M33" s="113" t="s">
        <v>15</v>
      </c>
      <c r="N33" s="44" t="str">
        <f t="shared" si="0"/>
        <v>NO CUMPLE</v>
      </c>
      <c r="O33" s="301" t="e">
        <f>+'K RESIDUAL CALCULO'!N33</f>
        <v>#DIV/0!</v>
      </c>
      <c r="P33" s="302">
        <f t="shared" ref="P33" si="7">IF($G$9&lt;=12,$C$9-$G$10*$C$9,(($C$9-$G$10)/$G$9)*12)</f>
        <v>0</v>
      </c>
      <c r="Q33" s="305" t="e">
        <f t="shared" ref="Q33" si="8">IF(AND(O33&gt;=P33,OR(N33="CUMPLE",N33="N/A"),OR(N34="CUMPLE",N34="N/A"),OR(N35="CUMPLE",N35="N/A"),OR(N36="CUMPLE",N36="N/A")*OR(N37="CUMPLE",N37="N/A")),"CUMPLE","NO CUMPLE")</f>
        <v>#DIV/0!</v>
      </c>
      <c r="R33" s="294" t="s">
        <v>157</v>
      </c>
    </row>
    <row r="34" spans="1:18" ht="36.75" customHeight="1" x14ac:dyDescent="0.25">
      <c r="A34" s="296"/>
      <c r="B34" s="299"/>
      <c r="C34" s="24" t="str">
        <f>IF(VLOOKUP(B33,PROPONENTES!$B$10:$N$16,4,FALSE)="","",VLOOKUP(B33,PROPONENTES!$B$10:$N$16,4,FALSE))</f>
        <v xml:space="preserve">CONSTRUCTORA PC INGENIERIA SAS </v>
      </c>
      <c r="D34" s="37">
        <f>VLOOKUP(B33,PROPONENTES!$B$10:$N$16,5,FALSE)</f>
        <v>0.1</v>
      </c>
      <c r="E34" s="114" t="s">
        <v>14</v>
      </c>
      <c r="F34" s="115" t="s">
        <v>15</v>
      </c>
      <c r="G34" s="115" t="s">
        <v>15</v>
      </c>
      <c r="H34" s="116" t="s">
        <v>15</v>
      </c>
      <c r="I34" s="115" t="s">
        <v>15</v>
      </c>
      <c r="J34" s="117" t="s">
        <v>13</v>
      </c>
      <c r="K34" s="117" t="s">
        <v>15</v>
      </c>
      <c r="L34" s="117" t="s">
        <v>15</v>
      </c>
      <c r="M34" s="115" t="s">
        <v>14</v>
      </c>
      <c r="N34" s="24" t="str">
        <f t="shared" si="0"/>
        <v>NO CUMPLE</v>
      </c>
      <c r="O34" s="299"/>
      <c r="P34" s="303"/>
      <c r="Q34" s="236"/>
      <c r="R34" s="292"/>
    </row>
    <row r="35" spans="1:18" x14ac:dyDescent="0.25">
      <c r="A35" s="296"/>
      <c r="B35" s="299"/>
      <c r="C35" s="24" t="str">
        <f>IF(VLOOKUP(B33,PROPONENTES!$B$10:$N$16,6,FALSE)="","",VLOOKUP(B33,PROPONENTES!$B$10:$N$16,6,FALSE))</f>
        <v/>
      </c>
      <c r="D35" s="37">
        <f>VLOOKUP(B33,PROPONENTES!$B$10:$N$16,7,FALSE)</f>
        <v>0</v>
      </c>
      <c r="E35" s="114"/>
      <c r="F35" s="115"/>
      <c r="G35" s="115"/>
      <c r="H35" s="116"/>
      <c r="I35" s="115"/>
      <c r="J35" s="117"/>
      <c r="K35" s="117"/>
      <c r="L35" s="117"/>
      <c r="M35" s="115"/>
      <c r="N35" s="24" t="str">
        <f t="shared" si="0"/>
        <v>N/A</v>
      </c>
      <c r="O35" s="299"/>
      <c r="P35" s="303"/>
      <c r="Q35" s="236"/>
      <c r="R35" s="292"/>
    </row>
    <row r="36" spans="1:18" x14ac:dyDescent="0.25">
      <c r="A36" s="296"/>
      <c r="B36" s="299"/>
      <c r="C36" s="24" t="str">
        <f>IF(VLOOKUP(B33,PROPONENTES!$B$10:$N$16,8,FALSE)="","",VLOOKUP(B33,PROPONENTES!$B$10:$N$16,8,FALSE))</f>
        <v/>
      </c>
      <c r="D36" s="37">
        <f>VLOOKUP(B33,PROPONENTES!$B$10:$N$16,9,FALSE)</f>
        <v>0</v>
      </c>
      <c r="E36" s="114"/>
      <c r="F36" s="114"/>
      <c r="G36" s="114"/>
      <c r="H36" s="114"/>
      <c r="I36" s="114"/>
      <c r="J36" s="114"/>
      <c r="K36" s="114"/>
      <c r="L36" s="114"/>
      <c r="M36" s="114"/>
      <c r="N36" s="24" t="str">
        <f t="shared" si="0"/>
        <v>N/A</v>
      </c>
      <c r="O36" s="299"/>
      <c r="P36" s="303"/>
      <c r="Q36" s="236"/>
      <c r="R36" s="292"/>
    </row>
    <row r="37" spans="1:18" ht="15.75" thickBot="1" x14ac:dyDescent="0.3">
      <c r="A37" s="297"/>
      <c r="B37" s="300"/>
      <c r="C37" s="49" t="str">
        <f>IF(VLOOKUP(B33,PROPONENTES!$B$10:$N$16,8,FALSE)="","",VLOOKUP(B33,PROPONENTES!$B$10:$N$16,10,FALSE))</f>
        <v/>
      </c>
      <c r="D37" s="50">
        <f>VLOOKUP(B33,PROPONENTES!$B$10:$N$16,11,FALSE)</f>
        <v>0</v>
      </c>
      <c r="E37" s="118"/>
      <c r="F37" s="118"/>
      <c r="G37" s="118"/>
      <c r="H37" s="118"/>
      <c r="I37" s="118"/>
      <c r="J37" s="118"/>
      <c r="K37" s="118"/>
      <c r="L37" s="118"/>
      <c r="M37" s="118"/>
      <c r="N37" s="49" t="str">
        <f t="shared" si="0"/>
        <v>N/A</v>
      </c>
      <c r="O37" s="300"/>
      <c r="P37" s="304"/>
      <c r="Q37" s="306"/>
      <c r="R37" s="293"/>
    </row>
    <row r="38" spans="1:18" ht="60" customHeight="1" x14ac:dyDescent="0.25">
      <c r="A38" s="295">
        <v>6</v>
      </c>
      <c r="B38" s="298" t="str">
        <f>+PROPONENTES!B15</f>
        <v>CONSORCIO PARQUES KENNEDY 2024 - 1</v>
      </c>
      <c r="C38" s="44" t="str">
        <f>IF(VLOOKUP(B38,PROPONENTES!$B$10:$N$16,2,FALSE)="","",VLOOKUP(B38,PROPONENTES!$B$10:$N$16,2,FALSE))</f>
        <v>ICOD S.A.S</v>
      </c>
      <c r="D38" s="45">
        <f>VLOOKUP(B38,PROPONENTES!$B$10:$N$16,3,FALSE)</f>
        <v>0.95</v>
      </c>
      <c r="E38" s="109" t="s">
        <v>14</v>
      </c>
      <c r="F38" s="110" t="s">
        <v>14</v>
      </c>
      <c r="G38" s="110" t="s">
        <v>14</v>
      </c>
      <c r="H38" s="111" t="s">
        <v>14</v>
      </c>
      <c r="I38" s="110" t="s">
        <v>15</v>
      </c>
      <c r="J38" s="112" t="s">
        <v>13</v>
      </c>
      <c r="K38" s="112" t="s">
        <v>14</v>
      </c>
      <c r="L38" s="112" t="s">
        <v>14</v>
      </c>
      <c r="M38" s="113" t="s">
        <v>14</v>
      </c>
      <c r="N38" s="44" t="str">
        <f t="shared" si="0"/>
        <v>NO CUMPLE</v>
      </c>
      <c r="O38" s="301" t="e">
        <f>+'K RESIDUAL CALCULO'!N38</f>
        <v>#DIV/0!</v>
      </c>
      <c r="P38" s="302">
        <f t="shared" ref="P38" si="9">IF($G$9&lt;=12,$C$9-$G$10*$C$9,(($C$9-$G$10)/$G$9)*12)</f>
        <v>0</v>
      </c>
      <c r="Q38" s="305" t="e">
        <f t="shared" ref="Q38" si="10">IF(AND(O38&gt;=P38,OR(N38="CUMPLE",N38="N/A"),OR(N39="CUMPLE",N39="N/A"),OR(N40="CUMPLE",N40="N/A"),OR(N41="CUMPLE",N41="N/A")*OR(N42="CUMPLE",N42="N/A")),"CUMPLE","NO CUMPLE")</f>
        <v>#DIV/0!</v>
      </c>
      <c r="R38" s="294" t="s">
        <v>152</v>
      </c>
    </row>
    <row r="39" spans="1:18" ht="60" customHeight="1" x14ac:dyDescent="0.25">
      <c r="A39" s="296"/>
      <c r="B39" s="299"/>
      <c r="C39" s="24" t="str">
        <f>IF(VLOOKUP(B38,PROPONENTES!$B$10:$N$16,4,FALSE)="","",VLOOKUP(B38,PROPONENTES!$B$10:$N$16,4,FALSE))</f>
        <v xml:space="preserve">ING CONSTRUCTORES GPS </v>
      </c>
      <c r="D39" s="37">
        <f>VLOOKUP(B38,PROPONENTES!$B$10:$N$16,5,FALSE)</f>
        <v>0.05</v>
      </c>
      <c r="E39" s="114"/>
      <c r="F39" s="115"/>
      <c r="G39" s="115"/>
      <c r="H39" s="116"/>
      <c r="I39" s="115"/>
      <c r="J39" s="117"/>
      <c r="K39" s="117"/>
      <c r="L39" s="117"/>
      <c r="M39" s="115"/>
      <c r="N39" s="24" t="str">
        <f t="shared" si="0"/>
        <v>NO CUMPLE</v>
      </c>
      <c r="O39" s="299"/>
      <c r="P39" s="303"/>
      <c r="Q39" s="236"/>
      <c r="R39" s="292"/>
    </row>
    <row r="40" spans="1:18" ht="60" customHeight="1" x14ac:dyDescent="0.25">
      <c r="A40" s="296"/>
      <c r="B40" s="299"/>
      <c r="C40" s="24" t="str">
        <f>IF(VLOOKUP(B38,PROPONENTES!$B$10:$N$16,6,FALSE)="","",VLOOKUP(B38,PROPONENTES!$B$10:$N$16,6,FALSE))</f>
        <v/>
      </c>
      <c r="D40" s="37">
        <f>VLOOKUP(B38,PROPONENTES!$B$10:$N$16,7,FALSE)</f>
        <v>0</v>
      </c>
      <c r="E40" s="114"/>
      <c r="F40" s="115"/>
      <c r="G40" s="115"/>
      <c r="H40" s="116"/>
      <c r="I40" s="115"/>
      <c r="J40" s="117"/>
      <c r="K40" s="117"/>
      <c r="L40" s="117"/>
      <c r="M40" s="115"/>
      <c r="N40" s="24" t="str">
        <f t="shared" si="0"/>
        <v>N/A</v>
      </c>
      <c r="O40" s="299"/>
      <c r="P40" s="303"/>
      <c r="Q40" s="236"/>
      <c r="R40" s="292"/>
    </row>
    <row r="41" spans="1:18" ht="60" customHeight="1" x14ac:dyDescent="0.25">
      <c r="A41" s="296"/>
      <c r="B41" s="299"/>
      <c r="C41" s="24" t="str">
        <f>IF(VLOOKUP(B38,PROPONENTES!$B$10:$N$16,8,FALSE)="","",VLOOKUP(B38,PROPONENTES!$B$10:$N$16,8,FALSE))</f>
        <v/>
      </c>
      <c r="D41" s="37">
        <f>VLOOKUP(B38,PROPONENTES!$B$10:$N$16,9,FALSE)</f>
        <v>0</v>
      </c>
      <c r="E41" s="114"/>
      <c r="F41" s="114"/>
      <c r="G41" s="114"/>
      <c r="H41" s="114"/>
      <c r="I41" s="114"/>
      <c r="J41" s="114"/>
      <c r="K41" s="114"/>
      <c r="L41" s="114"/>
      <c r="M41" s="114"/>
      <c r="N41" s="24" t="str">
        <f t="shared" si="0"/>
        <v>N/A</v>
      </c>
      <c r="O41" s="299"/>
      <c r="P41" s="303"/>
      <c r="Q41" s="236"/>
      <c r="R41" s="292"/>
    </row>
    <row r="42" spans="1:18" ht="60" customHeight="1" thickBot="1" x14ac:dyDescent="0.3">
      <c r="A42" s="297"/>
      <c r="B42" s="300"/>
      <c r="C42" s="49" t="str">
        <f>IF(VLOOKUP(B38,PROPONENTES!$B$10:$N$16,8,FALSE)="","",VLOOKUP(B38,PROPONENTES!$B$10:$N$16,10,FALSE))</f>
        <v/>
      </c>
      <c r="D42" s="50">
        <f>VLOOKUP(B38,PROPONENTES!$B$10:$N$16,11,FALSE)</f>
        <v>0</v>
      </c>
      <c r="E42" s="118"/>
      <c r="F42" s="118"/>
      <c r="G42" s="118"/>
      <c r="H42" s="118"/>
      <c r="I42" s="118"/>
      <c r="J42" s="118"/>
      <c r="K42" s="118"/>
      <c r="L42" s="118"/>
      <c r="M42" s="118"/>
      <c r="N42" s="49" t="str">
        <f t="shared" si="0"/>
        <v>N/A</v>
      </c>
      <c r="O42" s="300"/>
      <c r="P42" s="304"/>
      <c r="Q42" s="306"/>
      <c r="R42" s="293"/>
    </row>
    <row r="43" spans="1:18" ht="68.25" customHeight="1" x14ac:dyDescent="0.25">
      <c r="A43" s="295">
        <v>7</v>
      </c>
      <c r="B43" s="298" t="str">
        <f>+PROPONENTES!B16</f>
        <v>RETIN INGENIERIA S.A.S.</v>
      </c>
      <c r="C43" s="44" t="str">
        <f>IF(VLOOKUP(B43,PROPONENTES!$B$10:$N$16,2,FALSE)="","",VLOOKUP(B43,PROPONENTES!$B$10:$N$16,2,FALSE))</f>
        <v>RETIN INGENIERIA S.A.S.</v>
      </c>
      <c r="D43" s="45">
        <f>VLOOKUP(B43,PROPONENTES!$B$10:$N$16,3,FALSE)</f>
        <v>1</v>
      </c>
      <c r="E43" s="109" t="s">
        <v>14</v>
      </c>
      <c r="F43" s="110" t="s">
        <v>14</v>
      </c>
      <c r="G43" s="110" t="s">
        <v>14</v>
      </c>
      <c r="H43" s="111" t="s">
        <v>15</v>
      </c>
      <c r="I43" s="110" t="s">
        <v>15</v>
      </c>
      <c r="J43" s="112" t="s">
        <v>13</v>
      </c>
      <c r="K43" s="112" t="s">
        <v>14</v>
      </c>
      <c r="L43" s="112" t="s">
        <v>14</v>
      </c>
      <c r="M43" s="113" t="s">
        <v>14</v>
      </c>
      <c r="N43" s="44" t="str">
        <f t="shared" si="0"/>
        <v>NO CUMPLE</v>
      </c>
      <c r="O43" s="301" t="e">
        <f>+'K RESIDUAL CALCULO'!N43</f>
        <v>#DIV/0!</v>
      </c>
      <c r="P43" s="302">
        <f t="shared" ref="P43" si="11">IF($G$9&lt;=12,$C$9-$G$10*$C$9,(($C$9-$G$10)/$G$9)*12)</f>
        <v>0</v>
      </c>
      <c r="Q43" s="305" t="e">
        <f t="shared" ref="Q43" si="12">IF(AND(O43&gt;=P43,OR(N43="CUMPLE",N43="N/A"),OR(N44="CUMPLE",N44="N/A"),OR(N45="CUMPLE",N45="N/A"),OR(N46="CUMPLE",N46="N/A")*OR(N47="CUMPLE",N47="N/A")),"CUMPLE","NO CUMPLE")</f>
        <v>#DIV/0!</v>
      </c>
      <c r="R43" s="294" t="s">
        <v>153</v>
      </c>
    </row>
    <row r="44" spans="1:18" ht="68.25" customHeight="1" x14ac:dyDescent="0.25">
      <c r="A44" s="296"/>
      <c r="B44" s="299"/>
      <c r="C44" s="24" t="str">
        <f>IF(VLOOKUP(B43,PROPONENTES!$B$10:$N$16,4,FALSE)="","",VLOOKUP(B43,PROPONENTES!$B$10:$N$16,4,FALSE))</f>
        <v/>
      </c>
      <c r="D44" s="37">
        <f>VLOOKUP(B43,PROPONENTES!$B$10:$N$16,5,FALSE)</f>
        <v>0</v>
      </c>
      <c r="E44" s="114" t="s">
        <v>14</v>
      </c>
      <c r="F44" s="115" t="s">
        <v>14</v>
      </c>
      <c r="G44" s="115" t="s">
        <v>14</v>
      </c>
      <c r="H44" s="116" t="s">
        <v>15</v>
      </c>
      <c r="I44" s="115" t="s">
        <v>15</v>
      </c>
      <c r="J44" s="117" t="s">
        <v>13</v>
      </c>
      <c r="K44" s="117" t="s">
        <v>14</v>
      </c>
      <c r="L44" s="117" t="s">
        <v>14</v>
      </c>
      <c r="M44" s="115" t="s">
        <v>14</v>
      </c>
      <c r="N44" s="24" t="str">
        <f t="shared" si="0"/>
        <v>N/A</v>
      </c>
      <c r="O44" s="299"/>
      <c r="P44" s="303"/>
      <c r="Q44" s="236"/>
      <c r="R44" s="292"/>
    </row>
    <row r="45" spans="1:18" ht="68.25" customHeight="1" x14ac:dyDescent="0.25">
      <c r="A45" s="296"/>
      <c r="B45" s="299"/>
      <c r="C45" s="24" t="str">
        <f>IF(VLOOKUP(B43,PROPONENTES!$B$10:$N$16,6,FALSE)="","",VLOOKUP(B43,PROPONENTES!$B$10:$N$16,6,FALSE))</f>
        <v/>
      </c>
      <c r="D45" s="37">
        <f>VLOOKUP(B43,PROPONENTES!$B$10:$N$16,7,FALSE)</f>
        <v>0</v>
      </c>
      <c r="E45" s="114"/>
      <c r="F45" s="115"/>
      <c r="G45" s="115"/>
      <c r="H45" s="116"/>
      <c r="I45" s="115"/>
      <c r="J45" s="117"/>
      <c r="K45" s="117"/>
      <c r="L45" s="117"/>
      <c r="M45" s="115"/>
      <c r="N45" s="24" t="str">
        <f t="shared" si="0"/>
        <v>N/A</v>
      </c>
      <c r="O45" s="299"/>
      <c r="P45" s="303"/>
      <c r="Q45" s="236"/>
      <c r="R45" s="292"/>
    </row>
    <row r="46" spans="1:18" ht="68.25" customHeight="1" x14ac:dyDescent="0.25">
      <c r="A46" s="296"/>
      <c r="B46" s="299"/>
      <c r="C46" s="24" t="str">
        <f>IF(VLOOKUP(B43,PROPONENTES!$B$10:$N$16,8,FALSE)="","",VLOOKUP(B43,PROPONENTES!$B$10:$N$16,8,FALSE))</f>
        <v/>
      </c>
      <c r="D46" s="37">
        <f>VLOOKUP(B43,PROPONENTES!$B$10:$N$16,9,FALSE)</f>
        <v>0</v>
      </c>
      <c r="E46" s="114"/>
      <c r="F46" s="114"/>
      <c r="G46" s="114"/>
      <c r="H46" s="114"/>
      <c r="I46" s="114"/>
      <c r="J46" s="114"/>
      <c r="K46" s="114"/>
      <c r="L46" s="114"/>
      <c r="M46" s="114"/>
      <c r="N46" s="24" t="str">
        <f t="shared" si="0"/>
        <v>N/A</v>
      </c>
      <c r="O46" s="299"/>
      <c r="P46" s="303"/>
      <c r="Q46" s="236"/>
      <c r="R46" s="292"/>
    </row>
    <row r="47" spans="1:18" ht="68.25" customHeight="1" thickBot="1" x14ac:dyDescent="0.3">
      <c r="A47" s="297"/>
      <c r="B47" s="300"/>
      <c r="C47" s="49" t="str">
        <f>IF(VLOOKUP(B43,PROPONENTES!$B$10:$N$16,8,FALSE)="","",VLOOKUP(B43,PROPONENTES!$B$10:$N$16,10,FALSE))</f>
        <v/>
      </c>
      <c r="D47" s="50">
        <f>VLOOKUP(B43,PROPONENTES!$B$10:$N$16,11,FALSE)</f>
        <v>0</v>
      </c>
      <c r="E47" s="118"/>
      <c r="F47" s="118"/>
      <c r="G47" s="118"/>
      <c r="H47" s="118"/>
      <c r="I47" s="118"/>
      <c r="J47" s="118"/>
      <c r="K47" s="118"/>
      <c r="L47" s="118"/>
      <c r="M47" s="118"/>
      <c r="N47" s="49" t="str">
        <f t="shared" si="0"/>
        <v>N/A</v>
      </c>
      <c r="O47" s="300"/>
      <c r="P47" s="304"/>
      <c r="Q47" s="306"/>
      <c r="R47" s="293"/>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 ref="R13:R17"/>
    <mergeCell ref="A18:A22"/>
    <mergeCell ref="B18:B22"/>
    <mergeCell ref="O18:O22"/>
    <mergeCell ref="P18:P22"/>
    <mergeCell ref="Q18:Q22"/>
    <mergeCell ref="R18:R22"/>
    <mergeCell ref="A13:A17"/>
    <mergeCell ref="B13:B17"/>
    <mergeCell ref="O13:O17"/>
    <mergeCell ref="P13:P17"/>
    <mergeCell ref="Q13:Q17"/>
    <mergeCell ref="A23:A27"/>
    <mergeCell ref="B23:B27"/>
    <mergeCell ref="O23:O27"/>
    <mergeCell ref="P23:P27"/>
    <mergeCell ref="Q23:Q27"/>
    <mergeCell ref="A28:A32"/>
    <mergeCell ref="B28:B32"/>
    <mergeCell ref="O28:O32"/>
    <mergeCell ref="P28:P32"/>
    <mergeCell ref="Q28:Q32"/>
    <mergeCell ref="A33:A37"/>
    <mergeCell ref="B33:B37"/>
    <mergeCell ref="O33:O37"/>
    <mergeCell ref="P33:P37"/>
    <mergeCell ref="Q33:Q37"/>
    <mergeCell ref="A38:A42"/>
    <mergeCell ref="B38:B42"/>
    <mergeCell ref="O38:O42"/>
    <mergeCell ref="P38:P42"/>
    <mergeCell ref="Q38:Q42"/>
    <mergeCell ref="A43:A47"/>
    <mergeCell ref="B43:B47"/>
    <mergeCell ref="O43:O47"/>
    <mergeCell ref="P43:P47"/>
    <mergeCell ref="Q43:Q47"/>
    <mergeCell ref="R23:R27"/>
    <mergeCell ref="R28:R32"/>
    <mergeCell ref="R33:R37"/>
    <mergeCell ref="R38:R42"/>
    <mergeCell ref="R43:R47"/>
  </mergeCells>
  <conditionalFormatting sqref="Q13">
    <cfRule type="cellIs" dxfId="1217" priority="16" operator="equal">
      <formula>"CUMPLE"</formula>
    </cfRule>
    <cfRule type="cellIs" dxfId="1216" priority="17" operator="equal">
      <formula>"NO CUMPLE"</formula>
    </cfRule>
    <cfRule type="cellIs" dxfId="1215" priority="18" operator="equal">
      <formula>"""CUMPLE"""</formula>
    </cfRule>
  </conditionalFormatting>
  <conditionalFormatting sqref="Q18 Q23 Q28 Q33 Q38 Q43">
    <cfRule type="cellIs" dxfId="1214" priority="1" operator="equal">
      <formula>"CUMPLE"</formula>
    </cfRule>
    <cfRule type="cellIs" dxfId="1213" priority="2" operator="equal">
      <formula>"NO CUMPLE"</formula>
    </cfRule>
    <cfRule type="cellIs" dxfId="1212"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'DATOS INICIALES'!$A$50:$A$52</xm:f>
          </x14:formula1>
          <xm:sqref>E13:M47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2"/>
  <sheetViews>
    <sheetView topLeftCell="A7" zoomScale="70" zoomScaleNormal="70" workbookViewId="0">
      <selection activeCell="E33" sqref="E33"/>
    </sheetView>
  </sheetViews>
  <sheetFormatPr baseColWidth="10" defaultColWidth="11.42578125" defaultRowHeight="15" x14ac:dyDescent="0.25"/>
  <cols>
    <col min="1" max="1" width="4.140625" style="13" customWidth="1"/>
    <col min="2" max="2" width="26.85546875" style="13" customWidth="1"/>
    <col min="3" max="3" width="22.7109375" style="13" customWidth="1"/>
    <col min="4" max="4" width="12" style="38" customWidth="1"/>
    <col min="5" max="5" width="12" style="57" customWidth="1"/>
    <col min="6" max="6" width="29.85546875" style="13" customWidth="1"/>
    <col min="7" max="7" width="21.85546875" style="13" customWidth="1"/>
    <col min="8" max="8" width="26.42578125" style="13" customWidth="1"/>
    <col min="9" max="12" width="16.42578125" style="13" customWidth="1"/>
    <col min="13" max="13" width="16.42578125" style="13" bestFit="1" customWidth="1"/>
    <col min="14" max="14" width="19.5703125" style="13" customWidth="1"/>
    <col min="15" max="15" width="26.42578125" style="13" customWidth="1"/>
    <col min="16" max="16384" width="11.42578125" style="13"/>
  </cols>
  <sheetData>
    <row r="1" spans="1:16" x14ac:dyDescent="0.25">
      <c r="B1"/>
      <c r="C1"/>
      <c r="D1"/>
      <c r="E1"/>
      <c r="F1"/>
      <c r="G1"/>
      <c r="H1"/>
      <c r="I1"/>
      <c r="J1"/>
      <c r="K1"/>
      <c r="L1"/>
      <c r="M1"/>
      <c r="N1"/>
      <c r="O1"/>
    </row>
    <row r="2" spans="1:16" ht="18.75" x14ac:dyDescent="0.3">
      <c r="A2" s="221" t="s">
        <v>22</v>
      </c>
      <c r="B2" s="221"/>
      <c r="C2" s="221"/>
      <c r="D2" s="221"/>
      <c r="E2" s="221"/>
      <c r="F2" s="221"/>
      <c r="G2" s="221"/>
      <c r="H2" s="221"/>
      <c r="I2" s="221"/>
      <c r="J2" s="221"/>
      <c r="K2" s="221"/>
      <c r="L2" s="221"/>
      <c r="M2" s="221"/>
      <c r="N2" s="221"/>
      <c r="O2" s="221"/>
      <c r="P2" s="221"/>
    </row>
    <row r="3" spans="1:16" x14ac:dyDescent="0.25">
      <c r="A3" s="299"/>
      <c r="B3" s="299"/>
      <c r="C3" s="299"/>
      <c r="D3" s="299"/>
      <c r="E3" s="299"/>
      <c r="F3" s="299"/>
      <c r="G3" s="299"/>
      <c r="H3" s="299"/>
      <c r="I3" s="299"/>
      <c r="J3" s="299"/>
      <c r="K3" s="299"/>
      <c r="L3" s="299"/>
      <c r="M3" s="299"/>
      <c r="N3" s="299"/>
      <c r="O3" s="299"/>
      <c r="P3" s="299"/>
    </row>
    <row r="4" spans="1:16" ht="18.75" x14ac:dyDescent="0.3">
      <c r="A4" s="221" t="str">
        <f>'DATOS INICIALES'!G4</f>
        <v>FDLK-LP-013-20234</v>
      </c>
      <c r="B4" s="221"/>
      <c r="C4" s="221"/>
      <c r="D4" s="221"/>
      <c r="E4" s="221"/>
      <c r="F4" s="221"/>
      <c r="G4" s="221"/>
      <c r="H4" s="221"/>
      <c r="I4" s="221"/>
      <c r="J4" s="221"/>
      <c r="K4" s="221"/>
      <c r="L4" s="221"/>
      <c r="M4" s="221"/>
      <c r="N4" s="221"/>
      <c r="O4" s="221"/>
      <c r="P4" s="221"/>
    </row>
    <row r="5" spans="1:16" x14ac:dyDescent="0.25">
      <c r="A5" s="299"/>
      <c r="B5" s="299"/>
      <c r="C5" s="299"/>
      <c r="D5" s="299"/>
      <c r="E5" s="299"/>
      <c r="F5" s="299"/>
      <c r="G5" s="299"/>
      <c r="H5" s="299"/>
      <c r="I5" s="299"/>
      <c r="J5" s="299"/>
      <c r="K5" s="299"/>
      <c r="L5" s="299"/>
      <c r="M5" s="299"/>
      <c r="N5" s="299"/>
      <c r="O5" s="299"/>
      <c r="P5" s="299"/>
    </row>
    <row r="6" spans="1:16" x14ac:dyDescent="0.25">
      <c r="A6" s="307" t="s">
        <v>32</v>
      </c>
      <c r="B6" s="307"/>
      <c r="C6" s="64" t="s">
        <v>54</v>
      </c>
      <c r="D6" s="308" t="s">
        <v>70</v>
      </c>
      <c r="E6" s="308"/>
      <c r="F6" s="308"/>
      <c r="G6" s="87">
        <v>44498</v>
      </c>
      <c r="H6" s="317"/>
      <c r="I6" s="318"/>
      <c r="J6" s="318"/>
      <c r="K6" s="318"/>
      <c r="L6" s="318"/>
      <c r="M6" s="318"/>
      <c r="N6" s="318"/>
      <c r="O6" s="318"/>
      <c r="P6" s="319"/>
    </row>
    <row r="7" spans="1:16" x14ac:dyDescent="0.25">
      <c r="A7" s="313" t="s">
        <v>89</v>
      </c>
      <c r="B7" s="313"/>
      <c r="C7" s="313"/>
      <c r="D7" s="313"/>
      <c r="E7" s="313"/>
      <c r="F7" s="313"/>
      <c r="G7" s="313"/>
      <c r="H7" s="313"/>
      <c r="I7" s="313"/>
      <c r="J7" s="313"/>
      <c r="K7" s="313"/>
      <c r="L7" s="313"/>
      <c r="M7" s="313"/>
      <c r="N7" s="313"/>
      <c r="O7" s="313"/>
      <c r="P7" s="313"/>
    </row>
    <row r="8" spans="1:16" ht="36" customHeight="1" x14ac:dyDescent="0.25">
      <c r="A8" s="309" t="s">
        <v>23</v>
      </c>
      <c r="B8" s="309"/>
      <c r="C8" s="320"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320"/>
      <c r="E8" s="320"/>
      <c r="F8" s="320"/>
      <c r="G8" s="320"/>
      <c r="H8" s="320"/>
      <c r="I8" s="320"/>
      <c r="J8" s="320"/>
      <c r="K8" s="320"/>
      <c r="L8" s="320"/>
      <c r="M8" s="320"/>
      <c r="N8" s="320"/>
      <c r="O8" s="320"/>
      <c r="P8" s="320"/>
    </row>
    <row r="9" spans="1:16" x14ac:dyDescent="0.25">
      <c r="A9" s="309" t="s">
        <v>68</v>
      </c>
      <c r="B9" s="309"/>
      <c r="C9" s="315">
        <f>+'DATOS INICIALES'!C6</f>
        <v>0</v>
      </c>
      <c r="D9" s="315"/>
      <c r="E9" s="315"/>
      <c r="F9" s="119" t="s">
        <v>95</v>
      </c>
      <c r="G9" s="120">
        <v>4</v>
      </c>
      <c r="H9" s="315"/>
      <c r="I9" s="315"/>
      <c r="J9" s="315"/>
      <c r="K9" s="315"/>
      <c r="L9" s="315"/>
      <c r="M9" s="315"/>
      <c r="N9" s="315"/>
      <c r="O9" s="315"/>
      <c r="P9" s="315"/>
    </row>
    <row r="10" spans="1:16" x14ac:dyDescent="0.25">
      <c r="A10" s="309" t="s">
        <v>69</v>
      </c>
      <c r="B10" s="309"/>
      <c r="C10" s="316">
        <f>C9/'DATOS INICIALES'!B43</f>
        <v>0</v>
      </c>
      <c r="D10" s="316"/>
      <c r="E10" s="316"/>
      <c r="F10" s="121" t="s">
        <v>96</v>
      </c>
      <c r="G10" s="122">
        <v>0</v>
      </c>
      <c r="H10" s="316"/>
      <c r="I10" s="316"/>
      <c r="J10" s="316"/>
      <c r="K10" s="316"/>
      <c r="L10" s="316"/>
      <c r="M10" s="316"/>
      <c r="N10" s="316"/>
      <c r="O10" s="316"/>
      <c r="P10" s="316"/>
    </row>
    <row r="11" spans="1:16" ht="9" customHeight="1" x14ac:dyDescent="0.25">
      <c r="E11" s="38"/>
    </row>
    <row r="12" spans="1:16" ht="86.25" customHeight="1" thickBot="1" x14ac:dyDescent="0.3">
      <c r="A12" s="43" t="s">
        <v>81</v>
      </c>
      <c r="B12" s="43" t="s">
        <v>24</v>
      </c>
      <c r="C12" s="43" t="s">
        <v>61</v>
      </c>
      <c r="D12" s="43" t="s">
        <v>82</v>
      </c>
      <c r="E12" s="43" t="s">
        <v>92</v>
      </c>
      <c r="F12" s="43" t="s">
        <v>90</v>
      </c>
      <c r="G12" s="43" t="s">
        <v>83</v>
      </c>
      <c r="H12" s="43" t="s">
        <v>84</v>
      </c>
      <c r="I12" s="43" t="s">
        <v>85</v>
      </c>
      <c r="J12" s="43" t="s">
        <v>91</v>
      </c>
      <c r="K12" s="43" t="s">
        <v>93</v>
      </c>
      <c r="L12" s="43" t="s">
        <v>94</v>
      </c>
      <c r="M12" s="43" t="s">
        <v>86</v>
      </c>
      <c r="N12" s="43" t="s">
        <v>87</v>
      </c>
      <c r="O12" s="43" t="s">
        <v>88</v>
      </c>
      <c r="P12" s="43" t="s">
        <v>73</v>
      </c>
    </row>
    <row r="13" spans="1:16" ht="48" customHeight="1" x14ac:dyDescent="0.25">
      <c r="A13" s="295">
        <v>1</v>
      </c>
      <c r="B13" s="298" t="str">
        <f>+PROPONENTES!B10</f>
        <v>CONSORCIO ARQING</v>
      </c>
      <c r="C13" s="44" t="str">
        <f>IF(VLOOKUP(B13,PROPONENTES!$B$10:$N$16,2,FALSE)="","",VLOOKUP(B13,PROPONENTES!$B$10:$N$16,2,FALSE))</f>
        <v>PROYECTOS DE INGENIERIA PBS SAS</v>
      </c>
      <c r="D13" s="45">
        <f>VLOOKUP(B13,PROPONENTES!$B$10:$N$16,3,FALSE)</f>
        <v>0.6</v>
      </c>
      <c r="E13" s="54">
        <v>7.69</v>
      </c>
      <c r="F13" s="46">
        <v>1143587893</v>
      </c>
      <c r="G13" s="130">
        <v>47581519005.089996</v>
      </c>
      <c r="H13" s="47">
        <v>1</v>
      </c>
      <c r="I13" s="46">
        <v>114692409</v>
      </c>
      <c r="J13" s="48" t="e">
        <f>IF(C13="","",IF(AND((G13/($C$9*D13))&gt;0,(G13/($C$9*D13))&lt;=3),60,IF(AND((G13/($C$9*D13))&gt;3,(G13/($C$9*D13))&lt;=6),80,IF(AND((G13/($C$9*D13))&gt;6,(G13/($C$9*D13))&lt;=10),100,IF((G13/($C$9*D13))&gt;10,120,)))))</f>
        <v>#DIV/0!</v>
      </c>
      <c r="K13" s="48">
        <f>IF(C13="","",IF(AND(E13&gt;0,E13&lt;=0.5),20,IF(AND(E13&gt;0.5,E13&lt;=0.75),25,IF(AND(E13&gt;0.75,E13&lt;=1),30,IF(AND(E13&gt;1,E13&lt;=1.5),35,IF(E13&gt;1.5,40))))))</f>
        <v>40</v>
      </c>
      <c r="L13" s="48">
        <f>IF(C13="","",IF(AND(H13&gt;=1,H13&lt;=5),20,IF(AND(H13&gt;=6,H13&lt;=10),30,IF(H13&gt;=11,40,))))</f>
        <v>20</v>
      </c>
      <c r="M13" s="58" t="e">
        <f>+IF(C13="","",(F13*(J13+K13+L13)/100)-I13)</f>
        <v>#DIV/0!</v>
      </c>
      <c r="N13" s="321" t="e">
        <f>SUM(M13:M17)</f>
        <v>#DIV/0!</v>
      </c>
      <c r="O13" s="324">
        <f>IF($G$9&lt;=12,$C$9-$G$10*$C$9,(($C$9-$G$10)/$G$9)*12)</f>
        <v>0</v>
      </c>
      <c r="P13" s="327" t="e">
        <f>IF(N13&gt;=O13,"CUMPLE","NO CUMPLE")</f>
        <v>#DIV/0!</v>
      </c>
    </row>
    <row r="14" spans="1:16" ht="64.5" customHeight="1" x14ac:dyDescent="0.25">
      <c r="A14" s="296"/>
      <c r="B14" s="299"/>
      <c r="C14" s="24" t="str">
        <f>IF(VLOOKUP(B13,PROPONENTES!$B$10:$N$16,4,FALSE)="","",VLOOKUP(B13,PROPONENTES!$B$10:$N$16,4,FALSE))</f>
        <v xml:space="preserve">GUSTAVO PALACIOS RUBIANO </v>
      </c>
      <c r="D14" s="37">
        <f>VLOOKUP(B13,PROPONENTES!$B$10:$N$16,5,FALSE)</f>
        <v>0.4</v>
      </c>
      <c r="E14" s="131">
        <v>4.93</v>
      </c>
      <c r="F14" s="129">
        <v>126050742.52</v>
      </c>
      <c r="G14" s="129">
        <v>20725184508.040001</v>
      </c>
      <c r="H14" s="39">
        <v>1</v>
      </c>
      <c r="I14" s="40">
        <v>473451635</v>
      </c>
      <c r="J14" s="36" t="e">
        <f t="shared" ref="J14:J47" si="0">IF(C14="","",IF(AND((G14/($C$9*D14))&gt;0,(G14/($C$9*D14))&lt;=3),60,IF(AND((G14/($C$9*D14))&gt;3,(G14/($C$9*D14))&lt;=6),80,IF(AND((G14/($C$9*D14))&gt;6,(G14/($C$9*D14))&lt;=10),100,IF((G14/($C$9*D14))&gt;10,120,)))))</f>
        <v>#DIV/0!</v>
      </c>
      <c r="K14" s="36">
        <f t="shared" ref="K14:K47" si="1">IF(C14="","",IF(AND(E14&gt;0,E14&lt;=0.5),20,IF(AND(E14&gt;0.5,E14&lt;=0.75),25,IF(AND(E14&gt;0.75,E14&lt;=1),30,IF(AND(E14&gt;1,E14&lt;=1.5),35,IF(E14&gt;1.5,40))))))</f>
        <v>40</v>
      </c>
      <c r="L14" s="36">
        <f t="shared" ref="L14:L18" si="2">IF(C14="","",IF(AND(H14&gt;=1,H14&lt;=5),20,IF(AND(H14&gt;=6,H14&lt;=10),30,IF(H14&gt;=11,40,))))</f>
        <v>20</v>
      </c>
      <c r="M14" s="59" t="e">
        <f t="shared" ref="M14:M18" si="3">+IF(C14="","",(F14*(J14+K14+L14)/100)-I14)</f>
        <v>#DIV/0!</v>
      </c>
      <c r="N14" s="322"/>
      <c r="O14" s="325"/>
      <c r="P14" s="328"/>
    </row>
    <row r="15" spans="1:16" x14ac:dyDescent="0.25">
      <c r="A15" s="296"/>
      <c r="B15" s="299"/>
      <c r="C15" s="24" t="str">
        <f>IF(VLOOKUP(B13,PROPONENTES!$B$10:$N$16,6,FALSE)="","",VLOOKUP(B13,PROPONENTES!$B$10:$N$16,6,FALSE))</f>
        <v/>
      </c>
      <c r="D15" s="37">
        <f>VLOOKUP(B13,PROPONENTES!$B$10:$N$16,7,FALSE)</f>
        <v>0</v>
      </c>
      <c r="E15" s="55"/>
      <c r="F15" s="40"/>
      <c r="G15" s="40"/>
      <c r="H15" s="39"/>
      <c r="I15" s="40"/>
      <c r="J15" s="36" t="str">
        <f t="shared" si="0"/>
        <v/>
      </c>
      <c r="K15" s="36" t="str">
        <f t="shared" si="1"/>
        <v/>
      </c>
      <c r="L15" s="36" t="str">
        <f t="shared" si="2"/>
        <v/>
      </c>
      <c r="M15" s="59" t="str">
        <f t="shared" si="3"/>
        <v/>
      </c>
      <c r="N15" s="322"/>
      <c r="O15" s="325"/>
      <c r="P15" s="328"/>
    </row>
    <row r="16" spans="1:16" x14ac:dyDescent="0.25">
      <c r="A16" s="296"/>
      <c r="B16" s="299"/>
      <c r="C16" s="24" t="str">
        <f>IF(VLOOKUP(B13,PROPONENTES!$B$10:$N$16,8,FALSE)="","",VLOOKUP(B13,PROPONENTES!$B$10:$N$16,8,FALSE))</f>
        <v/>
      </c>
      <c r="D16" s="37">
        <f>VLOOKUP(B13,PROPONENTES!$B$10:$N$16,9,FALSE)</f>
        <v>0</v>
      </c>
      <c r="E16" s="55"/>
      <c r="F16" s="40"/>
      <c r="G16" s="40"/>
      <c r="H16" s="39"/>
      <c r="I16" s="40"/>
      <c r="J16" s="36" t="str">
        <f t="shared" si="0"/>
        <v/>
      </c>
      <c r="K16" s="36" t="str">
        <f t="shared" si="1"/>
        <v/>
      </c>
      <c r="L16" s="36" t="str">
        <f t="shared" si="2"/>
        <v/>
      </c>
      <c r="M16" s="24" t="str">
        <f t="shared" si="3"/>
        <v/>
      </c>
      <c r="N16" s="322"/>
      <c r="O16" s="325"/>
      <c r="P16" s="328"/>
    </row>
    <row r="17" spans="1:16" ht="15.75" thickBot="1" x14ac:dyDescent="0.3">
      <c r="A17" s="297"/>
      <c r="B17" s="300"/>
      <c r="C17" s="49" t="str">
        <f>IF(VLOOKUP(B13,PROPONENTES!$B$10:$N$16,8,FALSE)="","",VLOOKUP(B13,PROPONENTES!$B$10:$N$16,10,FALSE))</f>
        <v/>
      </c>
      <c r="D17" s="50">
        <f>VLOOKUP(B13,PROPONENTES!$B$10:$N$16,11,FALSE)</f>
        <v>0</v>
      </c>
      <c r="E17" s="56"/>
      <c r="F17" s="51"/>
      <c r="G17" s="51"/>
      <c r="H17" s="52"/>
      <c r="I17" s="51"/>
      <c r="J17" s="53" t="str">
        <f t="shared" si="0"/>
        <v/>
      </c>
      <c r="K17" s="53" t="str">
        <f t="shared" si="1"/>
        <v/>
      </c>
      <c r="L17" s="53" t="str">
        <f t="shared" si="2"/>
        <v/>
      </c>
      <c r="M17" s="49" t="str">
        <f t="shared" si="3"/>
        <v/>
      </c>
      <c r="N17" s="323"/>
      <c r="O17" s="326"/>
      <c r="P17" s="329"/>
    </row>
    <row r="18" spans="1:16" ht="30" x14ac:dyDescent="0.25">
      <c r="A18" s="295">
        <v>2</v>
      </c>
      <c r="B18" s="298" t="str">
        <f>+PROPONENTES!B11</f>
        <v xml:space="preserve">CONSORCIO COMPLEJO DEPORTIVO CUBAGO	</v>
      </c>
      <c r="C18" s="44" t="str">
        <f>IF(VLOOKUP(B18,PROPONENTES!$B$10:$N$16,2,FALSE)="","",VLOOKUP(B18,PROPONENTES!$B$10:$N$16,2,FALSE))</f>
        <v xml:space="preserve">AGORASPORT SA SUCURSAL COLOMBIA </v>
      </c>
      <c r="D18" s="45">
        <f>VLOOKUP(B18,PROPONENTES!$B$10:$N$16,3,FALSE)</f>
        <v>0.9</v>
      </c>
      <c r="E18" s="54">
        <v>9.36</v>
      </c>
      <c r="F18" s="46">
        <v>3939642522</v>
      </c>
      <c r="G18" s="46">
        <v>22662094014.450001</v>
      </c>
      <c r="H18" s="47">
        <v>9</v>
      </c>
      <c r="I18" s="46">
        <v>0</v>
      </c>
      <c r="J18" s="44" t="e">
        <f t="shared" si="0"/>
        <v>#DIV/0!</v>
      </c>
      <c r="K18" s="48">
        <f t="shared" si="1"/>
        <v>40</v>
      </c>
      <c r="L18" s="48">
        <f t="shared" si="2"/>
        <v>30</v>
      </c>
      <c r="M18" s="58" t="e">
        <f t="shared" si="3"/>
        <v>#DIV/0!</v>
      </c>
      <c r="N18" s="321" t="e">
        <f t="shared" ref="N18" si="4">SUM(M18:M22)</f>
        <v>#DIV/0!</v>
      </c>
      <c r="O18" s="324">
        <f t="shared" ref="O18" si="5">IF($G$9&lt;=12,$C$9-$G$10*$C$9,(($C$9-$G$10)/$G$9)*12)</f>
        <v>0</v>
      </c>
      <c r="P18" s="327" t="e">
        <f>IF(B18="","",IF(N18&gt;=O18,"CUMPLE","NO CUMPLE"))</f>
        <v>#DIV/0!</v>
      </c>
    </row>
    <row r="19" spans="1:16" ht="30" x14ac:dyDescent="0.25">
      <c r="A19" s="296"/>
      <c r="B19" s="299"/>
      <c r="C19" s="24" t="str">
        <f>IF(VLOOKUP(B18,PROPONENTES!$B$10:$N$16,4,FALSE)="","",VLOOKUP(B18,PROPONENTES!$B$10:$N$16,4,FALSE))</f>
        <v>CARLOS FERNANDO CUBIDES BONILLA</v>
      </c>
      <c r="D19" s="37">
        <f>VLOOKUP(B18,PROPONENTES!$B$10:$N$16,5,FALSE)</f>
        <v>0.1</v>
      </c>
      <c r="E19" s="55"/>
      <c r="F19" s="40"/>
      <c r="G19" s="40"/>
      <c r="H19" s="39"/>
      <c r="I19" s="40"/>
      <c r="J19" s="24" t="e">
        <f t="shared" si="0"/>
        <v>#DIV/0!</v>
      </c>
      <c r="K19" s="36" t="b">
        <f t="shared" si="1"/>
        <v>0</v>
      </c>
      <c r="L19" s="36">
        <f t="shared" ref="L19:L47" si="6">IF(C19="","",IF(AND(H19&gt;=1,H19&lt;=5),20,IF(AND(H19&gt;=6,H19&lt;=10),30,IF(H19&gt;=11,40,))))</f>
        <v>0</v>
      </c>
      <c r="M19" s="59" t="e">
        <f t="shared" ref="M19:M47" si="7">+IF(C19="","",(F19*(J19+K19+L19)/100)-I19)</f>
        <v>#DIV/0!</v>
      </c>
      <c r="N19" s="322"/>
      <c r="O19" s="325"/>
      <c r="P19" s="328"/>
    </row>
    <row r="20" spans="1:16" x14ac:dyDescent="0.25">
      <c r="A20" s="296"/>
      <c r="B20" s="299"/>
      <c r="C20" s="24" t="str">
        <f>IF(VLOOKUP(B18,PROPONENTES!$B$10:$N$16,6,FALSE)="","",VLOOKUP(B18,PROPONENTES!$B$10:$N$16,6,FALSE))</f>
        <v/>
      </c>
      <c r="D20" s="37">
        <f>VLOOKUP(B18,PROPONENTES!$B$10:$N$16,7,FALSE)</f>
        <v>0</v>
      </c>
      <c r="E20" s="55"/>
      <c r="F20" s="40"/>
      <c r="G20" s="40"/>
      <c r="H20" s="39"/>
      <c r="I20" s="40"/>
      <c r="J20" s="24" t="str">
        <f t="shared" si="0"/>
        <v/>
      </c>
      <c r="K20" s="36" t="str">
        <f t="shared" si="1"/>
        <v/>
      </c>
      <c r="L20" s="36" t="str">
        <f t="shared" si="6"/>
        <v/>
      </c>
      <c r="M20" s="59" t="str">
        <f t="shared" si="7"/>
        <v/>
      </c>
      <c r="N20" s="322"/>
      <c r="O20" s="325"/>
      <c r="P20" s="328"/>
    </row>
    <row r="21" spans="1:16" x14ac:dyDescent="0.25">
      <c r="A21" s="296"/>
      <c r="B21" s="299"/>
      <c r="C21" s="24" t="str">
        <f>IF(VLOOKUP(B18,PROPONENTES!$B$10:$N$16,8,FALSE)="","",VLOOKUP(B18,PROPONENTES!$B$10:$N$16,8,FALSE))</f>
        <v/>
      </c>
      <c r="D21" s="37">
        <f>VLOOKUP(B18,PROPONENTES!$B$10:$N$16,9,FALSE)</f>
        <v>0</v>
      </c>
      <c r="E21" s="55"/>
      <c r="F21" s="40"/>
      <c r="G21" s="40"/>
      <c r="H21" s="39"/>
      <c r="I21" s="40"/>
      <c r="J21" s="24" t="str">
        <f t="shared" si="0"/>
        <v/>
      </c>
      <c r="K21" s="36" t="str">
        <f t="shared" si="1"/>
        <v/>
      </c>
      <c r="L21" s="36" t="str">
        <f t="shared" si="6"/>
        <v/>
      </c>
      <c r="M21" s="24" t="str">
        <f t="shared" si="7"/>
        <v/>
      </c>
      <c r="N21" s="322"/>
      <c r="O21" s="325"/>
      <c r="P21" s="328"/>
    </row>
    <row r="22" spans="1:16" ht="15.75" thickBot="1" x14ac:dyDescent="0.3">
      <c r="A22" s="297"/>
      <c r="B22" s="300"/>
      <c r="C22" s="49" t="str">
        <f>IF(VLOOKUP(B18,PROPONENTES!$B$10:$N$16,8,FALSE)="","",VLOOKUP(B18,PROPONENTES!$B$10:$N$16,10,FALSE))</f>
        <v/>
      </c>
      <c r="D22" s="50">
        <f>VLOOKUP(B18,PROPONENTES!$B$10:$N$16,11,FALSE)</f>
        <v>0</v>
      </c>
      <c r="E22" s="56"/>
      <c r="F22" s="51"/>
      <c r="G22" s="51"/>
      <c r="H22" s="52"/>
      <c r="I22" s="51"/>
      <c r="J22" s="49" t="str">
        <f t="shared" si="0"/>
        <v/>
      </c>
      <c r="K22" s="53" t="str">
        <f t="shared" si="1"/>
        <v/>
      </c>
      <c r="L22" s="53" t="str">
        <f t="shared" si="6"/>
        <v/>
      </c>
      <c r="M22" s="49" t="str">
        <f t="shared" si="7"/>
        <v/>
      </c>
      <c r="N22" s="323"/>
      <c r="O22" s="326"/>
      <c r="P22" s="329"/>
    </row>
    <row r="23" spans="1:16" ht="30" x14ac:dyDescent="0.25">
      <c r="A23" s="295">
        <v>3</v>
      </c>
      <c r="B23" s="298" t="str">
        <f>+PROPONENTES!B12</f>
        <v>CONSORCIO PARQUES KENNEDY 2024</v>
      </c>
      <c r="C23" s="44" t="str">
        <f>IF(VLOOKUP(B23,PROPONENTES!$B$10:$N$16,2,FALSE)="","",VLOOKUP(B23,PROPONENTES!$B$10:$N$16,2,FALSE))</f>
        <v xml:space="preserve">Andina Juegos &amp; Parques SAS </v>
      </c>
      <c r="D23" s="45">
        <f>VLOOKUP(B23,PROPONENTES!$B$10:$N$16,3,FALSE)</f>
        <v>0.5</v>
      </c>
      <c r="E23" s="54">
        <v>61.61</v>
      </c>
      <c r="F23" s="46">
        <v>2950600000</v>
      </c>
      <c r="G23" s="46">
        <v>18288204552.619999</v>
      </c>
      <c r="H23" s="47">
        <v>1</v>
      </c>
      <c r="I23" s="46">
        <v>370167215.69999999</v>
      </c>
      <c r="J23" s="44" t="e">
        <f t="shared" si="0"/>
        <v>#DIV/0!</v>
      </c>
      <c r="K23" s="48">
        <f t="shared" si="1"/>
        <v>40</v>
      </c>
      <c r="L23" s="48">
        <f t="shared" si="6"/>
        <v>20</v>
      </c>
      <c r="M23" s="58" t="e">
        <f t="shared" si="7"/>
        <v>#DIV/0!</v>
      </c>
      <c r="N23" s="321" t="e">
        <f t="shared" ref="N23" si="8">SUM(M23:M27)</f>
        <v>#DIV/0!</v>
      </c>
      <c r="O23" s="324">
        <f t="shared" ref="O23" si="9">IF($G$9&lt;=12,$C$9-$G$10*$C$9,(($C$9-$G$10)/$G$9)*12)</f>
        <v>0</v>
      </c>
      <c r="P23" s="327" t="e">
        <f t="shared" ref="P23" si="10">IF(N23&gt;=O23,"CUMPLE","NO CUMPLE")</f>
        <v>#DIV/0!</v>
      </c>
    </row>
    <row r="24" spans="1:16" ht="30" x14ac:dyDescent="0.25">
      <c r="A24" s="296"/>
      <c r="B24" s="299"/>
      <c r="C24" s="24" t="str">
        <f>IF(VLOOKUP(B23,PROPONENTES!$B$10:$N$16,4,FALSE)="","",VLOOKUP(B23,PROPONENTES!$B$10:$N$16,4,FALSE))</f>
        <v xml:space="preserve">JESVAR MULTIPROYECTOS SAS </v>
      </c>
      <c r="D24" s="37">
        <f>VLOOKUP(B23,PROPONENTES!$B$10:$N$16,5,FALSE)</f>
        <v>0.5</v>
      </c>
      <c r="E24" s="55"/>
      <c r="F24" s="40"/>
      <c r="G24" s="40"/>
      <c r="H24" s="39"/>
      <c r="I24" s="40"/>
      <c r="J24" s="24" t="e">
        <f t="shared" si="0"/>
        <v>#DIV/0!</v>
      </c>
      <c r="K24" s="36" t="b">
        <f t="shared" si="1"/>
        <v>0</v>
      </c>
      <c r="L24" s="36">
        <f t="shared" si="6"/>
        <v>0</v>
      </c>
      <c r="M24" s="59" t="e">
        <f t="shared" si="7"/>
        <v>#DIV/0!</v>
      </c>
      <c r="N24" s="322"/>
      <c r="O24" s="325"/>
      <c r="P24" s="328"/>
    </row>
    <row r="25" spans="1:16" x14ac:dyDescent="0.25">
      <c r="A25" s="296"/>
      <c r="B25" s="299"/>
      <c r="C25" s="24" t="str">
        <f>IF(VLOOKUP(B23,PROPONENTES!$B$10:$N$16,6,FALSE)="","",VLOOKUP(B23,PROPONENTES!$B$10:$N$16,6,FALSE))</f>
        <v/>
      </c>
      <c r="D25" s="37">
        <f>VLOOKUP(B23,PROPONENTES!$B$10:$N$16,7,FALSE)</f>
        <v>0</v>
      </c>
      <c r="E25" s="55"/>
      <c r="F25" s="40"/>
      <c r="G25" s="40"/>
      <c r="H25" s="39"/>
      <c r="I25" s="40"/>
      <c r="J25" s="24" t="str">
        <f t="shared" si="0"/>
        <v/>
      </c>
      <c r="K25" s="36" t="str">
        <f t="shared" si="1"/>
        <v/>
      </c>
      <c r="L25" s="36" t="str">
        <f t="shared" si="6"/>
        <v/>
      </c>
      <c r="M25" s="59" t="str">
        <f t="shared" si="7"/>
        <v/>
      </c>
      <c r="N25" s="322"/>
      <c r="O25" s="325"/>
      <c r="P25" s="328"/>
    </row>
    <row r="26" spans="1:16" x14ac:dyDescent="0.25">
      <c r="A26" s="296"/>
      <c r="B26" s="299"/>
      <c r="C26" s="24" t="str">
        <f>IF(VLOOKUP(B23,PROPONENTES!$B$10:$N$16,8,FALSE)="","",VLOOKUP(B23,PROPONENTES!$B$10:$N$16,8,FALSE))</f>
        <v/>
      </c>
      <c r="D26" s="37">
        <f>VLOOKUP(B23,PROPONENTES!$B$10:$N$16,9,FALSE)</f>
        <v>0</v>
      </c>
      <c r="E26" s="55"/>
      <c r="F26" s="40"/>
      <c r="G26" s="40"/>
      <c r="H26" s="39"/>
      <c r="I26" s="40"/>
      <c r="J26" s="24" t="str">
        <f t="shared" si="0"/>
        <v/>
      </c>
      <c r="K26" s="36" t="str">
        <f t="shared" si="1"/>
        <v/>
      </c>
      <c r="L26" s="36" t="str">
        <f t="shared" si="6"/>
        <v/>
      </c>
      <c r="M26" s="24" t="str">
        <f t="shared" si="7"/>
        <v/>
      </c>
      <c r="N26" s="322"/>
      <c r="O26" s="325"/>
      <c r="P26" s="328"/>
    </row>
    <row r="27" spans="1:16" ht="15.75" thickBot="1" x14ac:dyDescent="0.3">
      <c r="A27" s="297"/>
      <c r="B27" s="300"/>
      <c r="C27" s="49" t="str">
        <f>IF(VLOOKUP(B23,PROPONENTES!$B$10:$N$16,8,FALSE)="","",VLOOKUP(B23,PROPONENTES!$B$10:$N$16,10,FALSE))</f>
        <v/>
      </c>
      <c r="D27" s="50">
        <f>VLOOKUP(B23,PROPONENTES!$B$10:$N$16,11,FALSE)</f>
        <v>0</v>
      </c>
      <c r="E27" s="56"/>
      <c r="F27" s="51"/>
      <c r="G27" s="51"/>
      <c r="H27" s="52"/>
      <c r="I27" s="51"/>
      <c r="J27" s="49" t="str">
        <f t="shared" si="0"/>
        <v/>
      </c>
      <c r="K27" s="53" t="str">
        <f t="shared" si="1"/>
        <v/>
      </c>
      <c r="L27" s="53" t="str">
        <f t="shared" si="6"/>
        <v/>
      </c>
      <c r="M27" s="49" t="str">
        <f t="shared" si="7"/>
        <v/>
      </c>
      <c r="N27" s="323"/>
      <c r="O27" s="326"/>
      <c r="P27" s="329"/>
    </row>
    <row r="28" spans="1:16" x14ac:dyDescent="0.25">
      <c r="A28" s="295">
        <v>4</v>
      </c>
      <c r="B28" s="298" t="str">
        <f>+PROPONENTES!B13</f>
        <v>MLG INGENIERIA SAS</v>
      </c>
      <c r="C28" s="44" t="str">
        <f>IF(VLOOKUP(B28,PROPONENTES!$B$10:$N$16,2,FALSE)="","",VLOOKUP(B28,PROPONENTES!$B$10:$N$16,2,FALSE))</f>
        <v>MLG INGENIERIA SAS</v>
      </c>
      <c r="D28" s="45">
        <f>VLOOKUP(B28,PROPONENTES!$B$10:$N$16,3,FALSE)</f>
        <v>1</v>
      </c>
      <c r="E28" s="54">
        <v>64.510000000000005</v>
      </c>
      <c r="F28" s="46">
        <v>626253000</v>
      </c>
      <c r="G28" s="46">
        <v>672215398.5</v>
      </c>
      <c r="H28" s="47">
        <v>1</v>
      </c>
      <c r="I28" s="46">
        <v>0</v>
      </c>
      <c r="J28" s="44" t="e">
        <f t="shared" si="0"/>
        <v>#DIV/0!</v>
      </c>
      <c r="K28" s="48">
        <f t="shared" si="1"/>
        <v>40</v>
      </c>
      <c r="L28" s="48">
        <f t="shared" si="6"/>
        <v>20</v>
      </c>
      <c r="M28" s="58" t="e">
        <f t="shared" si="7"/>
        <v>#DIV/0!</v>
      </c>
      <c r="N28" s="321" t="e">
        <f t="shared" ref="N28" si="11">SUM(M28:M32)</f>
        <v>#DIV/0!</v>
      </c>
      <c r="O28" s="324">
        <f t="shared" ref="O28" si="12">IF($G$9&lt;=12,$C$9-$G$10*$C$9,(($C$9-$G$10)/$G$9)*12)</f>
        <v>0</v>
      </c>
      <c r="P28" s="327" t="e">
        <f t="shared" ref="P28" si="13">IF(N28&gt;=O28,"CUMPLE","NO CUMPLE")</f>
        <v>#DIV/0!</v>
      </c>
    </row>
    <row r="29" spans="1:16" x14ac:dyDescent="0.25">
      <c r="A29" s="296"/>
      <c r="B29" s="299"/>
      <c r="C29" s="24" t="str">
        <f>IF(VLOOKUP(B28,PROPONENTES!$B$10:$N$16,4,FALSE)="","",VLOOKUP(B28,PROPONENTES!$B$10:$N$16,4,FALSE))</f>
        <v/>
      </c>
      <c r="D29" s="37">
        <f>VLOOKUP(B28,PROPONENTES!$B$10:$N$16,5,FALSE)</f>
        <v>0</v>
      </c>
      <c r="E29" s="55">
        <v>0</v>
      </c>
      <c r="F29" s="40">
        <v>12710667</v>
      </c>
      <c r="G29" s="40">
        <v>50115776593</v>
      </c>
      <c r="H29" s="39">
        <v>11</v>
      </c>
      <c r="I29" s="40">
        <v>0</v>
      </c>
      <c r="J29" s="24" t="str">
        <f t="shared" si="0"/>
        <v/>
      </c>
      <c r="K29" s="36" t="str">
        <f t="shared" si="1"/>
        <v/>
      </c>
      <c r="L29" s="36" t="str">
        <f t="shared" si="6"/>
        <v/>
      </c>
      <c r="M29" s="59" t="str">
        <f t="shared" si="7"/>
        <v/>
      </c>
      <c r="N29" s="322"/>
      <c r="O29" s="325"/>
      <c r="P29" s="328"/>
    </row>
    <row r="30" spans="1:16" x14ac:dyDescent="0.25">
      <c r="A30" s="296"/>
      <c r="B30" s="299"/>
      <c r="C30" s="24" t="str">
        <f>IF(VLOOKUP(B28,PROPONENTES!$B$10:$N$16,6,FALSE)="","",VLOOKUP(B28,PROPONENTES!$B$10:$N$16,6,FALSE))</f>
        <v/>
      </c>
      <c r="D30" s="37">
        <f>VLOOKUP(B28,PROPONENTES!$B$10:$N$16,7,FALSE)</f>
        <v>0</v>
      </c>
      <c r="E30" s="55"/>
      <c r="F30" s="40"/>
      <c r="G30" s="40"/>
      <c r="H30" s="39"/>
      <c r="I30" s="40"/>
      <c r="J30" s="24" t="str">
        <f t="shared" si="0"/>
        <v/>
      </c>
      <c r="K30" s="36" t="str">
        <f t="shared" si="1"/>
        <v/>
      </c>
      <c r="L30" s="36" t="str">
        <f t="shared" si="6"/>
        <v/>
      </c>
      <c r="M30" s="59" t="str">
        <f t="shared" si="7"/>
        <v/>
      </c>
      <c r="N30" s="322"/>
      <c r="O30" s="325"/>
      <c r="P30" s="328"/>
    </row>
    <row r="31" spans="1:16" x14ac:dyDescent="0.25">
      <c r="A31" s="296"/>
      <c r="B31" s="299"/>
      <c r="C31" s="24" t="str">
        <f>IF(VLOOKUP(B28,PROPONENTES!$B$10:$N$16,8,FALSE)="","",VLOOKUP(B28,PROPONENTES!$B$10:$N$16,8,FALSE))</f>
        <v/>
      </c>
      <c r="D31" s="37">
        <f>VLOOKUP(B28,PROPONENTES!$B$10:$N$16,9,FALSE)</f>
        <v>0</v>
      </c>
      <c r="E31" s="55"/>
      <c r="F31" s="40"/>
      <c r="G31" s="40"/>
      <c r="H31" s="39"/>
      <c r="I31" s="40"/>
      <c r="J31" s="24" t="str">
        <f t="shared" si="0"/>
        <v/>
      </c>
      <c r="K31" s="36" t="str">
        <f t="shared" si="1"/>
        <v/>
      </c>
      <c r="L31" s="36" t="str">
        <f t="shared" si="6"/>
        <v/>
      </c>
      <c r="M31" s="24" t="str">
        <f t="shared" si="7"/>
        <v/>
      </c>
      <c r="N31" s="322"/>
      <c r="O31" s="325"/>
      <c r="P31" s="328"/>
    </row>
    <row r="32" spans="1:16" ht="15.75" thickBot="1" x14ac:dyDescent="0.3">
      <c r="A32" s="297"/>
      <c r="B32" s="300"/>
      <c r="C32" s="49" t="str">
        <f>IF(VLOOKUP(B28,PROPONENTES!$B$10:$N$16,8,FALSE)="","",VLOOKUP(B28,PROPONENTES!$B$10:$N$16,10,FALSE))</f>
        <v/>
      </c>
      <c r="D32" s="50">
        <f>VLOOKUP(B28,PROPONENTES!$B$10:$N$16,11,FALSE)</f>
        <v>0</v>
      </c>
      <c r="E32" s="56"/>
      <c r="F32" s="51"/>
      <c r="G32" s="51"/>
      <c r="H32" s="52"/>
      <c r="I32" s="51"/>
      <c r="J32" s="49" t="str">
        <f t="shared" si="0"/>
        <v/>
      </c>
      <c r="K32" s="53" t="str">
        <f t="shared" si="1"/>
        <v/>
      </c>
      <c r="L32" s="53" t="str">
        <f t="shared" si="6"/>
        <v/>
      </c>
      <c r="M32" s="49" t="str">
        <f t="shared" si="7"/>
        <v/>
      </c>
      <c r="N32" s="323"/>
      <c r="O32" s="326"/>
      <c r="P32" s="329"/>
    </row>
    <row r="33" spans="1:16" ht="45" x14ac:dyDescent="0.25">
      <c r="A33" s="295">
        <v>5</v>
      </c>
      <c r="B33" s="298" t="str">
        <f>+PROPONENTES!B14</f>
        <v>CONSORCIO PARQUES KENNEDY DP 2024</v>
      </c>
      <c r="C33" s="44" t="str">
        <f>IF(VLOOKUP(B33,PROPONENTES!$B$10:$N$16,2,FALSE)="","",VLOOKUP(B33,PROPONENTES!$B$10:$N$16,2,FALSE))</f>
        <v xml:space="preserve">CONSULTORIA Y CONSTRUCCIONES DARLEV SAS </v>
      </c>
      <c r="D33" s="45">
        <f>VLOOKUP(B33,PROPONENTES!$B$10:$N$16,3,FALSE)</f>
        <v>0.9</v>
      </c>
      <c r="E33" s="54"/>
      <c r="F33" s="46"/>
      <c r="G33" s="46"/>
      <c r="H33" s="47"/>
      <c r="I33" s="46"/>
      <c r="J33" s="44" t="e">
        <f t="shared" si="0"/>
        <v>#DIV/0!</v>
      </c>
      <c r="K33" s="48" t="b">
        <f t="shared" si="1"/>
        <v>0</v>
      </c>
      <c r="L33" s="48">
        <f t="shared" si="6"/>
        <v>0</v>
      </c>
      <c r="M33" s="58" t="e">
        <f t="shared" si="7"/>
        <v>#DIV/0!</v>
      </c>
      <c r="N33" s="321" t="e">
        <f t="shared" ref="N33" si="14">SUM(M33:M37)</f>
        <v>#DIV/0!</v>
      </c>
      <c r="O33" s="324">
        <f t="shared" ref="O33" si="15">IF($G$9&lt;=12,$C$9-$G$10*$C$9,(($C$9-$G$10)/$G$9)*12)</f>
        <v>0</v>
      </c>
      <c r="P33" s="327" t="e">
        <f t="shared" ref="P33" si="16">IF(N33&gt;=O33,"CUMPLE","NO CUMPLE")</f>
        <v>#DIV/0!</v>
      </c>
    </row>
    <row r="34" spans="1:16" ht="49.5" customHeight="1" x14ac:dyDescent="0.25">
      <c r="A34" s="296"/>
      <c r="B34" s="299"/>
      <c r="C34" s="24" t="str">
        <f>IF(VLOOKUP(B33,PROPONENTES!$B$10:$N$16,4,FALSE)="","",VLOOKUP(B33,PROPONENTES!$B$10:$N$16,4,FALSE))</f>
        <v xml:space="preserve">CONSTRUCTORA PC INGENIERIA SAS </v>
      </c>
      <c r="D34" s="37">
        <f>VLOOKUP(B33,PROPONENTES!$B$10:$N$16,5,FALSE)</f>
        <v>0.1</v>
      </c>
      <c r="E34" s="55"/>
      <c r="F34" s="40"/>
      <c r="G34" s="40"/>
      <c r="H34" s="39"/>
      <c r="I34" s="40"/>
      <c r="J34" s="24" t="e">
        <f t="shared" si="0"/>
        <v>#DIV/0!</v>
      </c>
      <c r="K34" s="36" t="b">
        <f t="shared" si="1"/>
        <v>0</v>
      </c>
      <c r="L34" s="36">
        <f t="shared" si="6"/>
        <v>0</v>
      </c>
      <c r="M34" s="59" t="e">
        <f t="shared" si="7"/>
        <v>#DIV/0!</v>
      </c>
      <c r="N34" s="322"/>
      <c r="O34" s="325"/>
      <c r="P34" s="328"/>
    </row>
    <row r="35" spans="1:16" x14ac:dyDescent="0.25">
      <c r="A35" s="296"/>
      <c r="B35" s="299"/>
      <c r="C35" s="24" t="str">
        <f>IF(VLOOKUP(B33,PROPONENTES!$B$10:$N$16,6,FALSE)="","",VLOOKUP(B33,PROPONENTES!$B$10:$N$16,6,FALSE))</f>
        <v/>
      </c>
      <c r="D35" s="37">
        <f>VLOOKUP(B33,PROPONENTES!$B$10:$N$16,7,FALSE)</f>
        <v>0</v>
      </c>
      <c r="E35" s="55"/>
      <c r="F35" s="40"/>
      <c r="G35" s="40"/>
      <c r="H35" s="39"/>
      <c r="I35" s="40"/>
      <c r="J35" s="24" t="str">
        <f t="shared" si="0"/>
        <v/>
      </c>
      <c r="K35" s="36" t="str">
        <f t="shared" si="1"/>
        <v/>
      </c>
      <c r="L35" s="36" t="str">
        <f t="shared" si="6"/>
        <v/>
      </c>
      <c r="M35" s="59" t="str">
        <f t="shared" si="7"/>
        <v/>
      </c>
      <c r="N35" s="322"/>
      <c r="O35" s="325"/>
      <c r="P35" s="328"/>
    </row>
    <row r="36" spans="1:16" x14ac:dyDescent="0.25">
      <c r="A36" s="296"/>
      <c r="B36" s="299"/>
      <c r="C36" s="24" t="str">
        <f>IF(VLOOKUP(B33,PROPONENTES!$B$10:$N$16,8,FALSE)="","",VLOOKUP(B33,PROPONENTES!$B$10:$N$16,8,FALSE))</f>
        <v/>
      </c>
      <c r="D36" s="37">
        <f>VLOOKUP(B33,PROPONENTES!$B$10:$N$16,9,FALSE)</f>
        <v>0</v>
      </c>
      <c r="E36" s="55"/>
      <c r="F36" s="40"/>
      <c r="G36" s="40"/>
      <c r="H36" s="39"/>
      <c r="I36" s="40"/>
      <c r="J36" s="24" t="str">
        <f t="shared" si="0"/>
        <v/>
      </c>
      <c r="K36" s="36" t="str">
        <f t="shared" si="1"/>
        <v/>
      </c>
      <c r="L36" s="36" t="str">
        <f t="shared" si="6"/>
        <v/>
      </c>
      <c r="M36" s="24" t="str">
        <f t="shared" si="7"/>
        <v/>
      </c>
      <c r="N36" s="322"/>
      <c r="O36" s="325"/>
      <c r="P36" s="328"/>
    </row>
    <row r="37" spans="1:16" ht="15.75" thickBot="1" x14ac:dyDescent="0.3">
      <c r="A37" s="297"/>
      <c r="B37" s="300"/>
      <c r="C37" s="49" t="str">
        <f>IF(VLOOKUP(B33,PROPONENTES!$B$10:$N$16,8,FALSE)="","",VLOOKUP(B33,PROPONENTES!$B$10:$N$16,10,FALSE))</f>
        <v/>
      </c>
      <c r="D37" s="50">
        <f>VLOOKUP(B33,PROPONENTES!$B$10:$N$16,11,FALSE)</f>
        <v>0</v>
      </c>
      <c r="E37" s="56"/>
      <c r="F37" s="51"/>
      <c r="G37" s="51"/>
      <c r="H37" s="52"/>
      <c r="I37" s="51"/>
      <c r="J37" s="49" t="str">
        <f t="shared" si="0"/>
        <v/>
      </c>
      <c r="K37" s="53" t="str">
        <f t="shared" si="1"/>
        <v/>
      </c>
      <c r="L37" s="53" t="str">
        <f t="shared" si="6"/>
        <v/>
      </c>
      <c r="M37" s="49" t="str">
        <f t="shared" si="7"/>
        <v/>
      </c>
      <c r="N37" s="323"/>
      <c r="O37" s="326"/>
      <c r="P37" s="329"/>
    </row>
    <row r="38" spans="1:16" x14ac:dyDescent="0.25">
      <c r="A38" s="295">
        <v>6</v>
      </c>
      <c r="B38" s="298" t="str">
        <f>+PROPONENTES!B15</f>
        <v>CONSORCIO PARQUES KENNEDY 2024 - 1</v>
      </c>
      <c r="C38" s="44" t="str">
        <f>IF(VLOOKUP(B38,PROPONENTES!$B$10:$N$16,2,FALSE)="","",VLOOKUP(B38,PROPONENTES!$B$10:$N$16,2,FALSE))</f>
        <v>ICOD S.A.S</v>
      </c>
      <c r="D38" s="45">
        <f>VLOOKUP(B38,PROPONENTES!$B$10:$N$16,3,FALSE)</f>
        <v>0.95</v>
      </c>
      <c r="E38" s="54">
        <v>4.04</v>
      </c>
      <c r="F38" s="46">
        <v>4188826509</v>
      </c>
      <c r="G38" s="46">
        <v>40534858108.996201</v>
      </c>
      <c r="H38" s="47">
        <v>3</v>
      </c>
      <c r="I38" s="46">
        <v>0</v>
      </c>
      <c r="J38" s="44" t="e">
        <f t="shared" si="0"/>
        <v>#DIV/0!</v>
      </c>
      <c r="K38" s="48">
        <f t="shared" si="1"/>
        <v>40</v>
      </c>
      <c r="L38" s="48">
        <f t="shared" si="6"/>
        <v>20</v>
      </c>
      <c r="M38" s="58" t="e">
        <f t="shared" si="7"/>
        <v>#DIV/0!</v>
      </c>
      <c r="N38" s="321" t="e">
        <f t="shared" ref="N38" si="17">SUM(M38:M42)</f>
        <v>#DIV/0!</v>
      </c>
      <c r="O38" s="324">
        <f t="shared" ref="O38" si="18">IF($G$9&lt;=12,$C$9-$G$10*$C$9,(($C$9-$G$10)/$G$9)*12)</f>
        <v>0</v>
      </c>
      <c r="P38" s="327" t="e">
        <f t="shared" ref="P38" si="19">IF(N38&gt;=O38,"CUMPLE","NO CUMPLE")</f>
        <v>#DIV/0!</v>
      </c>
    </row>
    <row r="39" spans="1:16" ht="30" x14ac:dyDescent="0.25">
      <c r="A39" s="296"/>
      <c r="B39" s="299"/>
      <c r="C39" s="24" t="str">
        <f>IF(VLOOKUP(B38,PROPONENTES!$B$10:$N$16,4,FALSE)="","",VLOOKUP(B38,PROPONENTES!$B$10:$N$16,4,FALSE))</f>
        <v xml:space="preserve">ING CONSTRUCTORES GPS </v>
      </c>
      <c r="D39" s="37">
        <f>VLOOKUP(B38,PROPONENTES!$B$10:$N$16,5,FALSE)</f>
        <v>0.05</v>
      </c>
      <c r="E39" s="55"/>
      <c r="F39" s="40"/>
      <c r="G39" s="40"/>
      <c r="H39" s="39"/>
      <c r="I39" s="40"/>
      <c r="J39" s="24" t="e">
        <f t="shared" si="0"/>
        <v>#DIV/0!</v>
      </c>
      <c r="K39" s="36" t="b">
        <f t="shared" si="1"/>
        <v>0</v>
      </c>
      <c r="L39" s="36">
        <f t="shared" si="6"/>
        <v>0</v>
      </c>
      <c r="M39" s="59" t="e">
        <f t="shared" si="7"/>
        <v>#DIV/0!</v>
      </c>
      <c r="N39" s="322"/>
      <c r="O39" s="325"/>
      <c r="P39" s="328"/>
    </row>
    <row r="40" spans="1:16" x14ac:dyDescent="0.25">
      <c r="A40" s="296"/>
      <c r="B40" s="299"/>
      <c r="C40" s="24" t="str">
        <f>IF(VLOOKUP(B38,PROPONENTES!$B$10:$N$16,6,FALSE)="","",VLOOKUP(B38,PROPONENTES!$B$10:$N$16,6,FALSE))</f>
        <v/>
      </c>
      <c r="D40" s="37">
        <f>VLOOKUP(B38,PROPONENTES!$B$10:$N$16,7,FALSE)</f>
        <v>0</v>
      </c>
      <c r="E40" s="55"/>
      <c r="F40" s="40"/>
      <c r="G40" s="40"/>
      <c r="H40" s="39"/>
      <c r="I40" s="40"/>
      <c r="J40" s="24" t="str">
        <f t="shared" si="0"/>
        <v/>
      </c>
      <c r="K40" s="36" t="str">
        <f t="shared" si="1"/>
        <v/>
      </c>
      <c r="L40" s="36" t="str">
        <f t="shared" si="6"/>
        <v/>
      </c>
      <c r="M40" s="59" t="str">
        <f t="shared" si="7"/>
        <v/>
      </c>
      <c r="N40" s="322"/>
      <c r="O40" s="325"/>
      <c r="P40" s="328"/>
    </row>
    <row r="41" spans="1:16" x14ac:dyDescent="0.25">
      <c r="A41" s="296"/>
      <c r="B41" s="299"/>
      <c r="C41" s="24" t="str">
        <f>IF(VLOOKUP(B38,PROPONENTES!$B$10:$N$16,8,FALSE)="","",VLOOKUP(B38,PROPONENTES!$B$10:$N$16,8,FALSE))</f>
        <v/>
      </c>
      <c r="D41" s="37">
        <f>VLOOKUP(B38,PROPONENTES!$B$10:$N$16,9,FALSE)</f>
        <v>0</v>
      </c>
      <c r="E41" s="55"/>
      <c r="F41" s="40"/>
      <c r="G41" s="40"/>
      <c r="H41" s="39"/>
      <c r="I41" s="40"/>
      <c r="J41" s="24" t="str">
        <f t="shared" si="0"/>
        <v/>
      </c>
      <c r="K41" s="36" t="str">
        <f t="shared" si="1"/>
        <v/>
      </c>
      <c r="L41" s="36" t="str">
        <f t="shared" si="6"/>
        <v/>
      </c>
      <c r="M41" s="24" t="str">
        <f t="shared" si="7"/>
        <v/>
      </c>
      <c r="N41" s="322"/>
      <c r="O41" s="325"/>
      <c r="P41" s="328"/>
    </row>
    <row r="42" spans="1:16" ht="15.75" thickBot="1" x14ac:dyDescent="0.3">
      <c r="A42" s="297"/>
      <c r="B42" s="300"/>
      <c r="C42" s="49" t="str">
        <f>IF(VLOOKUP(B38,PROPONENTES!$B$10:$N$16,8,FALSE)="","",VLOOKUP(B38,PROPONENTES!$B$10:$N$16,10,FALSE))</f>
        <v/>
      </c>
      <c r="D42" s="50">
        <f>VLOOKUP(B38,PROPONENTES!$B$10:$N$16,11,FALSE)</f>
        <v>0</v>
      </c>
      <c r="E42" s="56"/>
      <c r="F42" s="51"/>
      <c r="G42" s="51"/>
      <c r="H42" s="52"/>
      <c r="I42" s="51"/>
      <c r="J42" s="49" t="str">
        <f t="shared" si="0"/>
        <v/>
      </c>
      <c r="K42" s="53" t="str">
        <f t="shared" si="1"/>
        <v/>
      </c>
      <c r="L42" s="53" t="str">
        <f t="shared" si="6"/>
        <v/>
      </c>
      <c r="M42" s="49" t="str">
        <f t="shared" si="7"/>
        <v/>
      </c>
      <c r="N42" s="323"/>
      <c r="O42" s="326"/>
      <c r="P42" s="329"/>
    </row>
    <row r="43" spans="1:16" x14ac:dyDescent="0.25">
      <c r="A43" s="295">
        <v>7</v>
      </c>
      <c r="B43" s="298" t="str">
        <f>+PROPONENTES!B16</f>
        <v>RETIN INGENIERIA S.A.S.</v>
      </c>
      <c r="C43" s="44" t="str">
        <f>IF(VLOOKUP(B43,PROPONENTES!$B$10:$N$16,2,FALSE)="","",VLOOKUP(B43,PROPONENTES!$B$10:$N$16,2,FALSE))</f>
        <v>RETIN INGENIERIA S.A.S.</v>
      </c>
      <c r="D43" s="45">
        <f>VLOOKUP(B43,PROPONENTES!$B$10:$N$16,3,FALSE)</f>
        <v>1</v>
      </c>
      <c r="E43" s="54">
        <v>4.4000000000000004</v>
      </c>
      <c r="F43" s="46">
        <v>1953936784</v>
      </c>
      <c r="G43" s="46">
        <v>11553130875.139999</v>
      </c>
      <c r="H43" s="47">
        <v>11</v>
      </c>
      <c r="I43" s="46">
        <v>0</v>
      </c>
      <c r="J43" s="44" t="e">
        <f t="shared" si="0"/>
        <v>#DIV/0!</v>
      </c>
      <c r="K43" s="48">
        <f t="shared" si="1"/>
        <v>40</v>
      </c>
      <c r="L43" s="48">
        <f t="shared" si="6"/>
        <v>40</v>
      </c>
      <c r="M43" s="58" t="e">
        <f t="shared" si="7"/>
        <v>#DIV/0!</v>
      </c>
      <c r="N43" s="321" t="e">
        <f t="shared" ref="N43" si="20">SUM(M43:M47)</f>
        <v>#DIV/0!</v>
      </c>
      <c r="O43" s="324">
        <f t="shared" ref="O43" si="21">IF($G$9&lt;=12,$C$9-$G$10*$C$9,(($C$9-$G$10)/$G$9)*12)</f>
        <v>0</v>
      </c>
      <c r="P43" s="327" t="e">
        <f t="shared" ref="P43" si="22">IF(N43&gt;=O43,"CUMPLE","NO CUMPLE")</f>
        <v>#DIV/0!</v>
      </c>
    </row>
    <row r="44" spans="1:16" x14ac:dyDescent="0.25">
      <c r="A44" s="296"/>
      <c r="B44" s="299"/>
      <c r="C44" s="24" t="str">
        <f>IF(VLOOKUP(B43,PROPONENTES!$B$10:$N$16,4,FALSE)="","",VLOOKUP(B43,PROPONENTES!$B$10:$N$16,4,FALSE))</f>
        <v/>
      </c>
      <c r="D44" s="37">
        <f>VLOOKUP(B43,PROPONENTES!$B$10:$N$16,5,FALSE)</f>
        <v>0</v>
      </c>
      <c r="E44" s="55">
        <v>2.81</v>
      </c>
      <c r="F44" s="40">
        <v>1742165766</v>
      </c>
      <c r="G44" s="40">
        <v>137270119527.75</v>
      </c>
      <c r="H44" s="39">
        <v>11</v>
      </c>
      <c r="I44" s="40">
        <v>0</v>
      </c>
      <c r="J44" s="24" t="str">
        <f t="shared" si="0"/>
        <v/>
      </c>
      <c r="K44" s="36" t="str">
        <f t="shared" si="1"/>
        <v/>
      </c>
      <c r="L44" s="36" t="str">
        <f t="shared" si="6"/>
        <v/>
      </c>
      <c r="M44" s="59" t="str">
        <f t="shared" si="7"/>
        <v/>
      </c>
      <c r="N44" s="322"/>
      <c r="O44" s="325"/>
      <c r="P44" s="328"/>
    </row>
    <row r="45" spans="1:16" x14ac:dyDescent="0.25">
      <c r="A45" s="296"/>
      <c r="B45" s="299"/>
      <c r="C45" s="24" t="str">
        <f>IF(VLOOKUP(B43,PROPONENTES!$B$10:$N$16,6,FALSE)="","",VLOOKUP(B43,PROPONENTES!$B$10:$N$16,6,FALSE))</f>
        <v/>
      </c>
      <c r="D45" s="37">
        <f>VLOOKUP(B43,PROPONENTES!$B$10:$N$16,7,FALSE)</f>
        <v>0</v>
      </c>
      <c r="E45" s="55"/>
      <c r="F45" s="40"/>
      <c r="G45" s="40"/>
      <c r="H45" s="39"/>
      <c r="I45" s="40"/>
      <c r="J45" s="24" t="str">
        <f t="shared" si="0"/>
        <v/>
      </c>
      <c r="K45" s="36" t="str">
        <f t="shared" si="1"/>
        <v/>
      </c>
      <c r="L45" s="36" t="str">
        <f t="shared" si="6"/>
        <v/>
      </c>
      <c r="M45" s="59" t="str">
        <f t="shared" si="7"/>
        <v/>
      </c>
      <c r="N45" s="322"/>
      <c r="O45" s="325"/>
      <c r="P45" s="328"/>
    </row>
    <row r="46" spans="1:16" x14ac:dyDescent="0.25">
      <c r="A46" s="296"/>
      <c r="B46" s="299"/>
      <c r="C46" s="24" t="str">
        <f>IF(VLOOKUP(B43,PROPONENTES!$B$10:$N$16,8,FALSE)="","",VLOOKUP(B43,PROPONENTES!$B$10:$N$16,8,FALSE))</f>
        <v/>
      </c>
      <c r="D46" s="37">
        <f>VLOOKUP(B43,PROPONENTES!$B$10:$N$16,9,FALSE)</f>
        <v>0</v>
      </c>
      <c r="E46" s="55"/>
      <c r="F46" s="40"/>
      <c r="G46" s="40"/>
      <c r="H46" s="39"/>
      <c r="I46" s="40"/>
      <c r="J46" s="24" t="str">
        <f t="shared" si="0"/>
        <v/>
      </c>
      <c r="K46" s="36" t="str">
        <f t="shared" si="1"/>
        <v/>
      </c>
      <c r="L46" s="36" t="str">
        <f t="shared" si="6"/>
        <v/>
      </c>
      <c r="M46" s="24" t="str">
        <f t="shared" si="7"/>
        <v/>
      </c>
      <c r="N46" s="322"/>
      <c r="O46" s="325"/>
      <c r="P46" s="328"/>
    </row>
    <row r="47" spans="1:16" ht="15.75" thickBot="1" x14ac:dyDescent="0.3">
      <c r="A47" s="297"/>
      <c r="B47" s="300"/>
      <c r="C47" s="49" t="str">
        <f>IF(VLOOKUP(B43,PROPONENTES!$B$10:$N$16,8,FALSE)="","",VLOOKUP(B43,PROPONENTES!$B$10:$N$16,10,FALSE))</f>
        <v/>
      </c>
      <c r="D47" s="50">
        <f>VLOOKUP(B43,PROPONENTES!$B$10:$N$16,11,FALSE)</f>
        <v>0</v>
      </c>
      <c r="E47" s="56"/>
      <c r="F47" s="51"/>
      <c r="G47" s="51"/>
      <c r="H47" s="52"/>
      <c r="I47" s="51"/>
      <c r="J47" s="49" t="str">
        <f t="shared" si="0"/>
        <v/>
      </c>
      <c r="K47" s="53" t="str">
        <f t="shared" si="1"/>
        <v/>
      </c>
      <c r="L47" s="53" t="str">
        <f t="shared" si="6"/>
        <v/>
      </c>
      <c r="M47" s="49" t="str">
        <f t="shared" si="7"/>
        <v/>
      </c>
      <c r="N47" s="323"/>
      <c r="O47" s="326"/>
      <c r="P47" s="329"/>
    </row>
    <row r="51" spans="6:8" x14ac:dyDescent="0.25">
      <c r="F51" s="13" t="s">
        <v>154</v>
      </c>
      <c r="G51" s="132">
        <v>102730148</v>
      </c>
    </row>
    <row r="52" spans="6:8" x14ac:dyDescent="0.25">
      <c r="F52" s="13" t="s">
        <v>155</v>
      </c>
      <c r="G52" s="132">
        <v>0</v>
      </c>
      <c r="H52" s="13" t="e">
        <f>G51/G52</f>
        <v>#DIV/0!</v>
      </c>
    </row>
  </sheetData>
  <mergeCells count="51">
    <mergeCell ref="B13:B17"/>
    <mergeCell ref="A13:A17"/>
    <mergeCell ref="A18:A22"/>
    <mergeCell ref="B18:B22"/>
    <mergeCell ref="A23:A27"/>
    <mergeCell ref="B23:B27"/>
    <mergeCell ref="A43:A47"/>
    <mergeCell ref="B43:B47"/>
    <mergeCell ref="A28:A32"/>
    <mergeCell ref="B28:B32"/>
    <mergeCell ref="A33:A37"/>
    <mergeCell ref="B33:B37"/>
    <mergeCell ref="A38:A42"/>
    <mergeCell ref="B38:B42"/>
    <mergeCell ref="N23:N27"/>
    <mergeCell ref="O23:O27"/>
    <mergeCell ref="P23:P27"/>
    <mergeCell ref="N28:N32"/>
    <mergeCell ref="O28:O32"/>
    <mergeCell ref="P28:P32"/>
    <mergeCell ref="N13:N17"/>
    <mergeCell ref="O13:O17"/>
    <mergeCell ref="P13:P17"/>
    <mergeCell ref="N18:N22"/>
    <mergeCell ref="O18:O22"/>
    <mergeCell ref="P18:P22"/>
    <mergeCell ref="N43:N47"/>
    <mergeCell ref="O43:O47"/>
    <mergeCell ref="P43:P47"/>
    <mergeCell ref="N33:N37"/>
    <mergeCell ref="O33:O37"/>
    <mergeCell ref="P33:P37"/>
    <mergeCell ref="N38:N42"/>
    <mergeCell ref="O38:O42"/>
    <mergeCell ref="P38:P42"/>
    <mergeCell ref="A9:B9"/>
    <mergeCell ref="A10:B10"/>
    <mergeCell ref="H9:P9"/>
    <mergeCell ref="H10:P10"/>
    <mergeCell ref="H6:P6"/>
    <mergeCell ref="C9:E9"/>
    <mergeCell ref="C10:E10"/>
    <mergeCell ref="C8:P8"/>
    <mergeCell ref="A7:P7"/>
    <mergeCell ref="A8:B8"/>
    <mergeCell ref="A2:P2"/>
    <mergeCell ref="A3:P3"/>
    <mergeCell ref="A4:P4"/>
    <mergeCell ref="A5:P5"/>
    <mergeCell ref="D6:F6"/>
    <mergeCell ref="A6:B6"/>
  </mergeCells>
  <conditionalFormatting sqref="P13">
    <cfRule type="cellIs" dxfId="1211" priority="4" operator="equal">
      <formula>"CUMPLE"</formula>
    </cfRule>
    <cfRule type="cellIs" dxfId="1210" priority="5" operator="equal">
      <formula>"NO CUMPLE"</formula>
    </cfRule>
    <cfRule type="cellIs" dxfId="1209" priority="6" operator="equal">
      <formula>"""CUMPLE"""</formula>
    </cfRule>
  </conditionalFormatting>
  <conditionalFormatting sqref="P18 P23 P28 P33 P38 P43">
    <cfRule type="cellIs" dxfId="1208" priority="1" operator="equal">
      <formula>"CUMPLE"</formula>
    </cfRule>
    <cfRule type="cellIs" dxfId="1207" priority="2" operator="equal">
      <formula>"NO CUMPLE"</formula>
    </cfRule>
    <cfRule type="cellIs" dxfId="1206" priority="3" operator="equal">
      <formula>"""CUMPLE"""</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65"/>
  <sheetViews>
    <sheetView view="pageBreakPreview" zoomScale="40" zoomScaleNormal="55" zoomScaleSheetLayoutView="40" workbookViewId="0">
      <pane ySplit="11" topLeftCell="A60"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v>
      </c>
      <c r="B11" s="2" t="s">
        <v>24</v>
      </c>
      <c r="C11" s="287" t="str">
        <f>VLOOKUP(A11,PROPONENTES!$A$10:$B$42,2,FALSE)</f>
        <v xml:space="preserve">CONSORCIO COMPLEJO DEPORTIVO CUBAGO	</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AGORASPORT SA SUCURSAL COLOMBIA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33218.383320866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33218.383320866</v>
      </c>
      <c r="L15" s="236" t="str">
        <f>IF(K15&gt;=J15,"CUMPLE","NO CUMPLE")</f>
        <v>CUMPLE</v>
      </c>
    </row>
    <row r="16" spans="1:12" ht="33.75" customHeight="1" x14ac:dyDescent="0.25">
      <c r="B16" s="244"/>
      <c r="C16" s="100" t="str">
        <f>IF(VLOOKUP(C11,PROPONENTES!B10:N111,4,FALSE)=0,"",VLOOKUP(C11,PROPONENTES!B10:N111,4,FALSE))</f>
        <v>CARLOS FERNANDO CUBIDES BONILLA</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27948.227788934601</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33218.383320866</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219</v>
      </c>
      <c r="E24" s="90" t="s">
        <v>219</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393</v>
      </c>
      <c r="E27" s="91" t="s">
        <v>394</v>
      </c>
      <c r="F27" s="91"/>
      <c r="G27" s="91"/>
      <c r="H27" s="91"/>
      <c r="I27" s="91"/>
      <c r="J27" s="91"/>
      <c r="K27" s="245"/>
      <c r="L27" s="246"/>
    </row>
    <row r="28" spans="2:14" ht="156.75" customHeight="1" x14ac:dyDescent="0.25">
      <c r="B28" s="250"/>
      <c r="C28" s="25" t="s">
        <v>38</v>
      </c>
      <c r="D28" s="91" t="s">
        <v>395</v>
      </c>
      <c r="E28" s="91" t="s">
        <v>396</v>
      </c>
      <c r="F28" s="91"/>
      <c r="G28" s="91"/>
      <c r="H28" s="91"/>
      <c r="I28" s="91"/>
      <c r="J28" s="91"/>
      <c r="K28" s="245"/>
      <c r="L28" s="246"/>
    </row>
    <row r="29" spans="2:14" ht="52.5" customHeight="1" x14ac:dyDescent="0.25">
      <c r="B29" s="250"/>
      <c r="C29" s="25" t="s">
        <v>169</v>
      </c>
      <c r="D29" s="95">
        <v>42023</v>
      </c>
      <c r="E29" s="95">
        <v>42164</v>
      </c>
      <c r="F29" s="95"/>
      <c r="G29" s="95"/>
      <c r="H29" s="95"/>
      <c r="I29" s="95"/>
      <c r="J29" s="95"/>
      <c r="K29" s="245"/>
      <c r="L29" s="246"/>
    </row>
    <row r="30" spans="2:14" ht="54.75" customHeight="1" x14ac:dyDescent="0.25">
      <c r="B30" s="250"/>
      <c r="C30" s="25" t="s">
        <v>42</v>
      </c>
      <c r="D30" s="95">
        <v>42357</v>
      </c>
      <c r="E30" s="95">
        <v>42364</v>
      </c>
      <c r="F30" s="95"/>
      <c r="G30" s="95"/>
      <c r="H30" s="95"/>
      <c r="I30" s="95"/>
      <c r="J30" s="95"/>
      <c r="K30" s="245"/>
      <c r="L30" s="246"/>
    </row>
    <row r="31" spans="2:14" ht="41.25" customHeight="1" x14ac:dyDescent="0.25">
      <c r="B31" s="250"/>
      <c r="C31" s="25" t="s">
        <v>39</v>
      </c>
      <c r="D31" s="92">
        <v>2015</v>
      </c>
      <c r="E31" s="92">
        <v>2015</v>
      </c>
      <c r="F31" s="92"/>
      <c r="G31" s="92"/>
      <c r="H31" s="92"/>
      <c r="I31" s="92"/>
      <c r="J31" s="92"/>
      <c r="K31" s="245"/>
      <c r="L31" s="246"/>
    </row>
    <row r="32" spans="2:14" ht="63" customHeight="1" x14ac:dyDescent="0.25">
      <c r="B32" s="250"/>
      <c r="C32" s="25" t="s">
        <v>40</v>
      </c>
      <c r="D32" s="91" t="s">
        <v>397</v>
      </c>
      <c r="E32" s="91" t="s">
        <v>398</v>
      </c>
      <c r="F32" s="91"/>
      <c r="G32" s="91"/>
      <c r="H32" s="91"/>
      <c r="I32" s="91"/>
      <c r="J32" s="91"/>
      <c r="K32" s="245"/>
      <c r="L32" s="246"/>
    </row>
    <row r="33" spans="2:12" ht="46.5" customHeight="1" x14ac:dyDescent="0.25">
      <c r="B33" s="250"/>
      <c r="C33" s="25" t="s">
        <v>41</v>
      </c>
      <c r="D33" s="91" t="s">
        <v>219</v>
      </c>
      <c r="E33" s="91" t="s">
        <v>219</v>
      </c>
      <c r="F33" s="91"/>
      <c r="G33" s="91"/>
      <c r="H33" s="91"/>
      <c r="I33" s="91"/>
      <c r="J33" s="91"/>
      <c r="K33" s="245"/>
      <c r="L33" s="246"/>
    </row>
    <row r="34" spans="2:12" ht="27.75" customHeight="1" x14ac:dyDescent="0.25">
      <c r="B34" s="250"/>
      <c r="C34" s="27" t="s">
        <v>35</v>
      </c>
      <c r="D34" s="96">
        <v>221</v>
      </c>
      <c r="E34" s="96">
        <v>222</v>
      </c>
      <c r="F34" s="96"/>
      <c r="G34" s="97"/>
      <c r="H34" s="97"/>
      <c r="I34" s="97"/>
      <c r="J34" s="97"/>
      <c r="K34" s="245"/>
      <c r="L34" s="246"/>
    </row>
    <row r="35" spans="2:12" ht="102.75" customHeight="1" x14ac:dyDescent="0.25">
      <c r="B35" s="250"/>
      <c r="C35" s="25" t="s">
        <v>137</v>
      </c>
      <c r="D35" s="93">
        <v>27948.227788934601</v>
      </c>
      <c r="E35" s="93">
        <v>5270.1555319314002</v>
      </c>
      <c r="F35" s="93"/>
      <c r="G35" s="93"/>
      <c r="H35" s="93"/>
      <c r="I35" s="93"/>
      <c r="J35" s="93"/>
      <c r="K35" s="245"/>
      <c r="L35" s="246"/>
    </row>
    <row r="36" spans="2:12" ht="48" customHeight="1" x14ac:dyDescent="0.25">
      <c r="B36" s="250"/>
      <c r="C36" s="25" t="s">
        <v>76</v>
      </c>
      <c r="D36" s="105">
        <f>IFERROR(D35*VLOOKUP(D31,'DATOS INICIALES'!$A$12:$B$43,2,0),"0")</f>
        <v>18008440575.800011</v>
      </c>
      <c r="E36" s="105">
        <f>IFERROR(E35*VLOOKUP(E31,'DATOS INICIALES'!$A$12:$B$43,2,0),"0")</f>
        <v>3395824716.9999976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1</v>
      </c>
      <c r="F37" s="94"/>
      <c r="G37" s="94"/>
      <c r="H37" s="94"/>
      <c r="I37" s="94"/>
      <c r="J37" s="94"/>
      <c r="K37" s="245"/>
      <c r="L37" s="246"/>
    </row>
    <row r="38" spans="2:12" ht="48.75" customHeight="1" x14ac:dyDescent="0.25">
      <c r="B38" s="250"/>
      <c r="C38" s="25" t="s">
        <v>144</v>
      </c>
      <c r="D38" s="105">
        <f t="shared" ref="D38:J38" si="3">IF(D24="","0",D37*D36)</f>
        <v>18008440575.800011</v>
      </c>
      <c r="E38" s="105">
        <f t="shared" si="3"/>
        <v>3395824716.9999976</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27948.227788934601</v>
      </c>
      <c r="E39" s="106">
        <f t="shared" si="4"/>
        <v>5270.1555319314002</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205" priority="13">
      <formula>LEN(TRIM(D25))=0</formula>
    </cfRule>
    <cfRule type="notContainsErrors" dxfId="1204" priority="14">
      <formula>NOT(ISERROR(D25))</formula>
    </cfRule>
  </conditionalFormatting>
  <conditionalFormatting sqref="D34:J34 D24:K24 D37:J37 D40:J40 D43:J43 D46:J53 D55:J63 K64:L64 D65:K65">
    <cfRule type="containsBlanks" dxfId="1203" priority="15">
      <formula>LEN(TRIM(D24))=0</formula>
    </cfRule>
  </conditionalFormatting>
  <conditionalFormatting sqref="D46:J53">
    <cfRule type="cellIs" dxfId="1202" priority="11" operator="equal">
      <formula>"NO CUMPLE"</formula>
    </cfRule>
    <cfRule type="cellIs" dxfId="1201" priority="12" operator="equal">
      <formula>"CUMPLE"</formula>
    </cfRule>
  </conditionalFormatting>
  <conditionalFormatting sqref="D54:J54">
    <cfRule type="cellIs" dxfId="1200" priority="27" operator="equal">
      <formula>"""CUMPLE"""</formula>
    </cfRule>
    <cfRule type="cellIs" dxfId="1199" priority="26" operator="equal">
      <formula>"NO CUMPLE"</formula>
    </cfRule>
    <cfRule type="cellIs" dxfId="1198" priority="25" operator="equal">
      <formula>"CUMPLE"</formula>
    </cfRule>
    <cfRule type="cellIs" dxfId="1197" priority="21" operator="equal">
      <formula>"N/A"</formula>
    </cfRule>
  </conditionalFormatting>
  <conditionalFormatting sqref="D55:J63">
    <cfRule type="cellIs" dxfId="1196" priority="3" operator="equal">
      <formula>"NO CUMPLE"</formula>
    </cfRule>
    <cfRule type="cellIs" dxfId="1195" priority="4" operator="equal">
      <formula>"CUMPLE"</formula>
    </cfRule>
  </conditionalFormatting>
  <conditionalFormatting sqref="D64:J64">
    <cfRule type="cellIs" dxfId="1194" priority="19" operator="equal">
      <formula>"NO CUMPLE"</formula>
    </cfRule>
    <cfRule type="cellIs" dxfId="1193" priority="20" operator="equal">
      <formula>"""CUMPLE"""</formula>
    </cfRule>
    <cfRule type="cellIs" dxfId="1192" priority="17" operator="equal">
      <formula>"N/A"</formula>
    </cfRule>
    <cfRule type="cellIs" dxfId="1191" priority="18" operator="equal">
      <formula>"CUMPLE"</formula>
    </cfRule>
  </conditionalFormatting>
  <conditionalFormatting sqref="D65:J65">
    <cfRule type="cellIs" dxfId="1190" priority="9" operator="equal">
      <formula>"NO CUMPLE"</formula>
    </cfRule>
    <cfRule type="cellIs" dxfId="1189" priority="10" operator="equal">
      <formula>"CUMPLE"</formula>
    </cfRule>
  </conditionalFormatting>
  <conditionalFormatting sqref="D24:K24 D34:J34 D37:J37 D40:J40 D43:J43 D46:J53 D55:J63 K64:L64 D65:K65">
    <cfRule type="notContainsErrors" dxfId="1188" priority="16">
      <formula>NOT(ISERROR(D24))</formula>
    </cfRule>
  </conditionalFormatting>
  <conditionalFormatting sqref="F20:H20">
    <cfRule type="cellIs" dxfId="1187" priority="31" operator="equal">
      <formula>"CUMPLE"</formula>
    </cfRule>
    <cfRule type="cellIs" dxfId="1186" priority="32" operator="equal">
      <formula>"NO CUMPLE"</formula>
    </cfRule>
    <cfRule type="cellIs" dxfId="1185" priority="33" operator="equal">
      <formula>"""CUMPLE"""</formula>
    </cfRule>
  </conditionalFormatting>
  <conditionalFormatting sqref="I11">
    <cfRule type="containsText" dxfId="1184" priority="37" operator="containsText" text="NO CUMPLE">
      <formula>NOT(ISERROR(SEARCH("NO CUMPLE",I11)))</formula>
    </cfRule>
    <cfRule type="containsText" dxfId="1183" priority="34" operator="containsText" text="INHABILITADO">
      <formula>NOT(ISERROR(SEARCH("INHABILITADO",I11)))</formula>
    </cfRule>
    <cfRule type="containsText" dxfId="1182" priority="35" operator="containsText" text="HABILITADO">
      <formula>NOT(ISERROR(SEARCH("HABILITADO",I11)))</formula>
    </cfRule>
    <cfRule type="containsText" dxfId="1181" priority="36" operator="containsText" text="HABILITADO">
      <formula>NOT(ISERROR(SEARCH("HABILITADO",I11)))</formula>
    </cfRule>
  </conditionalFormatting>
  <conditionalFormatting sqref="J20">
    <cfRule type="cellIs" dxfId="1180" priority="8" operator="equal">
      <formula>"SI"</formula>
    </cfRule>
    <cfRule type="cellIs" dxfId="1179" priority="7" operator="equal">
      <formula>"NO"</formula>
    </cfRule>
  </conditionalFormatting>
  <conditionalFormatting sqref="K19">
    <cfRule type="cellIs" dxfId="1178" priority="22" operator="equal">
      <formula>"CUMPLE"</formula>
    </cfRule>
    <cfRule type="cellIs" dxfId="1177" priority="23" operator="equal">
      <formula>"NO CUMPLE"</formula>
    </cfRule>
    <cfRule type="cellIs" dxfId="1176" priority="24" operator="equal">
      <formula>"""CUMPLE"""</formula>
    </cfRule>
  </conditionalFormatting>
  <conditionalFormatting sqref="K25:K63">
    <cfRule type="notContainsErrors" dxfId="1175" priority="2">
      <formula>NOT(ISERROR(K25))</formula>
    </cfRule>
    <cfRule type="containsBlanks" dxfId="1174" priority="1">
      <formula>LEN(TRIM(K25))=0</formula>
    </cfRule>
  </conditionalFormatting>
  <conditionalFormatting sqref="L15">
    <cfRule type="cellIs" dxfId="1173" priority="28" operator="equal">
      <formula>"CUMPLE"</formula>
    </cfRule>
    <cfRule type="cellIs" dxfId="1172" priority="29" operator="equal">
      <formula>"NO CUMPLE"</formula>
    </cfRule>
    <cfRule type="cellIs" dxfId="1171" priority="30" operator="equal">
      <formula>"""CUMPLE"""</formula>
    </cfRule>
  </conditionalFormatting>
  <conditionalFormatting sqref="L20">
    <cfRule type="cellIs" dxfId="1170" priority="5" operator="equal">
      <formula>"NO"</formula>
    </cfRule>
    <cfRule type="cellIs" dxfId="1169" priority="6" operator="equal">
      <formula>"SI"</formula>
    </cfRule>
  </conditionalFormatting>
  <dataValidations count="3">
    <dataValidation type="list" allowBlank="1" showInputMessage="1" showErrorMessage="1" sqref="L57:L64" xr:uid="{00000000-0002-0000-0500-000000000000}">
      <formula1>"0,1,2,3,4,5,6"</formula1>
    </dataValidation>
    <dataValidation type="list" allowBlank="1" showInputMessage="1" showErrorMessage="1" sqref="D24:J26" xr:uid="{00000000-0002-0000-0500-000001000000}">
      <formula1>$C$15:$C$19</formula1>
    </dataValidation>
    <dataValidation type="list" allowBlank="1" showInputMessage="1" showErrorMessage="1" sqref="D65:I65" xr:uid="{00000000-0002-0000-0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500-000003000000}">
          <x14:formula1>
            <xm:f>'DATOS INICIALES'!$C$45:$C$46</xm:f>
          </x14:formula1>
          <xm:sqref>D47:I53 J47:J52</xm:sqref>
        </x14:dataValidation>
        <x14:dataValidation type="list" allowBlank="1" showInputMessage="1" showErrorMessage="1" xr:uid="{00000000-0002-0000-0500-000004000000}">
          <x14:formula1>
            <xm:f>'DATOS INICIALES'!$A$50:$A$52</xm:f>
          </x14:formula1>
          <xm:sqref>D55:I57 D46:J46 J55:J56 D58:J63</xm:sqref>
        </x14:dataValidation>
        <x14:dataValidation type="list" allowBlank="1" showInputMessage="1" showErrorMessage="1" xr:uid="{00000000-0002-0000-0500-000005000000}">
          <x14:formula1>
            <xm:f>'DATOS INICIALES'!$A$54:$A$59</xm:f>
          </x14:formula1>
          <xm:sqref>D23:I23</xm:sqref>
        </x14:dataValidation>
        <x14:dataValidation type="list" allowBlank="1" showInputMessage="1" showErrorMessage="1" xr:uid="{00000000-0002-0000-0500-000006000000}">
          <x14:formula1>
            <xm:f>'DATOS INICIALES'!$D$21:$D$25</xm:f>
          </x14:formula1>
          <xm:sqref>M47:M54</xm:sqref>
        </x14:dataValidation>
        <x14:dataValidation type="list" allowBlank="1" showInputMessage="1" showErrorMessage="1" xr:uid="{00000000-0002-0000-0500-000007000000}">
          <x14:formula1>
            <xm:f>'DATOS INICIALES'!$A$13:$A$43</xm:f>
          </x14:formula1>
          <xm:sqref>D31:I31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65"/>
  <sheetViews>
    <sheetView view="pageBreakPreview" zoomScale="55" zoomScaleNormal="55" zoomScaleSheetLayoutView="55" workbookViewId="0">
      <pane ySplit="11" topLeftCell="A12" activePane="bottomLeft" state="frozenSplit"/>
      <selection activeCell="D65" sqref="D65"/>
      <selection pane="bottomLeft" activeCell="E65" sqref="E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3</v>
      </c>
      <c r="B11" s="2" t="s">
        <v>24</v>
      </c>
      <c r="C11" s="287" t="str">
        <f>VLOOKUP(A11,PROPONENTES!$A$10:$B$42,2,FALSE)</f>
        <v>CONSORCIO PARQUES KENNEDY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Andina Juegos &amp; Parques SAS </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7667.16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4</v>
      </c>
      <c r="J15" s="235">
        <f>IF(AND(I15&gt;=1,I15&lt;=2),L8,IF(AND(I15&gt;=3,I15&lt;=4),L9,IF(AND(I15&gt;=5,I15&lt;=7),L10)))</f>
        <v>2632.2056723076921</v>
      </c>
      <c r="K15" s="235">
        <f>+E20</f>
        <v>9319.57</v>
      </c>
      <c r="L15" s="236" t="str">
        <f>IF(K15&gt;=J15,"CUMPLE","NO CUMPLE")</f>
        <v>CUMPLE</v>
      </c>
    </row>
    <row r="16" spans="1:12" ht="33.75" customHeight="1" x14ac:dyDescent="0.25">
      <c r="B16" s="244"/>
      <c r="C16" s="100" t="str">
        <f>IF(VLOOKUP(C11,PROPONENTES!B10:N111,4,FALSE)=0,"",VLOOKUP(C11,PROPONENTES!B10:N111,4,FALSE))</f>
        <v xml:space="preserve">JESVAR MULTIPROYECTOS SAS </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1652.4099999999999</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1652.4099999999999</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9319.57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224</v>
      </c>
      <c r="E24" s="90" t="s">
        <v>224</v>
      </c>
      <c r="F24" s="90" t="s">
        <v>223</v>
      </c>
      <c r="G24" s="90" t="s">
        <v>223</v>
      </c>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399</v>
      </c>
      <c r="E27" s="91" t="s">
        <v>400</v>
      </c>
      <c r="F27" s="91" t="s">
        <v>401</v>
      </c>
      <c r="G27" s="91" t="s">
        <v>402</v>
      </c>
      <c r="H27" s="91"/>
      <c r="I27" s="91"/>
      <c r="J27" s="91"/>
      <c r="K27" s="245"/>
      <c r="L27" s="246"/>
    </row>
    <row r="28" spans="2:14" ht="156.75" customHeight="1" x14ac:dyDescent="0.25">
      <c r="B28" s="250"/>
      <c r="C28" s="25" t="s">
        <v>38</v>
      </c>
      <c r="D28" s="91" t="s">
        <v>403</v>
      </c>
      <c r="E28" s="91" t="s">
        <v>404</v>
      </c>
      <c r="F28" s="91" t="s">
        <v>405</v>
      </c>
      <c r="G28" s="91" t="s">
        <v>406</v>
      </c>
      <c r="H28" s="91"/>
      <c r="I28" s="91"/>
      <c r="J28" s="91"/>
      <c r="K28" s="245"/>
      <c r="L28" s="246"/>
    </row>
    <row r="29" spans="2:14" ht="52.5" customHeight="1" x14ac:dyDescent="0.25">
      <c r="B29" s="250"/>
      <c r="C29" s="25" t="s">
        <v>169</v>
      </c>
      <c r="D29" s="95">
        <v>42943</v>
      </c>
      <c r="E29" s="95">
        <v>43061</v>
      </c>
      <c r="F29" s="95">
        <v>43084</v>
      </c>
      <c r="G29" s="95">
        <v>43857</v>
      </c>
      <c r="H29" s="95"/>
      <c r="I29" s="95"/>
      <c r="J29" s="95"/>
      <c r="K29" s="245"/>
      <c r="L29" s="246"/>
    </row>
    <row r="30" spans="2:14" ht="54.75" customHeight="1" x14ac:dyDescent="0.25">
      <c r="B30" s="250"/>
      <c r="C30" s="25" t="s">
        <v>42</v>
      </c>
      <c r="D30" s="95">
        <v>43264</v>
      </c>
      <c r="E30" s="95">
        <v>43232</v>
      </c>
      <c r="F30" s="95">
        <v>43357</v>
      </c>
      <c r="G30" s="95">
        <v>44549</v>
      </c>
      <c r="H30" s="95"/>
      <c r="I30" s="95"/>
      <c r="J30" s="95"/>
      <c r="K30" s="245"/>
      <c r="L30" s="246"/>
    </row>
    <row r="31" spans="2:14" ht="41.25" customHeight="1" x14ac:dyDescent="0.25">
      <c r="B31" s="250"/>
      <c r="C31" s="25" t="s">
        <v>39</v>
      </c>
      <c r="D31" s="92">
        <v>2018</v>
      </c>
      <c r="E31" s="92">
        <v>2018</v>
      </c>
      <c r="F31" s="92">
        <v>2018</v>
      </c>
      <c r="G31" s="92">
        <v>2021</v>
      </c>
      <c r="H31" s="92"/>
      <c r="I31" s="92"/>
      <c r="J31" s="92"/>
      <c r="K31" s="245"/>
      <c r="L31" s="246"/>
    </row>
    <row r="32" spans="2:14" ht="63" customHeight="1" x14ac:dyDescent="0.25">
      <c r="B32" s="250"/>
      <c r="C32" s="25" t="s">
        <v>40</v>
      </c>
      <c r="D32" s="91" t="s">
        <v>407</v>
      </c>
      <c r="E32" s="91" t="s">
        <v>408</v>
      </c>
      <c r="F32" s="91" t="s">
        <v>308</v>
      </c>
      <c r="G32" s="91" t="s">
        <v>409</v>
      </c>
      <c r="H32" s="91"/>
      <c r="I32" s="91"/>
      <c r="J32" s="91"/>
      <c r="K32" s="245"/>
      <c r="L32" s="246"/>
    </row>
    <row r="33" spans="2:12" ht="46.5" customHeight="1" x14ac:dyDescent="0.25">
      <c r="B33" s="250"/>
      <c r="C33" s="25" t="s">
        <v>41</v>
      </c>
      <c r="D33" s="91" t="s">
        <v>410</v>
      </c>
      <c r="E33" s="91" t="s">
        <v>224</v>
      </c>
      <c r="F33" s="91" t="s">
        <v>411</v>
      </c>
      <c r="G33" s="91" t="s">
        <v>412</v>
      </c>
      <c r="H33" s="91"/>
      <c r="I33" s="91"/>
      <c r="J33" s="91"/>
      <c r="K33" s="245"/>
      <c r="L33" s="246"/>
    </row>
    <row r="34" spans="2:12" ht="27.75" customHeight="1" x14ac:dyDescent="0.25">
      <c r="B34" s="250"/>
      <c r="C34" s="27" t="s">
        <v>35</v>
      </c>
      <c r="D34" s="96">
        <v>139</v>
      </c>
      <c r="E34" s="96">
        <v>155</v>
      </c>
      <c r="F34" s="96">
        <v>33</v>
      </c>
      <c r="G34" s="97">
        <v>38</v>
      </c>
      <c r="H34" s="97"/>
      <c r="I34" s="97"/>
      <c r="J34" s="97"/>
      <c r="K34" s="245"/>
      <c r="L34" s="246"/>
    </row>
    <row r="35" spans="2:12" ht="102.75" customHeight="1" x14ac:dyDescent="0.25">
      <c r="B35" s="250"/>
      <c r="C35" s="25" t="s">
        <v>137</v>
      </c>
      <c r="D35" s="93">
        <v>1264.5999999999999</v>
      </c>
      <c r="E35" s="93">
        <v>514.27</v>
      </c>
      <c r="F35" s="93">
        <v>8192.08</v>
      </c>
      <c r="G35" s="93">
        <v>7142.24</v>
      </c>
      <c r="H35" s="93"/>
      <c r="I35" s="93"/>
      <c r="J35" s="93"/>
      <c r="K35" s="245"/>
      <c r="L35" s="246"/>
    </row>
    <row r="36" spans="2:12" ht="48" customHeight="1" x14ac:dyDescent="0.25">
      <c r="B36" s="250"/>
      <c r="C36" s="25" t="s">
        <v>76</v>
      </c>
      <c r="D36" s="105">
        <f>IFERROR(D35*VLOOKUP(D31,'DATOS INICIALES'!$A$12:$B$43,2,0),"0")</f>
        <v>987958633.19999993</v>
      </c>
      <c r="E36" s="105">
        <f>IFERROR(E35*VLOOKUP(E31,'DATOS INICIALES'!$A$12:$B$43,2,0),"0")</f>
        <v>401769323.33999997</v>
      </c>
      <c r="F36" s="105">
        <f>IFERROR(F35*VLOOKUP(F31,'DATOS INICIALES'!$A$12:$B$43,2,0),"0")</f>
        <v>6399996963.3599997</v>
      </c>
      <c r="G36" s="105">
        <f>IFERROR(G35*VLOOKUP(G31,'DATOS INICIALES'!$A$12:$B$43,2,0),"0")</f>
        <v>6488910738.2399998</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v>
      </c>
      <c r="E37" s="94">
        <v>1</v>
      </c>
      <c r="F37" s="94">
        <v>0.5</v>
      </c>
      <c r="G37" s="94">
        <v>0.5</v>
      </c>
      <c r="H37" s="94"/>
      <c r="I37" s="94"/>
      <c r="J37" s="94"/>
      <c r="K37" s="245"/>
      <c r="L37" s="246"/>
    </row>
    <row r="38" spans="2:12" ht="48.75" customHeight="1" x14ac:dyDescent="0.25">
      <c r="B38" s="250"/>
      <c r="C38" s="25" t="s">
        <v>144</v>
      </c>
      <c r="D38" s="105">
        <f t="shared" ref="D38:J38" si="3">IF(D24="","0",D37*D36)</f>
        <v>889162769.88</v>
      </c>
      <c r="E38" s="105">
        <f t="shared" si="3"/>
        <v>401769323.33999997</v>
      </c>
      <c r="F38" s="105">
        <f t="shared" si="3"/>
        <v>3199998481.6799998</v>
      </c>
      <c r="G38" s="105">
        <f t="shared" si="3"/>
        <v>3244455369.1199999</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1138.1399999999999</v>
      </c>
      <c r="E39" s="106">
        <f t="shared" si="4"/>
        <v>514.27</v>
      </c>
      <c r="F39" s="106">
        <f t="shared" si="4"/>
        <v>4096.04</v>
      </c>
      <c r="G39" s="106">
        <f t="shared" si="4"/>
        <v>3571.12</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t="s">
        <v>14</v>
      </c>
      <c r="H46" s="90"/>
      <c r="I46" s="90"/>
      <c r="J46" s="90"/>
      <c r="K46" s="245"/>
      <c r="L46" s="246"/>
    </row>
    <row r="47" spans="2:12" ht="24.75" customHeight="1" x14ac:dyDescent="0.25">
      <c r="B47" s="255" t="s">
        <v>36</v>
      </c>
      <c r="C47" s="28">
        <f>+'DATOS INICIALES'!D21</f>
        <v>72101500</v>
      </c>
      <c r="D47" s="96" t="s">
        <v>79</v>
      </c>
      <c r="E47" s="96" t="s">
        <v>79</v>
      </c>
      <c r="F47" s="96" t="s">
        <v>79</v>
      </c>
      <c r="G47" s="96" t="s">
        <v>79</v>
      </c>
      <c r="H47" s="96"/>
      <c r="I47" s="96"/>
      <c r="J47" s="97"/>
      <c r="K47" s="245"/>
      <c r="L47" s="246"/>
    </row>
    <row r="48" spans="2:12" ht="24.75" customHeight="1" x14ac:dyDescent="0.25">
      <c r="B48" s="256"/>
      <c r="C48" s="28">
        <f>+'DATOS INICIALES'!D22</f>
        <v>72102900</v>
      </c>
      <c r="D48" s="96" t="s">
        <v>79</v>
      </c>
      <c r="E48" s="96" t="s">
        <v>79</v>
      </c>
      <c r="F48" s="96" t="s">
        <v>79</v>
      </c>
      <c r="G48" s="96" t="s">
        <v>79</v>
      </c>
      <c r="H48" s="96"/>
      <c r="I48" s="96"/>
      <c r="J48" s="97"/>
      <c r="K48" s="245"/>
      <c r="L48" s="246"/>
    </row>
    <row r="49" spans="2:12" ht="24.75" customHeight="1" x14ac:dyDescent="0.25">
      <c r="B49" s="256"/>
      <c r="C49" s="28">
        <f>+'DATOS INICIALES'!D23</f>
        <v>72103300</v>
      </c>
      <c r="D49" s="96" t="s">
        <v>79</v>
      </c>
      <c r="E49" s="96" t="s">
        <v>79</v>
      </c>
      <c r="F49" s="96" t="s">
        <v>79</v>
      </c>
      <c r="G49" s="96" t="s">
        <v>79</v>
      </c>
      <c r="H49" s="96"/>
      <c r="I49" s="96"/>
      <c r="J49" s="97"/>
      <c r="K49" s="245"/>
      <c r="L49" s="246"/>
    </row>
    <row r="50" spans="2:12" ht="24.75" customHeight="1" x14ac:dyDescent="0.25">
      <c r="B50" s="256"/>
      <c r="C50" s="28">
        <f>+'DATOS INICIALES'!D24</f>
        <v>72141100</v>
      </c>
      <c r="D50" s="96"/>
      <c r="E50" s="96"/>
      <c r="F50" s="96"/>
      <c r="G50" s="96" t="s">
        <v>79</v>
      </c>
      <c r="H50" s="96"/>
      <c r="I50" s="96"/>
      <c r="J50" s="97"/>
      <c r="K50" s="245"/>
      <c r="L50" s="246"/>
    </row>
    <row r="51" spans="2:12" ht="24.75" customHeight="1" x14ac:dyDescent="0.25">
      <c r="B51" s="256"/>
      <c r="C51" s="28">
        <f>+'DATOS INICIALES'!D25</f>
        <v>72141500</v>
      </c>
      <c r="D51" s="96" t="s">
        <v>79</v>
      </c>
      <c r="E51" s="96" t="s">
        <v>79</v>
      </c>
      <c r="F51" s="96" t="s">
        <v>79</v>
      </c>
      <c r="G51" s="96" t="s">
        <v>79</v>
      </c>
      <c r="H51" s="96"/>
      <c r="I51" s="96"/>
      <c r="J51" s="97"/>
      <c r="K51" s="245"/>
      <c r="L51" s="246"/>
    </row>
    <row r="52" spans="2:12" ht="24.75" customHeight="1" x14ac:dyDescent="0.25">
      <c r="B52" s="256"/>
      <c r="C52" s="28">
        <f>+'DATOS INICIALES'!D26</f>
        <v>72153900</v>
      </c>
      <c r="D52" s="96" t="s">
        <v>79</v>
      </c>
      <c r="E52" s="96" t="s">
        <v>79</v>
      </c>
      <c r="F52" s="96" t="s">
        <v>79</v>
      </c>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t="s">
        <v>14</v>
      </c>
      <c r="G55" s="90" t="s">
        <v>14</v>
      </c>
      <c r="H55" s="90"/>
      <c r="I55" s="90"/>
      <c r="J55" s="90"/>
      <c r="K55" s="288"/>
      <c r="L55" s="289"/>
    </row>
    <row r="56" spans="2:12" ht="353.25" customHeight="1" x14ac:dyDescent="0.25">
      <c r="B56" s="258" t="s">
        <v>209</v>
      </c>
      <c r="C56" s="259"/>
      <c r="D56" s="90" t="s">
        <v>14</v>
      </c>
      <c r="E56" s="90" t="s">
        <v>14</v>
      </c>
      <c r="F56" s="90" t="s">
        <v>14</v>
      </c>
      <c r="G56" s="90" t="s">
        <v>14</v>
      </c>
      <c r="H56" s="90"/>
      <c r="I56" s="90"/>
      <c r="J56" s="90"/>
      <c r="K56" s="288"/>
      <c r="L56" s="289"/>
    </row>
    <row r="57" spans="2:12" ht="99" customHeight="1" x14ac:dyDescent="0.25">
      <c r="B57" s="252" t="s">
        <v>211</v>
      </c>
      <c r="C57" s="253"/>
      <c r="D57" s="90" t="s">
        <v>14</v>
      </c>
      <c r="E57" s="90" t="s">
        <v>14</v>
      </c>
      <c r="F57" s="90" t="s">
        <v>14</v>
      </c>
      <c r="G57" s="90" t="s">
        <v>14</v>
      </c>
      <c r="H57" s="90"/>
      <c r="I57" s="90"/>
      <c r="J57" s="90"/>
      <c r="K57" s="288"/>
      <c r="L57" s="289"/>
    </row>
    <row r="58" spans="2:12" ht="92.25" customHeight="1" x14ac:dyDescent="0.25">
      <c r="B58" s="252" t="s">
        <v>207</v>
      </c>
      <c r="C58" s="253"/>
      <c r="D58" s="90" t="s">
        <v>14</v>
      </c>
      <c r="E58" s="90" t="s">
        <v>14</v>
      </c>
      <c r="F58" s="90" t="s">
        <v>14</v>
      </c>
      <c r="G58" s="90" t="s">
        <v>14</v>
      </c>
      <c r="H58" s="90"/>
      <c r="I58" s="90"/>
      <c r="J58" s="90"/>
      <c r="K58" s="288"/>
      <c r="L58" s="289"/>
    </row>
    <row r="59" spans="2:12" ht="291.75" customHeight="1" x14ac:dyDescent="0.25">
      <c r="B59" s="252" t="s">
        <v>208</v>
      </c>
      <c r="C59" s="253"/>
      <c r="D59" s="90" t="s">
        <v>13</v>
      </c>
      <c r="E59" s="90" t="s">
        <v>13</v>
      </c>
      <c r="F59" s="90" t="s">
        <v>13</v>
      </c>
      <c r="G59" s="90" t="s">
        <v>13</v>
      </c>
      <c r="H59" s="90"/>
      <c r="I59" s="90"/>
      <c r="J59" s="90"/>
      <c r="K59" s="288"/>
      <c r="L59" s="289"/>
    </row>
    <row r="60" spans="2:12" ht="336" customHeight="1" x14ac:dyDescent="0.25">
      <c r="B60" s="180" t="s">
        <v>213</v>
      </c>
      <c r="C60" s="180"/>
      <c r="D60" s="90" t="s">
        <v>14</v>
      </c>
      <c r="E60" s="90" t="s">
        <v>14</v>
      </c>
      <c r="F60" s="90" t="s">
        <v>14</v>
      </c>
      <c r="G60" s="90" t="s">
        <v>14</v>
      </c>
      <c r="H60" s="90"/>
      <c r="I60" s="90"/>
      <c r="J60" s="90"/>
      <c r="K60" s="288"/>
      <c r="L60" s="289"/>
    </row>
    <row r="61" spans="2:12" ht="129.75" customHeight="1" x14ac:dyDescent="0.25">
      <c r="B61" s="233" t="s">
        <v>168</v>
      </c>
      <c r="C61" s="234"/>
      <c r="D61" s="90" t="s">
        <v>13</v>
      </c>
      <c r="E61" s="90" t="s">
        <v>13</v>
      </c>
      <c r="F61" s="90" t="s">
        <v>13</v>
      </c>
      <c r="G61" s="90" t="s">
        <v>13</v>
      </c>
      <c r="H61" s="90"/>
      <c r="I61" s="90"/>
      <c r="J61" s="90"/>
      <c r="K61" s="288"/>
      <c r="L61" s="289"/>
    </row>
    <row r="62" spans="2:12" ht="408.75" customHeight="1" x14ac:dyDescent="0.25">
      <c r="B62" s="254" t="s">
        <v>170</v>
      </c>
      <c r="C62" s="254"/>
      <c r="D62" s="90" t="s">
        <v>13</v>
      </c>
      <c r="E62" s="90" t="s">
        <v>13</v>
      </c>
      <c r="F62" s="90" t="s">
        <v>13</v>
      </c>
      <c r="G62" s="90" t="s">
        <v>13</v>
      </c>
      <c r="H62" s="90"/>
      <c r="I62" s="90"/>
      <c r="J62" s="90"/>
      <c r="K62" s="288"/>
      <c r="L62" s="289"/>
    </row>
    <row r="63" spans="2:12" ht="234.75" customHeight="1" x14ac:dyDescent="0.25">
      <c r="B63" s="180" t="s">
        <v>212</v>
      </c>
      <c r="C63" s="180"/>
      <c r="D63" s="90" t="s">
        <v>14</v>
      </c>
      <c r="E63" s="90" t="s">
        <v>14</v>
      </c>
      <c r="F63" s="90" t="s">
        <v>14</v>
      </c>
      <c r="G63" s="90" t="s">
        <v>14</v>
      </c>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1168" priority="18">
      <formula>NOT(ISERROR(D25))</formula>
    </cfRule>
    <cfRule type="containsBlanks" dxfId="1167" priority="17">
      <formula>LEN(TRIM(D25))=0</formula>
    </cfRule>
  </conditionalFormatting>
  <conditionalFormatting sqref="D34:J34 D24:K24 D37:J37 D40:J40 D43:J43 D46:J53 D55:J63 K64:L64">
    <cfRule type="containsBlanks" dxfId="1166" priority="19">
      <formula>LEN(TRIM(D24))=0</formula>
    </cfRule>
  </conditionalFormatting>
  <conditionalFormatting sqref="D46:J53">
    <cfRule type="cellIs" dxfId="1165" priority="15" operator="equal">
      <formula>"NO CUMPLE"</formula>
    </cfRule>
    <cfRule type="cellIs" dxfId="1164" priority="16" operator="equal">
      <formula>"CUMPLE"</formula>
    </cfRule>
  </conditionalFormatting>
  <conditionalFormatting sqref="D54:J54">
    <cfRule type="cellIs" dxfId="1163" priority="31" operator="equal">
      <formula>"""CUMPLE"""</formula>
    </cfRule>
    <cfRule type="cellIs" dxfId="1162" priority="30" operator="equal">
      <formula>"NO CUMPLE"</formula>
    </cfRule>
    <cfRule type="cellIs" dxfId="1161" priority="29" operator="equal">
      <formula>"CUMPLE"</formula>
    </cfRule>
    <cfRule type="cellIs" dxfId="1160" priority="25" operator="equal">
      <formula>"N/A"</formula>
    </cfRule>
  </conditionalFormatting>
  <conditionalFormatting sqref="D55:J63">
    <cfRule type="cellIs" dxfId="1159" priority="7" operator="equal">
      <formula>"NO CUMPLE"</formula>
    </cfRule>
    <cfRule type="cellIs" dxfId="1158" priority="8" operator="equal">
      <formula>"CUMPLE"</formula>
    </cfRule>
  </conditionalFormatting>
  <conditionalFormatting sqref="D64:J64">
    <cfRule type="cellIs" dxfId="1157" priority="22" operator="equal">
      <formula>"CUMPLE"</formula>
    </cfRule>
    <cfRule type="cellIs" dxfId="1156" priority="23" operator="equal">
      <formula>"NO CUMPLE"</formula>
    </cfRule>
    <cfRule type="cellIs" dxfId="1155" priority="21" operator="equal">
      <formula>"N/A"</formula>
    </cfRule>
    <cfRule type="cellIs" dxfId="1154" priority="24" operator="equal">
      <formula>"""CUMPLE"""</formula>
    </cfRule>
  </conditionalFormatting>
  <conditionalFormatting sqref="D65:J65">
    <cfRule type="cellIs" dxfId="1153" priority="2" operator="equal">
      <formula>"CUMPLE"</formula>
    </cfRule>
    <cfRule type="cellIs" dxfId="1152" priority="1" operator="equal">
      <formula>"NO CUMPLE"</formula>
    </cfRule>
  </conditionalFormatting>
  <conditionalFormatting sqref="D24:K24 D34:J34 D37:J37 D40:J40 D43:J43 D46:J53 D55:J63 K64:L64">
    <cfRule type="notContainsErrors" dxfId="1151" priority="20">
      <formula>NOT(ISERROR(D24))</formula>
    </cfRule>
  </conditionalFormatting>
  <conditionalFormatting sqref="D65:K65">
    <cfRule type="containsBlanks" dxfId="1150" priority="3">
      <formula>LEN(TRIM(D65))=0</formula>
    </cfRule>
    <cfRule type="notContainsErrors" dxfId="1149" priority="4">
      <formula>NOT(ISERROR(D65))</formula>
    </cfRule>
  </conditionalFormatting>
  <conditionalFormatting sqref="F20:H20">
    <cfRule type="cellIs" dxfId="1148" priority="35" operator="equal">
      <formula>"CUMPLE"</formula>
    </cfRule>
    <cfRule type="cellIs" dxfId="1147" priority="36" operator="equal">
      <formula>"NO CUMPLE"</formula>
    </cfRule>
    <cfRule type="cellIs" dxfId="1146" priority="37" operator="equal">
      <formula>"""CUMPLE"""</formula>
    </cfRule>
  </conditionalFormatting>
  <conditionalFormatting sqref="I11">
    <cfRule type="containsText" dxfId="1145" priority="38" operator="containsText" text="INHABILITADO">
      <formula>NOT(ISERROR(SEARCH("INHABILITADO",I11)))</formula>
    </cfRule>
    <cfRule type="containsText" dxfId="1144" priority="39" operator="containsText" text="HABILITADO">
      <formula>NOT(ISERROR(SEARCH("HABILITADO",I11)))</formula>
    </cfRule>
    <cfRule type="containsText" dxfId="1143" priority="40" operator="containsText" text="HABILITADO">
      <formula>NOT(ISERROR(SEARCH("HABILITADO",I11)))</formula>
    </cfRule>
    <cfRule type="containsText" dxfId="1142" priority="41" operator="containsText" text="NO CUMPLE">
      <formula>NOT(ISERROR(SEARCH("NO CUMPLE",I11)))</formula>
    </cfRule>
  </conditionalFormatting>
  <conditionalFormatting sqref="J20">
    <cfRule type="cellIs" dxfId="1141" priority="12" operator="equal">
      <formula>"SI"</formula>
    </cfRule>
    <cfRule type="cellIs" dxfId="1140" priority="11" operator="equal">
      <formula>"NO"</formula>
    </cfRule>
  </conditionalFormatting>
  <conditionalFormatting sqref="K19">
    <cfRule type="cellIs" dxfId="1139" priority="26" operator="equal">
      <formula>"CUMPLE"</formula>
    </cfRule>
    <cfRule type="cellIs" dxfId="1138" priority="27" operator="equal">
      <formula>"NO CUMPLE"</formula>
    </cfRule>
    <cfRule type="cellIs" dxfId="1137" priority="28" operator="equal">
      <formula>"""CUMPLE"""</formula>
    </cfRule>
  </conditionalFormatting>
  <conditionalFormatting sqref="K25:K63">
    <cfRule type="containsBlanks" dxfId="1136" priority="5">
      <formula>LEN(TRIM(K25))=0</formula>
    </cfRule>
    <cfRule type="notContainsErrors" dxfId="1135" priority="6">
      <formula>NOT(ISERROR(K25))</formula>
    </cfRule>
  </conditionalFormatting>
  <conditionalFormatting sqref="L15">
    <cfRule type="cellIs" dxfId="1134" priority="32" operator="equal">
      <formula>"CUMPLE"</formula>
    </cfRule>
    <cfRule type="cellIs" dxfId="1133" priority="33" operator="equal">
      <formula>"NO CUMPLE"</formula>
    </cfRule>
    <cfRule type="cellIs" dxfId="1132" priority="34" operator="equal">
      <formula>"""CUMPLE"""</formula>
    </cfRule>
  </conditionalFormatting>
  <conditionalFormatting sqref="L20">
    <cfRule type="cellIs" dxfId="1131" priority="10" operator="equal">
      <formula>"SI"</formula>
    </cfRule>
    <cfRule type="cellIs" dxfId="1130" priority="9" operator="equal">
      <formula>"NO"</formula>
    </cfRule>
  </conditionalFormatting>
  <dataValidations count="3">
    <dataValidation type="list" allowBlank="1" showInputMessage="1" showErrorMessage="1" sqref="D65:I65" xr:uid="{00000000-0002-0000-0600-000000000000}">
      <formula1>"CUMPLE,NO CUMPLE"</formula1>
    </dataValidation>
    <dataValidation type="list" allowBlank="1" showInputMessage="1" showErrorMessage="1" sqref="D24:J26" xr:uid="{00000000-0002-0000-0600-000001000000}">
      <formula1>$C$15:$C$19</formula1>
    </dataValidation>
    <dataValidation type="list" allowBlank="1" showInputMessage="1" showErrorMessage="1" sqref="L57:L64" xr:uid="{00000000-0002-0000-0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600-000003000000}">
          <x14:formula1>
            <xm:f>'DATOS INICIALES'!$A$13:$A$43</xm:f>
          </x14:formula1>
          <xm:sqref>D31:I31</xm:sqref>
        </x14:dataValidation>
        <x14:dataValidation type="list" allowBlank="1" showInputMessage="1" showErrorMessage="1" xr:uid="{00000000-0002-0000-0600-000004000000}">
          <x14:formula1>
            <xm:f>'DATOS INICIALES'!$D$21:$D$25</xm:f>
          </x14:formula1>
          <xm:sqref>M47:M54</xm:sqref>
        </x14:dataValidation>
        <x14:dataValidation type="list" allowBlank="1" showInputMessage="1" showErrorMessage="1" xr:uid="{00000000-0002-0000-0600-000005000000}">
          <x14:formula1>
            <xm:f>'DATOS INICIALES'!$A$54:$A$59</xm:f>
          </x14:formula1>
          <xm:sqref>D23:I23</xm:sqref>
        </x14:dataValidation>
        <x14:dataValidation type="list" allowBlank="1" showInputMessage="1" showErrorMessage="1" xr:uid="{00000000-0002-0000-0600-000006000000}">
          <x14:formula1>
            <xm:f>'DATOS INICIALES'!$A$50:$A$52</xm:f>
          </x14:formula1>
          <xm:sqref>D55:I57 D46:J46 J55:J56 D58:J63</xm:sqref>
        </x14:dataValidation>
        <x14:dataValidation type="list" allowBlank="1" showInputMessage="1" showErrorMessage="1" xr:uid="{00000000-0002-0000-0600-000007000000}">
          <x14:formula1>
            <xm:f>'DATOS INICIALES'!$C$45:$C$46</xm:f>
          </x14:formula1>
          <xm:sqref>D47:I53 J47:J52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5"/>
  <sheetViews>
    <sheetView view="pageBreakPreview" zoomScale="55" zoomScaleNormal="55" zoomScaleSheetLayoutView="55" workbookViewId="0">
      <pane ySplit="11" topLeftCell="A27"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4</v>
      </c>
      <c r="B11" s="2" t="s">
        <v>24</v>
      </c>
      <c r="C11" s="287" t="str">
        <f>VLOOKUP(A11,PROPONENTES!$A$10:$B$42,2,FALSE)</f>
        <v>MLG INGENIERIA SAS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MLG INGENIERIA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2773.34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2773.34</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1805.18</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2773.34</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225</v>
      </c>
      <c r="E24" s="90" t="s">
        <v>225</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413</v>
      </c>
      <c r="E27" s="91" t="s">
        <v>414</v>
      </c>
      <c r="F27" s="91"/>
      <c r="G27" s="91"/>
      <c r="H27" s="91"/>
      <c r="I27" s="91"/>
      <c r="J27" s="91"/>
      <c r="K27" s="245"/>
      <c r="L27" s="246"/>
    </row>
    <row r="28" spans="2:14" ht="156.75" customHeight="1" x14ac:dyDescent="0.25">
      <c r="B28" s="250"/>
      <c r="C28" s="25" t="s">
        <v>38</v>
      </c>
      <c r="D28" s="91" t="s">
        <v>415</v>
      </c>
      <c r="E28" s="91" t="s">
        <v>416</v>
      </c>
      <c r="F28" s="91"/>
      <c r="G28" s="91"/>
      <c r="H28" s="91"/>
      <c r="I28" s="91"/>
      <c r="J28" s="91"/>
      <c r="K28" s="245"/>
      <c r="L28" s="246"/>
    </row>
    <row r="29" spans="2:14" ht="52.5" customHeight="1" x14ac:dyDescent="0.25">
      <c r="B29" s="250"/>
      <c r="C29" s="25" t="s">
        <v>169</v>
      </c>
      <c r="D29" s="95">
        <v>43985</v>
      </c>
      <c r="E29" s="95">
        <v>44691</v>
      </c>
      <c r="F29" s="95"/>
      <c r="G29" s="95"/>
      <c r="H29" s="95"/>
      <c r="I29" s="95"/>
      <c r="J29" s="95"/>
      <c r="K29" s="245"/>
      <c r="L29" s="246"/>
    </row>
    <row r="30" spans="2:14" ht="54.75" customHeight="1" x14ac:dyDescent="0.25">
      <c r="B30" s="250"/>
      <c r="C30" s="25" t="s">
        <v>42</v>
      </c>
      <c r="D30" s="95">
        <v>44168</v>
      </c>
      <c r="E30" s="95">
        <v>45037</v>
      </c>
      <c r="F30" s="95"/>
      <c r="G30" s="95"/>
      <c r="H30" s="95"/>
      <c r="I30" s="95"/>
      <c r="J30" s="95"/>
      <c r="K30" s="245"/>
      <c r="L30" s="246"/>
    </row>
    <row r="31" spans="2:14" ht="41.25" customHeight="1" x14ac:dyDescent="0.25">
      <c r="B31" s="250"/>
      <c r="C31" s="25" t="s">
        <v>39</v>
      </c>
      <c r="D31" s="92">
        <v>2020</v>
      </c>
      <c r="E31" s="92">
        <v>2023</v>
      </c>
      <c r="F31" s="92"/>
      <c r="G31" s="92"/>
      <c r="H31" s="92"/>
      <c r="I31" s="92"/>
      <c r="J31" s="92"/>
      <c r="K31" s="245"/>
      <c r="L31" s="246"/>
    </row>
    <row r="32" spans="2:14" ht="63" customHeight="1" x14ac:dyDescent="0.25">
      <c r="B32" s="250"/>
      <c r="C32" s="25" t="s">
        <v>40</v>
      </c>
      <c r="D32" s="91" t="s">
        <v>417</v>
      </c>
      <c r="E32" s="91" t="s">
        <v>418</v>
      </c>
      <c r="F32" s="91"/>
      <c r="G32" s="91"/>
      <c r="H32" s="91"/>
      <c r="I32" s="91"/>
      <c r="J32" s="91"/>
      <c r="K32" s="245"/>
      <c r="L32" s="246"/>
    </row>
    <row r="33" spans="2:12" ht="46.5" customHeight="1" x14ac:dyDescent="0.25">
      <c r="B33" s="250"/>
      <c r="C33" s="25" t="s">
        <v>41</v>
      </c>
      <c r="D33" s="91" t="s">
        <v>225</v>
      </c>
      <c r="E33" s="91" t="s">
        <v>419</v>
      </c>
      <c r="F33" s="91"/>
      <c r="G33" s="91"/>
      <c r="H33" s="91"/>
      <c r="I33" s="91"/>
      <c r="J33" s="91"/>
      <c r="K33" s="245"/>
      <c r="L33" s="246"/>
    </row>
    <row r="34" spans="2:12" ht="27.75" customHeight="1" x14ac:dyDescent="0.25">
      <c r="B34" s="250"/>
      <c r="C34" s="27" t="s">
        <v>35</v>
      </c>
      <c r="D34" s="96">
        <v>18</v>
      </c>
      <c r="E34" s="96">
        <v>27</v>
      </c>
      <c r="F34" s="96"/>
      <c r="G34" s="97"/>
      <c r="H34" s="97"/>
      <c r="I34" s="97"/>
      <c r="J34" s="97"/>
      <c r="K34" s="245"/>
      <c r="L34" s="246"/>
    </row>
    <row r="35" spans="2:12" ht="102.75" customHeight="1" x14ac:dyDescent="0.25">
      <c r="B35" s="250"/>
      <c r="C35" s="25" t="s">
        <v>137</v>
      </c>
      <c r="D35" s="93">
        <v>1805.18</v>
      </c>
      <c r="E35" s="93">
        <v>1210.2</v>
      </c>
      <c r="F35" s="93"/>
      <c r="G35" s="93"/>
      <c r="H35" s="93"/>
      <c r="I35" s="93"/>
      <c r="J35" s="93"/>
      <c r="K35" s="245"/>
      <c r="L35" s="246"/>
    </row>
    <row r="36" spans="2:12" ht="48" customHeight="1" x14ac:dyDescent="0.25">
      <c r="B36" s="250"/>
      <c r="C36" s="25" t="s">
        <v>76</v>
      </c>
      <c r="D36" s="105">
        <f>IFERROR(D35*VLOOKUP(D31,'DATOS INICIALES'!$A$12:$B$43,2,0),"0")</f>
        <v>1584592419.54</v>
      </c>
      <c r="E36" s="105">
        <f>IFERROR(E35*VLOOKUP(E31,'DATOS INICIALES'!$A$12:$B$43,2,0),"0")</f>
        <v>1403832000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0.8</v>
      </c>
      <c r="F37" s="94"/>
      <c r="G37" s="94"/>
      <c r="H37" s="94"/>
      <c r="I37" s="94"/>
      <c r="J37" s="94"/>
      <c r="K37" s="245"/>
      <c r="L37" s="246"/>
    </row>
    <row r="38" spans="2:12" ht="48.75" customHeight="1" x14ac:dyDescent="0.25">
      <c r="B38" s="250"/>
      <c r="C38" s="25" t="s">
        <v>144</v>
      </c>
      <c r="D38" s="105">
        <f t="shared" ref="D38:J38" si="3">IF(D24="","0",D37*D36)</f>
        <v>1584592419.54</v>
      </c>
      <c r="E38" s="105">
        <f t="shared" si="3"/>
        <v>1123065600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1805.18</v>
      </c>
      <c r="E39" s="106">
        <f t="shared" si="4"/>
        <v>968.16000000000008</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14</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1129" priority="18">
      <formula>NOT(ISERROR(D25))</formula>
    </cfRule>
    <cfRule type="containsBlanks" dxfId="1128" priority="17">
      <formula>LEN(TRIM(D25))=0</formula>
    </cfRule>
  </conditionalFormatting>
  <conditionalFormatting sqref="D34:J34 D24:K24 D37:J37 D40:J40 D43:J43 D46:J53 D55:J63 K64:L64">
    <cfRule type="containsBlanks" dxfId="1127" priority="19">
      <formula>LEN(TRIM(D24))=0</formula>
    </cfRule>
  </conditionalFormatting>
  <conditionalFormatting sqref="D46:J53">
    <cfRule type="cellIs" dxfId="1126" priority="15" operator="equal">
      <formula>"NO CUMPLE"</formula>
    </cfRule>
    <cfRule type="cellIs" dxfId="1125" priority="16" operator="equal">
      <formula>"CUMPLE"</formula>
    </cfRule>
  </conditionalFormatting>
  <conditionalFormatting sqref="D54:J54">
    <cfRule type="cellIs" dxfId="1124" priority="31" operator="equal">
      <formula>"""CUMPLE"""</formula>
    </cfRule>
    <cfRule type="cellIs" dxfId="1123" priority="30" operator="equal">
      <formula>"NO CUMPLE"</formula>
    </cfRule>
    <cfRule type="cellIs" dxfId="1122" priority="29" operator="equal">
      <formula>"CUMPLE"</formula>
    </cfRule>
    <cfRule type="cellIs" dxfId="1121" priority="25" operator="equal">
      <formula>"N/A"</formula>
    </cfRule>
  </conditionalFormatting>
  <conditionalFormatting sqref="D55:J63">
    <cfRule type="cellIs" dxfId="1120" priority="7" operator="equal">
      <formula>"NO CUMPLE"</formula>
    </cfRule>
    <cfRule type="cellIs" dxfId="1119" priority="8" operator="equal">
      <formula>"CUMPLE"</formula>
    </cfRule>
  </conditionalFormatting>
  <conditionalFormatting sqref="D64:J64">
    <cfRule type="cellIs" dxfId="1118" priority="22" operator="equal">
      <formula>"CUMPLE"</formula>
    </cfRule>
    <cfRule type="cellIs" dxfId="1117" priority="23" operator="equal">
      <formula>"NO CUMPLE"</formula>
    </cfRule>
    <cfRule type="cellIs" dxfId="1116" priority="21" operator="equal">
      <formula>"N/A"</formula>
    </cfRule>
    <cfRule type="cellIs" dxfId="1115" priority="24" operator="equal">
      <formula>"""CUMPLE"""</formula>
    </cfRule>
  </conditionalFormatting>
  <conditionalFormatting sqref="D65:J65">
    <cfRule type="cellIs" dxfId="1114" priority="2" operator="equal">
      <formula>"CUMPLE"</formula>
    </cfRule>
    <cfRule type="cellIs" dxfId="1113" priority="1" operator="equal">
      <formula>"NO CUMPLE"</formula>
    </cfRule>
  </conditionalFormatting>
  <conditionalFormatting sqref="D24:K24 D34:J34 D37:J37 D40:J40 D43:J43 D46:J53 D55:J63 K64:L64">
    <cfRule type="notContainsErrors" dxfId="1112" priority="20">
      <formula>NOT(ISERROR(D24))</formula>
    </cfRule>
  </conditionalFormatting>
  <conditionalFormatting sqref="D65:K65">
    <cfRule type="containsBlanks" dxfId="1111" priority="3">
      <formula>LEN(TRIM(D65))=0</formula>
    </cfRule>
    <cfRule type="notContainsErrors" dxfId="1110" priority="4">
      <formula>NOT(ISERROR(D65))</formula>
    </cfRule>
  </conditionalFormatting>
  <conditionalFormatting sqref="F20:H20">
    <cfRule type="cellIs" dxfId="1109" priority="35" operator="equal">
      <formula>"CUMPLE"</formula>
    </cfRule>
    <cfRule type="cellIs" dxfId="1108" priority="36" operator="equal">
      <formula>"NO CUMPLE"</formula>
    </cfRule>
    <cfRule type="cellIs" dxfId="1107" priority="37" operator="equal">
      <formula>"""CUMPLE"""</formula>
    </cfRule>
  </conditionalFormatting>
  <conditionalFormatting sqref="I11">
    <cfRule type="containsText" dxfId="1106" priority="38" operator="containsText" text="INHABILITADO">
      <formula>NOT(ISERROR(SEARCH("INHABILITADO",I11)))</formula>
    </cfRule>
    <cfRule type="containsText" dxfId="1105" priority="39" operator="containsText" text="HABILITADO">
      <formula>NOT(ISERROR(SEARCH("HABILITADO",I11)))</formula>
    </cfRule>
    <cfRule type="containsText" dxfId="1104" priority="40" operator="containsText" text="HABILITADO">
      <formula>NOT(ISERROR(SEARCH("HABILITADO",I11)))</formula>
    </cfRule>
    <cfRule type="containsText" dxfId="1103" priority="41" operator="containsText" text="NO CUMPLE">
      <formula>NOT(ISERROR(SEARCH("NO CUMPLE",I11)))</formula>
    </cfRule>
  </conditionalFormatting>
  <conditionalFormatting sqref="J20">
    <cfRule type="cellIs" dxfId="1102" priority="12" operator="equal">
      <formula>"SI"</formula>
    </cfRule>
    <cfRule type="cellIs" dxfId="1101" priority="11" operator="equal">
      <formula>"NO"</formula>
    </cfRule>
  </conditionalFormatting>
  <conditionalFormatting sqref="K19">
    <cfRule type="cellIs" dxfId="1100" priority="26" operator="equal">
      <formula>"CUMPLE"</formula>
    </cfRule>
    <cfRule type="cellIs" dxfId="1099" priority="27" operator="equal">
      <formula>"NO CUMPLE"</formula>
    </cfRule>
    <cfRule type="cellIs" dxfId="1098" priority="28" operator="equal">
      <formula>"""CUMPLE"""</formula>
    </cfRule>
  </conditionalFormatting>
  <conditionalFormatting sqref="K25:K63">
    <cfRule type="containsBlanks" dxfId="1097" priority="5">
      <formula>LEN(TRIM(K25))=0</formula>
    </cfRule>
    <cfRule type="notContainsErrors" dxfId="1096" priority="6">
      <formula>NOT(ISERROR(K25))</formula>
    </cfRule>
  </conditionalFormatting>
  <conditionalFormatting sqref="L15">
    <cfRule type="cellIs" dxfId="1095" priority="32" operator="equal">
      <formula>"CUMPLE"</formula>
    </cfRule>
    <cfRule type="cellIs" dxfId="1094" priority="33" operator="equal">
      <formula>"NO CUMPLE"</formula>
    </cfRule>
    <cfRule type="cellIs" dxfId="1093" priority="34" operator="equal">
      <formula>"""CUMPLE"""</formula>
    </cfRule>
  </conditionalFormatting>
  <conditionalFormatting sqref="L20">
    <cfRule type="cellIs" dxfId="1092" priority="10" operator="equal">
      <formula>"SI"</formula>
    </cfRule>
    <cfRule type="cellIs" dxfId="1091" priority="9" operator="equal">
      <formula>"NO"</formula>
    </cfRule>
  </conditionalFormatting>
  <dataValidations count="3">
    <dataValidation type="list" allowBlank="1" showInputMessage="1" showErrorMessage="1" sqref="L57:L64" xr:uid="{00000000-0002-0000-0700-000000000000}">
      <formula1>"0,1,2,3,4,5,6"</formula1>
    </dataValidation>
    <dataValidation type="list" allowBlank="1" showInputMessage="1" showErrorMessage="1" sqref="D24:J26" xr:uid="{00000000-0002-0000-0700-000001000000}">
      <formula1>$C$15:$C$19</formula1>
    </dataValidation>
    <dataValidation type="list" allowBlank="1" showInputMessage="1" showErrorMessage="1" sqref="D65:I65" xr:uid="{00000000-0002-0000-0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700-000003000000}">
          <x14:formula1>
            <xm:f>'DATOS INICIALES'!$C$45:$C$46</xm:f>
          </x14:formula1>
          <xm:sqref>D47:I53 J47:J52</xm:sqref>
        </x14:dataValidation>
        <x14:dataValidation type="list" allowBlank="1" showInputMessage="1" showErrorMessage="1" xr:uid="{00000000-0002-0000-0700-000004000000}">
          <x14:formula1>
            <xm:f>'DATOS INICIALES'!$A$50:$A$52</xm:f>
          </x14:formula1>
          <xm:sqref>D55:I57 D46:J46 J55:J56 D58:J63</xm:sqref>
        </x14:dataValidation>
        <x14:dataValidation type="list" allowBlank="1" showInputMessage="1" showErrorMessage="1" xr:uid="{00000000-0002-0000-0700-000005000000}">
          <x14:formula1>
            <xm:f>'DATOS INICIALES'!$A$54:$A$59</xm:f>
          </x14:formula1>
          <xm:sqref>D23:I23</xm:sqref>
        </x14:dataValidation>
        <x14:dataValidation type="list" allowBlank="1" showInputMessage="1" showErrorMessage="1" xr:uid="{00000000-0002-0000-0700-000006000000}">
          <x14:formula1>
            <xm:f>'DATOS INICIALES'!$D$21:$D$25</xm:f>
          </x14:formula1>
          <xm:sqref>M47:M54</xm:sqref>
        </x14:dataValidation>
        <x14:dataValidation type="list" allowBlank="1" showInputMessage="1" showErrorMessage="1" xr:uid="{00000000-0002-0000-0700-000007000000}">
          <x14:formula1>
            <xm:f>'DATOS INICIALES'!$A$13:$A$43</xm:f>
          </x14:formula1>
          <xm:sqref>D31:I31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65"/>
  <sheetViews>
    <sheetView view="pageBreakPreview" zoomScale="40" zoomScaleNormal="55" zoomScaleSheetLayoutView="40" workbookViewId="0">
      <pane ySplit="11" topLeftCell="A63" activePane="bottomLeft" state="frozenSplit"/>
      <selection activeCell="D65" sqref="D65"/>
      <selection pane="bottomLeft" activeCell="D65" sqref="D65:E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5</v>
      </c>
      <c r="B11" s="2" t="s">
        <v>24</v>
      </c>
      <c r="C11" s="287" t="str">
        <f>VLOOKUP(A11,PROPONENTES!$A$10:$B$42,2,FALSE)</f>
        <v>CONSORCIO PARQUES KENNEDY DP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CONSULTORIA Y CONSTRUCCIONES DARLEV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1741.8372999999997</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1741.8372999999997</v>
      </c>
      <c r="L15" s="236" t="str">
        <f>IF(K15&gt;=J15,"CUMPLE","NO CUMPLE")</f>
        <v>CUMPLE</v>
      </c>
    </row>
    <row r="16" spans="1:12" ht="33.75" customHeight="1" x14ac:dyDescent="0.25">
      <c r="B16" s="244"/>
      <c r="C16" s="100" t="str">
        <f>IF(VLOOKUP(C11,PROPONENTES!B10:N111,4,FALSE)=0,"",VLOOKUP(C11,PROPONENTES!B10:N111,4,FALSE))</f>
        <v xml:space="preserve">CONSTRUCTORA PC INGENIERIA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1741.8372999999997</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1741.8372999999997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227</v>
      </c>
      <c r="E24" s="90" t="s">
        <v>227</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420</v>
      </c>
      <c r="E27" s="91" t="s">
        <v>421</v>
      </c>
      <c r="F27" s="91"/>
      <c r="G27" s="91"/>
      <c r="H27" s="91"/>
      <c r="I27" s="91"/>
      <c r="J27" s="91"/>
      <c r="K27" s="245"/>
      <c r="L27" s="246"/>
    </row>
    <row r="28" spans="2:14" ht="156.75" customHeight="1" x14ac:dyDescent="0.25">
      <c r="B28" s="250"/>
      <c r="C28" s="25" t="s">
        <v>38</v>
      </c>
      <c r="D28" s="91" t="s">
        <v>422</v>
      </c>
      <c r="E28" s="91" t="s">
        <v>423</v>
      </c>
      <c r="F28" s="91"/>
      <c r="G28" s="91"/>
      <c r="H28" s="91"/>
      <c r="I28" s="91"/>
      <c r="J28" s="91"/>
      <c r="K28" s="245"/>
      <c r="L28" s="246"/>
    </row>
    <row r="29" spans="2:14" ht="52.5" customHeight="1" x14ac:dyDescent="0.25">
      <c r="B29" s="250"/>
      <c r="C29" s="25" t="s">
        <v>169</v>
      </c>
      <c r="D29" s="95">
        <v>43651</v>
      </c>
      <c r="E29" s="95">
        <v>42528</v>
      </c>
      <c r="F29" s="95"/>
      <c r="G29" s="95"/>
      <c r="H29" s="95"/>
      <c r="I29" s="95"/>
      <c r="J29" s="95"/>
      <c r="K29" s="245"/>
      <c r="L29" s="246"/>
    </row>
    <row r="30" spans="2:14" ht="54.75" customHeight="1" x14ac:dyDescent="0.25">
      <c r="B30" s="250"/>
      <c r="C30" s="25" t="s">
        <v>42</v>
      </c>
      <c r="D30" s="95">
        <v>44092</v>
      </c>
      <c r="E30" s="95">
        <v>42732</v>
      </c>
      <c r="F30" s="95"/>
      <c r="G30" s="95"/>
      <c r="H30" s="95"/>
      <c r="I30" s="95"/>
      <c r="J30" s="95"/>
      <c r="K30" s="245"/>
      <c r="L30" s="246"/>
    </row>
    <row r="31" spans="2:14" ht="41.25" customHeight="1" x14ac:dyDescent="0.25">
      <c r="B31" s="250"/>
      <c r="C31" s="25" t="s">
        <v>39</v>
      </c>
      <c r="D31" s="92">
        <v>2020</v>
      </c>
      <c r="E31" s="92">
        <v>2016</v>
      </c>
      <c r="F31" s="92"/>
      <c r="G31" s="92"/>
      <c r="H31" s="92"/>
      <c r="I31" s="92"/>
      <c r="J31" s="92"/>
      <c r="K31" s="245"/>
      <c r="L31" s="246"/>
    </row>
    <row r="32" spans="2:14" ht="63" customHeight="1" x14ac:dyDescent="0.25">
      <c r="B32" s="250"/>
      <c r="C32" s="25" t="s">
        <v>40</v>
      </c>
      <c r="D32" s="91" t="s">
        <v>424</v>
      </c>
      <c r="E32" s="91" t="s">
        <v>425</v>
      </c>
      <c r="F32" s="91"/>
      <c r="G32" s="91"/>
      <c r="H32" s="91"/>
      <c r="I32" s="91"/>
      <c r="J32" s="91"/>
      <c r="K32" s="245"/>
      <c r="L32" s="246"/>
    </row>
    <row r="33" spans="2:12" ht="46.5" customHeight="1" x14ac:dyDescent="0.25">
      <c r="B33" s="250"/>
      <c r="C33" s="25" t="s">
        <v>41</v>
      </c>
      <c r="D33" s="91" t="s">
        <v>426</v>
      </c>
      <c r="E33" s="91" t="s">
        <v>426</v>
      </c>
      <c r="F33" s="91"/>
      <c r="G33" s="91"/>
      <c r="H33" s="91"/>
      <c r="I33" s="91"/>
      <c r="J33" s="91"/>
      <c r="K33" s="245"/>
      <c r="L33" s="246"/>
    </row>
    <row r="34" spans="2:12" ht="27.75" customHeight="1" x14ac:dyDescent="0.25">
      <c r="B34" s="250"/>
      <c r="C34" s="27" t="s">
        <v>35</v>
      </c>
      <c r="D34" s="96">
        <v>21</v>
      </c>
      <c r="E34" s="96">
        <v>20</v>
      </c>
      <c r="F34" s="96"/>
      <c r="G34" s="97"/>
      <c r="H34" s="97"/>
      <c r="I34" s="97"/>
      <c r="J34" s="97"/>
      <c r="K34" s="245"/>
      <c r="L34" s="246"/>
    </row>
    <row r="35" spans="2:12" ht="102.75" customHeight="1" x14ac:dyDescent="0.25">
      <c r="B35" s="250"/>
      <c r="C35" s="25" t="s">
        <v>137</v>
      </c>
      <c r="D35" s="93">
        <v>1618.33</v>
      </c>
      <c r="E35" s="93">
        <v>1242.8699999999999</v>
      </c>
      <c r="F35" s="93"/>
      <c r="G35" s="93"/>
      <c r="H35" s="93"/>
      <c r="I35" s="93"/>
      <c r="J35" s="93"/>
      <c r="K35" s="245"/>
      <c r="L35" s="246"/>
    </row>
    <row r="36" spans="2:12" ht="48" customHeight="1" x14ac:dyDescent="0.25">
      <c r="B36" s="250"/>
      <c r="C36" s="25" t="s">
        <v>76</v>
      </c>
      <c r="D36" s="105">
        <f>IFERROR(D35*VLOOKUP(D31,'DATOS INICIALES'!$A$12:$B$43,2,0),"0")</f>
        <v>1420574928.99</v>
      </c>
      <c r="E36" s="105">
        <f>IFERROR(E35*VLOOKUP(E31,'DATOS INICIALES'!$A$12:$B$43,2,0),"0")</f>
        <v>856902935.8499999</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0.7</v>
      </c>
      <c r="E37" s="94">
        <v>0.49</v>
      </c>
      <c r="F37" s="94"/>
      <c r="G37" s="94"/>
      <c r="H37" s="94"/>
      <c r="I37" s="94"/>
      <c r="J37" s="94"/>
      <c r="K37" s="245"/>
      <c r="L37" s="246"/>
    </row>
    <row r="38" spans="2:12" ht="48.75" customHeight="1" x14ac:dyDescent="0.25">
      <c r="B38" s="250"/>
      <c r="C38" s="25" t="s">
        <v>144</v>
      </c>
      <c r="D38" s="105">
        <f t="shared" ref="D38:J38" si="3">IF(D24="","0",D37*D36)</f>
        <v>994402450.29299998</v>
      </c>
      <c r="E38" s="105">
        <f t="shared" si="3"/>
        <v>419882438.56649995</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1132.8309999999999</v>
      </c>
      <c r="E39" s="106">
        <f t="shared" si="4"/>
        <v>609.0062999999999</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14</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090" priority="13">
      <formula>LEN(TRIM(D25))=0</formula>
    </cfRule>
    <cfRule type="notContainsErrors" dxfId="1089" priority="14">
      <formula>NOT(ISERROR(D25))</formula>
    </cfRule>
  </conditionalFormatting>
  <conditionalFormatting sqref="D34:J34 D24:K24 D37:J37 D40:J40 D43:J43 D46:J53 D55:J63 K64:L64 D65:K65">
    <cfRule type="containsBlanks" dxfId="1088" priority="15">
      <formula>LEN(TRIM(D24))=0</formula>
    </cfRule>
  </conditionalFormatting>
  <conditionalFormatting sqref="D46:J53">
    <cfRule type="cellIs" dxfId="1087" priority="11" operator="equal">
      <formula>"NO CUMPLE"</formula>
    </cfRule>
    <cfRule type="cellIs" dxfId="1086" priority="12" operator="equal">
      <formula>"CUMPLE"</formula>
    </cfRule>
  </conditionalFormatting>
  <conditionalFormatting sqref="D54:J54">
    <cfRule type="cellIs" dxfId="1085" priority="27" operator="equal">
      <formula>"""CUMPLE"""</formula>
    </cfRule>
    <cfRule type="cellIs" dxfId="1084" priority="26" operator="equal">
      <formula>"NO CUMPLE"</formula>
    </cfRule>
    <cfRule type="cellIs" dxfId="1083" priority="25" operator="equal">
      <formula>"CUMPLE"</formula>
    </cfRule>
    <cfRule type="cellIs" dxfId="1082" priority="21" operator="equal">
      <formula>"N/A"</formula>
    </cfRule>
  </conditionalFormatting>
  <conditionalFormatting sqref="D55:J63">
    <cfRule type="cellIs" dxfId="1081" priority="3" operator="equal">
      <formula>"NO CUMPLE"</formula>
    </cfRule>
    <cfRule type="cellIs" dxfId="1080" priority="4" operator="equal">
      <formula>"CUMPLE"</formula>
    </cfRule>
  </conditionalFormatting>
  <conditionalFormatting sqref="D64:J64">
    <cfRule type="cellIs" dxfId="1079" priority="19" operator="equal">
      <formula>"NO CUMPLE"</formula>
    </cfRule>
    <cfRule type="cellIs" dxfId="1078" priority="20" operator="equal">
      <formula>"""CUMPLE"""</formula>
    </cfRule>
    <cfRule type="cellIs" dxfId="1077" priority="17" operator="equal">
      <formula>"N/A"</formula>
    </cfRule>
    <cfRule type="cellIs" dxfId="1076" priority="18" operator="equal">
      <formula>"CUMPLE"</formula>
    </cfRule>
  </conditionalFormatting>
  <conditionalFormatting sqref="D65:J65">
    <cfRule type="cellIs" dxfId="1075" priority="9" operator="equal">
      <formula>"NO CUMPLE"</formula>
    </cfRule>
    <cfRule type="cellIs" dxfId="1074" priority="10" operator="equal">
      <formula>"CUMPLE"</formula>
    </cfRule>
  </conditionalFormatting>
  <conditionalFormatting sqref="D24:K24 D34:J34 D37:J37 D40:J40 D43:J43 D46:J53 D55:J63 K64:L64 D65:K65">
    <cfRule type="notContainsErrors" dxfId="1073" priority="16">
      <formula>NOT(ISERROR(D24))</formula>
    </cfRule>
  </conditionalFormatting>
  <conditionalFormatting sqref="F20:H20">
    <cfRule type="cellIs" dxfId="1072" priority="31" operator="equal">
      <formula>"CUMPLE"</formula>
    </cfRule>
    <cfRule type="cellIs" dxfId="1071" priority="32" operator="equal">
      <formula>"NO CUMPLE"</formula>
    </cfRule>
    <cfRule type="cellIs" dxfId="1070" priority="33" operator="equal">
      <formula>"""CUMPLE"""</formula>
    </cfRule>
  </conditionalFormatting>
  <conditionalFormatting sqref="I11">
    <cfRule type="containsText" dxfId="1069" priority="37" operator="containsText" text="NO CUMPLE">
      <formula>NOT(ISERROR(SEARCH("NO CUMPLE",I11)))</formula>
    </cfRule>
    <cfRule type="containsText" dxfId="1068" priority="34" operator="containsText" text="INHABILITADO">
      <formula>NOT(ISERROR(SEARCH("INHABILITADO",I11)))</formula>
    </cfRule>
    <cfRule type="containsText" dxfId="1067" priority="35" operator="containsText" text="HABILITADO">
      <formula>NOT(ISERROR(SEARCH("HABILITADO",I11)))</formula>
    </cfRule>
    <cfRule type="containsText" dxfId="1066" priority="36" operator="containsText" text="HABILITADO">
      <formula>NOT(ISERROR(SEARCH("HABILITADO",I11)))</formula>
    </cfRule>
  </conditionalFormatting>
  <conditionalFormatting sqref="J20">
    <cfRule type="cellIs" dxfId="1065" priority="8" operator="equal">
      <formula>"SI"</formula>
    </cfRule>
    <cfRule type="cellIs" dxfId="1064" priority="7" operator="equal">
      <formula>"NO"</formula>
    </cfRule>
  </conditionalFormatting>
  <conditionalFormatting sqref="K19">
    <cfRule type="cellIs" dxfId="1063" priority="22" operator="equal">
      <formula>"CUMPLE"</formula>
    </cfRule>
    <cfRule type="cellIs" dxfId="1062" priority="23" operator="equal">
      <formula>"NO CUMPLE"</formula>
    </cfRule>
    <cfRule type="cellIs" dxfId="1061" priority="24" operator="equal">
      <formula>"""CUMPLE"""</formula>
    </cfRule>
  </conditionalFormatting>
  <conditionalFormatting sqref="K25:K63">
    <cfRule type="notContainsErrors" dxfId="1060" priority="2">
      <formula>NOT(ISERROR(K25))</formula>
    </cfRule>
    <cfRule type="containsBlanks" dxfId="1059" priority="1">
      <formula>LEN(TRIM(K25))=0</formula>
    </cfRule>
  </conditionalFormatting>
  <conditionalFormatting sqref="L15">
    <cfRule type="cellIs" dxfId="1058" priority="28" operator="equal">
      <formula>"CUMPLE"</formula>
    </cfRule>
    <cfRule type="cellIs" dxfId="1057" priority="29" operator="equal">
      <formula>"NO CUMPLE"</formula>
    </cfRule>
    <cfRule type="cellIs" dxfId="1056" priority="30" operator="equal">
      <formula>"""CUMPLE"""</formula>
    </cfRule>
  </conditionalFormatting>
  <conditionalFormatting sqref="L20">
    <cfRule type="cellIs" dxfId="1055" priority="5" operator="equal">
      <formula>"NO"</formula>
    </cfRule>
    <cfRule type="cellIs" dxfId="1054" priority="6" operator="equal">
      <formula>"SI"</formula>
    </cfRule>
  </conditionalFormatting>
  <dataValidations count="3">
    <dataValidation type="list" allowBlank="1" showInputMessage="1" showErrorMessage="1" sqref="D65:I65" xr:uid="{00000000-0002-0000-0800-000000000000}">
      <formula1>"CUMPLE,NO CUMPLE"</formula1>
    </dataValidation>
    <dataValidation type="list" allowBlank="1" showInputMessage="1" showErrorMessage="1" sqref="D24:J26" xr:uid="{00000000-0002-0000-0800-000001000000}">
      <formula1>$C$15:$C$19</formula1>
    </dataValidation>
    <dataValidation type="list" allowBlank="1" showInputMessage="1" showErrorMessage="1" sqref="L57:L64" xr:uid="{00000000-0002-0000-08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800-000003000000}">
          <x14:formula1>
            <xm:f>'DATOS INICIALES'!$A$13:$A$43</xm:f>
          </x14:formula1>
          <xm:sqref>D31:I31</xm:sqref>
        </x14:dataValidation>
        <x14:dataValidation type="list" allowBlank="1" showInputMessage="1" showErrorMessage="1" xr:uid="{00000000-0002-0000-0800-000004000000}">
          <x14:formula1>
            <xm:f>'DATOS INICIALES'!$D$21:$D$25</xm:f>
          </x14:formula1>
          <xm:sqref>M47:M54</xm:sqref>
        </x14:dataValidation>
        <x14:dataValidation type="list" allowBlank="1" showInputMessage="1" showErrorMessage="1" xr:uid="{00000000-0002-0000-0800-000005000000}">
          <x14:formula1>
            <xm:f>'DATOS INICIALES'!$A$54:$A$59</xm:f>
          </x14:formula1>
          <xm:sqref>D23:I23</xm:sqref>
        </x14:dataValidation>
        <x14:dataValidation type="list" allowBlank="1" showInputMessage="1" showErrorMessage="1" xr:uid="{00000000-0002-0000-0800-000006000000}">
          <x14:formula1>
            <xm:f>'DATOS INICIALES'!$A$50:$A$52</xm:f>
          </x14:formula1>
          <xm:sqref>D55:I57 D46:J46 J55:J56 D58:J63</xm:sqref>
        </x14:dataValidation>
        <x14:dataValidation type="list" allowBlank="1" showInputMessage="1" showErrorMessage="1" xr:uid="{00000000-0002-0000-0800-000007000000}">
          <x14:formula1>
            <xm:f>'DATOS INICIALES'!$C$45:$C$46</xm:f>
          </x14:formula1>
          <xm:sqref>D47:I53 J47:J52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65"/>
  <sheetViews>
    <sheetView view="pageBreakPreview" topLeftCell="B1" zoomScale="55" zoomScaleNormal="55" zoomScaleSheetLayoutView="55" workbookViewId="0">
      <pane ySplit="11" topLeftCell="A25"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6</v>
      </c>
      <c r="B11" s="2" t="s">
        <v>24</v>
      </c>
      <c r="C11" s="287" t="str">
        <f>VLOOKUP(A11,PROPONENTES!$A$10:$B$42,2,FALSE)</f>
        <v>CONSORCIO PARQUES KENNEDY 2024 - 1</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ICOD S.A.S</v>
      </c>
      <c r="D15" s="101">
        <f>IF(VLOOKUP(C11,PROPONENTES!B10:N111,3,FALSE)=0,"",VLOOKUP(C11,PROPONENTES!B10:N111,3,FALSE))</f>
        <v>0.95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2656.3920000000003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2656.3920000000003</v>
      </c>
      <c r="L15" s="236" t="str">
        <f>IF(K15&gt;=J15,"CUMPLE","NO CUMPLE")</f>
        <v>CUMPLE</v>
      </c>
    </row>
    <row r="16" spans="1:12" ht="33.75" customHeight="1" x14ac:dyDescent="0.25">
      <c r="B16" s="244"/>
      <c r="C16" s="100" t="str">
        <f>IF(VLOOKUP(C11,PROPONENTES!B10:N111,4,FALSE)=0,"",VLOOKUP(C11,PROPONENTES!B10:N111,4,FALSE))</f>
        <v xml:space="preserve">ING CONSTRUCTORES GPS </v>
      </c>
      <c r="D16" s="101">
        <f>IF(VLOOKUP(C11,PROPONENTES!B10:N111,5,FALSE)=0,"",VLOOKUP(C11,PROPONENTES!B10:N111,5,FALSE))</f>
        <v>0.05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2656.3920000000003</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2656.3920000000003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203</v>
      </c>
      <c r="E24" s="90" t="s">
        <v>203</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345</v>
      </c>
      <c r="E27" s="91" t="s">
        <v>346</v>
      </c>
      <c r="F27" s="91"/>
      <c r="G27" s="91"/>
      <c r="H27" s="91"/>
      <c r="I27" s="91"/>
      <c r="J27" s="91"/>
      <c r="K27" s="245"/>
      <c r="L27" s="246"/>
    </row>
    <row r="28" spans="2:14" ht="156.75" customHeight="1" x14ac:dyDescent="0.25">
      <c r="B28" s="250"/>
      <c r="C28" s="25" t="s">
        <v>38</v>
      </c>
      <c r="D28" s="91" t="s">
        <v>347</v>
      </c>
      <c r="E28" s="91" t="s">
        <v>348</v>
      </c>
      <c r="F28" s="91"/>
      <c r="G28" s="91"/>
      <c r="H28" s="91"/>
      <c r="I28" s="91"/>
      <c r="J28" s="91"/>
      <c r="K28" s="245"/>
      <c r="L28" s="246"/>
    </row>
    <row r="29" spans="2:14" ht="52.5" customHeight="1" x14ac:dyDescent="0.25">
      <c r="B29" s="250"/>
      <c r="C29" s="25" t="s">
        <v>169</v>
      </c>
      <c r="D29" s="95">
        <v>43724</v>
      </c>
      <c r="E29" s="95">
        <v>44254</v>
      </c>
      <c r="F29" s="95"/>
      <c r="G29" s="95"/>
      <c r="H29" s="95"/>
      <c r="I29" s="95"/>
      <c r="J29" s="95"/>
      <c r="K29" s="245"/>
      <c r="L29" s="246"/>
    </row>
    <row r="30" spans="2:14" ht="54.75" customHeight="1" x14ac:dyDescent="0.25">
      <c r="B30" s="250"/>
      <c r="C30" s="25" t="s">
        <v>42</v>
      </c>
      <c r="D30" s="95">
        <v>45012</v>
      </c>
      <c r="E30" s="95">
        <v>45518</v>
      </c>
      <c r="F30" s="95"/>
      <c r="G30" s="95"/>
      <c r="H30" s="95"/>
      <c r="I30" s="95"/>
      <c r="J30" s="95"/>
      <c r="K30" s="245"/>
      <c r="L30" s="246"/>
    </row>
    <row r="31" spans="2:14" ht="41.25" customHeight="1" x14ac:dyDescent="0.25">
      <c r="B31" s="250"/>
      <c r="C31" s="25" t="s">
        <v>39</v>
      </c>
      <c r="D31" s="92">
        <v>2023</v>
      </c>
      <c r="E31" s="92">
        <v>2024</v>
      </c>
      <c r="F31" s="92"/>
      <c r="G31" s="92"/>
      <c r="H31" s="92"/>
      <c r="I31" s="92"/>
      <c r="J31" s="92"/>
      <c r="K31" s="245"/>
      <c r="L31" s="246"/>
    </row>
    <row r="32" spans="2:14" ht="63" customHeight="1" x14ac:dyDescent="0.25">
      <c r="B32" s="250"/>
      <c r="C32" s="25" t="s">
        <v>40</v>
      </c>
      <c r="D32" s="91" t="s">
        <v>349</v>
      </c>
      <c r="E32" s="91" t="s">
        <v>350</v>
      </c>
      <c r="F32" s="91"/>
      <c r="G32" s="91"/>
      <c r="H32" s="91"/>
      <c r="I32" s="91"/>
      <c r="J32" s="91"/>
      <c r="K32" s="245"/>
      <c r="L32" s="246"/>
    </row>
    <row r="33" spans="2:12" ht="46.5" customHeight="1" x14ac:dyDescent="0.25">
      <c r="B33" s="250"/>
      <c r="C33" s="25" t="s">
        <v>41</v>
      </c>
      <c r="D33" s="91" t="s">
        <v>351</v>
      </c>
      <c r="E33" s="91" t="s">
        <v>352</v>
      </c>
      <c r="F33" s="91"/>
      <c r="G33" s="91"/>
      <c r="H33" s="91"/>
      <c r="I33" s="91"/>
      <c r="J33" s="91"/>
      <c r="K33" s="245"/>
      <c r="L33" s="246"/>
    </row>
    <row r="34" spans="2:12" ht="27.75" customHeight="1" x14ac:dyDescent="0.25">
      <c r="B34" s="250"/>
      <c r="C34" s="27" t="s">
        <v>35</v>
      </c>
      <c r="D34" s="96">
        <v>7</v>
      </c>
      <c r="E34" s="96">
        <v>24</v>
      </c>
      <c r="F34" s="96"/>
      <c r="G34" s="97"/>
      <c r="H34" s="97"/>
      <c r="I34" s="97"/>
      <c r="J34" s="97"/>
      <c r="K34" s="245"/>
      <c r="L34" s="246"/>
    </row>
    <row r="35" spans="2:12" ht="102.75" customHeight="1" x14ac:dyDescent="0.25">
      <c r="B35" s="250"/>
      <c r="C35" s="25" t="s">
        <v>137</v>
      </c>
      <c r="D35" s="93">
        <v>4483.22</v>
      </c>
      <c r="E35" s="93">
        <v>8631.0400000000009</v>
      </c>
      <c r="F35" s="93"/>
      <c r="G35" s="93"/>
      <c r="H35" s="93"/>
      <c r="I35" s="93"/>
      <c r="J35" s="93"/>
      <c r="K35" s="245"/>
      <c r="L35" s="246"/>
    </row>
    <row r="36" spans="2:12" ht="48" customHeight="1" x14ac:dyDescent="0.25">
      <c r="B36" s="250"/>
      <c r="C36" s="25" t="s">
        <v>76</v>
      </c>
      <c r="D36" s="105">
        <f>IFERROR(D35*VLOOKUP(D31,'DATOS INICIALES'!$A$12:$B$43,2,0),"0")</f>
        <v>5200535200</v>
      </c>
      <c r="E36" s="105">
        <f>IFERROR(E35*VLOOKUP(E31,'DATOS INICIALES'!$A$12:$B$43,2,0),"0")</f>
        <v>11220352000.000002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0.4</v>
      </c>
      <c r="E37" s="94">
        <v>0.1</v>
      </c>
      <c r="F37" s="94"/>
      <c r="G37" s="94"/>
      <c r="H37" s="94"/>
      <c r="I37" s="94"/>
      <c r="J37" s="94"/>
      <c r="K37" s="245"/>
      <c r="L37" s="246"/>
    </row>
    <row r="38" spans="2:12" ht="48.75" customHeight="1" x14ac:dyDescent="0.25">
      <c r="B38" s="250"/>
      <c r="C38" s="25" t="s">
        <v>144</v>
      </c>
      <c r="D38" s="105">
        <f t="shared" ref="D38:J38" si="3">IF(D24="","0",D37*D36)</f>
        <v>2080214080</v>
      </c>
      <c r="E38" s="105">
        <f t="shared" si="3"/>
        <v>1122035200.0000002</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1793.2880000000002</v>
      </c>
      <c r="E39" s="106">
        <f t="shared" si="4"/>
        <v>863.10400000000016</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c r="E47" s="96"/>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053" priority="13">
      <formula>LEN(TRIM(D25))=0</formula>
    </cfRule>
    <cfRule type="notContainsErrors" dxfId="1052" priority="14">
      <formula>NOT(ISERROR(D25))</formula>
    </cfRule>
  </conditionalFormatting>
  <conditionalFormatting sqref="D34:J34 D24:K24 D37:J37 D40:J40 D43:J43 D46:J53 D55:J63 K64:L64 D65:K65">
    <cfRule type="containsBlanks" dxfId="1051" priority="15">
      <formula>LEN(TRIM(D24))=0</formula>
    </cfRule>
  </conditionalFormatting>
  <conditionalFormatting sqref="D46:J53">
    <cfRule type="cellIs" dxfId="1050" priority="11" operator="equal">
      <formula>"NO CUMPLE"</formula>
    </cfRule>
    <cfRule type="cellIs" dxfId="1049" priority="12" operator="equal">
      <formula>"CUMPLE"</formula>
    </cfRule>
  </conditionalFormatting>
  <conditionalFormatting sqref="D54:J54">
    <cfRule type="cellIs" dxfId="1048" priority="27" operator="equal">
      <formula>"""CUMPLE"""</formula>
    </cfRule>
    <cfRule type="cellIs" dxfId="1047" priority="26" operator="equal">
      <formula>"NO CUMPLE"</formula>
    </cfRule>
    <cfRule type="cellIs" dxfId="1046" priority="25" operator="equal">
      <formula>"CUMPLE"</formula>
    </cfRule>
    <cfRule type="cellIs" dxfId="1045" priority="21" operator="equal">
      <formula>"N/A"</formula>
    </cfRule>
  </conditionalFormatting>
  <conditionalFormatting sqref="D55:J63">
    <cfRule type="cellIs" dxfId="1044" priority="3" operator="equal">
      <formula>"NO CUMPLE"</formula>
    </cfRule>
    <cfRule type="cellIs" dxfId="1043" priority="4" operator="equal">
      <formula>"CUMPLE"</formula>
    </cfRule>
  </conditionalFormatting>
  <conditionalFormatting sqref="D64:J64">
    <cfRule type="cellIs" dxfId="1042" priority="19" operator="equal">
      <formula>"NO CUMPLE"</formula>
    </cfRule>
    <cfRule type="cellIs" dxfId="1041" priority="20" operator="equal">
      <formula>"""CUMPLE"""</formula>
    </cfRule>
    <cfRule type="cellIs" dxfId="1040" priority="17" operator="equal">
      <formula>"N/A"</formula>
    </cfRule>
    <cfRule type="cellIs" dxfId="1039" priority="18" operator="equal">
      <formula>"CUMPLE"</formula>
    </cfRule>
  </conditionalFormatting>
  <conditionalFormatting sqref="D65:J65">
    <cfRule type="cellIs" dxfId="1038" priority="9" operator="equal">
      <formula>"NO CUMPLE"</formula>
    </cfRule>
    <cfRule type="cellIs" dxfId="1037" priority="10" operator="equal">
      <formula>"CUMPLE"</formula>
    </cfRule>
  </conditionalFormatting>
  <conditionalFormatting sqref="D24:K24 D34:J34 D37:J37 D40:J40 D43:J43 D46:J53 D55:J63 K64:L64 D65:K65">
    <cfRule type="notContainsErrors" dxfId="1036" priority="16">
      <formula>NOT(ISERROR(D24))</formula>
    </cfRule>
  </conditionalFormatting>
  <conditionalFormatting sqref="F20:H20">
    <cfRule type="cellIs" dxfId="1035" priority="31" operator="equal">
      <formula>"CUMPLE"</formula>
    </cfRule>
    <cfRule type="cellIs" dxfId="1034" priority="32" operator="equal">
      <formula>"NO CUMPLE"</formula>
    </cfRule>
    <cfRule type="cellIs" dxfId="1033" priority="33" operator="equal">
      <formula>"""CUMPLE"""</formula>
    </cfRule>
  </conditionalFormatting>
  <conditionalFormatting sqref="I11">
    <cfRule type="containsText" dxfId="1032" priority="37" operator="containsText" text="NO CUMPLE">
      <formula>NOT(ISERROR(SEARCH("NO CUMPLE",I11)))</formula>
    </cfRule>
    <cfRule type="containsText" dxfId="1031" priority="34" operator="containsText" text="INHABILITADO">
      <formula>NOT(ISERROR(SEARCH("INHABILITADO",I11)))</formula>
    </cfRule>
    <cfRule type="containsText" dxfId="1030" priority="35" operator="containsText" text="HABILITADO">
      <formula>NOT(ISERROR(SEARCH("HABILITADO",I11)))</formula>
    </cfRule>
    <cfRule type="containsText" dxfId="1029" priority="36" operator="containsText" text="HABILITADO">
      <formula>NOT(ISERROR(SEARCH("HABILITADO",I11)))</formula>
    </cfRule>
  </conditionalFormatting>
  <conditionalFormatting sqref="J20">
    <cfRule type="cellIs" dxfId="1028" priority="8" operator="equal">
      <formula>"SI"</formula>
    </cfRule>
    <cfRule type="cellIs" dxfId="1027" priority="7" operator="equal">
      <formula>"NO"</formula>
    </cfRule>
  </conditionalFormatting>
  <conditionalFormatting sqref="K19">
    <cfRule type="cellIs" dxfId="1026" priority="22" operator="equal">
      <formula>"CUMPLE"</formula>
    </cfRule>
    <cfRule type="cellIs" dxfId="1025" priority="23" operator="equal">
      <formula>"NO CUMPLE"</formula>
    </cfRule>
    <cfRule type="cellIs" dxfId="1024" priority="24" operator="equal">
      <formula>"""CUMPLE"""</formula>
    </cfRule>
  </conditionalFormatting>
  <conditionalFormatting sqref="K25:K63">
    <cfRule type="notContainsErrors" dxfId="1023" priority="2">
      <formula>NOT(ISERROR(K25))</formula>
    </cfRule>
    <cfRule type="containsBlanks" dxfId="1022" priority="1">
      <formula>LEN(TRIM(K25))=0</formula>
    </cfRule>
  </conditionalFormatting>
  <conditionalFormatting sqref="L15">
    <cfRule type="cellIs" dxfId="1021" priority="28" operator="equal">
      <formula>"CUMPLE"</formula>
    </cfRule>
    <cfRule type="cellIs" dxfId="1020" priority="29" operator="equal">
      <formula>"NO CUMPLE"</formula>
    </cfRule>
    <cfRule type="cellIs" dxfId="1019" priority="30" operator="equal">
      <formula>"""CUMPLE"""</formula>
    </cfRule>
  </conditionalFormatting>
  <conditionalFormatting sqref="L20">
    <cfRule type="cellIs" dxfId="1018" priority="5" operator="equal">
      <formula>"NO"</formula>
    </cfRule>
    <cfRule type="cellIs" dxfId="1017" priority="6" operator="equal">
      <formula>"SI"</formula>
    </cfRule>
  </conditionalFormatting>
  <dataValidations count="3">
    <dataValidation type="list" allowBlank="1" showInputMessage="1" showErrorMessage="1" sqref="L57:L64" xr:uid="{00000000-0002-0000-0900-000000000000}">
      <formula1>"0,1,2,3,4,5,6"</formula1>
    </dataValidation>
    <dataValidation type="list" allowBlank="1" showInputMessage="1" showErrorMessage="1" sqref="D24:J26" xr:uid="{00000000-0002-0000-0900-000001000000}">
      <formula1>$C$15:$C$19</formula1>
    </dataValidation>
    <dataValidation type="list" allowBlank="1" showInputMessage="1" showErrorMessage="1" sqref="D65:I65" xr:uid="{00000000-0002-0000-0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900-000003000000}">
          <x14:formula1>
            <xm:f>'DATOS INICIALES'!$C$45:$C$46</xm:f>
          </x14:formula1>
          <xm:sqref>D47:I53 J47:J52</xm:sqref>
        </x14:dataValidation>
        <x14:dataValidation type="list" allowBlank="1" showInputMessage="1" showErrorMessage="1" xr:uid="{00000000-0002-0000-0900-000004000000}">
          <x14:formula1>
            <xm:f>'DATOS INICIALES'!$A$50:$A$52</xm:f>
          </x14:formula1>
          <xm:sqref>D55:I57 D46:J46 J55:J56 D58:J63</xm:sqref>
        </x14:dataValidation>
        <x14:dataValidation type="list" allowBlank="1" showInputMessage="1" showErrorMessage="1" xr:uid="{00000000-0002-0000-0900-000005000000}">
          <x14:formula1>
            <xm:f>'DATOS INICIALES'!$A$54:$A$59</xm:f>
          </x14:formula1>
          <xm:sqref>D23:I23</xm:sqref>
        </x14:dataValidation>
        <x14:dataValidation type="list" allowBlank="1" showInputMessage="1" showErrorMessage="1" xr:uid="{00000000-0002-0000-0900-000006000000}">
          <x14:formula1>
            <xm:f>'DATOS INICIALES'!$D$21:$D$25</xm:f>
          </x14:formula1>
          <xm:sqref>M47:M54</xm:sqref>
        </x14:dataValidation>
        <x14:dataValidation type="list" allowBlank="1" showInputMessage="1" showErrorMessage="1" xr:uid="{00000000-0002-0000-0900-000007000000}">
          <x14:formula1>
            <xm:f>'DATOS INICIALES'!$A$13:$A$43</xm:f>
          </x14:formula1>
          <xm:sqref>D31:I31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65"/>
  <sheetViews>
    <sheetView view="pageBreakPreview" topLeftCell="D1" zoomScale="55" zoomScaleNormal="55" zoomScaleSheetLayoutView="55" workbookViewId="0">
      <pane ySplit="11" topLeftCell="A62" activePane="bottomLeft" state="frozenSplit"/>
      <selection activeCell="D65" sqref="D65"/>
      <selection pane="bottomLeft" activeCell="K64" sqref="K64:L64"/>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42.2851562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7</v>
      </c>
      <c r="B11" s="2" t="s">
        <v>24</v>
      </c>
      <c r="C11" s="287" t="str">
        <f>VLOOKUP(A11,PROPONENTES!$A$10:$B$42,2,FALSE)</f>
        <v>RETIN INGENIERIA S.A.S.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RETIN INGENIERIA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6579.9800000000005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6579.9800000000005</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6579.9800000000005</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6579.9800000000005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201</v>
      </c>
      <c r="E24" s="90" t="s">
        <v>201</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353</v>
      </c>
      <c r="E27" s="91" t="s">
        <v>354</v>
      </c>
      <c r="F27" s="91"/>
      <c r="G27" s="91"/>
      <c r="H27" s="91"/>
      <c r="I27" s="91"/>
      <c r="J27" s="91"/>
      <c r="K27" s="245"/>
      <c r="L27" s="246"/>
    </row>
    <row r="28" spans="2:14" ht="156.75" customHeight="1" x14ac:dyDescent="0.25">
      <c r="B28" s="250"/>
      <c r="C28" s="25" t="s">
        <v>38</v>
      </c>
      <c r="D28" s="91" t="s">
        <v>355</v>
      </c>
      <c r="E28" s="91" t="s">
        <v>356</v>
      </c>
      <c r="F28" s="91"/>
      <c r="G28" s="91"/>
      <c r="H28" s="91"/>
      <c r="I28" s="91"/>
      <c r="J28" s="91"/>
      <c r="K28" s="245"/>
      <c r="L28" s="246"/>
    </row>
    <row r="29" spans="2:14" ht="52.5" customHeight="1" x14ac:dyDescent="0.25">
      <c r="B29" s="250"/>
      <c r="C29" s="25" t="s">
        <v>169</v>
      </c>
      <c r="D29" s="95">
        <v>41990</v>
      </c>
      <c r="E29" s="95">
        <v>42240</v>
      </c>
      <c r="F29" s="95"/>
      <c r="G29" s="95"/>
      <c r="H29" s="95"/>
      <c r="I29" s="95"/>
      <c r="J29" s="95"/>
      <c r="K29" s="245"/>
      <c r="L29" s="246"/>
    </row>
    <row r="30" spans="2:14" ht="54.75" customHeight="1" x14ac:dyDescent="0.25">
      <c r="B30" s="250"/>
      <c r="C30" s="25" t="s">
        <v>42</v>
      </c>
      <c r="D30" s="95">
        <v>42354</v>
      </c>
      <c r="E30" s="95">
        <v>42429</v>
      </c>
      <c r="F30" s="95"/>
      <c r="G30" s="95"/>
      <c r="H30" s="95"/>
      <c r="I30" s="95"/>
      <c r="J30" s="95"/>
      <c r="K30" s="245"/>
      <c r="L30" s="246"/>
    </row>
    <row r="31" spans="2:14" ht="41.25" customHeight="1" x14ac:dyDescent="0.25">
      <c r="B31" s="250"/>
      <c r="C31" s="25" t="s">
        <v>39</v>
      </c>
      <c r="D31" s="92">
        <v>2015</v>
      </c>
      <c r="E31" s="92">
        <v>2016</v>
      </c>
      <c r="F31" s="92"/>
      <c r="G31" s="92"/>
      <c r="H31" s="92"/>
      <c r="I31" s="92"/>
      <c r="J31" s="92"/>
      <c r="K31" s="245"/>
      <c r="L31" s="246"/>
    </row>
    <row r="32" spans="2:14" ht="63" customHeight="1" x14ac:dyDescent="0.25">
      <c r="B32" s="250"/>
      <c r="C32" s="25" t="s">
        <v>40</v>
      </c>
      <c r="D32" s="91" t="s">
        <v>357</v>
      </c>
      <c r="E32" s="91" t="s">
        <v>357</v>
      </c>
      <c r="F32" s="91"/>
      <c r="G32" s="91"/>
      <c r="H32" s="91"/>
      <c r="I32" s="91"/>
      <c r="J32" s="91"/>
      <c r="K32" s="245"/>
      <c r="L32" s="246"/>
    </row>
    <row r="33" spans="2:12" ht="46.5" customHeight="1" x14ac:dyDescent="0.25">
      <c r="B33" s="250"/>
      <c r="C33" s="25" t="s">
        <v>41</v>
      </c>
      <c r="D33" s="91" t="s">
        <v>358</v>
      </c>
      <c r="E33" s="91" t="s">
        <v>359</v>
      </c>
      <c r="F33" s="91"/>
      <c r="G33" s="91"/>
      <c r="H33" s="91"/>
      <c r="I33" s="91"/>
      <c r="J33" s="91"/>
      <c r="K33" s="245"/>
      <c r="L33" s="246"/>
    </row>
    <row r="34" spans="2:12" ht="27.75" customHeight="1" x14ac:dyDescent="0.25">
      <c r="B34" s="250"/>
      <c r="C34" s="27" t="s">
        <v>35</v>
      </c>
      <c r="D34" s="96">
        <v>12</v>
      </c>
      <c r="E34" s="96">
        <v>14</v>
      </c>
      <c r="F34" s="96"/>
      <c r="G34" s="97"/>
      <c r="H34" s="97"/>
      <c r="I34" s="97"/>
      <c r="J34" s="97"/>
      <c r="K34" s="245"/>
      <c r="L34" s="246"/>
    </row>
    <row r="35" spans="2:12" ht="102.75" customHeight="1" x14ac:dyDescent="0.25">
      <c r="B35" s="250"/>
      <c r="C35" s="25" t="s">
        <v>137</v>
      </c>
      <c r="D35" s="93">
        <v>4680.01</v>
      </c>
      <c r="E35" s="93">
        <v>8479.9500000000007</v>
      </c>
      <c r="F35" s="93"/>
      <c r="G35" s="93"/>
      <c r="H35" s="93"/>
      <c r="I35" s="93"/>
      <c r="J35" s="93"/>
      <c r="K35" s="245"/>
      <c r="L35" s="246"/>
    </row>
    <row r="36" spans="2:12" ht="48" customHeight="1" x14ac:dyDescent="0.25">
      <c r="B36" s="250"/>
      <c r="C36" s="25" t="s">
        <v>76</v>
      </c>
      <c r="D36" s="105">
        <f>IFERROR(D35*VLOOKUP(D31,'DATOS INICIALES'!$A$12:$B$43,2,0),"0")</f>
        <v>3015564443.5</v>
      </c>
      <c r="E36" s="105">
        <f>IFERROR(E35*VLOOKUP(E31,'DATOS INICIALES'!$A$12:$B$43,2,0),"0")</f>
        <v>5846543927.250001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0.5</v>
      </c>
      <c r="F37" s="94"/>
      <c r="G37" s="94"/>
      <c r="H37" s="94"/>
      <c r="I37" s="94"/>
      <c r="J37" s="94"/>
      <c r="K37" s="245"/>
      <c r="L37" s="246"/>
    </row>
    <row r="38" spans="2:12" ht="48.75" customHeight="1" x14ac:dyDescent="0.25">
      <c r="B38" s="250"/>
      <c r="C38" s="25" t="s">
        <v>144</v>
      </c>
      <c r="D38" s="105">
        <f t="shared" ref="D38:J38" si="3">IF(D24="","0",D37*D36)</f>
        <v>1507782221.75</v>
      </c>
      <c r="E38" s="105">
        <f t="shared" si="3"/>
        <v>2923271963.6250005</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2340.0050000000001</v>
      </c>
      <c r="E39" s="106">
        <f t="shared" si="4"/>
        <v>4239.9750000000004</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245"/>
      <c r="L64" s="246"/>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1">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 ref="K64:L64"/>
  </mergeCells>
  <conditionalFormatting sqref="D25:J35">
    <cfRule type="containsBlanks" dxfId="1016" priority="15">
      <formula>LEN(TRIM(D25))=0</formula>
    </cfRule>
    <cfRule type="notContainsErrors" dxfId="1015" priority="16">
      <formula>NOT(ISERROR(D25))</formula>
    </cfRule>
  </conditionalFormatting>
  <conditionalFormatting sqref="D34:J34 D24:K24 D37:J37 D40:J40 D43:J43 D46:J53 D55:J63 D65:K65">
    <cfRule type="containsBlanks" dxfId="1014" priority="17">
      <formula>LEN(TRIM(D24))=0</formula>
    </cfRule>
  </conditionalFormatting>
  <conditionalFormatting sqref="D46:J53">
    <cfRule type="cellIs" dxfId="1013" priority="13" operator="equal">
      <formula>"NO CUMPLE"</formula>
    </cfRule>
    <cfRule type="cellIs" dxfId="1012" priority="14" operator="equal">
      <formula>"CUMPLE"</formula>
    </cfRule>
  </conditionalFormatting>
  <conditionalFormatting sqref="D54:J54">
    <cfRule type="cellIs" dxfId="1011" priority="29" operator="equal">
      <formula>"""CUMPLE"""</formula>
    </cfRule>
    <cfRule type="cellIs" dxfId="1010" priority="28" operator="equal">
      <formula>"NO CUMPLE"</formula>
    </cfRule>
    <cfRule type="cellIs" dxfId="1009" priority="27" operator="equal">
      <formula>"CUMPLE"</formula>
    </cfRule>
    <cfRule type="cellIs" dxfId="1008" priority="23" operator="equal">
      <formula>"N/A"</formula>
    </cfRule>
  </conditionalFormatting>
  <conditionalFormatting sqref="D55:J63">
    <cfRule type="cellIs" dxfId="1007" priority="5" operator="equal">
      <formula>"NO CUMPLE"</formula>
    </cfRule>
    <cfRule type="cellIs" dxfId="1006" priority="6" operator="equal">
      <formula>"CUMPLE"</formula>
    </cfRule>
  </conditionalFormatting>
  <conditionalFormatting sqref="D64:J64">
    <cfRule type="cellIs" dxfId="1005" priority="21" operator="equal">
      <formula>"NO CUMPLE"</formula>
    </cfRule>
    <cfRule type="cellIs" dxfId="1004" priority="22" operator="equal">
      <formula>"""CUMPLE"""</formula>
    </cfRule>
    <cfRule type="cellIs" dxfId="1003" priority="19" operator="equal">
      <formula>"N/A"</formula>
    </cfRule>
    <cfRule type="cellIs" dxfId="1002" priority="20" operator="equal">
      <formula>"CUMPLE"</formula>
    </cfRule>
  </conditionalFormatting>
  <conditionalFormatting sqref="D65:J65">
    <cfRule type="cellIs" dxfId="1001" priority="11" operator="equal">
      <formula>"NO CUMPLE"</formula>
    </cfRule>
    <cfRule type="cellIs" dxfId="1000" priority="12" operator="equal">
      <formula>"CUMPLE"</formula>
    </cfRule>
  </conditionalFormatting>
  <conditionalFormatting sqref="D24:K24 D34:J34 D37:J37 D40:J40 D43:J43 D46:J53 D55:J63 D65:K65">
    <cfRule type="notContainsErrors" dxfId="999" priority="18">
      <formula>NOT(ISERROR(D24))</formula>
    </cfRule>
  </conditionalFormatting>
  <conditionalFormatting sqref="F20:H20">
    <cfRule type="cellIs" dxfId="998" priority="33" operator="equal">
      <formula>"CUMPLE"</formula>
    </cfRule>
    <cfRule type="cellIs" dxfId="997" priority="34" operator="equal">
      <formula>"NO CUMPLE"</formula>
    </cfRule>
    <cfRule type="cellIs" dxfId="996" priority="35" operator="equal">
      <formula>"""CUMPLE"""</formula>
    </cfRule>
  </conditionalFormatting>
  <conditionalFormatting sqref="I11">
    <cfRule type="containsText" dxfId="995" priority="39" operator="containsText" text="NO CUMPLE">
      <formula>NOT(ISERROR(SEARCH("NO CUMPLE",I11)))</formula>
    </cfRule>
    <cfRule type="containsText" dxfId="994" priority="36" operator="containsText" text="INHABILITADO">
      <formula>NOT(ISERROR(SEARCH("INHABILITADO",I11)))</formula>
    </cfRule>
    <cfRule type="containsText" dxfId="993" priority="37" operator="containsText" text="HABILITADO">
      <formula>NOT(ISERROR(SEARCH("HABILITADO",I11)))</formula>
    </cfRule>
    <cfRule type="containsText" dxfId="992" priority="38" operator="containsText" text="HABILITADO">
      <formula>NOT(ISERROR(SEARCH("HABILITADO",I11)))</formula>
    </cfRule>
  </conditionalFormatting>
  <conditionalFormatting sqref="J20">
    <cfRule type="cellIs" dxfId="991" priority="10" operator="equal">
      <formula>"SI"</formula>
    </cfRule>
    <cfRule type="cellIs" dxfId="990" priority="9" operator="equal">
      <formula>"NO"</formula>
    </cfRule>
  </conditionalFormatting>
  <conditionalFormatting sqref="K19">
    <cfRule type="cellIs" dxfId="989" priority="24" operator="equal">
      <formula>"CUMPLE"</formula>
    </cfRule>
    <cfRule type="cellIs" dxfId="988" priority="25" operator="equal">
      <formula>"NO CUMPLE"</formula>
    </cfRule>
    <cfRule type="cellIs" dxfId="987" priority="26" operator="equal">
      <formula>"""CUMPLE"""</formula>
    </cfRule>
  </conditionalFormatting>
  <conditionalFormatting sqref="K25:K64">
    <cfRule type="notContainsErrors" dxfId="986" priority="2">
      <formula>NOT(ISERROR(K25))</formula>
    </cfRule>
    <cfRule type="containsBlanks" dxfId="985" priority="1">
      <formula>LEN(TRIM(K25))=0</formula>
    </cfRule>
  </conditionalFormatting>
  <conditionalFormatting sqref="L15">
    <cfRule type="cellIs" dxfId="984" priority="30" operator="equal">
      <formula>"CUMPLE"</formula>
    </cfRule>
    <cfRule type="cellIs" dxfId="983" priority="31" operator="equal">
      <formula>"NO CUMPLE"</formula>
    </cfRule>
    <cfRule type="cellIs" dxfId="982" priority="32" operator="equal">
      <formula>"""CUMPLE"""</formula>
    </cfRule>
  </conditionalFormatting>
  <conditionalFormatting sqref="L20">
    <cfRule type="cellIs" dxfId="981" priority="7" operator="equal">
      <formula>"NO"</formula>
    </cfRule>
    <cfRule type="cellIs" dxfId="980" priority="8" operator="equal">
      <formula>"SI"</formula>
    </cfRule>
  </conditionalFormatting>
  <dataValidations count="3">
    <dataValidation type="list" allowBlank="1" showInputMessage="1" showErrorMessage="1" sqref="D65:I65" xr:uid="{00000000-0002-0000-0A00-000000000000}">
      <formula1>"CUMPLE,NO CUMPLE"</formula1>
    </dataValidation>
    <dataValidation type="list" allowBlank="1" showInputMessage="1" showErrorMessage="1" sqref="D24:J26" xr:uid="{00000000-0002-0000-0A00-000001000000}">
      <formula1>$C$15:$C$19</formula1>
    </dataValidation>
    <dataValidation type="list" allowBlank="1" showInputMessage="1" showErrorMessage="1" sqref="L57:L63" xr:uid="{00000000-0002-0000-0A00-000002000000}">
      <formula1>"0,1,2,3,4,5,6"</formula1>
    </dataValidation>
  </dataValidations>
  <printOptions horizontalCentered="1"/>
  <pageMargins left="0.51181102362204722" right="0.51181102362204722" top="0.74803149606299213" bottom="0.74803149606299213" header="0.31496062992125984" footer="0.31496062992125984"/>
  <pageSetup scale="30"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A00-000003000000}">
          <x14:formula1>
            <xm:f>'DATOS INICIALES'!$A$13:$A$43</xm:f>
          </x14:formula1>
          <xm:sqref>D31:I31</xm:sqref>
        </x14:dataValidation>
        <x14:dataValidation type="list" allowBlank="1" showInputMessage="1" showErrorMessage="1" xr:uid="{00000000-0002-0000-0A00-000004000000}">
          <x14:formula1>
            <xm:f>'DATOS INICIALES'!$D$21:$D$25</xm:f>
          </x14:formula1>
          <xm:sqref>M47:M54</xm:sqref>
        </x14:dataValidation>
        <x14:dataValidation type="list" allowBlank="1" showInputMessage="1" showErrorMessage="1" xr:uid="{00000000-0002-0000-0A00-000005000000}">
          <x14:formula1>
            <xm:f>'DATOS INICIALES'!$A$54:$A$59</xm:f>
          </x14:formula1>
          <xm:sqref>D23:I23</xm:sqref>
        </x14:dataValidation>
        <x14:dataValidation type="list" allowBlank="1" showInputMessage="1" showErrorMessage="1" xr:uid="{00000000-0002-0000-0A00-000006000000}">
          <x14:formula1>
            <xm:f>'DATOS INICIALES'!$A$50:$A$52</xm:f>
          </x14:formula1>
          <xm:sqref>D55:I57 D46:J46 J55:J56 D58:J63</xm:sqref>
        </x14:dataValidation>
        <x14:dataValidation type="list" allowBlank="1" showInputMessage="1" showErrorMessage="1" xr:uid="{00000000-0002-0000-0A00-000007000000}">
          <x14:formula1>
            <xm:f>'DATOS INICIALES'!$C$45:$C$46</xm:f>
          </x14:formula1>
          <xm:sqref>D47:I53 J47:J52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65"/>
  <sheetViews>
    <sheetView view="pageBreakPreview" topLeftCell="B1" zoomScale="55" zoomScaleNormal="55" zoomScaleSheetLayoutView="55" workbookViewId="0">
      <pane ySplit="11" topLeftCell="A23" activePane="bottomLeft" state="frozenSplit"/>
      <selection activeCell="D65" sqref="D65"/>
      <selection pane="bottomLeft" activeCell="F65" sqref="F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6" width="41.42578125" customWidth="1"/>
    <col min="7"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8</v>
      </c>
      <c r="B11" s="2" t="s">
        <v>24</v>
      </c>
      <c r="C11" s="287" t="str">
        <f>VLOOKUP(A11,PROPONENTES!$A$10:$B$42,2,FALSE)</f>
        <v>UNION TEMPORAL PARQUES DJ13</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DVN CONSTRUCCIONES S.A.S.</v>
      </c>
      <c r="D15" s="101">
        <f>IF(VLOOKUP(C11,PROPONENTES!B10:N111,3,FALSE)=0,"",VLOOKUP(C11,PROPONENTES!B10:N111,3,FALSE))</f>
        <v>0.7</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4953.2150000000001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3</v>
      </c>
      <c r="J15" s="235">
        <f>IF(AND(I15&gt;=1,I15&lt;=2),L8,IF(AND(I15&gt;=3,I15&lt;=4),L9,IF(AND(I15&gt;=5,I15&lt;=7),L10)))</f>
        <v>2632.2056723076921</v>
      </c>
      <c r="K15" s="235">
        <f>+E20</f>
        <v>9746.5869999999995</v>
      </c>
      <c r="L15" s="236" t="str">
        <f>IF(K15&gt;=J15,"CUMPLE","NO CUMPLE")</f>
        <v>CUMPLE</v>
      </c>
    </row>
    <row r="16" spans="1:12" ht="33.75" customHeight="1" x14ac:dyDescent="0.25">
      <c r="B16" s="244"/>
      <c r="C16" s="100" t="str">
        <f>IF(VLOOKUP(C11,PROPONENTES!B10:N111,4,FALSE)=0,"",VLOOKUP(C11,PROPONENTES!B10:N111,4,FALSE))</f>
        <v xml:space="preserve">JUAN CARLOS ROJAS ACERO </v>
      </c>
      <c r="D16" s="101">
        <f>IF(VLOOKUP(C11,PROPONENTES!B10:N111,5,FALSE)=0,"",VLOOKUP(C11,PROPONENTES!B10:N111,5,FALSE))</f>
        <v>0.3</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4793.3720000000003</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5614.375</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9746.5869999999995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231</v>
      </c>
      <c r="E24" s="90" t="s">
        <v>232</v>
      </c>
      <c r="F24" s="90" t="s">
        <v>232</v>
      </c>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360</v>
      </c>
      <c r="E27" s="91" t="s">
        <v>361</v>
      </c>
      <c r="F27" s="91" t="s">
        <v>362</v>
      </c>
      <c r="G27" s="91"/>
      <c r="H27" s="91"/>
      <c r="I27" s="91"/>
      <c r="J27" s="91"/>
      <c r="K27" s="245"/>
      <c r="L27" s="246"/>
    </row>
    <row r="28" spans="2:14" ht="156.75" customHeight="1" x14ac:dyDescent="0.25">
      <c r="B28" s="250"/>
      <c r="C28" s="25" t="s">
        <v>38</v>
      </c>
      <c r="D28" s="91" t="s">
        <v>363</v>
      </c>
      <c r="E28" s="91" t="s">
        <v>364</v>
      </c>
      <c r="F28" s="91" t="s">
        <v>365</v>
      </c>
      <c r="G28" s="91"/>
      <c r="H28" s="91"/>
      <c r="I28" s="91"/>
      <c r="J28" s="91"/>
      <c r="K28" s="245"/>
      <c r="L28" s="246"/>
    </row>
    <row r="29" spans="2:14" ht="52.5" customHeight="1" x14ac:dyDescent="0.25">
      <c r="B29" s="250"/>
      <c r="C29" s="25" t="s">
        <v>169</v>
      </c>
      <c r="D29" s="95">
        <v>43620</v>
      </c>
      <c r="E29" s="95">
        <v>40852</v>
      </c>
      <c r="F29" s="95">
        <v>40718</v>
      </c>
      <c r="G29" s="95"/>
      <c r="H29" s="95"/>
      <c r="I29" s="95"/>
      <c r="J29" s="95"/>
      <c r="K29" s="245"/>
      <c r="L29" s="246"/>
    </row>
    <row r="30" spans="2:14" ht="54.75" customHeight="1" x14ac:dyDescent="0.25">
      <c r="B30" s="250"/>
      <c r="C30" s="25" t="s">
        <v>42</v>
      </c>
      <c r="D30" s="95">
        <v>44040</v>
      </c>
      <c r="E30" s="95">
        <v>41094</v>
      </c>
      <c r="F30" s="95">
        <v>41195</v>
      </c>
      <c r="G30" s="95"/>
      <c r="H30" s="95"/>
      <c r="I30" s="95"/>
      <c r="J30" s="95"/>
      <c r="K30" s="245"/>
      <c r="L30" s="246"/>
    </row>
    <row r="31" spans="2:14" ht="41.25" customHeight="1" x14ac:dyDescent="0.25">
      <c r="B31" s="250"/>
      <c r="C31" s="25" t="s">
        <v>39</v>
      </c>
      <c r="D31" s="92">
        <v>2020</v>
      </c>
      <c r="E31" s="92">
        <v>2012</v>
      </c>
      <c r="F31" s="92">
        <v>2012</v>
      </c>
      <c r="G31" s="92"/>
      <c r="H31" s="92"/>
      <c r="I31" s="92"/>
      <c r="J31" s="92"/>
      <c r="K31" s="245"/>
      <c r="L31" s="246"/>
    </row>
    <row r="32" spans="2:14" ht="63" customHeight="1" x14ac:dyDescent="0.25">
      <c r="B32" s="250"/>
      <c r="C32" s="25" t="s">
        <v>40</v>
      </c>
      <c r="D32" s="91" t="s">
        <v>366</v>
      </c>
      <c r="E32" s="91" t="s">
        <v>367</v>
      </c>
      <c r="F32" s="91" t="s">
        <v>368</v>
      </c>
      <c r="G32" s="91"/>
      <c r="H32" s="91"/>
      <c r="I32" s="91"/>
      <c r="J32" s="91"/>
      <c r="K32" s="245"/>
      <c r="L32" s="246"/>
    </row>
    <row r="33" spans="2:12" ht="46.5" customHeight="1" x14ac:dyDescent="0.25">
      <c r="B33" s="250"/>
      <c r="C33" s="25" t="s">
        <v>41</v>
      </c>
      <c r="D33" s="91" t="s">
        <v>369</v>
      </c>
      <c r="E33" s="91" t="s">
        <v>370</v>
      </c>
      <c r="F33" s="91" t="s">
        <v>371</v>
      </c>
      <c r="G33" s="91"/>
      <c r="H33" s="91"/>
      <c r="I33" s="91"/>
      <c r="J33" s="91"/>
      <c r="K33" s="245"/>
      <c r="L33" s="246"/>
    </row>
    <row r="34" spans="2:12" ht="27.75" customHeight="1" x14ac:dyDescent="0.25">
      <c r="B34" s="250"/>
      <c r="C34" s="27" t="s">
        <v>35</v>
      </c>
      <c r="D34" s="96">
        <v>19</v>
      </c>
      <c r="E34" s="96">
        <v>22</v>
      </c>
      <c r="F34" s="96">
        <v>10</v>
      </c>
      <c r="G34" s="97"/>
      <c r="H34" s="97"/>
      <c r="I34" s="97"/>
      <c r="J34" s="97"/>
      <c r="K34" s="245"/>
      <c r="L34" s="246"/>
    </row>
    <row r="35" spans="2:12" ht="102.75" customHeight="1" x14ac:dyDescent="0.25">
      <c r="B35" s="250"/>
      <c r="C35" s="25" t="s">
        <v>137</v>
      </c>
      <c r="D35" s="93">
        <v>9906.43</v>
      </c>
      <c r="E35" s="93">
        <v>1322.32</v>
      </c>
      <c r="F35" s="93">
        <v>4919.3</v>
      </c>
      <c r="G35" s="93"/>
      <c r="H35" s="93"/>
      <c r="I35" s="93"/>
      <c r="J35" s="93"/>
      <c r="K35" s="245"/>
      <c r="L35" s="246"/>
    </row>
    <row r="36" spans="2:12" ht="48" customHeight="1" x14ac:dyDescent="0.25">
      <c r="B36" s="250"/>
      <c r="C36" s="25" t="s">
        <v>76</v>
      </c>
      <c r="D36" s="105">
        <f>IFERROR(D35*VLOOKUP(D31,'DATOS INICIALES'!$A$12:$B$43,2,0),"0")</f>
        <v>8695893973.2900009</v>
      </c>
      <c r="E36" s="105">
        <f>IFERROR(E35*VLOOKUP(E31,'DATOS INICIALES'!$A$12:$B$43,2,0),"0")</f>
        <v>749358744</v>
      </c>
      <c r="F36" s="105">
        <f>IFERROR(F35*VLOOKUP(F31,'DATOS INICIALES'!$A$12:$B$43,2,0),"0")</f>
        <v>2787767310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0.5</v>
      </c>
      <c r="F37" s="94">
        <v>0.84</v>
      </c>
      <c r="G37" s="94"/>
      <c r="H37" s="94"/>
      <c r="I37" s="94"/>
      <c r="J37" s="94"/>
      <c r="K37" s="245"/>
      <c r="L37" s="246"/>
    </row>
    <row r="38" spans="2:12" ht="48.75" customHeight="1" x14ac:dyDescent="0.25">
      <c r="B38" s="250"/>
      <c r="C38" s="25" t="s">
        <v>144</v>
      </c>
      <c r="D38" s="105">
        <f t="shared" ref="D38:J38" si="3">IF(D24="","0",D37*D36)</f>
        <v>4347946986.6450005</v>
      </c>
      <c r="E38" s="105">
        <f t="shared" si="3"/>
        <v>374679372</v>
      </c>
      <c r="F38" s="105">
        <f t="shared" si="3"/>
        <v>2341724540.4000001</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4953.2150000000001</v>
      </c>
      <c r="E39" s="106">
        <f t="shared" si="4"/>
        <v>661.16</v>
      </c>
      <c r="F39" s="106">
        <f t="shared" si="4"/>
        <v>4132.2120000000004</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c r="H46" s="90"/>
      <c r="I46" s="90"/>
      <c r="J46" s="90"/>
      <c r="K46" s="245"/>
      <c r="L46" s="246"/>
    </row>
    <row r="47" spans="2:12" ht="24.75" customHeight="1" x14ac:dyDescent="0.25">
      <c r="B47" s="255" t="s">
        <v>36</v>
      </c>
      <c r="C47" s="28">
        <f>+'DATOS INICIALES'!D21</f>
        <v>72101500</v>
      </c>
      <c r="D47" s="96" t="s">
        <v>79</v>
      </c>
      <c r="E47" s="96" t="s">
        <v>79</v>
      </c>
      <c r="F47" s="96" t="s">
        <v>79</v>
      </c>
      <c r="G47" s="96"/>
      <c r="H47" s="96"/>
      <c r="I47" s="96"/>
      <c r="J47" s="97"/>
      <c r="K47" s="245"/>
      <c r="L47" s="246"/>
    </row>
    <row r="48" spans="2:12" ht="24.75" customHeight="1" x14ac:dyDescent="0.25">
      <c r="B48" s="256"/>
      <c r="C48" s="28">
        <f>+'DATOS INICIALES'!D22</f>
        <v>72102900</v>
      </c>
      <c r="D48" s="96" t="s">
        <v>79</v>
      </c>
      <c r="E48" s="96" t="s">
        <v>79</v>
      </c>
      <c r="F48" s="96" t="s">
        <v>79</v>
      </c>
      <c r="G48" s="96"/>
      <c r="H48" s="96"/>
      <c r="I48" s="96"/>
      <c r="J48" s="97"/>
      <c r="K48" s="245"/>
      <c r="L48" s="246"/>
    </row>
    <row r="49" spans="2:12" ht="24.75" customHeight="1" x14ac:dyDescent="0.25">
      <c r="B49" s="256"/>
      <c r="C49" s="28">
        <f>+'DATOS INICIALES'!D23</f>
        <v>72103300</v>
      </c>
      <c r="D49" s="96" t="s">
        <v>79</v>
      </c>
      <c r="E49" s="96" t="s">
        <v>79</v>
      </c>
      <c r="F49" s="96" t="s">
        <v>79</v>
      </c>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t="s">
        <v>14</v>
      </c>
      <c r="G55" s="90"/>
      <c r="H55" s="90"/>
      <c r="I55" s="90"/>
      <c r="J55" s="90"/>
      <c r="K55" s="288"/>
      <c r="L55" s="289"/>
    </row>
    <row r="56" spans="2:12" ht="353.25" customHeight="1" x14ac:dyDescent="0.25">
      <c r="B56" s="258" t="s">
        <v>209</v>
      </c>
      <c r="C56" s="259"/>
      <c r="D56" s="90" t="s">
        <v>14</v>
      </c>
      <c r="E56" s="90" t="s">
        <v>14</v>
      </c>
      <c r="F56" s="90" t="s">
        <v>14</v>
      </c>
      <c r="G56" s="90"/>
      <c r="H56" s="90"/>
      <c r="I56" s="90"/>
      <c r="J56" s="90"/>
      <c r="K56" s="288"/>
      <c r="L56" s="289"/>
    </row>
    <row r="57" spans="2:12" ht="99" customHeight="1" x14ac:dyDescent="0.25">
      <c r="B57" s="252" t="s">
        <v>211</v>
      </c>
      <c r="C57" s="253"/>
      <c r="D57" s="90" t="s">
        <v>14</v>
      </c>
      <c r="E57" s="90" t="s">
        <v>14</v>
      </c>
      <c r="F57" s="90" t="s">
        <v>14</v>
      </c>
      <c r="G57" s="90"/>
      <c r="H57" s="90"/>
      <c r="I57" s="90"/>
      <c r="J57" s="90"/>
      <c r="K57" s="288"/>
      <c r="L57" s="289"/>
    </row>
    <row r="58" spans="2:12" ht="92.25" customHeight="1" x14ac:dyDescent="0.25">
      <c r="B58" s="252" t="s">
        <v>207</v>
      </c>
      <c r="C58" s="253"/>
      <c r="D58" s="90" t="s">
        <v>14</v>
      </c>
      <c r="E58" s="90" t="s">
        <v>14</v>
      </c>
      <c r="F58" s="90" t="s">
        <v>14</v>
      </c>
      <c r="G58" s="90"/>
      <c r="H58" s="90"/>
      <c r="I58" s="90"/>
      <c r="J58" s="90"/>
      <c r="K58" s="288"/>
      <c r="L58" s="289"/>
    </row>
    <row r="59" spans="2:12" ht="291.75" customHeight="1" x14ac:dyDescent="0.25">
      <c r="B59" s="252" t="s">
        <v>208</v>
      </c>
      <c r="C59" s="253"/>
      <c r="D59" s="90" t="s">
        <v>13</v>
      </c>
      <c r="E59" s="90" t="s">
        <v>13</v>
      </c>
      <c r="F59" s="90" t="s">
        <v>13</v>
      </c>
      <c r="G59" s="90"/>
      <c r="H59" s="90"/>
      <c r="I59" s="90"/>
      <c r="J59" s="90"/>
      <c r="K59" s="288"/>
      <c r="L59" s="289"/>
    </row>
    <row r="60" spans="2:12" ht="336" customHeight="1" x14ac:dyDescent="0.25">
      <c r="B60" s="180" t="s">
        <v>213</v>
      </c>
      <c r="C60" s="180"/>
      <c r="D60" s="90" t="s">
        <v>14</v>
      </c>
      <c r="E60" s="90" t="s">
        <v>14</v>
      </c>
      <c r="F60" s="90" t="s">
        <v>14</v>
      </c>
      <c r="G60" s="90"/>
      <c r="H60" s="90"/>
      <c r="I60" s="90"/>
      <c r="J60" s="90"/>
      <c r="K60" s="288"/>
      <c r="L60" s="289"/>
    </row>
    <row r="61" spans="2:12" ht="129.75" customHeight="1" x14ac:dyDescent="0.25">
      <c r="B61" s="233" t="s">
        <v>168</v>
      </c>
      <c r="C61" s="234"/>
      <c r="D61" s="90" t="s">
        <v>13</v>
      </c>
      <c r="E61" s="90" t="s">
        <v>13</v>
      </c>
      <c r="F61" s="90" t="s">
        <v>13</v>
      </c>
      <c r="G61" s="90"/>
      <c r="H61" s="90"/>
      <c r="I61" s="90"/>
      <c r="J61" s="90"/>
      <c r="K61" s="288"/>
      <c r="L61" s="289"/>
    </row>
    <row r="62" spans="2:12" ht="408.75" customHeight="1" x14ac:dyDescent="0.25">
      <c r="B62" s="254" t="s">
        <v>170</v>
      </c>
      <c r="C62" s="254"/>
      <c r="D62" s="90" t="s">
        <v>13</v>
      </c>
      <c r="E62" s="90" t="s">
        <v>13</v>
      </c>
      <c r="F62" s="90" t="s">
        <v>13</v>
      </c>
      <c r="G62" s="90"/>
      <c r="H62" s="90"/>
      <c r="I62" s="90"/>
      <c r="J62" s="90"/>
      <c r="K62" s="288"/>
      <c r="L62" s="289"/>
    </row>
    <row r="63" spans="2:12" ht="234.75" customHeight="1" x14ac:dyDescent="0.25">
      <c r="B63" s="180" t="s">
        <v>212</v>
      </c>
      <c r="C63" s="180"/>
      <c r="D63" s="90" t="s">
        <v>14</v>
      </c>
      <c r="E63" s="90" t="s">
        <v>14</v>
      </c>
      <c r="F63" s="90" t="s">
        <v>14</v>
      </c>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979" priority="13">
      <formula>LEN(TRIM(D25))=0</formula>
    </cfRule>
    <cfRule type="notContainsErrors" dxfId="978" priority="14">
      <formula>NOT(ISERROR(D25))</formula>
    </cfRule>
  </conditionalFormatting>
  <conditionalFormatting sqref="D34:J34 D24:K24 D37:J37 D40:J40 D43:J43 D46:J53 D55:J63 K64:L64 D65:K65">
    <cfRule type="containsBlanks" dxfId="977" priority="15">
      <formula>LEN(TRIM(D24))=0</formula>
    </cfRule>
  </conditionalFormatting>
  <conditionalFormatting sqref="D46:J53">
    <cfRule type="cellIs" dxfId="976" priority="11" operator="equal">
      <formula>"NO CUMPLE"</formula>
    </cfRule>
    <cfRule type="cellIs" dxfId="975" priority="12" operator="equal">
      <formula>"CUMPLE"</formula>
    </cfRule>
  </conditionalFormatting>
  <conditionalFormatting sqref="D54:J54">
    <cfRule type="cellIs" dxfId="974" priority="27" operator="equal">
      <formula>"""CUMPLE"""</formula>
    </cfRule>
    <cfRule type="cellIs" dxfId="973" priority="26" operator="equal">
      <formula>"NO CUMPLE"</formula>
    </cfRule>
    <cfRule type="cellIs" dxfId="972" priority="25" operator="equal">
      <formula>"CUMPLE"</formula>
    </cfRule>
    <cfRule type="cellIs" dxfId="971" priority="21" operator="equal">
      <formula>"N/A"</formula>
    </cfRule>
  </conditionalFormatting>
  <conditionalFormatting sqref="D55:J63">
    <cfRule type="cellIs" dxfId="970" priority="3" operator="equal">
      <formula>"NO CUMPLE"</formula>
    </cfRule>
    <cfRule type="cellIs" dxfId="969" priority="4" operator="equal">
      <formula>"CUMPLE"</formula>
    </cfRule>
  </conditionalFormatting>
  <conditionalFormatting sqref="D64:J64">
    <cfRule type="cellIs" dxfId="968" priority="19" operator="equal">
      <formula>"NO CUMPLE"</formula>
    </cfRule>
    <cfRule type="cellIs" dxfId="967" priority="20" operator="equal">
      <formula>"""CUMPLE"""</formula>
    </cfRule>
    <cfRule type="cellIs" dxfId="966" priority="17" operator="equal">
      <formula>"N/A"</formula>
    </cfRule>
    <cfRule type="cellIs" dxfId="965" priority="18" operator="equal">
      <formula>"CUMPLE"</formula>
    </cfRule>
  </conditionalFormatting>
  <conditionalFormatting sqref="D65:J65">
    <cfRule type="cellIs" dxfId="964" priority="9" operator="equal">
      <formula>"NO CUMPLE"</formula>
    </cfRule>
    <cfRule type="cellIs" dxfId="963" priority="10" operator="equal">
      <formula>"CUMPLE"</formula>
    </cfRule>
  </conditionalFormatting>
  <conditionalFormatting sqref="D24:K24 D34:J34 D37:J37 D40:J40 D43:J43 D46:J53 D55:J63 K64:L64 D65:K65">
    <cfRule type="notContainsErrors" dxfId="962" priority="16">
      <formula>NOT(ISERROR(D24))</formula>
    </cfRule>
  </conditionalFormatting>
  <conditionalFormatting sqref="F20:H20">
    <cfRule type="cellIs" dxfId="961" priority="31" operator="equal">
      <formula>"CUMPLE"</formula>
    </cfRule>
    <cfRule type="cellIs" dxfId="960" priority="32" operator="equal">
      <formula>"NO CUMPLE"</formula>
    </cfRule>
    <cfRule type="cellIs" dxfId="959" priority="33" operator="equal">
      <formula>"""CUMPLE"""</formula>
    </cfRule>
  </conditionalFormatting>
  <conditionalFormatting sqref="I11">
    <cfRule type="containsText" dxfId="958" priority="37" operator="containsText" text="NO CUMPLE">
      <formula>NOT(ISERROR(SEARCH("NO CUMPLE",I11)))</formula>
    </cfRule>
    <cfRule type="containsText" dxfId="957" priority="34" operator="containsText" text="INHABILITADO">
      <formula>NOT(ISERROR(SEARCH("INHABILITADO",I11)))</formula>
    </cfRule>
    <cfRule type="containsText" dxfId="956" priority="35" operator="containsText" text="HABILITADO">
      <formula>NOT(ISERROR(SEARCH("HABILITADO",I11)))</formula>
    </cfRule>
    <cfRule type="containsText" dxfId="955" priority="36" operator="containsText" text="HABILITADO">
      <formula>NOT(ISERROR(SEARCH("HABILITADO",I11)))</formula>
    </cfRule>
  </conditionalFormatting>
  <conditionalFormatting sqref="J20">
    <cfRule type="cellIs" dxfId="954" priority="8" operator="equal">
      <formula>"SI"</formula>
    </cfRule>
    <cfRule type="cellIs" dxfId="953" priority="7" operator="equal">
      <formula>"NO"</formula>
    </cfRule>
  </conditionalFormatting>
  <conditionalFormatting sqref="K19">
    <cfRule type="cellIs" dxfId="952" priority="22" operator="equal">
      <formula>"CUMPLE"</formula>
    </cfRule>
    <cfRule type="cellIs" dxfId="951" priority="23" operator="equal">
      <formula>"NO CUMPLE"</formula>
    </cfRule>
    <cfRule type="cellIs" dxfId="950" priority="24" operator="equal">
      <formula>"""CUMPLE"""</formula>
    </cfRule>
  </conditionalFormatting>
  <conditionalFormatting sqref="K25:K63">
    <cfRule type="notContainsErrors" dxfId="949" priority="2">
      <formula>NOT(ISERROR(K25))</formula>
    </cfRule>
    <cfRule type="containsBlanks" dxfId="948" priority="1">
      <formula>LEN(TRIM(K25))=0</formula>
    </cfRule>
  </conditionalFormatting>
  <conditionalFormatting sqref="L15">
    <cfRule type="cellIs" dxfId="947" priority="28" operator="equal">
      <formula>"CUMPLE"</formula>
    </cfRule>
    <cfRule type="cellIs" dxfId="946" priority="29" operator="equal">
      <formula>"NO CUMPLE"</formula>
    </cfRule>
    <cfRule type="cellIs" dxfId="945" priority="30" operator="equal">
      <formula>"""CUMPLE"""</formula>
    </cfRule>
  </conditionalFormatting>
  <conditionalFormatting sqref="L20">
    <cfRule type="cellIs" dxfId="944" priority="5" operator="equal">
      <formula>"NO"</formula>
    </cfRule>
    <cfRule type="cellIs" dxfId="943" priority="6" operator="equal">
      <formula>"SI"</formula>
    </cfRule>
  </conditionalFormatting>
  <dataValidations count="3">
    <dataValidation type="list" allowBlank="1" showInputMessage="1" showErrorMessage="1" sqref="L57:L64" xr:uid="{00000000-0002-0000-0B00-000000000000}">
      <formula1>"0,1,2,3,4,5,6"</formula1>
    </dataValidation>
    <dataValidation type="list" allowBlank="1" showInputMessage="1" showErrorMessage="1" sqref="D24:J26" xr:uid="{00000000-0002-0000-0B00-000001000000}">
      <formula1>$C$15:$C$19</formula1>
    </dataValidation>
    <dataValidation type="list" allowBlank="1" showInputMessage="1" showErrorMessage="1" sqref="D65:I65" xr:uid="{00000000-0002-0000-0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B00-000003000000}">
          <x14:formula1>
            <xm:f>'DATOS INICIALES'!$C$45:$C$46</xm:f>
          </x14:formula1>
          <xm:sqref>D47:I53 J47:J52</xm:sqref>
        </x14:dataValidation>
        <x14:dataValidation type="list" allowBlank="1" showInputMessage="1" showErrorMessage="1" xr:uid="{00000000-0002-0000-0B00-000004000000}">
          <x14:formula1>
            <xm:f>'DATOS INICIALES'!$A$50:$A$52</xm:f>
          </x14:formula1>
          <xm:sqref>D46:J46 J55:J56 G58:J63 G55:I57 D55:F63</xm:sqref>
        </x14:dataValidation>
        <x14:dataValidation type="list" allowBlank="1" showInputMessage="1" showErrorMessage="1" xr:uid="{00000000-0002-0000-0B00-000005000000}">
          <x14:formula1>
            <xm:f>'DATOS INICIALES'!$A$54:$A$59</xm:f>
          </x14:formula1>
          <xm:sqref>D23:I23</xm:sqref>
        </x14:dataValidation>
        <x14:dataValidation type="list" allowBlank="1" showInputMessage="1" showErrorMessage="1" xr:uid="{00000000-0002-0000-0B00-000006000000}">
          <x14:formula1>
            <xm:f>'DATOS INICIALES'!$D$21:$D$25</xm:f>
          </x14:formula1>
          <xm:sqref>M47:M54</xm:sqref>
        </x14:dataValidation>
        <x14:dataValidation type="list" allowBlank="1" showInputMessage="1" showErrorMessage="1" xr:uid="{00000000-0002-0000-0B00-000007000000}">
          <x14:formula1>
            <xm:f>'DATOS INICIALES'!$A$13:$A$43</xm:f>
          </x14:formula1>
          <xm:sqref>D31:I31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65"/>
  <sheetViews>
    <sheetView view="pageBreakPreview" zoomScale="55" zoomScaleNormal="55" zoomScaleSheetLayoutView="55" workbookViewId="0">
      <pane ySplit="11" topLeftCell="A15"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9</v>
      </c>
      <c r="B11" s="2" t="s">
        <v>24</v>
      </c>
      <c r="C11" s="287" t="str">
        <f>VLOOKUP(A11,PROPONENTES!$A$10:$B$42,2,FALSE)</f>
        <v xml:space="preserve">CONSORCIO PARQUES CHM 2024	</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ORGANIZACION LUIS FERNANDO ROMERO SANDOVAL INGENIEROS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34698.79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1</v>
      </c>
      <c r="J15" s="235">
        <f>IF(AND(I15&gt;=1,I15&lt;=2),L8,IF(AND(I15&gt;=3,I15&lt;=4),L9,IF(AND(I15&gt;=5,I15&lt;=7),L10)))</f>
        <v>1645.1285451923077</v>
      </c>
      <c r="K15" s="235">
        <f>+E20</f>
        <v>34698.79</v>
      </c>
      <c r="L15" s="236" t="str">
        <f>IF(K15&gt;=J15,"CUMPLE","NO CUMPLE")</f>
        <v>CUMPLE</v>
      </c>
    </row>
    <row r="16" spans="1:12" ht="33.75" customHeight="1" x14ac:dyDescent="0.25">
      <c r="B16" s="244"/>
      <c r="C16" s="100" t="str">
        <f>IF(VLOOKUP(C11,PROPONENTES!B10:N111,4,FALSE)=0,"",VLOOKUP(C11,PROPONENTES!B10:N111,4,FALSE))</f>
        <v>CHM INGENIERÍA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34698.79</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34698.79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234</v>
      </c>
      <c r="E24" s="90"/>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372</v>
      </c>
      <c r="E27" s="91"/>
      <c r="F27" s="91"/>
      <c r="G27" s="91"/>
      <c r="H27" s="91"/>
      <c r="I27" s="91"/>
      <c r="J27" s="91"/>
      <c r="K27" s="245"/>
      <c r="L27" s="246"/>
    </row>
    <row r="28" spans="2:14" ht="156.75" customHeight="1" x14ac:dyDescent="0.25">
      <c r="B28" s="250"/>
      <c r="C28" s="25" t="s">
        <v>38</v>
      </c>
      <c r="D28" s="91" t="s">
        <v>373</v>
      </c>
      <c r="E28" s="91"/>
      <c r="F28" s="91"/>
      <c r="G28" s="91"/>
      <c r="H28" s="91"/>
      <c r="I28" s="91"/>
      <c r="J28" s="91"/>
      <c r="K28" s="245"/>
      <c r="L28" s="246"/>
    </row>
    <row r="29" spans="2:14" ht="52.5" customHeight="1" x14ac:dyDescent="0.25">
      <c r="B29" s="250"/>
      <c r="C29" s="25" t="s">
        <v>169</v>
      </c>
      <c r="D29" s="95">
        <v>37300</v>
      </c>
      <c r="E29" s="95"/>
      <c r="F29" s="95"/>
      <c r="G29" s="95"/>
      <c r="H29" s="95"/>
      <c r="I29" s="95"/>
      <c r="J29" s="95"/>
      <c r="K29" s="245"/>
      <c r="L29" s="246"/>
    </row>
    <row r="30" spans="2:14" ht="54.75" customHeight="1" x14ac:dyDescent="0.25">
      <c r="B30" s="250"/>
      <c r="C30" s="25" t="s">
        <v>42</v>
      </c>
      <c r="D30" s="95">
        <v>37658</v>
      </c>
      <c r="E30" s="95"/>
      <c r="F30" s="95"/>
      <c r="G30" s="95"/>
      <c r="H30" s="95"/>
      <c r="I30" s="95"/>
      <c r="J30" s="95"/>
      <c r="K30" s="245"/>
      <c r="L30" s="246"/>
    </row>
    <row r="31" spans="2:14" ht="41.25" customHeight="1" x14ac:dyDescent="0.25">
      <c r="B31" s="250"/>
      <c r="C31" s="25" t="s">
        <v>39</v>
      </c>
      <c r="D31" s="92">
        <v>2003</v>
      </c>
      <c r="E31" s="92"/>
      <c r="F31" s="92"/>
      <c r="G31" s="92"/>
      <c r="H31" s="92"/>
      <c r="I31" s="92"/>
      <c r="J31" s="92"/>
      <c r="K31" s="245"/>
      <c r="L31" s="246"/>
    </row>
    <row r="32" spans="2:14" ht="63" customHeight="1" x14ac:dyDescent="0.25">
      <c r="B32" s="250"/>
      <c r="C32" s="25" t="s">
        <v>40</v>
      </c>
      <c r="D32" s="91" t="s">
        <v>374</v>
      </c>
      <c r="E32" s="91"/>
      <c r="F32" s="91"/>
      <c r="G32" s="91"/>
      <c r="H32" s="91"/>
      <c r="I32" s="91"/>
      <c r="J32" s="91"/>
      <c r="K32" s="245"/>
      <c r="L32" s="246"/>
    </row>
    <row r="33" spans="2:12" ht="46.5" customHeight="1" x14ac:dyDescent="0.25">
      <c r="B33" s="250"/>
      <c r="C33" s="25" t="s">
        <v>41</v>
      </c>
      <c r="D33" s="91" t="s">
        <v>375</v>
      </c>
      <c r="E33" s="91"/>
      <c r="F33" s="91"/>
      <c r="G33" s="91"/>
      <c r="H33" s="91"/>
      <c r="I33" s="91"/>
      <c r="J33" s="91"/>
      <c r="K33" s="245"/>
      <c r="L33" s="246"/>
    </row>
    <row r="34" spans="2:12" ht="27.75" customHeight="1" x14ac:dyDescent="0.25">
      <c r="B34" s="250"/>
      <c r="C34" s="27" t="s">
        <v>35</v>
      </c>
      <c r="D34" s="96">
        <v>426</v>
      </c>
      <c r="E34" s="96"/>
      <c r="F34" s="96"/>
      <c r="G34" s="97"/>
      <c r="H34" s="97"/>
      <c r="I34" s="97"/>
      <c r="J34" s="97"/>
      <c r="K34" s="245"/>
      <c r="L34" s="246"/>
    </row>
    <row r="35" spans="2:12" ht="102.75" customHeight="1" x14ac:dyDescent="0.25">
      <c r="B35" s="250"/>
      <c r="C35" s="25" t="s">
        <v>137</v>
      </c>
      <c r="D35" s="93">
        <v>34698.79</v>
      </c>
      <c r="E35" s="93"/>
      <c r="F35" s="93"/>
      <c r="G35" s="93"/>
      <c r="H35" s="93"/>
      <c r="I35" s="93"/>
      <c r="J35" s="93"/>
      <c r="K35" s="245"/>
      <c r="L35" s="246"/>
    </row>
    <row r="36" spans="2:12" ht="48" customHeight="1" x14ac:dyDescent="0.25">
      <c r="B36" s="250"/>
      <c r="C36" s="25" t="s">
        <v>76</v>
      </c>
      <c r="D36" s="105">
        <f>IFERROR(D35*VLOOKUP(D31,'DATOS INICIALES'!$A$12:$B$43,2,0),"0")</f>
        <v>11519998280</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c r="F37" s="94"/>
      <c r="G37" s="94"/>
      <c r="H37" s="94"/>
      <c r="I37" s="94"/>
      <c r="J37" s="94"/>
      <c r="K37" s="245"/>
      <c r="L37" s="246"/>
    </row>
    <row r="38" spans="2:12" ht="48.75" customHeight="1" x14ac:dyDescent="0.25">
      <c r="B38" s="250"/>
      <c r="C38" s="25" t="s">
        <v>144</v>
      </c>
      <c r="D38" s="105">
        <f t="shared" ref="D38:J38" si="3">IF(D24="","0",D37*D36)</f>
        <v>11519998280</v>
      </c>
      <c r="E38" s="105" t="str">
        <f t="shared" si="3"/>
        <v>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34698.79</v>
      </c>
      <c r="E39" s="106">
        <f t="shared" si="4"/>
        <v>0</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c r="F46" s="90"/>
      <c r="G46" s="90"/>
      <c r="H46" s="90"/>
      <c r="I46" s="90"/>
      <c r="J46" s="90"/>
      <c r="K46" s="245"/>
      <c r="L46" s="246"/>
    </row>
    <row r="47" spans="2:12" ht="24.75" customHeight="1" x14ac:dyDescent="0.25">
      <c r="B47" s="255" t="s">
        <v>36</v>
      </c>
      <c r="C47" s="28">
        <f>+'DATOS INICIALES'!D21</f>
        <v>72101500</v>
      </c>
      <c r="D47" s="96" t="s">
        <v>79</v>
      </c>
      <c r="E47" s="96"/>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c r="F55" s="90"/>
      <c r="G55" s="90"/>
      <c r="H55" s="90"/>
      <c r="I55" s="90"/>
      <c r="J55" s="90"/>
      <c r="K55" s="288"/>
      <c r="L55" s="289"/>
    </row>
    <row r="56" spans="2:12" ht="353.25" customHeight="1" x14ac:dyDescent="0.25">
      <c r="B56" s="258" t="s">
        <v>209</v>
      </c>
      <c r="C56" s="259"/>
      <c r="D56" s="90" t="s">
        <v>14</v>
      </c>
      <c r="E56" s="90"/>
      <c r="F56" s="90"/>
      <c r="G56" s="90"/>
      <c r="H56" s="90"/>
      <c r="I56" s="90"/>
      <c r="J56" s="90"/>
      <c r="K56" s="288"/>
      <c r="L56" s="289"/>
    </row>
    <row r="57" spans="2:12" ht="99" customHeight="1" x14ac:dyDescent="0.25">
      <c r="B57" s="252" t="s">
        <v>211</v>
      </c>
      <c r="C57" s="253"/>
      <c r="D57" s="90" t="s">
        <v>14</v>
      </c>
      <c r="E57" s="90"/>
      <c r="F57" s="90"/>
      <c r="G57" s="90"/>
      <c r="H57" s="90"/>
      <c r="I57" s="90"/>
      <c r="J57" s="90"/>
      <c r="K57" s="288"/>
      <c r="L57" s="289"/>
    </row>
    <row r="58" spans="2:12" ht="92.25" customHeight="1" x14ac:dyDescent="0.25">
      <c r="B58" s="252" t="s">
        <v>207</v>
      </c>
      <c r="C58" s="253"/>
      <c r="D58" s="90" t="s">
        <v>14</v>
      </c>
      <c r="E58" s="90"/>
      <c r="F58" s="90"/>
      <c r="G58" s="90"/>
      <c r="H58" s="90"/>
      <c r="I58" s="90"/>
      <c r="J58" s="90"/>
      <c r="K58" s="288"/>
      <c r="L58" s="289"/>
    </row>
    <row r="59" spans="2:12" ht="291.75" customHeight="1" x14ac:dyDescent="0.25">
      <c r="B59" s="252" t="s">
        <v>208</v>
      </c>
      <c r="C59" s="253"/>
      <c r="D59" s="90" t="s">
        <v>13</v>
      </c>
      <c r="E59" s="90"/>
      <c r="F59" s="90"/>
      <c r="G59" s="90"/>
      <c r="H59" s="90"/>
      <c r="I59" s="90"/>
      <c r="J59" s="90"/>
      <c r="K59" s="288"/>
      <c r="L59" s="289"/>
    </row>
    <row r="60" spans="2:12" ht="336" customHeight="1" x14ac:dyDescent="0.25">
      <c r="B60" s="180" t="s">
        <v>213</v>
      </c>
      <c r="C60" s="180"/>
      <c r="D60" s="90" t="s">
        <v>14</v>
      </c>
      <c r="E60" s="90"/>
      <c r="F60" s="90"/>
      <c r="G60" s="90"/>
      <c r="H60" s="90"/>
      <c r="I60" s="90"/>
      <c r="J60" s="90"/>
      <c r="K60" s="288"/>
      <c r="L60" s="289"/>
    </row>
    <row r="61" spans="2:12" ht="129.75" customHeight="1" x14ac:dyDescent="0.25">
      <c r="B61" s="233" t="s">
        <v>168</v>
      </c>
      <c r="C61" s="234"/>
      <c r="D61" s="90" t="s">
        <v>13</v>
      </c>
      <c r="E61" s="90"/>
      <c r="F61" s="90"/>
      <c r="G61" s="90"/>
      <c r="H61" s="90"/>
      <c r="I61" s="90"/>
      <c r="J61" s="90"/>
      <c r="K61" s="288"/>
      <c r="L61" s="289"/>
    </row>
    <row r="62" spans="2:12" ht="408.75" customHeight="1" x14ac:dyDescent="0.25">
      <c r="B62" s="254" t="s">
        <v>170</v>
      </c>
      <c r="C62" s="254"/>
      <c r="D62" s="90" t="s">
        <v>13</v>
      </c>
      <c r="E62" s="90"/>
      <c r="F62" s="90"/>
      <c r="G62" s="90"/>
      <c r="H62" s="90"/>
      <c r="I62" s="90"/>
      <c r="J62" s="90"/>
      <c r="K62" s="288"/>
      <c r="L62" s="289"/>
    </row>
    <row r="63" spans="2:12" ht="234.75" customHeight="1" x14ac:dyDescent="0.25">
      <c r="B63" s="180" t="s">
        <v>212</v>
      </c>
      <c r="C63" s="180"/>
      <c r="D63" s="90" t="s">
        <v>14</v>
      </c>
      <c r="E63" s="90"/>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942" priority="13">
      <formula>LEN(TRIM(D25))=0</formula>
    </cfRule>
    <cfRule type="notContainsErrors" dxfId="941" priority="14">
      <formula>NOT(ISERROR(D25))</formula>
    </cfRule>
  </conditionalFormatting>
  <conditionalFormatting sqref="D34:J34 D24:K24 D37:J37 D40:J40 D43:J43 D46:J53 D55:J63 K64:L64 D65:K65">
    <cfRule type="containsBlanks" dxfId="940" priority="15">
      <formula>LEN(TRIM(D24))=0</formula>
    </cfRule>
  </conditionalFormatting>
  <conditionalFormatting sqref="D46:J53">
    <cfRule type="cellIs" dxfId="939" priority="11" operator="equal">
      <formula>"NO CUMPLE"</formula>
    </cfRule>
    <cfRule type="cellIs" dxfId="938" priority="12" operator="equal">
      <formula>"CUMPLE"</formula>
    </cfRule>
  </conditionalFormatting>
  <conditionalFormatting sqref="D54:J54">
    <cfRule type="cellIs" dxfId="937" priority="27" operator="equal">
      <formula>"""CUMPLE"""</formula>
    </cfRule>
    <cfRule type="cellIs" dxfId="936" priority="26" operator="equal">
      <formula>"NO CUMPLE"</formula>
    </cfRule>
    <cfRule type="cellIs" dxfId="935" priority="25" operator="equal">
      <formula>"CUMPLE"</formula>
    </cfRule>
    <cfRule type="cellIs" dxfId="934" priority="21" operator="equal">
      <formula>"N/A"</formula>
    </cfRule>
  </conditionalFormatting>
  <conditionalFormatting sqref="D55:J63">
    <cfRule type="cellIs" dxfId="933" priority="3" operator="equal">
      <formula>"NO CUMPLE"</formula>
    </cfRule>
    <cfRule type="cellIs" dxfId="932" priority="4" operator="equal">
      <formula>"CUMPLE"</formula>
    </cfRule>
  </conditionalFormatting>
  <conditionalFormatting sqref="D64:J64">
    <cfRule type="cellIs" dxfId="931" priority="19" operator="equal">
      <formula>"NO CUMPLE"</formula>
    </cfRule>
    <cfRule type="cellIs" dxfId="930" priority="20" operator="equal">
      <formula>"""CUMPLE"""</formula>
    </cfRule>
    <cfRule type="cellIs" dxfId="929" priority="17" operator="equal">
      <formula>"N/A"</formula>
    </cfRule>
    <cfRule type="cellIs" dxfId="928" priority="18" operator="equal">
      <formula>"CUMPLE"</formula>
    </cfRule>
  </conditionalFormatting>
  <conditionalFormatting sqref="D65:J65">
    <cfRule type="cellIs" dxfId="927" priority="9" operator="equal">
      <formula>"NO CUMPLE"</formula>
    </cfRule>
    <cfRule type="cellIs" dxfId="926" priority="10" operator="equal">
      <formula>"CUMPLE"</formula>
    </cfRule>
  </conditionalFormatting>
  <conditionalFormatting sqref="D24:K24 D34:J34 D37:J37 D40:J40 D43:J43 D46:J53 D55:J63 K64:L64 D65:K65">
    <cfRule type="notContainsErrors" dxfId="925" priority="16">
      <formula>NOT(ISERROR(D24))</formula>
    </cfRule>
  </conditionalFormatting>
  <conditionalFormatting sqref="F20:H20">
    <cfRule type="cellIs" dxfId="924" priority="31" operator="equal">
      <formula>"CUMPLE"</formula>
    </cfRule>
    <cfRule type="cellIs" dxfId="923" priority="32" operator="equal">
      <formula>"NO CUMPLE"</formula>
    </cfRule>
    <cfRule type="cellIs" dxfId="922" priority="33" operator="equal">
      <formula>"""CUMPLE"""</formula>
    </cfRule>
  </conditionalFormatting>
  <conditionalFormatting sqref="I11">
    <cfRule type="containsText" dxfId="921" priority="37" operator="containsText" text="NO CUMPLE">
      <formula>NOT(ISERROR(SEARCH("NO CUMPLE",I11)))</formula>
    </cfRule>
    <cfRule type="containsText" dxfId="920" priority="34" operator="containsText" text="INHABILITADO">
      <formula>NOT(ISERROR(SEARCH("INHABILITADO",I11)))</formula>
    </cfRule>
    <cfRule type="containsText" dxfId="919" priority="35" operator="containsText" text="HABILITADO">
      <formula>NOT(ISERROR(SEARCH("HABILITADO",I11)))</formula>
    </cfRule>
    <cfRule type="containsText" dxfId="918" priority="36" operator="containsText" text="HABILITADO">
      <formula>NOT(ISERROR(SEARCH("HABILITADO",I11)))</formula>
    </cfRule>
  </conditionalFormatting>
  <conditionalFormatting sqref="J20">
    <cfRule type="cellIs" dxfId="917" priority="8" operator="equal">
      <formula>"SI"</formula>
    </cfRule>
    <cfRule type="cellIs" dxfId="916" priority="7" operator="equal">
      <formula>"NO"</formula>
    </cfRule>
  </conditionalFormatting>
  <conditionalFormatting sqref="K19">
    <cfRule type="cellIs" dxfId="915" priority="22" operator="equal">
      <formula>"CUMPLE"</formula>
    </cfRule>
    <cfRule type="cellIs" dxfId="914" priority="23" operator="equal">
      <formula>"NO CUMPLE"</formula>
    </cfRule>
    <cfRule type="cellIs" dxfId="913" priority="24" operator="equal">
      <formula>"""CUMPLE"""</formula>
    </cfRule>
  </conditionalFormatting>
  <conditionalFormatting sqref="K25:K63">
    <cfRule type="notContainsErrors" dxfId="912" priority="2">
      <formula>NOT(ISERROR(K25))</formula>
    </cfRule>
    <cfRule type="containsBlanks" dxfId="911" priority="1">
      <formula>LEN(TRIM(K25))=0</formula>
    </cfRule>
  </conditionalFormatting>
  <conditionalFormatting sqref="L15">
    <cfRule type="cellIs" dxfId="910" priority="28" operator="equal">
      <formula>"CUMPLE"</formula>
    </cfRule>
    <cfRule type="cellIs" dxfId="909" priority="29" operator="equal">
      <formula>"NO CUMPLE"</formula>
    </cfRule>
    <cfRule type="cellIs" dxfId="908" priority="30" operator="equal">
      <formula>"""CUMPLE"""</formula>
    </cfRule>
  </conditionalFormatting>
  <conditionalFormatting sqref="L20">
    <cfRule type="cellIs" dxfId="907" priority="5" operator="equal">
      <formula>"NO"</formula>
    </cfRule>
    <cfRule type="cellIs" dxfId="906" priority="6" operator="equal">
      <formula>"SI"</formula>
    </cfRule>
  </conditionalFormatting>
  <dataValidations count="3">
    <dataValidation type="list" allowBlank="1" showInputMessage="1" showErrorMessage="1" sqref="D65:I65" xr:uid="{00000000-0002-0000-0C00-000000000000}">
      <formula1>"CUMPLE,NO CUMPLE"</formula1>
    </dataValidation>
    <dataValidation type="list" allowBlank="1" showInputMessage="1" showErrorMessage="1" sqref="D24:J26" xr:uid="{00000000-0002-0000-0C00-000001000000}">
      <formula1>$C$15:$C$19</formula1>
    </dataValidation>
    <dataValidation type="list" allowBlank="1" showInputMessage="1" showErrorMessage="1" sqref="L57:L64" xr:uid="{00000000-0002-0000-0C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C00-000003000000}">
          <x14:formula1>
            <xm:f>'DATOS INICIALES'!$A$13:$A$43</xm:f>
          </x14:formula1>
          <xm:sqref>D31:I31</xm:sqref>
        </x14:dataValidation>
        <x14:dataValidation type="list" allowBlank="1" showInputMessage="1" showErrorMessage="1" xr:uid="{00000000-0002-0000-0C00-000004000000}">
          <x14:formula1>
            <xm:f>'DATOS INICIALES'!$D$21:$D$25</xm:f>
          </x14:formula1>
          <xm:sqref>M47:M54</xm:sqref>
        </x14:dataValidation>
        <x14:dataValidation type="list" allowBlank="1" showInputMessage="1" showErrorMessage="1" xr:uid="{00000000-0002-0000-0C00-000005000000}">
          <x14:formula1>
            <xm:f>'DATOS INICIALES'!$A$54:$A$59</xm:f>
          </x14:formula1>
          <xm:sqref>D23:I23</xm:sqref>
        </x14:dataValidation>
        <x14:dataValidation type="list" allowBlank="1" showInputMessage="1" showErrorMessage="1" xr:uid="{00000000-0002-0000-0C00-000006000000}">
          <x14:formula1>
            <xm:f>'DATOS INICIALES'!$A$50:$A$52</xm:f>
          </x14:formula1>
          <xm:sqref>D55:I57 D46:J46 J55:J56 D58:J63</xm:sqref>
        </x14:dataValidation>
        <x14:dataValidation type="list" allowBlank="1" showInputMessage="1" showErrorMessage="1" xr:uid="{00000000-0002-0000-0C00-000007000000}">
          <x14:formula1>
            <xm:f>'DATOS INICIALES'!$C$45:$C$46</xm:f>
          </x14:formula1>
          <xm:sqref>D47:I53 J47:J52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65"/>
  <sheetViews>
    <sheetView view="pageBreakPreview" zoomScale="55" zoomScaleNormal="55" zoomScaleSheetLayoutView="55" workbookViewId="0">
      <pane ySplit="11" topLeftCell="A12" activePane="bottomLeft" state="frozenSplit"/>
      <selection activeCell="D65" sqref="D65"/>
      <selection pane="bottomLeft" activeCell="B22" sqref="B22:L22"/>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10</v>
      </c>
      <c r="B11" s="2" t="s">
        <v>24</v>
      </c>
      <c r="C11" s="287" t="str">
        <f>VLOOKUP(A11,PROPONENTES!$A$10:$B$42,2,FALSE)</f>
        <v xml:space="preserve">CONSORCIO KENNEDY 013 2024	</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CONSTRUCTORA VALHER</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12136.4755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12857.922</v>
      </c>
      <c r="L15" s="236" t="str">
        <f>IF(K15&gt;=J15,"CUMPLE","NO CUMPLE")</f>
        <v>CUMPLE</v>
      </c>
    </row>
    <row r="16" spans="1:12" ht="33.75" customHeight="1" x14ac:dyDescent="0.25">
      <c r="B16" s="244"/>
      <c r="C16" s="100" t="str">
        <f>IF(VLOOKUP(C11,PROPONENTES!B10:N111,4,FALSE)=0,"",VLOOKUP(C11,PROPONENTES!B10:N111,4,FALSE))</f>
        <v xml:space="preserve">MAGDA HEYNNER UMAÑA TORRES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721.44650000000001</v>
      </c>
      <c r="F16" s="103" t="str">
        <f t="shared" si="1"/>
        <v>NO</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12857.922</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12857.922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202</v>
      </c>
      <c r="E24" s="90" t="s">
        <v>202</v>
      </c>
      <c r="F24" s="90"/>
      <c r="G24" s="90"/>
      <c r="H24" s="90"/>
      <c r="I24" s="90"/>
      <c r="J24" s="90"/>
      <c r="K24" s="245"/>
      <c r="L24" s="246"/>
    </row>
    <row r="25" spans="2:14" ht="39.75" customHeight="1" x14ac:dyDescent="0.25">
      <c r="B25" s="231" t="s">
        <v>135</v>
      </c>
      <c r="C25" s="232"/>
      <c r="D25" s="90" t="s">
        <v>236</v>
      </c>
      <c r="E25" s="90" t="s">
        <v>236</v>
      </c>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427</v>
      </c>
      <c r="E27" s="91" t="s">
        <v>428</v>
      </c>
      <c r="F27" s="91"/>
      <c r="G27" s="91"/>
      <c r="H27" s="91"/>
      <c r="I27" s="91"/>
      <c r="J27" s="91"/>
      <c r="K27" s="245"/>
      <c r="L27" s="246"/>
    </row>
    <row r="28" spans="2:14" ht="156.75" customHeight="1" x14ac:dyDescent="0.25">
      <c r="B28" s="250"/>
      <c r="C28" s="25" t="s">
        <v>38</v>
      </c>
      <c r="D28" s="91" t="s">
        <v>429</v>
      </c>
      <c r="E28" s="91" t="s">
        <v>430</v>
      </c>
      <c r="F28" s="91"/>
      <c r="G28" s="91"/>
      <c r="H28" s="91"/>
      <c r="I28" s="91"/>
      <c r="J28" s="91"/>
      <c r="K28" s="245"/>
      <c r="L28" s="246"/>
    </row>
    <row r="29" spans="2:14" ht="52.5" customHeight="1" x14ac:dyDescent="0.25">
      <c r="B29" s="250"/>
      <c r="C29" s="25" t="s">
        <v>169</v>
      </c>
      <c r="D29" s="95">
        <v>44874</v>
      </c>
      <c r="E29" s="95">
        <v>43195</v>
      </c>
      <c r="F29" s="95"/>
      <c r="G29" s="95"/>
      <c r="H29" s="95"/>
      <c r="I29" s="95"/>
      <c r="J29" s="95"/>
      <c r="K29" s="245"/>
      <c r="L29" s="246"/>
    </row>
    <row r="30" spans="2:14" ht="54.75" customHeight="1" x14ac:dyDescent="0.25">
      <c r="B30" s="250"/>
      <c r="C30" s="25" t="s">
        <v>42</v>
      </c>
      <c r="D30" s="95">
        <v>45177</v>
      </c>
      <c r="E30" s="95">
        <v>43363</v>
      </c>
      <c r="F30" s="95"/>
      <c r="G30" s="95"/>
      <c r="H30" s="95"/>
      <c r="I30" s="95"/>
      <c r="J30" s="95"/>
      <c r="K30" s="245"/>
      <c r="L30" s="246"/>
    </row>
    <row r="31" spans="2:14" ht="41.25" customHeight="1" x14ac:dyDescent="0.25">
      <c r="B31" s="250"/>
      <c r="C31" s="25" t="s">
        <v>39</v>
      </c>
      <c r="D31" s="92">
        <v>2023</v>
      </c>
      <c r="E31" s="92">
        <v>2018</v>
      </c>
      <c r="F31" s="92"/>
      <c r="G31" s="92"/>
      <c r="H31" s="92"/>
      <c r="I31" s="92"/>
      <c r="J31" s="92"/>
      <c r="K31" s="245"/>
      <c r="L31" s="246"/>
    </row>
    <row r="32" spans="2:14" ht="63" customHeight="1" x14ac:dyDescent="0.25">
      <c r="B32" s="250"/>
      <c r="C32" s="25" t="s">
        <v>40</v>
      </c>
      <c r="D32" s="91" t="s">
        <v>431</v>
      </c>
      <c r="E32" s="91" t="s">
        <v>432</v>
      </c>
      <c r="F32" s="91"/>
      <c r="G32" s="91"/>
      <c r="H32" s="91"/>
      <c r="I32" s="91"/>
      <c r="J32" s="91"/>
      <c r="K32" s="245"/>
      <c r="L32" s="246"/>
    </row>
    <row r="33" spans="2:12" ht="46.5" customHeight="1" x14ac:dyDescent="0.25">
      <c r="B33" s="250"/>
      <c r="C33" s="25" t="s">
        <v>41</v>
      </c>
      <c r="D33" s="91" t="s">
        <v>433</v>
      </c>
      <c r="E33" s="91" t="s">
        <v>434</v>
      </c>
      <c r="F33" s="91"/>
      <c r="G33" s="91"/>
      <c r="H33" s="91"/>
      <c r="I33" s="91"/>
      <c r="J33" s="91"/>
      <c r="K33" s="245"/>
      <c r="L33" s="246"/>
    </row>
    <row r="34" spans="2:12" ht="27.75" customHeight="1" x14ac:dyDescent="0.25">
      <c r="B34" s="250"/>
      <c r="C34" s="27" t="s">
        <v>35</v>
      </c>
      <c r="D34" s="96" t="s">
        <v>435</v>
      </c>
      <c r="E34" s="96" t="s">
        <v>436</v>
      </c>
      <c r="F34" s="96"/>
      <c r="G34" s="97"/>
      <c r="H34" s="97"/>
      <c r="I34" s="97"/>
      <c r="J34" s="97"/>
      <c r="K34" s="245"/>
      <c r="L34" s="246"/>
    </row>
    <row r="35" spans="2:12" ht="102.75" customHeight="1" x14ac:dyDescent="0.25">
      <c r="B35" s="250"/>
      <c r="C35" s="25" t="s">
        <v>137</v>
      </c>
      <c r="D35" s="93">
        <v>6573.89</v>
      </c>
      <c r="E35" s="93">
        <v>7855.04</v>
      </c>
      <c r="F35" s="93"/>
      <c r="G35" s="93"/>
      <c r="H35" s="93"/>
      <c r="I35" s="93"/>
      <c r="J35" s="93"/>
      <c r="K35" s="245"/>
      <c r="L35" s="246"/>
    </row>
    <row r="36" spans="2:12" ht="48" customHeight="1" x14ac:dyDescent="0.25">
      <c r="B36" s="250"/>
      <c r="C36" s="25" t="s">
        <v>76</v>
      </c>
      <c r="D36" s="105">
        <f>IFERROR(D35*VLOOKUP(D31,'DATOS INICIALES'!$A$12:$B$43,2,0),"0")</f>
        <v>7625712400</v>
      </c>
      <c r="E36" s="105">
        <f>IFERROR(E35*VLOOKUP(E31,'DATOS INICIALES'!$A$12:$B$43,2,0),"0")</f>
        <v>6136687159.6800003</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0.95</v>
      </c>
      <c r="E37" s="94">
        <v>0.75</v>
      </c>
      <c r="F37" s="94"/>
      <c r="G37" s="94"/>
      <c r="H37" s="94"/>
      <c r="I37" s="94"/>
      <c r="J37" s="94"/>
      <c r="K37" s="245"/>
      <c r="L37" s="246"/>
    </row>
    <row r="38" spans="2:12" ht="48.75" customHeight="1" x14ac:dyDescent="0.25">
      <c r="B38" s="250"/>
      <c r="C38" s="25" t="s">
        <v>144</v>
      </c>
      <c r="D38" s="105">
        <f t="shared" ref="D38:J38" si="3">IF(D24="","0",D37*D36)</f>
        <v>7244426780</v>
      </c>
      <c r="E38" s="105">
        <f t="shared" si="3"/>
        <v>4602515369.7600002</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6245.1954999999998</v>
      </c>
      <c r="E39" s="106">
        <f t="shared" si="4"/>
        <v>5891.28</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v>0.05</v>
      </c>
      <c r="E40" s="94">
        <v>0.05</v>
      </c>
      <c r="F40" s="94"/>
      <c r="G40" s="94"/>
      <c r="H40" s="94"/>
      <c r="I40" s="94"/>
      <c r="J40" s="94"/>
      <c r="K40" s="245"/>
      <c r="L40" s="246"/>
    </row>
    <row r="41" spans="2:12" ht="65.25" customHeight="1" x14ac:dyDescent="0.25">
      <c r="B41" s="250"/>
      <c r="C41" s="25" t="s">
        <v>145</v>
      </c>
      <c r="D41" s="107">
        <f t="shared" ref="D41:J41" si="5">IF(D25="","0",D40*D36)</f>
        <v>381285620</v>
      </c>
      <c r="E41" s="107">
        <f t="shared" si="5"/>
        <v>306834357.98400003</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328.69450000000006</v>
      </c>
      <c r="E42" s="106">
        <f t="shared" ref="E42:J42" si="6">IF(E25="",0,E35*E40)</f>
        <v>392.75200000000001</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905" priority="13">
      <formula>LEN(TRIM(D25))=0</formula>
    </cfRule>
    <cfRule type="notContainsErrors" dxfId="904" priority="14">
      <formula>NOT(ISERROR(D25))</formula>
    </cfRule>
  </conditionalFormatting>
  <conditionalFormatting sqref="D34:J34 D24:K24 D37:J37 D40:J40 D43:J43 D46:J53 D55:J63 K64:L64 D65:K65">
    <cfRule type="containsBlanks" dxfId="903" priority="15">
      <formula>LEN(TRIM(D24))=0</formula>
    </cfRule>
  </conditionalFormatting>
  <conditionalFormatting sqref="D46:J53">
    <cfRule type="cellIs" dxfId="902" priority="11" operator="equal">
      <formula>"NO CUMPLE"</formula>
    </cfRule>
    <cfRule type="cellIs" dxfId="901" priority="12" operator="equal">
      <formula>"CUMPLE"</formula>
    </cfRule>
  </conditionalFormatting>
  <conditionalFormatting sqref="D54:J54">
    <cfRule type="cellIs" dxfId="900" priority="27" operator="equal">
      <formula>"""CUMPLE"""</formula>
    </cfRule>
    <cfRule type="cellIs" dxfId="899" priority="26" operator="equal">
      <formula>"NO CUMPLE"</formula>
    </cfRule>
    <cfRule type="cellIs" dxfId="898" priority="25" operator="equal">
      <formula>"CUMPLE"</formula>
    </cfRule>
    <cfRule type="cellIs" dxfId="897" priority="21" operator="equal">
      <formula>"N/A"</formula>
    </cfRule>
  </conditionalFormatting>
  <conditionalFormatting sqref="D55:J63">
    <cfRule type="cellIs" dxfId="896" priority="3" operator="equal">
      <formula>"NO CUMPLE"</formula>
    </cfRule>
    <cfRule type="cellIs" dxfId="895" priority="4" operator="equal">
      <formula>"CUMPLE"</formula>
    </cfRule>
  </conditionalFormatting>
  <conditionalFormatting sqref="D64:J64">
    <cfRule type="cellIs" dxfId="894" priority="19" operator="equal">
      <formula>"NO CUMPLE"</formula>
    </cfRule>
    <cfRule type="cellIs" dxfId="893" priority="20" operator="equal">
      <formula>"""CUMPLE"""</formula>
    </cfRule>
    <cfRule type="cellIs" dxfId="892" priority="17" operator="equal">
      <formula>"N/A"</formula>
    </cfRule>
    <cfRule type="cellIs" dxfId="891" priority="18" operator="equal">
      <formula>"CUMPLE"</formula>
    </cfRule>
  </conditionalFormatting>
  <conditionalFormatting sqref="D65:J65">
    <cfRule type="cellIs" dxfId="890" priority="9" operator="equal">
      <formula>"NO CUMPLE"</formula>
    </cfRule>
    <cfRule type="cellIs" dxfId="889" priority="10" operator="equal">
      <formula>"CUMPLE"</formula>
    </cfRule>
  </conditionalFormatting>
  <conditionalFormatting sqref="D24:K24 D34:J34 D37:J37 D40:J40 D43:J43 D46:J53 D55:J63 K64:L64 D65:K65">
    <cfRule type="notContainsErrors" dxfId="888" priority="16">
      <formula>NOT(ISERROR(D24))</formula>
    </cfRule>
  </conditionalFormatting>
  <conditionalFormatting sqref="F20:H20">
    <cfRule type="cellIs" dxfId="887" priority="31" operator="equal">
      <formula>"CUMPLE"</formula>
    </cfRule>
    <cfRule type="cellIs" dxfId="886" priority="32" operator="equal">
      <formula>"NO CUMPLE"</formula>
    </cfRule>
    <cfRule type="cellIs" dxfId="885" priority="33" operator="equal">
      <formula>"""CUMPLE"""</formula>
    </cfRule>
  </conditionalFormatting>
  <conditionalFormatting sqref="I11">
    <cfRule type="containsText" dxfId="884" priority="37" operator="containsText" text="NO CUMPLE">
      <formula>NOT(ISERROR(SEARCH("NO CUMPLE",I11)))</formula>
    </cfRule>
    <cfRule type="containsText" dxfId="883" priority="34" operator="containsText" text="INHABILITADO">
      <formula>NOT(ISERROR(SEARCH("INHABILITADO",I11)))</formula>
    </cfRule>
    <cfRule type="containsText" dxfId="882" priority="35" operator="containsText" text="HABILITADO">
      <formula>NOT(ISERROR(SEARCH("HABILITADO",I11)))</formula>
    </cfRule>
    <cfRule type="containsText" dxfId="881" priority="36" operator="containsText" text="HABILITADO">
      <formula>NOT(ISERROR(SEARCH("HABILITADO",I11)))</formula>
    </cfRule>
  </conditionalFormatting>
  <conditionalFormatting sqref="J20">
    <cfRule type="cellIs" dxfId="880" priority="8" operator="equal">
      <formula>"SI"</formula>
    </cfRule>
    <cfRule type="cellIs" dxfId="879" priority="7" operator="equal">
      <formula>"NO"</formula>
    </cfRule>
  </conditionalFormatting>
  <conditionalFormatting sqref="K19">
    <cfRule type="cellIs" dxfId="878" priority="22" operator="equal">
      <formula>"CUMPLE"</formula>
    </cfRule>
    <cfRule type="cellIs" dxfId="877" priority="23" operator="equal">
      <formula>"NO CUMPLE"</formula>
    </cfRule>
    <cfRule type="cellIs" dxfId="876" priority="24" operator="equal">
      <formula>"""CUMPLE"""</formula>
    </cfRule>
  </conditionalFormatting>
  <conditionalFormatting sqref="K25:K63">
    <cfRule type="notContainsErrors" dxfId="875" priority="2">
      <formula>NOT(ISERROR(K25))</formula>
    </cfRule>
    <cfRule type="containsBlanks" dxfId="874" priority="1">
      <formula>LEN(TRIM(K25))=0</formula>
    </cfRule>
  </conditionalFormatting>
  <conditionalFormatting sqref="L15">
    <cfRule type="cellIs" dxfId="873" priority="28" operator="equal">
      <formula>"CUMPLE"</formula>
    </cfRule>
    <cfRule type="cellIs" dxfId="872" priority="29" operator="equal">
      <formula>"NO CUMPLE"</formula>
    </cfRule>
    <cfRule type="cellIs" dxfId="871" priority="30" operator="equal">
      <formula>"""CUMPLE"""</formula>
    </cfRule>
  </conditionalFormatting>
  <conditionalFormatting sqref="L20">
    <cfRule type="cellIs" dxfId="870" priority="5" operator="equal">
      <formula>"NO"</formula>
    </cfRule>
    <cfRule type="cellIs" dxfId="869" priority="6" operator="equal">
      <formula>"SI"</formula>
    </cfRule>
  </conditionalFormatting>
  <dataValidations count="3">
    <dataValidation type="list" allowBlank="1" showInputMessage="1" showErrorMessage="1" sqref="L57:L64" xr:uid="{00000000-0002-0000-0D00-000000000000}">
      <formula1>"0,1,2,3,4,5,6"</formula1>
    </dataValidation>
    <dataValidation type="list" allowBlank="1" showInputMessage="1" showErrorMessage="1" sqref="D24:J26" xr:uid="{00000000-0002-0000-0D00-000001000000}">
      <formula1>$C$15:$C$19</formula1>
    </dataValidation>
    <dataValidation type="list" allowBlank="1" showInputMessage="1" showErrorMessage="1" sqref="D65:I65" xr:uid="{00000000-0002-0000-0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D00-000003000000}">
          <x14:formula1>
            <xm:f>'DATOS INICIALES'!$C$45:$C$46</xm:f>
          </x14:formula1>
          <xm:sqref>D47:I53 J47:J52</xm:sqref>
        </x14:dataValidation>
        <x14:dataValidation type="list" allowBlank="1" showInputMessage="1" showErrorMessage="1" xr:uid="{00000000-0002-0000-0D00-000004000000}">
          <x14:formula1>
            <xm:f>'DATOS INICIALES'!$A$50:$A$52</xm:f>
          </x14:formula1>
          <xm:sqref>D55:I57 D46:J46 J55:J56 D58:J63</xm:sqref>
        </x14:dataValidation>
        <x14:dataValidation type="list" allowBlank="1" showInputMessage="1" showErrorMessage="1" xr:uid="{00000000-0002-0000-0D00-000005000000}">
          <x14:formula1>
            <xm:f>'DATOS INICIALES'!$A$54:$A$59</xm:f>
          </x14:formula1>
          <xm:sqref>D23:I23</xm:sqref>
        </x14:dataValidation>
        <x14:dataValidation type="list" allowBlank="1" showInputMessage="1" showErrorMessage="1" xr:uid="{00000000-0002-0000-0D00-000006000000}">
          <x14:formula1>
            <xm:f>'DATOS INICIALES'!$D$21:$D$25</xm:f>
          </x14:formula1>
          <xm:sqref>M47:M54</xm:sqref>
        </x14:dataValidation>
        <x14:dataValidation type="list" allowBlank="1" showInputMessage="1" showErrorMessage="1" xr:uid="{00000000-0002-0000-0D00-000007000000}">
          <x14:formula1>
            <xm:f>'DATOS INICIALES'!$A$13:$A$43</xm:f>
          </x14:formula1>
          <xm:sqref>D31:I31</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11</v>
      </c>
      <c r="B11" s="2" t="s">
        <v>24</v>
      </c>
      <c r="C11" s="287" t="str">
        <f>VLOOKUP(A11,PROPONENTES!$A$10:$B$42,2,FALSE)</f>
        <v>CONSORCIO PARQUES KD E&amp;E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EDC INGENIERIA SAS</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4790.6625000000004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13858.486000000001</v>
      </c>
      <c r="L15" s="236" t="str">
        <f>IF(K15&gt;=J15,"CUMPLE","NO CUMPLE")</f>
        <v>CUMPLE</v>
      </c>
    </row>
    <row r="16" spans="1:12" ht="33.75" customHeight="1" x14ac:dyDescent="0.25">
      <c r="B16" s="244"/>
      <c r="C16" s="100" t="str">
        <f>IF(VLOOKUP(C11,PROPONENTES!B10:N111,4,FALSE)=0,"",VLOOKUP(C11,PROPONENTES!B10:N111,4,FALSE))</f>
        <v>ESTUDIOS E INGENIERIA SAS</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9067.8235000000004</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13858.486000000001</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13858.486000000001</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238</v>
      </c>
      <c r="E24" s="90" t="s">
        <v>237</v>
      </c>
      <c r="F24" s="90"/>
      <c r="G24" s="90"/>
      <c r="H24" s="90"/>
      <c r="I24" s="90"/>
      <c r="J24" s="90"/>
      <c r="K24" s="245"/>
      <c r="L24" s="246"/>
    </row>
    <row r="25" spans="2:14" ht="39.75" customHeight="1" x14ac:dyDescent="0.25">
      <c r="B25" s="231" t="s">
        <v>135</v>
      </c>
      <c r="C25" s="232"/>
      <c r="D25" s="90"/>
      <c r="E25" s="90" t="s">
        <v>238</v>
      </c>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437</v>
      </c>
      <c r="E27" s="91" t="s">
        <v>438</v>
      </c>
      <c r="F27" s="91"/>
      <c r="G27" s="91"/>
      <c r="H27" s="91"/>
      <c r="I27" s="91"/>
      <c r="J27" s="91"/>
      <c r="K27" s="245"/>
      <c r="L27" s="246"/>
    </row>
    <row r="28" spans="2:14" ht="156.75" customHeight="1" x14ac:dyDescent="0.25">
      <c r="B28" s="250"/>
      <c r="C28" s="25" t="s">
        <v>38</v>
      </c>
      <c r="D28" s="91" t="s">
        <v>439</v>
      </c>
      <c r="E28" s="91" t="s">
        <v>440</v>
      </c>
      <c r="F28" s="91"/>
      <c r="G28" s="91"/>
      <c r="H28" s="91"/>
      <c r="I28" s="91"/>
      <c r="J28" s="91"/>
      <c r="K28" s="245"/>
      <c r="L28" s="246"/>
    </row>
    <row r="29" spans="2:14" ht="52.5" customHeight="1" x14ac:dyDescent="0.25">
      <c r="B29" s="250"/>
      <c r="C29" s="25" t="s">
        <v>169</v>
      </c>
      <c r="D29" s="95">
        <v>43509</v>
      </c>
      <c r="E29" s="95">
        <v>43885</v>
      </c>
      <c r="F29" s="95"/>
      <c r="G29" s="95"/>
      <c r="H29" s="95"/>
      <c r="I29" s="95"/>
      <c r="J29" s="95"/>
      <c r="K29" s="245"/>
      <c r="L29" s="246"/>
    </row>
    <row r="30" spans="2:14" ht="54.75" customHeight="1" x14ac:dyDescent="0.25">
      <c r="B30" s="250"/>
      <c r="C30" s="25" t="s">
        <v>42</v>
      </c>
      <c r="D30" s="95">
        <v>43880</v>
      </c>
      <c r="E30" s="95">
        <v>44229</v>
      </c>
      <c r="F30" s="95"/>
      <c r="G30" s="95"/>
      <c r="H30" s="95"/>
      <c r="I30" s="95"/>
      <c r="J30" s="95"/>
      <c r="K30" s="245"/>
      <c r="L30" s="246"/>
    </row>
    <row r="31" spans="2:14" ht="41.25" customHeight="1" x14ac:dyDescent="0.25">
      <c r="B31" s="250"/>
      <c r="C31" s="25" t="s">
        <v>39</v>
      </c>
      <c r="D31" s="92">
        <v>2020</v>
      </c>
      <c r="E31" s="92">
        <v>2021</v>
      </c>
      <c r="F31" s="92"/>
      <c r="G31" s="92"/>
      <c r="H31" s="92"/>
      <c r="I31" s="92"/>
      <c r="J31" s="92"/>
      <c r="K31" s="245"/>
      <c r="L31" s="246"/>
    </row>
    <row r="32" spans="2:14" ht="63" customHeight="1" x14ac:dyDescent="0.25">
      <c r="B32" s="250"/>
      <c r="C32" s="25" t="s">
        <v>40</v>
      </c>
      <c r="D32" s="91" t="s">
        <v>441</v>
      </c>
      <c r="E32" s="91" t="s">
        <v>442</v>
      </c>
      <c r="F32" s="91"/>
      <c r="G32" s="91"/>
      <c r="H32" s="91"/>
      <c r="I32" s="91"/>
      <c r="J32" s="91"/>
      <c r="K32" s="245"/>
      <c r="L32" s="246"/>
    </row>
    <row r="33" spans="2:12" ht="46.5" customHeight="1" x14ac:dyDescent="0.25">
      <c r="B33" s="250"/>
      <c r="C33" s="25" t="s">
        <v>41</v>
      </c>
      <c r="D33" s="91" t="s">
        <v>443</v>
      </c>
      <c r="E33" s="91" t="s">
        <v>444</v>
      </c>
      <c r="F33" s="91"/>
      <c r="G33" s="91"/>
      <c r="H33" s="91"/>
      <c r="I33" s="91"/>
      <c r="J33" s="91"/>
      <c r="K33" s="245"/>
      <c r="L33" s="246"/>
    </row>
    <row r="34" spans="2:12" ht="27.75" customHeight="1" x14ac:dyDescent="0.25">
      <c r="B34" s="250"/>
      <c r="C34" s="27" t="s">
        <v>35</v>
      </c>
      <c r="D34" s="96">
        <v>71</v>
      </c>
      <c r="E34" s="96" t="s">
        <v>445</v>
      </c>
      <c r="F34" s="96"/>
      <c r="G34" s="97"/>
      <c r="H34" s="97"/>
      <c r="I34" s="97"/>
      <c r="J34" s="97"/>
      <c r="K34" s="245"/>
      <c r="L34" s="246"/>
    </row>
    <row r="35" spans="2:12" ht="102.75" customHeight="1" x14ac:dyDescent="0.25">
      <c r="B35" s="250"/>
      <c r="C35" s="25" t="s">
        <v>137</v>
      </c>
      <c r="D35" s="93">
        <v>8301.0400000000009</v>
      </c>
      <c r="E35" s="93">
        <v>6387.55</v>
      </c>
      <c r="F35" s="93"/>
      <c r="G35" s="93"/>
      <c r="H35" s="93"/>
      <c r="I35" s="93"/>
      <c r="J35" s="93"/>
      <c r="K35" s="245"/>
      <c r="L35" s="246"/>
    </row>
    <row r="36" spans="2:12" ht="48" customHeight="1" x14ac:dyDescent="0.25">
      <c r="B36" s="250"/>
      <c r="C36" s="25" t="s">
        <v>76</v>
      </c>
      <c r="D36" s="105">
        <f>IFERROR(D35*VLOOKUP(D31,'DATOS INICIALES'!$A$12:$B$43,2,0),"0")</f>
        <v>7286677815.1200008</v>
      </c>
      <c r="E36" s="105">
        <f>IFERROR(E35*VLOOKUP(E31,'DATOS INICIALES'!$A$12:$B$43,2,0),"0")</f>
        <v>5803255251.3000002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v>
      </c>
      <c r="E37" s="94">
        <v>0.75</v>
      </c>
      <c r="F37" s="94"/>
      <c r="G37" s="94"/>
      <c r="H37" s="94"/>
      <c r="I37" s="94"/>
      <c r="J37" s="94"/>
      <c r="K37" s="245"/>
      <c r="L37" s="246"/>
    </row>
    <row r="38" spans="2:12" ht="48.75" customHeight="1" x14ac:dyDescent="0.25">
      <c r="B38" s="250"/>
      <c r="C38" s="25" t="s">
        <v>144</v>
      </c>
      <c r="D38" s="105">
        <f t="shared" ref="D38:J38" si="3">IF(D24="","0",D37*D36)</f>
        <v>6558010033.6080008</v>
      </c>
      <c r="E38" s="105">
        <f t="shared" si="3"/>
        <v>4352441438.4750004</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7470.9360000000006</v>
      </c>
      <c r="E39" s="106">
        <f t="shared" si="4"/>
        <v>4790.6625000000004</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v>0.25</v>
      </c>
      <c r="F40" s="94"/>
      <c r="G40" s="94"/>
      <c r="H40" s="94"/>
      <c r="I40" s="94"/>
      <c r="J40" s="94"/>
      <c r="K40" s="245"/>
      <c r="L40" s="246"/>
    </row>
    <row r="41" spans="2:12" ht="65.25" customHeight="1" x14ac:dyDescent="0.25">
      <c r="B41" s="250"/>
      <c r="C41" s="25" t="s">
        <v>145</v>
      </c>
      <c r="D41" s="107" t="str">
        <f t="shared" ref="D41:J41" si="5">IF(D25="","0",D40*D36)</f>
        <v>0</v>
      </c>
      <c r="E41" s="107">
        <f t="shared" si="5"/>
        <v>1450813812.825</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1596.8875</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68" priority="13">
      <formula>LEN(TRIM(D25))=0</formula>
    </cfRule>
    <cfRule type="notContainsErrors" dxfId="867" priority="14">
      <formula>NOT(ISERROR(D25))</formula>
    </cfRule>
  </conditionalFormatting>
  <conditionalFormatting sqref="D34:J34 D24:K24 D37:J37 D40:J40 D43:J43 D46:J53 D55:J63 K64:L64 D65:K65">
    <cfRule type="containsBlanks" dxfId="866" priority="15">
      <formula>LEN(TRIM(D24))=0</formula>
    </cfRule>
  </conditionalFormatting>
  <conditionalFormatting sqref="D46:J53">
    <cfRule type="cellIs" dxfId="865" priority="11" operator="equal">
      <formula>"NO CUMPLE"</formula>
    </cfRule>
    <cfRule type="cellIs" dxfId="864" priority="12" operator="equal">
      <formula>"CUMPLE"</formula>
    </cfRule>
  </conditionalFormatting>
  <conditionalFormatting sqref="D54:J54">
    <cfRule type="cellIs" dxfId="863" priority="27" operator="equal">
      <formula>"""CUMPLE"""</formula>
    </cfRule>
    <cfRule type="cellIs" dxfId="862" priority="26" operator="equal">
      <formula>"NO CUMPLE"</formula>
    </cfRule>
    <cfRule type="cellIs" dxfId="861" priority="25" operator="equal">
      <formula>"CUMPLE"</formula>
    </cfRule>
    <cfRule type="cellIs" dxfId="860" priority="21" operator="equal">
      <formula>"N/A"</formula>
    </cfRule>
  </conditionalFormatting>
  <conditionalFormatting sqref="D55:J63">
    <cfRule type="cellIs" dxfId="859" priority="3" operator="equal">
      <formula>"NO CUMPLE"</formula>
    </cfRule>
    <cfRule type="cellIs" dxfId="858" priority="4" operator="equal">
      <formula>"CUMPLE"</formula>
    </cfRule>
  </conditionalFormatting>
  <conditionalFormatting sqref="D64:J64">
    <cfRule type="cellIs" dxfId="857" priority="19" operator="equal">
      <formula>"NO CUMPLE"</formula>
    </cfRule>
    <cfRule type="cellIs" dxfId="856" priority="20" operator="equal">
      <formula>"""CUMPLE"""</formula>
    </cfRule>
    <cfRule type="cellIs" dxfId="855" priority="17" operator="equal">
      <formula>"N/A"</formula>
    </cfRule>
    <cfRule type="cellIs" dxfId="854" priority="18" operator="equal">
      <formula>"CUMPLE"</formula>
    </cfRule>
  </conditionalFormatting>
  <conditionalFormatting sqref="D65:J65">
    <cfRule type="cellIs" dxfId="853" priority="9" operator="equal">
      <formula>"NO CUMPLE"</formula>
    </cfRule>
    <cfRule type="cellIs" dxfId="852" priority="10" operator="equal">
      <formula>"CUMPLE"</formula>
    </cfRule>
  </conditionalFormatting>
  <conditionalFormatting sqref="D24:K24 D34:J34 D37:J37 D40:J40 D43:J43 D46:J53 D55:J63 K64:L64 D65:K65">
    <cfRule type="notContainsErrors" dxfId="851" priority="16">
      <formula>NOT(ISERROR(D24))</formula>
    </cfRule>
  </conditionalFormatting>
  <conditionalFormatting sqref="F20:H20">
    <cfRule type="cellIs" dxfId="850" priority="31" operator="equal">
      <formula>"CUMPLE"</formula>
    </cfRule>
    <cfRule type="cellIs" dxfId="849" priority="32" operator="equal">
      <formula>"NO CUMPLE"</formula>
    </cfRule>
    <cfRule type="cellIs" dxfId="848" priority="33" operator="equal">
      <formula>"""CUMPLE"""</formula>
    </cfRule>
  </conditionalFormatting>
  <conditionalFormatting sqref="I11">
    <cfRule type="containsText" dxfId="847" priority="37" operator="containsText" text="NO CUMPLE">
      <formula>NOT(ISERROR(SEARCH("NO CUMPLE",I11)))</formula>
    </cfRule>
    <cfRule type="containsText" dxfId="846" priority="34" operator="containsText" text="INHABILITADO">
      <formula>NOT(ISERROR(SEARCH("INHABILITADO",I11)))</formula>
    </cfRule>
    <cfRule type="containsText" dxfId="845" priority="35" operator="containsText" text="HABILITADO">
      <formula>NOT(ISERROR(SEARCH("HABILITADO",I11)))</formula>
    </cfRule>
    <cfRule type="containsText" dxfId="844" priority="36" operator="containsText" text="HABILITADO">
      <formula>NOT(ISERROR(SEARCH("HABILITADO",I11)))</formula>
    </cfRule>
  </conditionalFormatting>
  <conditionalFormatting sqref="J20">
    <cfRule type="cellIs" dxfId="843" priority="8" operator="equal">
      <formula>"SI"</formula>
    </cfRule>
    <cfRule type="cellIs" dxfId="842" priority="7" operator="equal">
      <formula>"NO"</formula>
    </cfRule>
  </conditionalFormatting>
  <conditionalFormatting sqref="K19">
    <cfRule type="cellIs" dxfId="841" priority="22" operator="equal">
      <formula>"CUMPLE"</formula>
    </cfRule>
    <cfRule type="cellIs" dxfId="840" priority="23" operator="equal">
      <formula>"NO CUMPLE"</formula>
    </cfRule>
    <cfRule type="cellIs" dxfId="839" priority="24" operator="equal">
      <formula>"""CUMPLE"""</formula>
    </cfRule>
  </conditionalFormatting>
  <conditionalFormatting sqref="K25:K63">
    <cfRule type="notContainsErrors" dxfId="838" priority="2">
      <formula>NOT(ISERROR(K25))</formula>
    </cfRule>
    <cfRule type="containsBlanks" dxfId="837" priority="1">
      <formula>LEN(TRIM(K25))=0</formula>
    </cfRule>
  </conditionalFormatting>
  <conditionalFormatting sqref="L15">
    <cfRule type="cellIs" dxfId="836" priority="28" operator="equal">
      <formula>"CUMPLE"</formula>
    </cfRule>
    <cfRule type="cellIs" dxfId="835" priority="29" operator="equal">
      <formula>"NO CUMPLE"</formula>
    </cfRule>
    <cfRule type="cellIs" dxfId="834" priority="30" operator="equal">
      <formula>"""CUMPLE"""</formula>
    </cfRule>
  </conditionalFormatting>
  <conditionalFormatting sqref="L20">
    <cfRule type="cellIs" dxfId="833" priority="5" operator="equal">
      <formula>"NO"</formula>
    </cfRule>
    <cfRule type="cellIs" dxfId="832" priority="6" operator="equal">
      <formula>"SI"</formula>
    </cfRule>
  </conditionalFormatting>
  <dataValidations count="3">
    <dataValidation type="list" allowBlank="1" showInputMessage="1" showErrorMessage="1" sqref="D65:I65" xr:uid="{00000000-0002-0000-0E00-000000000000}">
      <formula1>"CUMPLE,NO CUMPLE"</formula1>
    </dataValidation>
    <dataValidation type="list" allowBlank="1" showInputMessage="1" showErrorMessage="1" sqref="D24:J26" xr:uid="{00000000-0002-0000-0E00-000001000000}">
      <formula1>$C$15:$C$19</formula1>
    </dataValidation>
    <dataValidation type="list" allowBlank="1" showInputMessage="1" showErrorMessage="1" sqref="L57:L64" xr:uid="{00000000-0002-0000-0E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E00-000003000000}">
          <x14:formula1>
            <xm:f>'DATOS INICIALES'!$A$13:$A$43</xm:f>
          </x14:formula1>
          <xm:sqref>D31:I31</xm:sqref>
        </x14:dataValidation>
        <x14:dataValidation type="list" allowBlank="1" showInputMessage="1" showErrorMessage="1" xr:uid="{00000000-0002-0000-0E00-000004000000}">
          <x14:formula1>
            <xm:f>'DATOS INICIALES'!$D$21:$D$25</xm:f>
          </x14:formula1>
          <xm:sqref>M47:M54</xm:sqref>
        </x14:dataValidation>
        <x14:dataValidation type="list" allowBlank="1" showInputMessage="1" showErrorMessage="1" xr:uid="{00000000-0002-0000-0E00-000005000000}">
          <x14:formula1>
            <xm:f>'DATOS INICIALES'!$A$54:$A$59</xm:f>
          </x14:formula1>
          <xm:sqref>D23:I23</xm:sqref>
        </x14:dataValidation>
        <x14:dataValidation type="list" allowBlank="1" showInputMessage="1" showErrorMessage="1" xr:uid="{00000000-0002-0000-0E00-000006000000}">
          <x14:formula1>
            <xm:f>'DATOS INICIALES'!$A$50:$A$52</xm:f>
          </x14:formula1>
          <xm:sqref>D55:I57 D46:J46 J55:J56 D58:J63</xm:sqref>
        </x14:dataValidation>
        <x14:dataValidation type="list" allowBlank="1" showInputMessage="1" showErrorMessage="1" xr:uid="{00000000-0002-0000-0E00-000007000000}">
          <x14:formula1>
            <xm:f>'DATOS INICIALES'!$C$45:$C$46</xm:f>
          </x14:formula1>
          <xm:sqref>D47:I53 J47:J52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65"/>
  <sheetViews>
    <sheetView view="pageBreakPreview" zoomScale="55" zoomScaleNormal="55" zoomScaleSheetLayoutView="55" workbookViewId="0">
      <pane ySplit="11" topLeftCell="A59" activePane="bottomLeft" state="frozenSplit"/>
      <selection activeCell="D65" sqref="D65"/>
      <selection pane="bottomLeft" activeCell="E59" sqref="E59"/>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12</v>
      </c>
      <c r="B11" s="2" t="s">
        <v>24</v>
      </c>
      <c r="C11" s="287" t="str">
        <f>VLOOKUP(A11,PROPONENTES!$A$10:$B$42,2,FALSE)</f>
        <v>CONSORCIO RC-B - FDLK-LP-013-2024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RC ARQUITECTOS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2314.1064999999999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2314.1064999999999</v>
      </c>
      <c r="L15" s="236" t="str">
        <f>IF(K15&gt;=J15,"CUMPLE","NO CUMPLE")</f>
        <v>CUMPLE</v>
      </c>
    </row>
    <row r="16" spans="1:12" ht="33.75" customHeight="1" x14ac:dyDescent="0.25">
      <c r="B16" s="244"/>
      <c r="C16" s="100" t="str">
        <f>IF(VLOOKUP(C11,PROPONENTES!B10:N111,4,FALSE)=0,"",VLOOKUP(C11,PROPONENTES!B10:N111,4,FALSE))</f>
        <v xml:space="preserve">BUSINES GROUP CG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2314.1064999999999</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2314.1064999999999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241</v>
      </c>
      <c r="E24" s="90" t="s">
        <v>241</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446</v>
      </c>
      <c r="E27" s="91" t="s">
        <v>447</v>
      </c>
      <c r="F27" s="91"/>
      <c r="G27" s="91"/>
      <c r="H27" s="91"/>
      <c r="I27" s="91"/>
      <c r="J27" s="91"/>
      <c r="K27" s="245"/>
      <c r="L27" s="246"/>
    </row>
    <row r="28" spans="2:14" ht="156.75" customHeight="1" x14ac:dyDescent="0.25">
      <c r="B28" s="250"/>
      <c r="C28" s="25" t="s">
        <v>38</v>
      </c>
      <c r="D28" s="91" t="s">
        <v>448</v>
      </c>
      <c r="E28" s="91" t="s">
        <v>546</v>
      </c>
      <c r="F28" s="91"/>
      <c r="G28" s="91"/>
      <c r="H28" s="91"/>
      <c r="I28" s="91"/>
      <c r="J28" s="91"/>
      <c r="K28" s="245"/>
      <c r="L28" s="246"/>
    </row>
    <row r="29" spans="2:14" ht="52.5" customHeight="1" x14ac:dyDescent="0.25">
      <c r="B29" s="250"/>
      <c r="C29" s="25" t="s">
        <v>169</v>
      </c>
      <c r="D29" s="95">
        <v>43620</v>
      </c>
      <c r="E29" s="95">
        <v>43719</v>
      </c>
      <c r="F29" s="95"/>
      <c r="G29" s="95"/>
      <c r="H29" s="95"/>
      <c r="I29" s="95"/>
      <c r="J29" s="95"/>
      <c r="K29" s="245"/>
      <c r="L29" s="246"/>
    </row>
    <row r="30" spans="2:14" ht="54.75" customHeight="1" x14ac:dyDescent="0.25">
      <c r="B30" s="250"/>
      <c r="C30" s="25" t="s">
        <v>42</v>
      </c>
      <c r="D30" s="95">
        <v>43802</v>
      </c>
      <c r="E30" s="95">
        <v>44162</v>
      </c>
      <c r="F30" s="95"/>
      <c r="G30" s="95"/>
      <c r="H30" s="95"/>
      <c r="I30" s="95"/>
      <c r="J30" s="95"/>
      <c r="K30" s="245"/>
      <c r="L30" s="246"/>
    </row>
    <row r="31" spans="2:14" ht="41.25" customHeight="1" x14ac:dyDescent="0.25">
      <c r="B31" s="250"/>
      <c r="C31" s="25" t="s">
        <v>39</v>
      </c>
      <c r="D31" s="92">
        <v>2019</v>
      </c>
      <c r="E31" s="92">
        <v>2020</v>
      </c>
      <c r="F31" s="92"/>
      <c r="G31" s="92"/>
      <c r="H31" s="92"/>
      <c r="I31" s="92"/>
      <c r="J31" s="92"/>
      <c r="K31" s="245"/>
      <c r="L31" s="246"/>
    </row>
    <row r="32" spans="2:14" ht="63" customHeight="1" x14ac:dyDescent="0.25">
      <c r="B32" s="250"/>
      <c r="C32" s="25" t="s">
        <v>40</v>
      </c>
      <c r="D32" s="91" t="s">
        <v>449</v>
      </c>
      <c r="E32" s="91" t="s">
        <v>450</v>
      </c>
      <c r="F32" s="91"/>
      <c r="G32" s="91"/>
      <c r="H32" s="91"/>
      <c r="I32" s="91"/>
      <c r="J32" s="91"/>
      <c r="K32" s="245"/>
      <c r="L32" s="246"/>
    </row>
    <row r="33" spans="2:12" ht="46.5" customHeight="1" x14ac:dyDescent="0.25">
      <c r="B33" s="250"/>
      <c r="C33" s="25" t="s">
        <v>41</v>
      </c>
      <c r="D33" s="91" t="s">
        <v>451</v>
      </c>
      <c r="E33" s="91" t="s">
        <v>452</v>
      </c>
      <c r="F33" s="91"/>
      <c r="G33" s="91"/>
      <c r="H33" s="91"/>
      <c r="I33" s="91"/>
      <c r="J33" s="91"/>
      <c r="K33" s="245"/>
      <c r="L33" s="246"/>
    </row>
    <row r="34" spans="2:12" ht="27.75" customHeight="1" x14ac:dyDescent="0.25">
      <c r="B34" s="250"/>
      <c r="C34" s="27" t="s">
        <v>35</v>
      </c>
      <c r="D34" s="96">
        <v>48</v>
      </c>
      <c r="E34" s="96">
        <v>54</v>
      </c>
      <c r="F34" s="96"/>
      <c r="G34" s="97"/>
      <c r="H34" s="97"/>
      <c r="I34" s="97"/>
      <c r="J34" s="97"/>
      <c r="K34" s="245"/>
      <c r="L34" s="246"/>
    </row>
    <row r="35" spans="2:12" ht="102.75" customHeight="1" x14ac:dyDescent="0.25">
      <c r="B35" s="250"/>
      <c r="C35" s="25" t="s">
        <v>137</v>
      </c>
      <c r="D35" s="93">
        <v>926.9</v>
      </c>
      <c r="E35" s="93">
        <v>3185.67</v>
      </c>
      <c r="F35" s="93"/>
      <c r="G35" s="93"/>
      <c r="H35" s="93"/>
      <c r="I35" s="93"/>
      <c r="J35" s="93"/>
      <c r="K35" s="245"/>
      <c r="L35" s="246"/>
    </row>
    <row r="36" spans="2:12" ht="48" customHeight="1" x14ac:dyDescent="0.25">
      <c r="B36" s="250"/>
      <c r="C36" s="25" t="s">
        <v>76</v>
      </c>
      <c r="D36" s="105">
        <f>IFERROR(D35*VLOOKUP(D31,'DATOS INICIALES'!$A$12:$B$43,2,0),"0")</f>
        <v>767580720.39999998</v>
      </c>
      <c r="E36" s="105">
        <f>IFERROR(E35*VLOOKUP(E31,'DATOS INICIALES'!$A$12:$B$43,2,0),"0")</f>
        <v>2796390683.0100002</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0.95</v>
      </c>
      <c r="E37" s="94">
        <v>0.45</v>
      </c>
      <c r="F37" s="94"/>
      <c r="G37" s="94"/>
      <c r="H37" s="94"/>
      <c r="I37" s="94"/>
      <c r="J37" s="94"/>
      <c r="K37" s="245"/>
      <c r="L37" s="246"/>
    </row>
    <row r="38" spans="2:12" ht="48.75" customHeight="1" x14ac:dyDescent="0.25">
      <c r="B38" s="250"/>
      <c r="C38" s="25" t="s">
        <v>144</v>
      </c>
      <c r="D38" s="105">
        <f t="shared" ref="D38:J38" si="3">IF(D24="","0",D37*D36)</f>
        <v>729201684.38</v>
      </c>
      <c r="E38" s="105">
        <f t="shared" si="3"/>
        <v>1258375807.3545001</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880.55499999999995</v>
      </c>
      <c r="E39" s="106">
        <f t="shared" si="4"/>
        <v>1433.5515</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77</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31" priority="13">
      <formula>LEN(TRIM(D25))=0</formula>
    </cfRule>
    <cfRule type="notContainsErrors" dxfId="830" priority="14">
      <formula>NOT(ISERROR(D25))</formula>
    </cfRule>
  </conditionalFormatting>
  <conditionalFormatting sqref="D34:J34 D24:K24 D37:J37 D40:J40 D43:J43 D46:J53 D55:J63 K64:L64 D65:K65">
    <cfRule type="containsBlanks" dxfId="829" priority="15">
      <formula>LEN(TRIM(D24))=0</formula>
    </cfRule>
  </conditionalFormatting>
  <conditionalFormatting sqref="D46:J53">
    <cfRule type="cellIs" dxfId="828" priority="11" operator="equal">
      <formula>"NO CUMPLE"</formula>
    </cfRule>
    <cfRule type="cellIs" dxfId="827" priority="12" operator="equal">
      <formula>"CUMPLE"</formula>
    </cfRule>
  </conditionalFormatting>
  <conditionalFormatting sqref="D54:J54">
    <cfRule type="cellIs" dxfId="826" priority="27" operator="equal">
      <formula>"""CUMPLE"""</formula>
    </cfRule>
    <cfRule type="cellIs" dxfId="825" priority="26" operator="equal">
      <formula>"NO CUMPLE"</formula>
    </cfRule>
    <cfRule type="cellIs" dxfId="824" priority="25" operator="equal">
      <formula>"CUMPLE"</formula>
    </cfRule>
    <cfRule type="cellIs" dxfId="823" priority="21" operator="equal">
      <formula>"N/A"</formula>
    </cfRule>
  </conditionalFormatting>
  <conditionalFormatting sqref="D55:J63">
    <cfRule type="cellIs" dxfId="822" priority="3" operator="equal">
      <formula>"NO CUMPLE"</formula>
    </cfRule>
    <cfRule type="cellIs" dxfId="821" priority="4" operator="equal">
      <formula>"CUMPLE"</formula>
    </cfRule>
  </conditionalFormatting>
  <conditionalFormatting sqref="D64:J64">
    <cfRule type="cellIs" dxfId="820" priority="19" operator="equal">
      <formula>"NO CUMPLE"</formula>
    </cfRule>
    <cfRule type="cellIs" dxfId="819" priority="20" operator="equal">
      <formula>"""CUMPLE"""</formula>
    </cfRule>
    <cfRule type="cellIs" dxfId="818" priority="17" operator="equal">
      <formula>"N/A"</formula>
    </cfRule>
    <cfRule type="cellIs" dxfId="817" priority="18" operator="equal">
      <formula>"CUMPLE"</formula>
    </cfRule>
  </conditionalFormatting>
  <conditionalFormatting sqref="D65:J65">
    <cfRule type="cellIs" dxfId="816" priority="9" operator="equal">
      <formula>"NO CUMPLE"</formula>
    </cfRule>
    <cfRule type="cellIs" dxfId="815" priority="10" operator="equal">
      <formula>"CUMPLE"</formula>
    </cfRule>
  </conditionalFormatting>
  <conditionalFormatting sqref="D24:K24 D34:J34 D37:J37 D40:J40 D43:J43 D46:J53 D55:J63 K64:L64 D65:K65">
    <cfRule type="notContainsErrors" dxfId="814" priority="16">
      <formula>NOT(ISERROR(D24))</formula>
    </cfRule>
  </conditionalFormatting>
  <conditionalFormatting sqref="F20:H20">
    <cfRule type="cellIs" dxfId="813" priority="31" operator="equal">
      <formula>"CUMPLE"</formula>
    </cfRule>
    <cfRule type="cellIs" dxfId="812" priority="32" operator="equal">
      <formula>"NO CUMPLE"</formula>
    </cfRule>
    <cfRule type="cellIs" dxfId="811" priority="33" operator="equal">
      <formula>"""CUMPLE"""</formula>
    </cfRule>
  </conditionalFormatting>
  <conditionalFormatting sqref="I11">
    <cfRule type="containsText" dxfId="810" priority="37" operator="containsText" text="NO CUMPLE">
      <formula>NOT(ISERROR(SEARCH("NO CUMPLE",I11)))</formula>
    </cfRule>
    <cfRule type="containsText" dxfId="809" priority="34" operator="containsText" text="INHABILITADO">
      <formula>NOT(ISERROR(SEARCH("INHABILITADO",I11)))</formula>
    </cfRule>
    <cfRule type="containsText" dxfId="808" priority="35" operator="containsText" text="HABILITADO">
      <formula>NOT(ISERROR(SEARCH("HABILITADO",I11)))</formula>
    </cfRule>
    <cfRule type="containsText" dxfId="807" priority="36" operator="containsText" text="HABILITADO">
      <formula>NOT(ISERROR(SEARCH("HABILITADO",I11)))</formula>
    </cfRule>
  </conditionalFormatting>
  <conditionalFormatting sqref="J20">
    <cfRule type="cellIs" dxfId="806" priority="8" operator="equal">
      <formula>"SI"</formula>
    </cfRule>
    <cfRule type="cellIs" dxfId="805" priority="7" operator="equal">
      <formula>"NO"</formula>
    </cfRule>
  </conditionalFormatting>
  <conditionalFormatting sqref="K19">
    <cfRule type="cellIs" dxfId="804" priority="22" operator="equal">
      <formula>"CUMPLE"</formula>
    </cfRule>
    <cfRule type="cellIs" dxfId="803" priority="23" operator="equal">
      <formula>"NO CUMPLE"</formula>
    </cfRule>
    <cfRule type="cellIs" dxfId="802" priority="24" operator="equal">
      <formula>"""CUMPLE"""</formula>
    </cfRule>
  </conditionalFormatting>
  <conditionalFormatting sqref="K25:K63">
    <cfRule type="notContainsErrors" dxfId="801" priority="2">
      <formula>NOT(ISERROR(K25))</formula>
    </cfRule>
    <cfRule type="containsBlanks" dxfId="800" priority="1">
      <formula>LEN(TRIM(K25))=0</formula>
    </cfRule>
  </conditionalFormatting>
  <conditionalFormatting sqref="L15">
    <cfRule type="cellIs" dxfId="799" priority="28" operator="equal">
      <formula>"CUMPLE"</formula>
    </cfRule>
    <cfRule type="cellIs" dxfId="798" priority="29" operator="equal">
      <formula>"NO CUMPLE"</formula>
    </cfRule>
    <cfRule type="cellIs" dxfId="797" priority="30" operator="equal">
      <formula>"""CUMPLE"""</formula>
    </cfRule>
  </conditionalFormatting>
  <conditionalFormatting sqref="L20">
    <cfRule type="cellIs" dxfId="796" priority="5" operator="equal">
      <formula>"NO"</formula>
    </cfRule>
    <cfRule type="cellIs" dxfId="795" priority="6" operator="equal">
      <formula>"SI"</formula>
    </cfRule>
  </conditionalFormatting>
  <dataValidations count="3">
    <dataValidation type="list" allowBlank="1" showInputMessage="1" showErrorMessage="1" sqref="L57:L64" xr:uid="{00000000-0002-0000-0F00-000000000000}">
      <formula1>"0,1,2,3,4,5,6"</formula1>
    </dataValidation>
    <dataValidation type="list" allowBlank="1" showInputMessage="1" showErrorMessage="1" sqref="D24:J26" xr:uid="{00000000-0002-0000-0F00-000001000000}">
      <formula1>$C$15:$C$19</formula1>
    </dataValidation>
    <dataValidation type="list" allowBlank="1" showInputMessage="1" showErrorMessage="1" sqref="D65:I65" xr:uid="{00000000-0002-0000-0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F00-000003000000}">
          <x14:formula1>
            <xm:f>'DATOS INICIALES'!$C$45:$C$46</xm:f>
          </x14:formula1>
          <xm:sqref>D47:I53 J47:J52</xm:sqref>
        </x14:dataValidation>
        <x14:dataValidation type="list" allowBlank="1" showInputMessage="1" showErrorMessage="1" xr:uid="{00000000-0002-0000-0F00-000004000000}">
          <x14:formula1>
            <xm:f>'DATOS INICIALES'!$A$50:$A$52</xm:f>
          </x14:formula1>
          <xm:sqref>D55:I57 D46:J46 J55:J56 D58:J63</xm:sqref>
        </x14:dataValidation>
        <x14:dataValidation type="list" allowBlank="1" showInputMessage="1" showErrorMessage="1" xr:uid="{00000000-0002-0000-0F00-000005000000}">
          <x14:formula1>
            <xm:f>'DATOS INICIALES'!$A$54:$A$59</xm:f>
          </x14:formula1>
          <xm:sqref>D23:I23</xm:sqref>
        </x14:dataValidation>
        <x14:dataValidation type="list" allowBlank="1" showInputMessage="1" showErrorMessage="1" xr:uid="{00000000-0002-0000-0F00-000006000000}">
          <x14:formula1>
            <xm:f>'DATOS INICIALES'!$D$21:$D$25</xm:f>
          </x14:formula1>
          <xm:sqref>M47:M54</xm:sqref>
        </x14:dataValidation>
        <x14:dataValidation type="list" allowBlank="1" showInputMessage="1" showErrorMessage="1" xr:uid="{00000000-0002-0000-0F00-000007000000}">
          <x14:formula1>
            <xm:f>'DATOS INICIALES'!$A$13:$A$43</xm:f>
          </x14:formula1>
          <xm:sqref>D31:I31</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65"/>
  <sheetViews>
    <sheetView view="pageBreakPreview" zoomScale="55" zoomScaleNormal="55" zoomScaleSheetLayoutView="55" workbookViewId="0">
      <pane ySplit="11" topLeftCell="A63" activePane="bottomLeft" state="frozenSplit"/>
      <selection activeCell="D65" sqref="D65"/>
      <selection pane="bottomLeft" activeCell="E25" sqref="E2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6" width="33.42578125" customWidth="1"/>
    <col min="7" max="7" width="35.28515625" customWidth="1"/>
    <col min="8"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13</v>
      </c>
      <c r="B11" s="2" t="s">
        <v>24</v>
      </c>
      <c r="C11" s="287" t="str">
        <f>VLOOKUP(A11,PROPONENTES!$A$10:$B$42,2,FALSE)</f>
        <v>CONSORCIO KENNEPARK BQ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BRAYCON INGENIERIA SAS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1445.6814999999999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4</v>
      </c>
      <c r="J15" s="235">
        <f>IF(AND(I15&gt;=1,I15&lt;=2),L8,IF(AND(I15&gt;=3,I15&lt;=4),L9,IF(AND(I15&gt;=5,I15&lt;=7),L10)))</f>
        <v>2632.2056723076921</v>
      </c>
      <c r="K15" s="235">
        <f>+E20</f>
        <v>16406.6535</v>
      </c>
      <c r="L15" s="236" t="str">
        <f>IF(K15&gt;=J15,"CUMPLE","NO CUMPLE")</f>
        <v>CUMPLE</v>
      </c>
    </row>
    <row r="16" spans="1:12" ht="33.75" customHeight="1" x14ac:dyDescent="0.25">
      <c r="B16" s="244"/>
      <c r="C16" s="100" t="str">
        <f>IF(VLOOKUP(C11,PROPONENTES!B10:N111,4,FALSE)=0,"",VLOOKUP(C11,PROPONENTES!B10:N111,4,FALSE))</f>
        <v xml:space="preserve">CARLOS ARTURO ARANGO 
SALAZAR </v>
      </c>
      <c r="D16" s="101">
        <f>IF(VLOOKUP(C11,PROPONENTES!B10:N111,5,FALSE)=0,"",VLOOKUP(C11,PROPONENTES!B10:N111,5,FALSE))</f>
        <v>0.05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4500.6549999999997</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xml:space="preserve">DQ INVERSIONES SAS </v>
      </c>
      <c r="D17" s="101">
        <f>IF(VLOOKUP(C11,PROPONENTES!B10:N111,7,FALSE)=0,"",VLOOKUP(C11,PROPONENTES!B10:N111,7,FALSE))</f>
        <v>0.5</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10460.316999999999</v>
      </c>
      <c r="F17" s="103" t="str">
        <f t="shared" si="1"/>
        <v>SI</v>
      </c>
      <c r="G17" s="104" t="str">
        <f t="shared" si="2"/>
        <v>SI</v>
      </c>
      <c r="H17" s="103" t="str">
        <f>IF(C17="","",IF(AND(G17="NO APORTA EXPERIENCIA",D17&lt;=10%),"SI",IF(G17="SI","NO APLICA","NO - PORCENTAJE MAYOR AL 10%")))</f>
        <v>NO APLICA</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5946.3364999999994</v>
      </c>
      <c r="J19" s="152">
        <f>70%*C10</f>
        <v>1535.4533088461537</v>
      </c>
      <c r="K19" s="236" t="str">
        <f>IF(I19&gt;=J19,"CUMPLE","NO CUMPLE")</f>
        <v>CUMPLE</v>
      </c>
      <c r="L19" s="236"/>
    </row>
    <row r="20" spans="2:14" ht="84.75" customHeight="1" x14ac:dyDescent="0.25">
      <c r="B20" s="30" t="s">
        <v>63</v>
      </c>
      <c r="C20" s="24">
        <f>+VLOOKUP(C11,PROPONENTES!B10:N111,12,FALSE)</f>
        <v>3</v>
      </c>
      <c r="D20" s="101">
        <f>+VLOOKUP(C11,PROPONENTES!B10:N111,13,FALSE)</f>
        <v>1</v>
      </c>
      <c r="E20" s="36">
        <f>SUM(E15:E19)</f>
        <v>16406.6535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581</v>
      </c>
      <c r="E24" s="90" t="s">
        <v>244</v>
      </c>
      <c r="F24" s="90" t="s">
        <v>245</v>
      </c>
      <c r="G24" s="90" t="s">
        <v>245</v>
      </c>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453</v>
      </c>
      <c r="E27" s="91" t="s">
        <v>454</v>
      </c>
      <c r="F27" s="91" t="s">
        <v>455</v>
      </c>
      <c r="G27" s="91" t="s">
        <v>456</v>
      </c>
      <c r="H27" s="91"/>
      <c r="I27" s="91"/>
      <c r="J27" s="91"/>
      <c r="K27" s="245"/>
      <c r="L27" s="246"/>
    </row>
    <row r="28" spans="2:14" ht="156.75" customHeight="1" x14ac:dyDescent="0.25">
      <c r="B28" s="250"/>
      <c r="C28" s="25" t="s">
        <v>38</v>
      </c>
      <c r="D28" s="91" t="s">
        <v>457</v>
      </c>
      <c r="E28" s="91" t="s">
        <v>458</v>
      </c>
      <c r="F28" s="91" t="s">
        <v>547</v>
      </c>
      <c r="G28" s="91" t="s">
        <v>548</v>
      </c>
      <c r="H28" s="91"/>
      <c r="I28" s="91"/>
      <c r="J28" s="91"/>
      <c r="K28" s="245"/>
      <c r="L28" s="246"/>
    </row>
    <row r="29" spans="2:14" ht="52.5" customHeight="1" x14ac:dyDescent="0.25">
      <c r="B29" s="250"/>
      <c r="C29" s="25" t="s">
        <v>169</v>
      </c>
      <c r="D29" s="95">
        <v>41915</v>
      </c>
      <c r="E29" s="95">
        <v>43311</v>
      </c>
      <c r="F29" s="95">
        <v>44270</v>
      </c>
      <c r="G29" s="95">
        <v>44596</v>
      </c>
      <c r="H29" s="95"/>
      <c r="I29" s="95"/>
      <c r="J29" s="95"/>
      <c r="K29" s="245"/>
      <c r="L29" s="246"/>
    </row>
    <row r="30" spans="2:14" ht="54.75" customHeight="1" x14ac:dyDescent="0.25">
      <c r="B30" s="250"/>
      <c r="C30" s="25" t="s">
        <v>42</v>
      </c>
      <c r="D30" s="95">
        <v>42361</v>
      </c>
      <c r="E30" s="95">
        <v>43763</v>
      </c>
      <c r="F30" s="95">
        <v>44726</v>
      </c>
      <c r="G30" s="95">
        <v>44914</v>
      </c>
      <c r="H30" s="95"/>
      <c r="I30" s="95"/>
      <c r="J30" s="95"/>
      <c r="K30" s="245"/>
      <c r="L30" s="246"/>
    </row>
    <row r="31" spans="2:14" ht="41.25" customHeight="1" x14ac:dyDescent="0.25">
      <c r="B31" s="250"/>
      <c r="C31" s="25" t="s">
        <v>39</v>
      </c>
      <c r="D31" s="92">
        <v>2015</v>
      </c>
      <c r="E31" s="92">
        <v>2019</v>
      </c>
      <c r="F31" s="92">
        <v>2022</v>
      </c>
      <c r="G31" s="92">
        <v>2022</v>
      </c>
      <c r="H31" s="92"/>
      <c r="I31" s="92"/>
      <c r="J31" s="92"/>
      <c r="K31" s="245"/>
      <c r="L31" s="246"/>
    </row>
    <row r="32" spans="2:14" ht="63" customHeight="1" x14ac:dyDescent="0.25">
      <c r="B32" s="250"/>
      <c r="C32" s="25" t="s">
        <v>40</v>
      </c>
      <c r="D32" s="91" t="s">
        <v>459</v>
      </c>
      <c r="E32" s="91" t="s">
        <v>460</v>
      </c>
      <c r="F32" s="91" t="s">
        <v>461</v>
      </c>
      <c r="G32" s="91" t="s">
        <v>461</v>
      </c>
      <c r="H32" s="91"/>
      <c r="I32" s="91"/>
      <c r="J32" s="91"/>
      <c r="K32" s="245"/>
      <c r="L32" s="246"/>
    </row>
    <row r="33" spans="2:12" ht="46.5" customHeight="1" x14ac:dyDescent="0.25">
      <c r="B33" s="250"/>
      <c r="C33" s="25" t="s">
        <v>41</v>
      </c>
      <c r="D33" s="91" t="s">
        <v>462</v>
      </c>
      <c r="E33" s="91" t="s">
        <v>463</v>
      </c>
      <c r="F33" s="91" t="s">
        <v>464</v>
      </c>
      <c r="G33" s="91" t="s">
        <v>465</v>
      </c>
      <c r="H33" s="91"/>
      <c r="I33" s="91"/>
      <c r="J33" s="91"/>
      <c r="K33" s="245"/>
      <c r="L33" s="246"/>
    </row>
    <row r="34" spans="2:12" ht="27.75" customHeight="1" x14ac:dyDescent="0.25">
      <c r="B34" s="250"/>
      <c r="C34" s="27" t="s">
        <v>35</v>
      </c>
      <c r="D34" s="96">
        <v>182</v>
      </c>
      <c r="E34" s="96">
        <v>25</v>
      </c>
      <c r="F34" s="96">
        <v>3</v>
      </c>
      <c r="G34" s="97">
        <v>2</v>
      </c>
      <c r="H34" s="97"/>
      <c r="I34" s="97"/>
      <c r="J34" s="97"/>
      <c r="K34" s="245"/>
      <c r="L34" s="246"/>
    </row>
    <row r="35" spans="2:12" ht="102.75" customHeight="1" x14ac:dyDescent="0.25">
      <c r="B35" s="250"/>
      <c r="C35" s="25" t="s">
        <v>137</v>
      </c>
      <c r="D35" s="93">
        <v>9001.31</v>
      </c>
      <c r="E35" s="93">
        <v>1521.77</v>
      </c>
      <c r="F35" s="93">
        <v>15046.01</v>
      </c>
      <c r="G35" s="93">
        <v>3263.68</v>
      </c>
      <c r="H35" s="93"/>
      <c r="I35" s="93"/>
      <c r="J35" s="93"/>
      <c r="K35" s="245"/>
      <c r="L35" s="246"/>
    </row>
    <row r="36" spans="2:12" ht="48" customHeight="1" x14ac:dyDescent="0.25">
      <c r="B36" s="250"/>
      <c r="C36" s="25" t="s">
        <v>76</v>
      </c>
      <c r="D36" s="105">
        <f>IFERROR(D35*VLOOKUP(D31,'DATOS INICIALES'!$A$12:$B$43,2,0),"0")</f>
        <v>5799994098.5</v>
      </c>
      <c r="E36" s="105">
        <f>IFERROR(E35*VLOOKUP(E31,'DATOS INICIALES'!$A$12:$B$43,2,0),"0")</f>
        <v>1260202085.3199999</v>
      </c>
      <c r="F36" s="105">
        <f>IFERROR(F35*VLOOKUP(F31,'DATOS INICIALES'!$A$12:$B$43,2,0),"0")</f>
        <v>15046010000</v>
      </c>
      <c r="G36" s="105">
        <f>IFERROR(G35*VLOOKUP(G31,'DATOS INICIALES'!$A$12:$B$43,2,0),"0")</f>
        <v>3263680000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0.95</v>
      </c>
      <c r="F37" s="94">
        <v>0.5</v>
      </c>
      <c r="G37" s="94">
        <v>0.9</v>
      </c>
      <c r="H37" s="94"/>
      <c r="I37" s="94"/>
      <c r="J37" s="94"/>
      <c r="K37" s="245"/>
      <c r="L37" s="246"/>
    </row>
    <row r="38" spans="2:12" ht="48.75" customHeight="1" x14ac:dyDescent="0.25">
      <c r="B38" s="250"/>
      <c r="C38" s="25" t="s">
        <v>144</v>
      </c>
      <c r="D38" s="105">
        <f t="shared" ref="D38:J38" si="3">IF(D24="","0",D37*D36)</f>
        <v>2899997049.25</v>
      </c>
      <c r="E38" s="105">
        <f t="shared" si="3"/>
        <v>1197191981.0539999</v>
      </c>
      <c r="F38" s="105">
        <f t="shared" si="3"/>
        <v>7523005000</v>
      </c>
      <c r="G38" s="105">
        <f t="shared" si="3"/>
        <v>2937312000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4500.6549999999997</v>
      </c>
      <c r="E39" s="106">
        <f t="shared" si="4"/>
        <v>1445.6814999999999</v>
      </c>
      <c r="F39" s="106">
        <f t="shared" si="4"/>
        <v>7523.0050000000001</v>
      </c>
      <c r="G39" s="106">
        <f t="shared" si="4"/>
        <v>2937.3119999999999</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t="s">
        <v>14</v>
      </c>
      <c r="H46" s="90"/>
      <c r="I46" s="90"/>
      <c r="J46" s="90"/>
      <c r="K46" s="245"/>
      <c r="L46" s="246"/>
    </row>
    <row r="47" spans="2:12" ht="24.75" customHeight="1" x14ac:dyDescent="0.25">
      <c r="B47" s="255" t="s">
        <v>36</v>
      </c>
      <c r="C47" s="28">
        <f>+'DATOS INICIALES'!D21</f>
        <v>72101500</v>
      </c>
      <c r="D47" s="96" t="s">
        <v>79</v>
      </c>
      <c r="E47" s="96" t="s">
        <v>79</v>
      </c>
      <c r="F47" s="96" t="s">
        <v>79</v>
      </c>
      <c r="G47" s="96" t="s">
        <v>79</v>
      </c>
      <c r="H47" s="96"/>
      <c r="I47" s="96"/>
      <c r="J47" s="97"/>
      <c r="K47" s="245"/>
      <c r="L47" s="246"/>
    </row>
    <row r="48" spans="2:12" ht="24.75" customHeight="1" x14ac:dyDescent="0.25">
      <c r="B48" s="256"/>
      <c r="C48" s="28">
        <f>+'DATOS INICIALES'!D22</f>
        <v>72102900</v>
      </c>
      <c r="D48" s="96" t="s">
        <v>79</v>
      </c>
      <c r="E48" s="96" t="s">
        <v>79</v>
      </c>
      <c r="F48" s="96" t="s">
        <v>79</v>
      </c>
      <c r="G48" s="96" t="s">
        <v>79</v>
      </c>
      <c r="H48" s="96"/>
      <c r="I48" s="96"/>
      <c r="J48" s="97"/>
      <c r="K48" s="245"/>
      <c r="L48" s="246"/>
    </row>
    <row r="49" spans="2:12" ht="24.75" customHeight="1" x14ac:dyDescent="0.25">
      <c r="B49" s="256"/>
      <c r="C49" s="28">
        <f>+'DATOS INICIALES'!D23</f>
        <v>72103300</v>
      </c>
      <c r="D49" s="96" t="s">
        <v>79</v>
      </c>
      <c r="E49" s="96" t="s">
        <v>79</v>
      </c>
      <c r="F49" s="96" t="s">
        <v>79</v>
      </c>
      <c r="G49" s="96" t="s">
        <v>79</v>
      </c>
      <c r="H49" s="96"/>
      <c r="I49" s="96"/>
      <c r="J49" s="97"/>
      <c r="K49" s="245"/>
      <c r="L49" s="246"/>
    </row>
    <row r="50" spans="2:12" ht="24.75" customHeight="1" x14ac:dyDescent="0.25">
      <c r="B50" s="256"/>
      <c r="C50" s="28">
        <f>+'DATOS INICIALES'!D24</f>
        <v>72141100</v>
      </c>
      <c r="D50" s="96" t="s">
        <v>79</v>
      </c>
      <c r="E50" s="96" t="s">
        <v>77</v>
      </c>
      <c r="F50" s="96" t="s">
        <v>79</v>
      </c>
      <c r="G50" s="96" t="s">
        <v>79</v>
      </c>
      <c r="H50" s="96"/>
      <c r="I50" s="96"/>
      <c r="J50" s="97"/>
      <c r="K50" s="245"/>
      <c r="L50" s="246"/>
    </row>
    <row r="51" spans="2:12" ht="24.75" customHeight="1" x14ac:dyDescent="0.25">
      <c r="B51" s="256"/>
      <c r="C51" s="28">
        <f>+'DATOS INICIALES'!D25</f>
        <v>72141500</v>
      </c>
      <c r="D51" s="96" t="s">
        <v>79</v>
      </c>
      <c r="E51" s="96" t="s">
        <v>79</v>
      </c>
      <c r="F51" s="96" t="s">
        <v>79</v>
      </c>
      <c r="G51" s="96" t="s">
        <v>79</v>
      </c>
      <c r="H51" s="96"/>
      <c r="I51" s="96"/>
      <c r="J51" s="97"/>
      <c r="K51" s="245"/>
      <c r="L51" s="246"/>
    </row>
    <row r="52" spans="2:12" ht="24.75" customHeight="1" x14ac:dyDescent="0.25">
      <c r="B52" s="256"/>
      <c r="C52" s="28">
        <f>+'DATOS INICIALES'!D26</f>
        <v>72153900</v>
      </c>
      <c r="D52" s="96" t="s">
        <v>79</v>
      </c>
      <c r="E52" s="96" t="s">
        <v>77</v>
      </c>
      <c r="F52" s="96" t="s">
        <v>79</v>
      </c>
      <c r="G52" s="96" t="s">
        <v>77</v>
      </c>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t="s">
        <v>14</v>
      </c>
      <c r="G55" s="90" t="s">
        <v>14</v>
      </c>
      <c r="H55" s="90"/>
      <c r="I55" s="90"/>
      <c r="J55" s="90"/>
      <c r="K55" s="288"/>
      <c r="L55" s="289"/>
    </row>
    <row r="56" spans="2:12" ht="353.25" customHeight="1" x14ac:dyDescent="0.25">
      <c r="B56" s="258" t="s">
        <v>209</v>
      </c>
      <c r="C56" s="259"/>
      <c r="D56" s="90" t="s">
        <v>14</v>
      </c>
      <c r="E56" s="90" t="s">
        <v>14</v>
      </c>
      <c r="F56" s="90" t="s">
        <v>14</v>
      </c>
      <c r="G56" s="90" t="s">
        <v>14</v>
      </c>
      <c r="H56" s="90"/>
      <c r="I56" s="90"/>
      <c r="J56" s="90"/>
      <c r="K56" s="288"/>
      <c r="L56" s="289"/>
    </row>
    <row r="57" spans="2:12" ht="99" customHeight="1" x14ac:dyDescent="0.25">
      <c r="B57" s="252" t="s">
        <v>211</v>
      </c>
      <c r="C57" s="253"/>
      <c r="D57" s="90" t="s">
        <v>14</v>
      </c>
      <c r="E57" s="90" t="s">
        <v>14</v>
      </c>
      <c r="F57" s="90" t="s">
        <v>14</v>
      </c>
      <c r="G57" s="90" t="s">
        <v>14</v>
      </c>
      <c r="H57" s="90"/>
      <c r="I57" s="90"/>
      <c r="J57" s="90"/>
      <c r="K57" s="288"/>
      <c r="L57" s="289"/>
    </row>
    <row r="58" spans="2:12" ht="92.25" customHeight="1" x14ac:dyDescent="0.25">
      <c r="B58" s="252" t="s">
        <v>207</v>
      </c>
      <c r="C58" s="253"/>
      <c r="D58" s="90" t="s">
        <v>14</v>
      </c>
      <c r="E58" s="90" t="s">
        <v>14</v>
      </c>
      <c r="F58" s="90" t="s">
        <v>14</v>
      </c>
      <c r="G58" s="90" t="s">
        <v>14</v>
      </c>
      <c r="H58" s="90"/>
      <c r="I58" s="90"/>
      <c r="J58" s="90"/>
      <c r="K58" s="288"/>
      <c r="L58" s="289"/>
    </row>
    <row r="59" spans="2:12" ht="291.75" customHeight="1" x14ac:dyDescent="0.25">
      <c r="B59" s="252" t="s">
        <v>208</v>
      </c>
      <c r="C59" s="253"/>
      <c r="D59" s="90" t="s">
        <v>13</v>
      </c>
      <c r="E59" s="90" t="s">
        <v>13</v>
      </c>
      <c r="F59" s="90" t="s">
        <v>13</v>
      </c>
      <c r="G59" s="90" t="s">
        <v>13</v>
      </c>
      <c r="H59" s="90"/>
      <c r="I59" s="90"/>
      <c r="J59" s="90"/>
      <c r="K59" s="288"/>
      <c r="L59" s="289"/>
    </row>
    <row r="60" spans="2:12" ht="336" customHeight="1" x14ac:dyDescent="0.25">
      <c r="B60" s="180" t="s">
        <v>213</v>
      </c>
      <c r="C60" s="180"/>
      <c r="D60" s="90" t="s">
        <v>14</v>
      </c>
      <c r="E60" s="90" t="s">
        <v>14</v>
      </c>
      <c r="F60" s="90" t="s">
        <v>14</v>
      </c>
      <c r="G60" s="90" t="s">
        <v>14</v>
      </c>
      <c r="H60" s="90"/>
      <c r="I60" s="90"/>
      <c r="J60" s="90"/>
      <c r="K60" s="288"/>
      <c r="L60" s="289"/>
    </row>
    <row r="61" spans="2:12" ht="129.75" customHeight="1" x14ac:dyDescent="0.25">
      <c r="B61" s="233" t="s">
        <v>168</v>
      </c>
      <c r="C61" s="234"/>
      <c r="D61" s="90" t="s">
        <v>13</v>
      </c>
      <c r="E61" s="90" t="s">
        <v>13</v>
      </c>
      <c r="F61" s="90" t="s">
        <v>13</v>
      </c>
      <c r="G61" s="90" t="s">
        <v>13</v>
      </c>
      <c r="H61" s="90"/>
      <c r="I61" s="90"/>
      <c r="J61" s="90"/>
      <c r="K61" s="288"/>
      <c r="L61" s="289"/>
    </row>
    <row r="62" spans="2:12" ht="408.75" customHeight="1" x14ac:dyDescent="0.25">
      <c r="B62" s="254" t="s">
        <v>170</v>
      </c>
      <c r="C62" s="254"/>
      <c r="D62" s="90" t="s">
        <v>13</v>
      </c>
      <c r="E62" s="90" t="s">
        <v>13</v>
      </c>
      <c r="F62" s="90" t="s">
        <v>13</v>
      </c>
      <c r="G62" s="90" t="s">
        <v>13</v>
      </c>
      <c r="H62" s="90"/>
      <c r="I62" s="90"/>
      <c r="J62" s="90"/>
      <c r="K62" s="288"/>
      <c r="L62" s="289"/>
    </row>
    <row r="63" spans="2:12" ht="234.75" customHeight="1" x14ac:dyDescent="0.25">
      <c r="B63" s="180" t="s">
        <v>212</v>
      </c>
      <c r="C63" s="180"/>
      <c r="D63" s="90" t="s">
        <v>14</v>
      </c>
      <c r="E63" s="90" t="s">
        <v>14</v>
      </c>
      <c r="F63" s="90" t="s">
        <v>14</v>
      </c>
      <c r="G63" s="90" t="s">
        <v>14</v>
      </c>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94" priority="13">
      <formula>LEN(TRIM(D25))=0</formula>
    </cfRule>
    <cfRule type="notContainsErrors" dxfId="793" priority="14">
      <formula>NOT(ISERROR(D25))</formula>
    </cfRule>
  </conditionalFormatting>
  <conditionalFormatting sqref="D34:J34 D24:K24 D37:J37 D40:J40 D43:J43 D46:J53 D55:J63 K64:L64 D65:K65">
    <cfRule type="containsBlanks" dxfId="792" priority="15">
      <formula>LEN(TRIM(D24))=0</formula>
    </cfRule>
  </conditionalFormatting>
  <conditionalFormatting sqref="D46:J53">
    <cfRule type="cellIs" dxfId="791" priority="11" operator="equal">
      <formula>"NO CUMPLE"</formula>
    </cfRule>
    <cfRule type="cellIs" dxfId="790" priority="12" operator="equal">
      <formula>"CUMPLE"</formula>
    </cfRule>
  </conditionalFormatting>
  <conditionalFormatting sqref="D54:J54">
    <cfRule type="cellIs" dxfId="789" priority="27" operator="equal">
      <formula>"""CUMPLE"""</formula>
    </cfRule>
    <cfRule type="cellIs" dxfId="788" priority="26" operator="equal">
      <formula>"NO CUMPLE"</formula>
    </cfRule>
    <cfRule type="cellIs" dxfId="787" priority="25" operator="equal">
      <formula>"CUMPLE"</formula>
    </cfRule>
    <cfRule type="cellIs" dxfId="786" priority="21" operator="equal">
      <formula>"N/A"</formula>
    </cfRule>
  </conditionalFormatting>
  <conditionalFormatting sqref="D55:J63">
    <cfRule type="cellIs" dxfId="785" priority="3" operator="equal">
      <formula>"NO CUMPLE"</formula>
    </cfRule>
    <cfRule type="cellIs" dxfId="784" priority="4" operator="equal">
      <formula>"CUMPLE"</formula>
    </cfRule>
  </conditionalFormatting>
  <conditionalFormatting sqref="D64:J64">
    <cfRule type="cellIs" dxfId="783" priority="19" operator="equal">
      <formula>"NO CUMPLE"</formula>
    </cfRule>
    <cfRule type="cellIs" dxfId="782" priority="20" operator="equal">
      <formula>"""CUMPLE"""</formula>
    </cfRule>
    <cfRule type="cellIs" dxfId="781" priority="17" operator="equal">
      <formula>"N/A"</formula>
    </cfRule>
    <cfRule type="cellIs" dxfId="780" priority="18" operator="equal">
      <formula>"CUMPLE"</formula>
    </cfRule>
  </conditionalFormatting>
  <conditionalFormatting sqref="D65:J65">
    <cfRule type="cellIs" dxfId="779" priority="9" operator="equal">
      <formula>"NO CUMPLE"</formula>
    </cfRule>
    <cfRule type="cellIs" dxfId="778" priority="10" operator="equal">
      <formula>"CUMPLE"</formula>
    </cfRule>
  </conditionalFormatting>
  <conditionalFormatting sqref="D24:K24 D34:J34 D37:J37 D40:J40 D43:J43 D46:J53 D55:J63 K64:L64 D65:K65">
    <cfRule type="notContainsErrors" dxfId="777" priority="16">
      <formula>NOT(ISERROR(D24))</formula>
    </cfRule>
  </conditionalFormatting>
  <conditionalFormatting sqref="F20:H20">
    <cfRule type="cellIs" dxfId="776" priority="31" operator="equal">
      <formula>"CUMPLE"</formula>
    </cfRule>
    <cfRule type="cellIs" dxfId="775" priority="32" operator="equal">
      <formula>"NO CUMPLE"</formula>
    </cfRule>
    <cfRule type="cellIs" dxfId="774" priority="33" operator="equal">
      <formula>"""CUMPLE"""</formula>
    </cfRule>
  </conditionalFormatting>
  <conditionalFormatting sqref="I11">
    <cfRule type="containsText" dxfId="773" priority="37" operator="containsText" text="NO CUMPLE">
      <formula>NOT(ISERROR(SEARCH("NO CUMPLE",I11)))</formula>
    </cfRule>
    <cfRule type="containsText" dxfId="772" priority="34" operator="containsText" text="INHABILITADO">
      <formula>NOT(ISERROR(SEARCH("INHABILITADO",I11)))</formula>
    </cfRule>
    <cfRule type="containsText" dxfId="771" priority="35" operator="containsText" text="HABILITADO">
      <formula>NOT(ISERROR(SEARCH("HABILITADO",I11)))</formula>
    </cfRule>
    <cfRule type="containsText" dxfId="770" priority="36" operator="containsText" text="HABILITADO">
      <formula>NOT(ISERROR(SEARCH("HABILITADO",I11)))</formula>
    </cfRule>
  </conditionalFormatting>
  <conditionalFormatting sqref="J20">
    <cfRule type="cellIs" dxfId="769" priority="8" operator="equal">
      <formula>"SI"</formula>
    </cfRule>
    <cfRule type="cellIs" dxfId="768" priority="7" operator="equal">
      <formula>"NO"</formula>
    </cfRule>
  </conditionalFormatting>
  <conditionalFormatting sqref="K19">
    <cfRule type="cellIs" dxfId="767" priority="22" operator="equal">
      <formula>"CUMPLE"</formula>
    </cfRule>
    <cfRule type="cellIs" dxfId="766" priority="23" operator="equal">
      <formula>"NO CUMPLE"</formula>
    </cfRule>
    <cfRule type="cellIs" dxfId="765" priority="24" operator="equal">
      <formula>"""CUMPLE"""</formula>
    </cfRule>
  </conditionalFormatting>
  <conditionalFormatting sqref="K25:K63">
    <cfRule type="notContainsErrors" dxfId="764" priority="2">
      <formula>NOT(ISERROR(K25))</formula>
    </cfRule>
    <cfRule type="containsBlanks" dxfId="763" priority="1">
      <formula>LEN(TRIM(K25))=0</formula>
    </cfRule>
  </conditionalFormatting>
  <conditionalFormatting sqref="L15">
    <cfRule type="cellIs" dxfId="762" priority="28" operator="equal">
      <formula>"CUMPLE"</formula>
    </cfRule>
    <cfRule type="cellIs" dxfId="761" priority="29" operator="equal">
      <formula>"NO CUMPLE"</formula>
    </cfRule>
    <cfRule type="cellIs" dxfId="760" priority="30" operator="equal">
      <formula>"""CUMPLE"""</formula>
    </cfRule>
  </conditionalFormatting>
  <conditionalFormatting sqref="L20">
    <cfRule type="cellIs" dxfId="759" priority="5" operator="equal">
      <formula>"NO"</formula>
    </cfRule>
    <cfRule type="cellIs" dxfId="758" priority="6" operator="equal">
      <formula>"SI"</formula>
    </cfRule>
  </conditionalFormatting>
  <dataValidations count="3">
    <dataValidation type="list" allowBlank="1" showInputMessage="1" showErrorMessage="1" sqref="D65:I65" xr:uid="{00000000-0002-0000-1000-000000000000}">
      <formula1>"CUMPLE,NO CUMPLE"</formula1>
    </dataValidation>
    <dataValidation type="list" allowBlank="1" showInputMessage="1" showErrorMessage="1" sqref="D24:J26" xr:uid="{00000000-0002-0000-1000-000001000000}">
      <formula1>$C$15:$C$19</formula1>
    </dataValidation>
    <dataValidation type="list" allowBlank="1" showInputMessage="1" showErrorMessage="1" sqref="L57:L64" xr:uid="{00000000-0002-0000-10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000-000003000000}">
          <x14:formula1>
            <xm:f>'DATOS INICIALES'!$A$13:$A$43</xm:f>
          </x14:formula1>
          <xm:sqref>D31:I31</xm:sqref>
        </x14:dataValidation>
        <x14:dataValidation type="list" allowBlank="1" showInputMessage="1" showErrorMessage="1" xr:uid="{00000000-0002-0000-1000-000004000000}">
          <x14:formula1>
            <xm:f>'DATOS INICIALES'!$D$21:$D$25</xm:f>
          </x14:formula1>
          <xm:sqref>M47:M54</xm:sqref>
        </x14:dataValidation>
        <x14:dataValidation type="list" allowBlank="1" showInputMessage="1" showErrorMessage="1" xr:uid="{00000000-0002-0000-1000-000005000000}">
          <x14:formula1>
            <xm:f>'DATOS INICIALES'!$A$54:$A$59</xm:f>
          </x14:formula1>
          <xm:sqref>D23:I23</xm:sqref>
        </x14:dataValidation>
        <x14:dataValidation type="list" allowBlank="1" showInputMessage="1" showErrorMessage="1" xr:uid="{00000000-0002-0000-1000-000006000000}">
          <x14:formula1>
            <xm:f>'DATOS INICIALES'!$A$50:$A$52</xm:f>
          </x14:formula1>
          <xm:sqref>D55:I57 D46:J46 J55:J56 D58:J63</xm:sqref>
        </x14:dataValidation>
        <x14:dataValidation type="list" allowBlank="1" showInputMessage="1" showErrorMessage="1" xr:uid="{00000000-0002-0000-1000-000007000000}">
          <x14:formula1>
            <xm:f>'DATOS INICIALES'!$C$45:$C$46</xm:f>
          </x14:formula1>
          <xm:sqref>D47:I53 J47:J52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65"/>
  <sheetViews>
    <sheetView view="pageBreakPreview" topLeftCell="B1" zoomScale="55" zoomScaleNormal="55" zoomScaleSheetLayoutView="55" workbookViewId="0">
      <pane ySplit="11" topLeftCell="A63" activePane="bottomLeft" state="frozenSplit"/>
      <selection activeCell="D65" sqref="D65"/>
      <selection pane="bottomLeft" activeCell="F65" sqref="F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14</v>
      </c>
      <c r="B11" s="2" t="s">
        <v>24</v>
      </c>
      <c r="C11" s="287" t="str">
        <f>VLOOKUP(A11,PROPONENTES!$A$10:$B$42,2,FALSE)</f>
        <v>CONSORCIO PARQUES ARM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ARM CONSULTORIA Y CONSTRUCCIONES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0">
        <f>COUNTIF(D64:I64,"CUMPLE")</f>
        <v>2</v>
      </c>
      <c r="J15" s="235">
        <f>IF(AND(I15&gt;=1,I15&lt;=2),L8,IF(AND(I15&gt;=3,I15&lt;=4),L9,IF(AND(I15&gt;=5,I15&lt;=7),L10)))</f>
        <v>1645.1285451923077</v>
      </c>
      <c r="K15" s="235">
        <f>+E20</f>
        <v>2629.8199999999997</v>
      </c>
      <c r="L15" s="236" t="str">
        <f>IF(K15&gt;=J15,"CUMPLE","NO CUMPLE")</f>
        <v>CUMPLE</v>
      </c>
    </row>
    <row r="16" spans="1:12" ht="33.75" customHeight="1" x14ac:dyDescent="0.25">
      <c r="B16" s="244"/>
      <c r="C16" s="100" t="str">
        <f>IF(VLOOKUP(C11,PROPONENTES!B10:N111,4,FALSE)=0,"",VLOOKUP(C11,PROPONENTES!B10:N111,4,FALSE))</f>
        <v xml:space="preserve">PROYECTOS - CR S.A.S BIC </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2629.8199999999997</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2629.8199999999997</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2629.8199999999997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248</v>
      </c>
      <c r="E24" s="90" t="s">
        <v>248</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466</v>
      </c>
      <c r="E27" s="91" t="s">
        <v>467</v>
      </c>
      <c r="F27" s="91"/>
      <c r="G27" s="91"/>
      <c r="H27" s="91"/>
      <c r="I27" s="91"/>
      <c r="J27" s="91"/>
      <c r="K27" s="245"/>
      <c r="L27" s="246"/>
    </row>
    <row r="28" spans="2:14" ht="156.75" customHeight="1" x14ac:dyDescent="0.25">
      <c r="B28" s="250"/>
      <c r="C28" s="25" t="s">
        <v>38</v>
      </c>
      <c r="D28" s="91" t="s">
        <v>468</v>
      </c>
      <c r="E28" s="91" t="s">
        <v>469</v>
      </c>
      <c r="F28" s="91"/>
      <c r="G28" s="91"/>
      <c r="H28" s="91"/>
      <c r="I28" s="91"/>
      <c r="J28" s="91"/>
      <c r="K28" s="245"/>
      <c r="L28" s="246"/>
    </row>
    <row r="29" spans="2:14" ht="52.5" customHeight="1" x14ac:dyDescent="0.25">
      <c r="B29" s="250"/>
      <c r="C29" s="25" t="s">
        <v>169</v>
      </c>
      <c r="D29" s="95">
        <v>40577</v>
      </c>
      <c r="E29" s="95">
        <v>42263</v>
      </c>
      <c r="F29" s="95"/>
      <c r="G29" s="95"/>
      <c r="H29" s="95"/>
      <c r="I29" s="95"/>
      <c r="J29" s="95"/>
      <c r="K29" s="245"/>
      <c r="L29" s="246"/>
    </row>
    <row r="30" spans="2:14" ht="54.75" customHeight="1" x14ac:dyDescent="0.25">
      <c r="B30" s="250"/>
      <c r="C30" s="25" t="s">
        <v>42</v>
      </c>
      <c r="D30" s="95">
        <v>40778</v>
      </c>
      <c r="E30" s="95">
        <v>42550</v>
      </c>
      <c r="F30" s="95"/>
      <c r="G30" s="95"/>
      <c r="H30" s="95"/>
      <c r="I30" s="95"/>
      <c r="J30" s="95"/>
      <c r="K30" s="245"/>
      <c r="L30" s="246"/>
    </row>
    <row r="31" spans="2:14" ht="41.25" customHeight="1" x14ac:dyDescent="0.25">
      <c r="B31" s="250"/>
      <c r="C31" s="25" t="s">
        <v>39</v>
      </c>
      <c r="D31" s="92">
        <v>2011</v>
      </c>
      <c r="E31" s="92">
        <v>2016</v>
      </c>
      <c r="F31" s="92"/>
      <c r="G31" s="92"/>
      <c r="H31" s="92"/>
      <c r="I31" s="92"/>
      <c r="J31" s="92"/>
      <c r="K31" s="245"/>
      <c r="L31" s="246"/>
    </row>
    <row r="32" spans="2:14" ht="63" customHeight="1" x14ac:dyDescent="0.25">
      <c r="B32" s="250"/>
      <c r="C32" s="25" t="s">
        <v>40</v>
      </c>
      <c r="D32" s="91" t="s">
        <v>470</v>
      </c>
      <c r="E32" s="91" t="s">
        <v>471</v>
      </c>
      <c r="F32" s="91"/>
      <c r="G32" s="91"/>
      <c r="H32" s="91"/>
      <c r="I32" s="91"/>
      <c r="J32" s="91"/>
      <c r="K32" s="245"/>
      <c r="L32" s="246"/>
    </row>
    <row r="33" spans="2:12" ht="46.5" customHeight="1" x14ac:dyDescent="0.25">
      <c r="B33" s="250"/>
      <c r="C33" s="25" t="s">
        <v>41</v>
      </c>
      <c r="D33" s="91" t="s">
        <v>472</v>
      </c>
      <c r="E33" s="91" t="s">
        <v>473</v>
      </c>
      <c r="F33" s="91"/>
      <c r="G33" s="91"/>
      <c r="H33" s="91"/>
      <c r="I33" s="91"/>
      <c r="J33" s="91"/>
      <c r="K33" s="245"/>
      <c r="L33" s="246"/>
    </row>
    <row r="34" spans="2:12" ht="27.75" customHeight="1" x14ac:dyDescent="0.25">
      <c r="B34" s="250"/>
      <c r="C34" s="27" t="s">
        <v>35</v>
      </c>
      <c r="D34" s="96">
        <v>4</v>
      </c>
      <c r="E34" s="96">
        <v>84</v>
      </c>
      <c r="F34" s="96"/>
      <c r="G34" s="97"/>
      <c r="H34" s="97"/>
      <c r="I34" s="97"/>
      <c r="J34" s="97"/>
      <c r="K34" s="245"/>
      <c r="L34" s="246"/>
    </row>
    <row r="35" spans="2:12" ht="102.75" customHeight="1" x14ac:dyDescent="0.25">
      <c r="B35" s="250"/>
      <c r="C35" s="25" t="s">
        <v>137</v>
      </c>
      <c r="D35" s="93">
        <v>2248.98</v>
      </c>
      <c r="E35" s="93">
        <v>1505.33</v>
      </c>
      <c r="F35" s="93"/>
      <c r="G35" s="93"/>
      <c r="H35" s="93"/>
      <c r="I35" s="93"/>
      <c r="J35" s="93"/>
      <c r="K35" s="245"/>
      <c r="L35" s="246"/>
    </row>
    <row r="36" spans="2:12" ht="48" customHeight="1" x14ac:dyDescent="0.25">
      <c r="B36" s="250"/>
      <c r="C36" s="25" t="s">
        <v>76</v>
      </c>
      <c r="D36" s="105">
        <f>IFERROR(D35*VLOOKUP(D31,'DATOS INICIALES'!$A$12:$B$43,2,0),"0")</f>
        <v>1204553688</v>
      </c>
      <c r="E36" s="105">
        <f>IFERROR(E35*VLOOKUP(E31,'DATOS INICIALES'!$A$12:$B$43,2,0),"0")</f>
        <v>1037857295.15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1</v>
      </c>
      <c r="F37" s="94"/>
      <c r="G37" s="94"/>
      <c r="H37" s="94"/>
      <c r="I37" s="94"/>
      <c r="J37" s="94"/>
      <c r="K37" s="245"/>
      <c r="L37" s="246"/>
    </row>
    <row r="38" spans="2:12" ht="48.75" customHeight="1" x14ac:dyDescent="0.25">
      <c r="B38" s="250"/>
      <c r="C38" s="25" t="s">
        <v>144</v>
      </c>
      <c r="D38" s="105">
        <f t="shared" ref="D38:J38" si="3">IF(D24="","0",D37*D36)</f>
        <v>602276844</v>
      </c>
      <c r="E38" s="105">
        <f t="shared" si="3"/>
        <v>1037857295.15</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1124.49</v>
      </c>
      <c r="E39" s="106">
        <f t="shared" si="4"/>
        <v>1505.33</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14</v>
      </c>
      <c r="E61" s="90" t="s">
        <v>14</v>
      </c>
      <c r="F61" s="90"/>
      <c r="G61" s="90"/>
      <c r="H61" s="90"/>
      <c r="I61" s="90"/>
      <c r="J61" s="90"/>
      <c r="K61" s="288"/>
      <c r="L61" s="289"/>
    </row>
    <row r="62" spans="2:12" ht="408.75" customHeight="1" x14ac:dyDescent="0.25">
      <c r="B62" s="254" t="s">
        <v>170</v>
      </c>
      <c r="C62" s="254"/>
      <c r="D62" s="90" t="s">
        <v>14</v>
      </c>
      <c r="E62" s="90" t="s">
        <v>14</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57" priority="13">
      <formula>LEN(TRIM(D25))=0</formula>
    </cfRule>
    <cfRule type="notContainsErrors" dxfId="756" priority="14">
      <formula>NOT(ISERROR(D25))</formula>
    </cfRule>
  </conditionalFormatting>
  <conditionalFormatting sqref="D34:J34 D24:K24 D37:J37 D40:J40 D43:J43 D46:J53 D55:J63 K64:L64 D65:K65">
    <cfRule type="containsBlanks" dxfId="755" priority="15">
      <formula>LEN(TRIM(D24))=0</formula>
    </cfRule>
  </conditionalFormatting>
  <conditionalFormatting sqref="D46:J53">
    <cfRule type="cellIs" dxfId="754" priority="11" operator="equal">
      <formula>"NO CUMPLE"</formula>
    </cfRule>
    <cfRule type="cellIs" dxfId="753" priority="12" operator="equal">
      <formula>"CUMPLE"</formula>
    </cfRule>
  </conditionalFormatting>
  <conditionalFormatting sqref="D54:J54">
    <cfRule type="cellIs" dxfId="752" priority="27" operator="equal">
      <formula>"""CUMPLE"""</formula>
    </cfRule>
    <cfRule type="cellIs" dxfId="751" priority="26" operator="equal">
      <formula>"NO CUMPLE"</formula>
    </cfRule>
    <cfRule type="cellIs" dxfId="750" priority="25" operator="equal">
      <formula>"CUMPLE"</formula>
    </cfRule>
    <cfRule type="cellIs" dxfId="749" priority="21" operator="equal">
      <formula>"N/A"</formula>
    </cfRule>
  </conditionalFormatting>
  <conditionalFormatting sqref="D55:J63">
    <cfRule type="cellIs" dxfId="748" priority="3" operator="equal">
      <formula>"NO CUMPLE"</formula>
    </cfRule>
    <cfRule type="cellIs" dxfId="747" priority="4" operator="equal">
      <formula>"CUMPLE"</formula>
    </cfRule>
  </conditionalFormatting>
  <conditionalFormatting sqref="D64:J64">
    <cfRule type="cellIs" dxfId="746" priority="19" operator="equal">
      <formula>"NO CUMPLE"</formula>
    </cfRule>
    <cfRule type="cellIs" dxfId="745" priority="20" operator="equal">
      <formula>"""CUMPLE"""</formula>
    </cfRule>
    <cfRule type="cellIs" dxfId="744" priority="17" operator="equal">
      <formula>"N/A"</formula>
    </cfRule>
    <cfRule type="cellIs" dxfId="743" priority="18" operator="equal">
      <formula>"CUMPLE"</formula>
    </cfRule>
  </conditionalFormatting>
  <conditionalFormatting sqref="D65:J65">
    <cfRule type="cellIs" dxfId="742" priority="9" operator="equal">
      <formula>"NO CUMPLE"</formula>
    </cfRule>
    <cfRule type="cellIs" dxfId="741" priority="10" operator="equal">
      <formula>"CUMPLE"</formula>
    </cfRule>
  </conditionalFormatting>
  <conditionalFormatting sqref="D24:K24 D34:J34 D37:J37 D40:J40 D43:J43 D46:J53 D55:J63 K64:L64 D65:K65">
    <cfRule type="notContainsErrors" dxfId="740" priority="16">
      <formula>NOT(ISERROR(D24))</formula>
    </cfRule>
  </conditionalFormatting>
  <conditionalFormatting sqref="F20:H20">
    <cfRule type="cellIs" dxfId="739" priority="31" operator="equal">
      <formula>"CUMPLE"</formula>
    </cfRule>
    <cfRule type="cellIs" dxfId="738" priority="32" operator="equal">
      <formula>"NO CUMPLE"</formula>
    </cfRule>
    <cfRule type="cellIs" dxfId="737" priority="33" operator="equal">
      <formula>"""CUMPLE"""</formula>
    </cfRule>
  </conditionalFormatting>
  <conditionalFormatting sqref="I11">
    <cfRule type="containsText" dxfId="736" priority="37" operator="containsText" text="NO CUMPLE">
      <formula>NOT(ISERROR(SEARCH("NO CUMPLE",I11)))</formula>
    </cfRule>
    <cfRule type="containsText" dxfId="735" priority="34" operator="containsText" text="INHABILITADO">
      <formula>NOT(ISERROR(SEARCH("INHABILITADO",I11)))</formula>
    </cfRule>
    <cfRule type="containsText" dxfId="734" priority="35" operator="containsText" text="HABILITADO">
      <formula>NOT(ISERROR(SEARCH("HABILITADO",I11)))</formula>
    </cfRule>
    <cfRule type="containsText" dxfId="733" priority="36" operator="containsText" text="HABILITADO">
      <formula>NOT(ISERROR(SEARCH("HABILITADO",I11)))</formula>
    </cfRule>
  </conditionalFormatting>
  <conditionalFormatting sqref="J20">
    <cfRule type="cellIs" dxfId="732" priority="8" operator="equal">
      <formula>"SI"</formula>
    </cfRule>
    <cfRule type="cellIs" dxfId="731" priority="7" operator="equal">
      <formula>"NO"</formula>
    </cfRule>
  </conditionalFormatting>
  <conditionalFormatting sqref="K19">
    <cfRule type="cellIs" dxfId="730" priority="22" operator="equal">
      <formula>"CUMPLE"</formula>
    </cfRule>
    <cfRule type="cellIs" dxfId="729" priority="23" operator="equal">
      <formula>"NO CUMPLE"</formula>
    </cfRule>
    <cfRule type="cellIs" dxfId="728" priority="24" operator="equal">
      <formula>"""CUMPLE"""</formula>
    </cfRule>
  </conditionalFormatting>
  <conditionalFormatting sqref="K25:K63">
    <cfRule type="notContainsErrors" dxfId="727" priority="2">
      <formula>NOT(ISERROR(K25))</formula>
    </cfRule>
    <cfRule type="containsBlanks" dxfId="726" priority="1">
      <formula>LEN(TRIM(K25))=0</formula>
    </cfRule>
  </conditionalFormatting>
  <conditionalFormatting sqref="L15">
    <cfRule type="cellIs" dxfId="725" priority="28" operator="equal">
      <formula>"CUMPLE"</formula>
    </cfRule>
    <cfRule type="cellIs" dxfId="724" priority="29" operator="equal">
      <formula>"NO CUMPLE"</formula>
    </cfRule>
    <cfRule type="cellIs" dxfId="723" priority="30" operator="equal">
      <formula>"""CUMPLE"""</formula>
    </cfRule>
  </conditionalFormatting>
  <conditionalFormatting sqref="L20">
    <cfRule type="cellIs" dxfId="722" priority="5" operator="equal">
      <formula>"NO"</formula>
    </cfRule>
    <cfRule type="cellIs" dxfId="721" priority="6" operator="equal">
      <formula>"SI"</formula>
    </cfRule>
  </conditionalFormatting>
  <dataValidations count="3">
    <dataValidation type="list" allowBlank="1" showInputMessage="1" showErrorMessage="1" sqref="L57:L64" xr:uid="{00000000-0002-0000-1100-000000000000}">
      <formula1>"0,1,2,3,4,5,6"</formula1>
    </dataValidation>
    <dataValidation type="list" allowBlank="1" showInputMessage="1" showErrorMessage="1" sqref="D24:J26" xr:uid="{00000000-0002-0000-1100-000001000000}">
      <formula1>$C$15:$C$19</formula1>
    </dataValidation>
    <dataValidation type="list" allowBlank="1" showInputMessage="1" showErrorMessage="1" sqref="D65:I65" xr:uid="{00000000-0002-0000-11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100-000003000000}">
          <x14:formula1>
            <xm:f>'DATOS INICIALES'!$C$45:$C$46</xm:f>
          </x14:formula1>
          <xm:sqref>D47:I53 J47:J52</xm:sqref>
        </x14:dataValidation>
        <x14:dataValidation type="list" allowBlank="1" showInputMessage="1" showErrorMessage="1" xr:uid="{00000000-0002-0000-1100-000004000000}">
          <x14:formula1>
            <xm:f>'DATOS INICIALES'!$A$50:$A$52</xm:f>
          </x14:formula1>
          <xm:sqref>D55:I57 D46:J46 J55:J56 D58:J63</xm:sqref>
        </x14:dataValidation>
        <x14:dataValidation type="list" allowBlank="1" showInputMessage="1" showErrorMessage="1" xr:uid="{00000000-0002-0000-1100-000005000000}">
          <x14:formula1>
            <xm:f>'DATOS INICIALES'!$A$54:$A$59</xm:f>
          </x14:formula1>
          <xm:sqref>D23:I23</xm:sqref>
        </x14:dataValidation>
        <x14:dataValidation type="list" allowBlank="1" showInputMessage="1" showErrorMessage="1" xr:uid="{00000000-0002-0000-1100-000006000000}">
          <x14:formula1>
            <xm:f>'DATOS INICIALES'!$D$21:$D$25</xm:f>
          </x14:formula1>
          <xm:sqref>M47:M54</xm:sqref>
        </x14:dataValidation>
        <x14:dataValidation type="list" allowBlank="1" showInputMessage="1" showErrorMessage="1" xr:uid="{00000000-0002-0000-1100-000007000000}">
          <x14:formula1>
            <xm:f>'DATOS INICIALES'!$A$13:$A$43</xm:f>
          </x14:formula1>
          <xm:sqref>D31:I31</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65"/>
  <sheetViews>
    <sheetView view="pageBreakPreview" zoomScale="55" zoomScaleNormal="55" zoomScaleSheetLayoutView="55" workbookViewId="0">
      <pane ySplit="11" topLeftCell="A63"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15</v>
      </c>
      <c r="B11" s="2" t="s">
        <v>24</v>
      </c>
      <c r="C11" s="287" t="str">
        <f>VLOOKUP(A11,PROPONENTES!$A$10:$B$42,2,FALSE)</f>
        <v>CONSORCIO MANTENIMIENTO PARKS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DISTRIBUCIONES PBB S.A.S</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0">
        <f>COUNTIF(D64:I64,"CUMPLE")</f>
        <v>2</v>
      </c>
      <c r="J15" s="235">
        <f>IF(AND(I15&gt;=1,I15&lt;=2),L8,IF(AND(I15&gt;=3,I15&lt;=4),L9,IF(AND(I15&gt;=5,I15&lt;=7),L10)))</f>
        <v>1645.1285451923077</v>
      </c>
      <c r="K15" s="235">
        <f>+E20</f>
        <v>3071.17</v>
      </c>
      <c r="L15" s="236" t="str">
        <f>IF(K15&gt;=J15,"CUMPLE","NO CUMPLE")</f>
        <v>CUMPLE</v>
      </c>
    </row>
    <row r="16" spans="1:12" ht="33.75" customHeight="1" x14ac:dyDescent="0.25">
      <c r="B16" s="244"/>
      <c r="C16" s="100" t="str">
        <f>IF(VLOOKUP(C11,PROPONENTES!B10:N111,4,FALSE)=0,"",VLOOKUP(C11,PROPONENTES!B10:N111,4,FALSE))</f>
        <v>LYD PROYECTOS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3071.17</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3071.17</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3071.17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195</v>
      </c>
      <c r="E24" s="90" t="s">
        <v>195</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474</v>
      </c>
      <c r="E27" s="91" t="s">
        <v>475</v>
      </c>
      <c r="F27" s="91"/>
      <c r="G27" s="91"/>
      <c r="H27" s="91"/>
      <c r="I27" s="91"/>
      <c r="J27" s="91"/>
      <c r="K27" s="245"/>
      <c r="L27" s="246"/>
    </row>
    <row r="28" spans="2:14" ht="156.75" customHeight="1" x14ac:dyDescent="0.25">
      <c r="B28" s="250"/>
      <c r="C28" s="25" t="s">
        <v>38</v>
      </c>
      <c r="D28" s="91" t="s">
        <v>476</v>
      </c>
      <c r="E28" s="91" t="s">
        <v>477</v>
      </c>
      <c r="F28" s="91"/>
      <c r="G28" s="91"/>
      <c r="H28" s="91"/>
      <c r="I28" s="91"/>
      <c r="J28" s="91"/>
      <c r="K28" s="245"/>
      <c r="L28" s="246"/>
    </row>
    <row r="29" spans="2:14" ht="52.5" customHeight="1" x14ac:dyDescent="0.25">
      <c r="B29" s="250"/>
      <c r="C29" s="25" t="s">
        <v>169</v>
      </c>
      <c r="D29" s="95">
        <v>44703</v>
      </c>
      <c r="E29" s="95">
        <v>44355</v>
      </c>
      <c r="F29" s="95"/>
      <c r="G29" s="95"/>
      <c r="H29" s="95"/>
      <c r="I29" s="95"/>
      <c r="J29" s="95"/>
      <c r="K29" s="245"/>
      <c r="L29" s="246"/>
    </row>
    <row r="30" spans="2:14" ht="54.75" customHeight="1" x14ac:dyDescent="0.25">
      <c r="B30" s="250"/>
      <c r="C30" s="25" t="s">
        <v>42</v>
      </c>
      <c r="D30" s="95">
        <v>44926</v>
      </c>
      <c r="E30" s="95">
        <v>44907</v>
      </c>
      <c r="F30" s="95"/>
      <c r="G30" s="95"/>
      <c r="H30" s="95"/>
      <c r="I30" s="95"/>
      <c r="J30" s="95"/>
      <c r="K30" s="245"/>
      <c r="L30" s="246"/>
    </row>
    <row r="31" spans="2:14" ht="41.25" customHeight="1" x14ac:dyDescent="0.25">
      <c r="B31" s="250"/>
      <c r="C31" s="25" t="s">
        <v>39</v>
      </c>
      <c r="D31" s="92">
        <v>2022</v>
      </c>
      <c r="E31" s="92">
        <v>2022</v>
      </c>
      <c r="F31" s="92"/>
      <c r="G31" s="92"/>
      <c r="H31" s="92"/>
      <c r="I31" s="92"/>
      <c r="J31" s="92"/>
      <c r="K31" s="245"/>
      <c r="L31" s="246"/>
    </row>
    <row r="32" spans="2:14" ht="63" customHeight="1" x14ac:dyDescent="0.25">
      <c r="B32" s="250"/>
      <c r="C32" s="25" t="s">
        <v>40</v>
      </c>
      <c r="D32" s="91" t="s">
        <v>478</v>
      </c>
      <c r="E32" s="91" t="s">
        <v>478</v>
      </c>
      <c r="F32" s="91"/>
      <c r="G32" s="91"/>
      <c r="H32" s="91"/>
      <c r="I32" s="91"/>
      <c r="J32" s="91"/>
      <c r="K32" s="245"/>
      <c r="L32" s="246"/>
    </row>
    <row r="33" spans="2:12" ht="46.5" customHeight="1" x14ac:dyDescent="0.25">
      <c r="B33" s="250"/>
      <c r="C33" s="25" t="s">
        <v>41</v>
      </c>
      <c r="D33" s="91" t="s">
        <v>479</v>
      </c>
      <c r="E33" s="91" t="s">
        <v>479</v>
      </c>
      <c r="F33" s="91"/>
      <c r="G33" s="91"/>
      <c r="H33" s="91"/>
      <c r="I33" s="91"/>
      <c r="J33" s="91"/>
      <c r="K33" s="245"/>
      <c r="L33" s="246"/>
    </row>
    <row r="34" spans="2:12" ht="27.75" customHeight="1" x14ac:dyDescent="0.25">
      <c r="B34" s="250"/>
      <c r="C34" s="27" t="s">
        <v>35</v>
      </c>
      <c r="D34" s="96">
        <v>78</v>
      </c>
      <c r="E34" s="96">
        <v>73</v>
      </c>
      <c r="F34" s="96"/>
      <c r="G34" s="97"/>
      <c r="H34" s="97"/>
      <c r="I34" s="97"/>
      <c r="J34" s="97"/>
      <c r="K34" s="245"/>
      <c r="L34" s="246"/>
    </row>
    <row r="35" spans="2:12" ht="102.75" customHeight="1" x14ac:dyDescent="0.25">
      <c r="B35" s="250"/>
      <c r="C35" s="25" t="s">
        <v>137</v>
      </c>
      <c r="D35" s="93">
        <v>841.73</v>
      </c>
      <c r="E35" s="93">
        <v>2229.44</v>
      </c>
      <c r="F35" s="93"/>
      <c r="G35" s="93"/>
      <c r="H35" s="93"/>
      <c r="I35" s="93"/>
      <c r="J35" s="93"/>
      <c r="K35" s="245"/>
      <c r="L35" s="246"/>
    </row>
    <row r="36" spans="2:12" ht="48" customHeight="1" x14ac:dyDescent="0.25">
      <c r="B36" s="250"/>
      <c r="C36" s="25" t="s">
        <v>76</v>
      </c>
      <c r="D36" s="105">
        <f>IFERROR(D35*VLOOKUP(D31,'DATOS INICIALES'!$A$12:$B$43,2,0),"0")</f>
        <v>841730000</v>
      </c>
      <c r="E36" s="105">
        <f>IFERROR(E35*VLOOKUP(E31,'DATOS INICIALES'!$A$12:$B$43,2,0),"0")</f>
        <v>2229440000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1</v>
      </c>
      <c r="F37" s="94"/>
      <c r="G37" s="94"/>
      <c r="H37" s="94"/>
      <c r="I37" s="94"/>
      <c r="J37" s="94"/>
      <c r="K37" s="245"/>
      <c r="L37" s="246"/>
    </row>
    <row r="38" spans="2:12" ht="48.75" customHeight="1" x14ac:dyDescent="0.25">
      <c r="B38" s="250"/>
      <c r="C38" s="25" t="s">
        <v>144</v>
      </c>
      <c r="D38" s="105">
        <f t="shared" ref="D38:J38" si="3">IF(D24="","0",D37*D36)</f>
        <v>841730000</v>
      </c>
      <c r="E38" s="105">
        <f t="shared" si="3"/>
        <v>2229440000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841.73</v>
      </c>
      <c r="E39" s="106">
        <f t="shared" si="4"/>
        <v>2229.44</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14</v>
      </c>
      <c r="E61" s="90" t="s">
        <v>14</v>
      </c>
      <c r="F61" s="90"/>
      <c r="G61" s="90"/>
      <c r="H61" s="90"/>
      <c r="I61" s="90"/>
      <c r="J61" s="90"/>
      <c r="K61" s="288"/>
      <c r="L61" s="289"/>
    </row>
    <row r="62" spans="2:12" ht="408.75" customHeight="1" x14ac:dyDescent="0.25">
      <c r="B62" s="254" t="s">
        <v>170</v>
      </c>
      <c r="C62" s="254"/>
      <c r="D62" s="90" t="s">
        <v>14</v>
      </c>
      <c r="E62" s="90" t="s">
        <v>14</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720" priority="13">
      <formula>LEN(TRIM(D25))=0</formula>
    </cfRule>
    <cfRule type="notContainsErrors" dxfId="719" priority="14">
      <formula>NOT(ISERROR(D25))</formula>
    </cfRule>
  </conditionalFormatting>
  <conditionalFormatting sqref="D34:J34 D24:K24 D37:J37 D40:J40 D43:J43 D46:J53 D55:J63 K64:L64 D65:K65">
    <cfRule type="containsBlanks" dxfId="718" priority="15">
      <formula>LEN(TRIM(D24))=0</formula>
    </cfRule>
  </conditionalFormatting>
  <conditionalFormatting sqref="D46:J53">
    <cfRule type="cellIs" dxfId="717" priority="11" operator="equal">
      <formula>"NO CUMPLE"</formula>
    </cfRule>
    <cfRule type="cellIs" dxfId="716" priority="12" operator="equal">
      <formula>"CUMPLE"</formula>
    </cfRule>
  </conditionalFormatting>
  <conditionalFormatting sqref="D54:J54">
    <cfRule type="cellIs" dxfId="715" priority="27" operator="equal">
      <formula>"""CUMPLE"""</formula>
    </cfRule>
    <cfRule type="cellIs" dxfId="714" priority="26" operator="equal">
      <formula>"NO CUMPLE"</formula>
    </cfRule>
    <cfRule type="cellIs" dxfId="713" priority="25" operator="equal">
      <formula>"CUMPLE"</formula>
    </cfRule>
    <cfRule type="cellIs" dxfId="712" priority="21" operator="equal">
      <formula>"N/A"</formula>
    </cfRule>
  </conditionalFormatting>
  <conditionalFormatting sqref="D55:J63">
    <cfRule type="cellIs" dxfId="711" priority="3" operator="equal">
      <formula>"NO CUMPLE"</formula>
    </cfRule>
    <cfRule type="cellIs" dxfId="710" priority="4" operator="equal">
      <formula>"CUMPLE"</formula>
    </cfRule>
  </conditionalFormatting>
  <conditionalFormatting sqref="D64:J64">
    <cfRule type="cellIs" dxfId="709" priority="19" operator="equal">
      <formula>"NO CUMPLE"</formula>
    </cfRule>
    <cfRule type="cellIs" dxfId="708" priority="20" operator="equal">
      <formula>"""CUMPLE"""</formula>
    </cfRule>
    <cfRule type="cellIs" dxfId="707" priority="17" operator="equal">
      <formula>"N/A"</formula>
    </cfRule>
    <cfRule type="cellIs" dxfId="706" priority="18" operator="equal">
      <formula>"CUMPLE"</formula>
    </cfRule>
  </conditionalFormatting>
  <conditionalFormatting sqref="D65:J65">
    <cfRule type="cellIs" dxfId="705" priority="9" operator="equal">
      <formula>"NO CUMPLE"</formula>
    </cfRule>
    <cfRule type="cellIs" dxfId="704" priority="10" operator="equal">
      <formula>"CUMPLE"</formula>
    </cfRule>
  </conditionalFormatting>
  <conditionalFormatting sqref="D24:K24 D34:J34 D37:J37 D40:J40 D43:J43 D46:J53 D55:J63 K64:L64 D65:K65">
    <cfRule type="notContainsErrors" dxfId="703" priority="16">
      <formula>NOT(ISERROR(D24))</formula>
    </cfRule>
  </conditionalFormatting>
  <conditionalFormatting sqref="F20:H20">
    <cfRule type="cellIs" dxfId="702" priority="31" operator="equal">
      <formula>"CUMPLE"</formula>
    </cfRule>
    <cfRule type="cellIs" dxfId="701" priority="32" operator="equal">
      <formula>"NO CUMPLE"</formula>
    </cfRule>
    <cfRule type="cellIs" dxfId="700" priority="33" operator="equal">
      <formula>"""CUMPLE"""</formula>
    </cfRule>
  </conditionalFormatting>
  <conditionalFormatting sqref="I11">
    <cfRule type="containsText" dxfId="699" priority="37" operator="containsText" text="NO CUMPLE">
      <formula>NOT(ISERROR(SEARCH("NO CUMPLE",I11)))</formula>
    </cfRule>
    <cfRule type="containsText" dxfId="698" priority="34" operator="containsText" text="INHABILITADO">
      <formula>NOT(ISERROR(SEARCH("INHABILITADO",I11)))</formula>
    </cfRule>
    <cfRule type="containsText" dxfId="697" priority="35" operator="containsText" text="HABILITADO">
      <formula>NOT(ISERROR(SEARCH("HABILITADO",I11)))</formula>
    </cfRule>
    <cfRule type="containsText" dxfId="696" priority="36" operator="containsText" text="HABILITADO">
      <formula>NOT(ISERROR(SEARCH("HABILITADO",I11)))</formula>
    </cfRule>
  </conditionalFormatting>
  <conditionalFormatting sqref="J20">
    <cfRule type="cellIs" dxfId="695" priority="8" operator="equal">
      <formula>"SI"</formula>
    </cfRule>
    <cfRule type="cellIs" dxfId="694" priority="7" operator="equal">
      <formula>"NO"</formula>
    </cfRule>
  </conditionalFormatting>
  <conditionalFormatting sqref="K19">
    <cfRule type="cellIs" dxfId="693" priority="22" operator="equal">
      <formula>"CUMPLE"</formula>
    </cfRule>
    <cfRule type="cellIs" dxfId="692" priority="23" operator="equal">
      <formula>"NO CUMPLE"</formula>
    </cfRule>
    <cfRule type="cellIs" dxfId="691" priority="24" operator="equal">
      <formula>"""CUMPLE"""</formula>
    </cfRule>
  </conditionalFormatting>
  <conditionalFormatting sqref="K25:K63">
    <cfRule type="notContainsErrors" dxfId="690" priority="2">
      <formula>NOT(ISERROR(K25))</formula>
    </cfRule>
    <cfRule type="containsBlanks" dxfId="689" priority="1">
      <formula>LEN(TRIM(K25))=0</formula>
    </cfRule>
  </conditionalFormatting>
  <conditionalFormatting sqref="L15">
    <cfRule type="cellIs" dxfId="688" priority="28" operator="equal">
      <formula>"CUMPLE"</formula>
    </cfRule>
    <cfRule type="cellIs" dxfId="687" priority="29" operator="equal">
      <formula>"NO CUMPLE"</formula>
    </cfRule>
    <cfRule type="cellIs" dxfId="686" priority="30" operator="equal">
      <formula>"""CUMPLE"""</formula>
    </cfRule>
  </conditionalFormatting>
  <conditionalFormatting sqref="L20">
    <cfRule type="cellIs" dxfId="685" priority="5" operator="equal">
      <formula>"NO"</formula>
    </cfRule>
    <cfRule type="cellIs" dxfId="684" priority="6" operator="equal">
      <formula>"SI"</formula>
    </cfRule>
  </conditionalFormatting>
  <dataValidations count="3">
    <dataValidation type="list" allowBlank="1" showInputMessage="1" showErrorMessage="1" sqref="D65:I65" xr:uid="{00000000-0002-0000-1200-000000000000}">
      <formula1>"CUMPLE,NO CUMPLE"</formula1>
    </dataValidation>
    <dataValidation type="list" allowBlank="1" showInputMessage="1" showErrorMessage="1" sqref="D24:J26" xr:uid="{00000000-0002-0000-1200-000001000000}">
      <formula1>$C$15:$C$19</formula1>
    </dataValidation>
    <dataValidation type="list" allowBlank="1" showInputMessage="1" showErrorMessage="1" sqref="L57:L64" xr:uid="{00000000-0002-0000-1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200-000003000000}">
          <x14:formula1>
            <xm:f>'DATOS INICIALES'!$A$13:$A$43</xm:f>
          </x14:formula1>
          <xm:sqref>D31:I31</xm:sqref>
        </x14:dataValidation>
        <x14:dataValidation type="list" allowBlank="1" showInputMessage="1" showErrorMessage="1" xr:uid="{00000000-0002-0000-1200-000004000000}">
          <x14:formula1>
            <xm:f>'DATOS INICIALES'!$D$21:$D$25</xm:f>
          </x14:formula1>
          <xm:sqref>M47:M54</xm:sqref>
        </x14:dataValidation>
        <x14:dataValidation type="list" allowBlank="1" showInputMessage="1" showErrorMessage="1" xr:uid="{00000000-0002-0000-1200-000005000000}">
          <x14:formula1>
            <xm:f>'DATOS INICIALES'!$A$54:$A$59</xm:f>
          </x14:formula1>
          <xm:sqref>D23:I23</xm:sqref>
        </x14:dataValidation>
        <x14:dataValidation type="list" allowBlank="1" showInputMessage="1" showErrorMessage="1" xr:uid="{00000000-0002-0000-1200-000006000000}">
          <x14:formula1>
            <xm:f>'DATOS INICIALES'!$A$50:$A$52</xm:f>
          </x14:formula1>
          <xm:sqref>D55:I57 D46:J46 J55:J56 D58:J63</xm:sqref>
        </x14:dataValidation>
        <x14:dataValidation type="list" allowBlank="1" showInputMessage="1" showErrorMessage="1" xr:uid="{00000000-0002-0000-1200-000007000000}">
          <x14:formula1>
            <xm:f>'DATOS INICIALES'!$C$45:$C$46</xm:f>
          </x14:formula1>
          <xm:sqref>D47:I53 J47:J52</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65"/>
  <sheetViews>
    <sheetView view="pageBreakPreview" zoomScale="55" zoomScaleNormal="55" zoomScaleSheetLayoutView="55" workbookViewId="0">
      <pane ySplit="11" topLeftCell="A44"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16</v>
      </c>
      <c r="B11" s="2" t="s">
        <v>24</v>
      </c>
      <c r="C11" s="287" t="str">
        <f>VLOOKUP(A11,PROPONENTES!$A$10:$B$42,2,FALSE)</f>
        <v>CONSORCIO SAN LORENZO</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VÍCTOR RAÚL NEIRA DELVASTO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5074.8450000000003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10128.25</v>
      </c>
      <c r="L15" s="236" t="str">
        <f>IF(K15&gt;=J15,"CUMPLE","NO CUMPLE")</f>
        <v>CUMPLE</v>
      </c>
    </row>
    <row r="16" spans="1:12" ht="33.75" customHeight="1" x14ac:dyDescent="0.25">
      <c r="B16" s="244"/>
      <c r="C16" s="100" t="str">
        <f>IF(VLOOKUP(C11,PROPONENTES!B10:N111,4,FALSE)=0,"",VLOOKUP(C11,PROPONENTES!B10:N111,4,FALSE))</f>
        <v xml:space="preserve">Hernando Sandoval Guzman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HN INGENIERIA SAS</v>
      </c>
      <c r="D17" s="101">
        <f>IF(VLOOKUP(C11,PROPONENTES!B10:N111,7,FALSE)=0,"",VLOOKUP(C11,PROPONENTES!B10:N111,7,FALSE))</f>
        <v>0.45</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5053.4049999999997</v>
      </c>
      <c r="F17" s="103" t="str">
        <f t="shared" si="1"/>
        <v>SI</v>
      </c>
      <c r="G17" s="104" t="str">
        <f t="shared" si="2"/>
        <v>SI</v>
      </c>
      <c r="H17" s="103" t="str">
        <f>IF(C17="","",IF(AND(G17="NO APORTA EXPERIENCIA",D17&lt;=10%),"SI",IF(G17="SI","NO APLICA","NO - PORCENTAJE MAYOR AL 10%")))</f>
        <v>NO APLICA</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10128.25</v>
      </c>
      <c r="J19" s="152">
        <f>70%*C10</f>
        <v>1535.4533088461537</v>
      </c>
      <c r="K19" s="236" t="str">
        <f>IF(I19&gt;=J19,"CUMPLE","NO CUMPLE")</f>
        <v>CUMPLE</v>
      </c>
      <c r="L19" s="236"/>
    </row>
    <row r="20" spans="2:14" ht="84.75" customHeight="1" x14ac:dyDescent="0.25">
      <c r="B20" s="30" t="s">
        <v>63</v>
      </c>
      <c r="C20" s="24">
        <f>+VLOOKUP(C11,PROPONENTES!B10:N111,12,FALSE)</f>
        <v>3</v>
      </c>
      <c r="D20" s="101">
        <f>+VLOOKUP(C11,PROPONENTES!B10:N111,13,FALSE)</f>
        <v>1</v>
      </c>
      <c r="E20" s="36">
        <f>SUM(E15:E19)</f>
        <v>10128.25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199</v>
      </c>
      <c r="E24" s="90" t="s">
        <v>251</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480</v>
      </c>
      <c r="E27" s="91" t="s">
        <v>481</v>
      </c>
      <c r="F27" s="91"/>
      <c r="G27" s="91"/>
      <c r="H27" s="91"/>
      <c r="I27" s="91"/>
      <c r="J27" s="91"/>
      <c r="K27" s="245"/>
      <c r="L27" s="246"/>
    </row>
    <row r="28" spans="2:14" ht="156.75" customHeight="1" x14ac:dyDescent="0.25">
      <c r="B28" s="250"/>
      <c r="C28" s="25" t="s">
        <v>38</v>
      </c>
      <c r="D28" s="91" t="s">
        <v>482</v>
      </c>
      <c r="E28" s="91" t="s">
        <v>483</v>
      </c>
      <c r="F28" s="91"/>
      <c r="G28" s="91"/>
      <c r="H28" s="91"/>
      <c r="I28" s="91"/>
      <c r="J28" s="91"/>
      <c r="K28" s="245"/>
      <c r="L28" s="246"/>
    </row>
    <row r="29" spans="2:14" ht="52.5" customHeight="1" x14ac:dyDescent="0.25">
      <c r="B29" s="250"/>
      <c r="C29" s="25" t="s">
        <v>169</v>
      </c>
      <c r="D29" s="95">
        <v>43858</v>
      </c>
      <c r="E29" s="95">
        <v>42786</v>
      </c>
      <c r="F29" s="95"/>
      <c r="G29" s="95"/>
      <c r="H29" s="95"/>
      <c r="I29" s="95"/>
      <c r="J29" s="95"/>
      <c r="K29" s="245"/>
      <c r="L29" s="246"/>
    </row>
    <row r="30" spans="2:14" ht="54.75" customHeight="1" x14ac:dyDescent="0.25">
      <c r="B30" s="250"/>
      <c r="C30" s="25" t="s">
        <v>42</v>
      </c>
      <c r="D30" s="95">
        <v>44148</v>
      </c>
      <c r="E30" s="95">
        <v>43088</v>
      </c>
      <c r="F30" s="95"/>
      <c r="G30" s="95"/>
      <c r="H30" s="95"/>
      <c r="I30" s="95"/>
      <c r="J30" s="95"/>
      <c r="K30" s="245"/>
      <c r="L30" s="246"/>
    </row>
    <row r="31" spans="2:14" ht="41.25" customHeight="1" x14ac:dyDescent="0.25">
      <c r="B31" s="250"/>
      <c r="C31" s="25" t="s">
        <v>39</v>
      </c>
      <c r="D31" s="92">
        <v>2020</v>
      </c>
      <c r="E31" s="92">
        <v>2017</v>
      </c>
      <c r="F31" s="92"/>
      <c r="G31" s="92"/>
      <c r="H31" s="92"/>
      <c r="I31" s="92"/>
      <c r="J31" s="92"/>
      <c r="K31" s="245"/>
      <c r="L31" s="246"/>
    </row>
    <row r="32" spans="2:14" ht="63" customHeight="1" x14ac:dyDescent="0.25">
      <c r="B32" s="250"/>
      <c r="C32" s="25" t="s">
        <v>40</v>
      </c>
      <c r="D32" s="91" t="s">
        <v>308</v>
      </c>
      <c r="E32" s="91" t="s">
        <v>22</v>
      </c>
      <c r="F32" s="91"/>
      <c r="G32" s="91"/>
      <c r="H32" s="91"/>
      <c r="I32" s="91"/>
      <c r="J32" s="91"/>
      <c r="K32" s="245"/>
      <c r="L32" s="246"/>
    </row>
    <row r="33" spans="2:12" ht="46.5" customHeight="1" x14ac:dyDescent="0.25">
      <c r="B33" s="250"/>
      <c r="C33" s="25" t="s">
        <v>41</v>
      </c>
      <c r="D33" s="91" t="s">
        <v>484</v>
      </c>
      <c r="E33" s="91" t="s">
        <v>485</v>
      </c>
      <c r="F33" s="91"/>
      <c r="G33" s="91"/>
      <c r="H33" s="91"/>
      <c r="I33" s="91"/>
      <c r="J33" s="91"/>
      <c r="K33" s="245"/>
      <c r="L33" s="246"/>
    </row>
    <row r="34" spans="2:12" ht="27.75" customHeight="1" x14ac:dyDescent="0.25">
      <c r="B34" s="250"/>
      <c r="C34" s="27" t="s">
        <v>35</v>
      </c>
      <c r="D34" s="96">
        <v>12</v>
      </c>
      <c r="E34" s="96">
        <v>52</v>
      </c>
      <c r="F34" s="96"/>
      <c r="G34" s="97"/>
      <c r="H34" s="97"/>
      <c r="I34" s="97"/>
      <c r="J34" s="97"/>
      <c r="K34" s="245"/>
      <c r="L34" s="246"/>
    </row>
    <row r="35" spans="2:12" ht="102.75" customHeight="1" x14ac:dyDescent="0.25">
      <c r="B35" s="250"/>
      <c r="C35" s="25" t="s">
        <v>137</v>
      </c>
      <c r="D35" s="93">
        <v>10106.81</v>
      </c>
      <c r="E35" s="93">
        <v>10149.69</v>
      </c>
      <c r="F35" s="93"/>
      <c r="G35" s="93"/>
      <c r="H35" s="93"/>
      <c r="I35" s="93"/>
      <c r="J35" s="93"/>
      <c r="K35" s="245"/>
      <c r="L35" s="246"/>
    </row>
    <row r="36" spans="2:12" ht="48" customHeight="1" x14ac:dyDescent="0.25">
      <c r="B36" s="250"/>
      <c r="C36" s="25" t="s">
        <v>76</v>
      </c>
      <c r="D36" s="105">
        <f>IFERROR(D35*VLOOKUP(D31,'DATOS INICIALES'!$A$12:$B$43,2,0),"0")</f>
        <v>8871788138.4300003</v>
      </c>
      <c r="E36" s="105">
        <f>IFERROR(E35*VLOOKUP(E31,'DATOS INICIALES'!$A$12:$B$43,2,0),"0")</f>
        <v>7487598857.7300005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0.5</v>
      </c>
      <c r="F37" s="94"/>
      <c r="G37" s="94"/>
      <c r="H37" s="94"/>
      <c r="I37" s="94"/>
      <c r="J37" s="94"/>
      <c r="K37" s="245"/>
      <c r="L37" s="246"/>
    </row>
    <row r="38" spans="2:12" ht="48.75" customHeight="1" x14ac:dyDescent="0.25">
      <c r="B38" s="250"/>
      <c r="C38" s="25" t="s">
        <v>144</v>
      </c>
      <c r="D38" s="105">
        <f t="shared" ref="D38:J38" si="3">IF(D24="","0",D37*D36)</f>
        <v>4435894069.2150002</v>
      </c>
      <c r="E38" s="105">
        <f t="shared" si="3"/>
        <v>3743799428.8650002</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5053.4049999999997</v>
      </c>
      <c r="E39" s="106">
        <f t="shared" si="4"/>
        <v>5074.8450000000003</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14</v>
      </c>
      <c r="E61" s="90" t="s">
        <v>14</v>
      </c>
      <c r="F61" s="90"/>
      <c r="G61" s="90"/>
      <c r="H61" s="90"/>
      <c r="I61" s="90"/>
      <c r="J61" s="90"/>
      <c r="K61" s="288"/>
      <c r="L61" s="289"/>
    </row>
    <row r="62" spans="2:12" ht="408.75" customHeight="1" x14ac:dyDescent="0.25">
      <c r="B62" s="254" t="s">
        <v>170</v>
      </c>
      <c r="C62" s="254"/>
      <c r="D62" s="90" t="s">
        <v>14</v>
      </c>
      <c r="E62" s="90" t="s">
        <v>14</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683" priority="13">
      <formula>LEN(TRIM(D25))=0</formula>
    </cfRule>
    <cfRule type="notContainsErrors" dxfId="682" priority="14">
      <formula>NOT(ISERROR(D25))</formula>
    </cfRule>
  </conditionalFormatting>
  <conditionalFormatting sqref="D34:J34 D24:K24 D37:J37 D40:J40 D43:J43 D46:J53 D55:J63 K64:L64 D65:K65">
    <cfRule type="containsBlanks" dxfId="681" priority="15">
      <formula>LEN(TRIM(D24))=0</formula>
    </cfRule>
  </conditionalFormatting>
  <conditionalFormatting sqref="D46:J53">
    <cfRule type="cellIs" dxfId="680" priority="11" operator="equal">
      <formula>"NO CUMPLE"</formula>
    </cfRule>
    <cfRule type="cellIs" dxfId="679" priority="12" operator="equal">
      <formula>"CUMPLE"</formula>
    </cfRule>
  </conditionalFormatting>
  <conditionalFormatting sqref="D54:J54">
    <cfRule type="cellIs" dxfId="678" priority="27" operator="equal">
      <formula>"""CUMPLE"""</formula>
    </cfRule>
    <cfRule type="cellIs" dxfId="677" priority="26" operator="equal">
      <formula>"NO CUMPLE"</formula>
    </cfRule>
    <cfRule type="cellIs" dxfId="676" priority="25" operator="equal">
      <formula>"CUMPLE"</formula>
    </cfRule>
    <cfRule type="cellIs" dxfId="675" priority="21" operator="equal">
      <formula>"N/A"</formula>
    </cfRule>
  </conditionalFormatting>
  <conditionalFormatting sqref="D55:J63">
    <cfRule type="cellIs" dxfId="674" priority="3" operator="equal">
      <formula>"NO CUMPLE"</formula>
    </cfRule>
    <cfRule type="cellIs" dxfId="673" priority="4" operator="equal">
      <formula>"CUMPLE"</formula>
    </cfRule>
  </conditionalFormatting>
  <conditionalFormatting sqref="D64:J64">
    <cfRule type="cellIs" dxfId="672" priority="19" operator="equal">
      <formula>"NO CUMPLE"</formula>
    </cfRule>
    <cfRule type="cellIs" dxfId="671" priority="20" operator="equal">
      <formula>"""CUMPLE"""</formula>
    </cfRule>
    <cfRule type="cellIs" dxfId="670" priority="17" operator="equal">
      <formula>"N/A"</formula>
    </cfRule>
    <cfRule type="cellIs" dxfId="669" priority="18" operator="equal">
      <formula>"CUMPLE"</formula>
    </cfRule>
  </conditionalFormatting>
  <conditionalFormatting sqref="D65:J65">
    <cfRule type="cellIs" dxfId="668" priority="9" operator="equal">
      <formula>"NO CUMPLE"</formula>
    </cfRule>
    <cfRule type="cellIs" dxfId="667" priority="10" operator="equal">
      <formula>"CUMPLE"</formula>
    </cfRule>
  </conditionalFormatting>
  <conditionalFormatting sqref="D24:K24 D34:J34 D37:J37 D40:J40 D43:J43 D46:J53 D55:J63 K64:L64 D65:K65">
    <cfRule type="notContainsErrors" dxfId="666" priority="16">
      <formula>NOT(ISERROR(D24))</formula>
    </cfRule>
  </conditionalFormatting>
  <conditionalFormatting sqref="F20:H20">
    <cfRule type="cellIs" dxfId="665" priority="31" operator="equal">
      <formula>"CUMPLE"</formula>
    </cfRule>
    <cfRule type="cellIs" dxfId="664" priority="32" operator="equal">
      <formula>"NO CUMPLE"</formula>
    </cfRule>
    <cfRule type="cellIs" dxfId="663" priority="33" operator="equal">
      <formula>"""CUMPLE"""</formula>
    </cfRule>
  </conditionalFormatting>
  <conditionalFormatting sqref="I11">
    <cfRule type="containsText" dxfId="662" priority="37" operator="containsText" text="NO CUMPLE">
      <formula>NOT(ISERROR(SEARCH("NO CUMPLE",I11)))</formula>
    </cfRule>
    <cfRule type="containsText" dxfId="661" priority="34" operator="containsText" text="INHABILITADO">
      <formula>NOT(ISERROR(SEARCH("INHABILITADO",I11)))</formula>
    </cfRule>
    <cfRule type="containsText" dxfId="660" priority="35" operator="containsText" text="HABILITADO">
      <formula>NOT(ISERROR(SEARCH("HABILITADO",I11)))</formula>
    </cfRule>
    <cfRule type="containsText" dxfId="659" priority="36" operator="containsText" text="HABILITADO">
      <formula>NOT(ISERROR(SEARCH("HABILITADO",I11)))</formula>
    </cfRule>
  </conditionalFormatting>
  <conditionalFormatting sqref="J20">
    <cfRule type="cellIs" dxfId="658" priority="8" operator="equal">
      <formula>"SI"</formula>
    </cfRule>
    <cfRule type="cellIs" dxfId="657" priority="7" operator="equal">
      <formula>"NO"</formula>
    </cfRule>
  </conditionalFormatting>
  <conditionalFormatting sqref="K19">
    <cfRule type="cellIs" dxfId="656" priority="22" operator="equal">
      <formula>"CUMPLE"</formula>
    </cfRule>
    <cfRule type="cellIs" dxfId="655" priority="23" operator="equal">
      <formula>"NO CUMPLE"</formula>
    </cfRule>
    <cfRule type="cellIs" dxfId="654" priority="24" operator="equal">
      <formula>"""CUMPLE"""</formula>
    </cfRule>
  </conditionalFormatting>
  <conditionalFormatting sqref="K25:K63">
    <cfRule type="notContainsErrors" dxfId="653" priority="2">
      <formula>NOT(ISERROR(K25))</formula>
    </cfRule>
    <cfRule type="containsBlanks" dxfId="652" priority="1">
      <formula>LEN(TRIM(K25))=0</formula>
    </cfRule>
  </conditionalFormatting>
  <conditionalFormatting sqref="L15">
    <cfRule type="cellIs" dxfId="651" priority="28" operator="equal">
      <formula>"CUMPLE"</formula>
    </cfRule>
    <cfRule type="cellIs" dxfId="650" priority="29" operator="equal">
      <formula>"NO CUMPLE"</formula>
    </cfRule>
    <cfRule type="cellIs" dxfId="649" priority="30" operator="equal">
      <formula>"""CUMPLE"""</formula>
    </cfRule>
  </conditionalFormatting>
  <conditionalFormatting sqref="L20">
    <cfRule type="cellIs" dxfId="648" priority="5" operator="equal">
      <formula>"NO"</formula>
    </cfRule>
    <cfRule type="cellIs" dxfId="647" priority="6" operator="equal">
      <formula>"SI"</formula>
    </cfRule>
  </conditionalFormatting>
  <dataValidations count="3">
    <dataValidation type="list" allowBlank="1" showInputMessage="1" showErrorMessage="1" sqref="L57:L64" xr:uid="{00000000-0002-0000-1300-000000000000}">
      <formula1>"0,1,2,3,4,5,6"</formula1>
    </dataValidation>
    <dataValidation type="list" allowBlank="1" showInputMessage="1" showErrorMessage="1" sqref="D24:J26" xr:uid="{00000000-0002-0000-1300-000001000000}">
      <formula1>$C$15:$C$19</formula1>
    </dataValidation>
    <dataValidation type="list" allowBlank="1" showInputMessage="1" showErrorMessage="1" sqref="D65:I65" xr:uid="{00000000-0002-0000-13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300-000003000000}">
          <x14:formula1>
            <xm:f>'DATOS INICIALES'!$C$45:$C$46</xm:f>
          </x14:formula1>
          <xm:sqref>D47:I53 J47:J52</xm:sqref>
        </x14:dataValidation>
        <x14:dataValidation type="list" allowBlank="1" showInputMessage="1" showErrorMessage="1" xr:uid="{00000000-0002-0000-1300-000004000000}">
          <x14:formula1>
            <xm:f>'DATOS INICIALES'!$A$50:$A$52</xm:f>
          </x14:formula1>
          <xm:sqref>D55:I57 D46:J46 J55:J56 D58:J63</xm:sqref>
        </x14:dataValidation>
        <x14:dataValidation type="list" allowBlank="1" showInputMessage="1" showErrorMessage="1" xr:uid="{00000000-0002-0000-1300-000005000000}">
          <x14:formula1>
            <xm:f>'DATOS INICIALES'!$A$54:$A$59</xm:f>
          </x14:formula1>
          <xm:sqref>D23:I23</xm:sqref>
        </x14:dataValidation>
        <x14:dataValidation type="list" allowBlank="1" showInputMessage="1" showErrorMessage="1" xr:uid="{00000000-0002-0000-1300-000006000000}">
          <x14:formula1>
            <xm:f>'DATOS INICIALES'!$D$21:$D$25</xm:f>
          </x14:formula1>
          <xm:sqref>M47:M54</xm:sqref>
        </x14:dataValidation>
        <x14:dataValidation type="list" allowBlank="1" showInputMessage="1" showErrorMessage="1" xr:uid="{00000000-0002-0000-1300-000007000000}">
          <x14:formula1>
            <xm:f>'DATOS INICIALES'!$A$13:$A$43</xm:f>
          </x14:formula1>
          <xm:sqref>D31:I31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65"/>
  <sheetViews>
    <sheetView view="pageBreakPreview" zoomScale="55" zoomScaleNormal="55" zoomScaleSheetLayoutView="55" workbookViewId="0">
      <pane ySplit="11" topLeftCell="A27"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17</v>
      </c>
      <c r="B11" s="2" t="s">
        <v>24</v>
      </c>
      <c r="C11" s="287" t="str">
        <f>VLOOKUP(A11,PROPONENTES!$A$10:$B$42,2,FALSE)</f>
        <v>CONSORCIO KENNEDY AVANZA</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DOBLECRUZ INGENIERIA Y ARQUITECTURA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0">
        <f>COUNTIF(D64:I64,"CUMPLE")</f>
        <v>1</v>
      </c>
      <c r="J15" s="235">
        <f>IF(AND(I15&gt;=1,I15&lt;=2),L8,IF(AND(I15&gt;=3,I15&lt;=4),L9,IF(AND(I15&gt;=5,I15&lt;=7),L10)))</f>
        <v>1645.1285451923077</v>
      </c>
      <c r="K15" s="235">
        <f>+E20</f>
        <v>3447.4537999999998</v>
      </c>
      <c r="L15" s="236" t="str">
        <f>IF(K15&gt;=J15,"CUMPLE","NO CUMPLE")</f>
        <v>CUMPLE</v>
      </c>
    </row>
    <row r="16" spans="1:12" ht="33.75" customHeight="1" x14ac:dyDescent="0.25">
      <c r="B16" s="244"/>
      <c r="C16" s="100" t="str">
        <f>IF(VLOOKUP(C11,PROPONENTES!B10:N111,4,FALSE)=0,"",VLOOKUP(C11,PROPONENTES!B10:N111,4,FALSE))</f>
        <v>M&amp;M INGENIEROS ASOCIADOS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3447.4537999999998</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3447.4537999999998</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3447.4537999999998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255</v>
      </c>
      <c r="E24" s="90"/>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486</v>
      </c>
      <c r="E27" s="91"/>
      <c r="F27" s="91"/>
      <c r="G27" s="91"/>
      <c r="H27" s="91"/>
      <c r="I27" s="91"/>
      <c r="J27" s="91"/>
      <c r="K27" s="245"/>
      <c r="L27" s="246"/>
    </row>
    <row r="28" spans="2:14" ht="156.75" customHeight="1" x14ac:dyDescent="0.25">
      <c r="B28" s="250"/>
      <c r="C28" s="25" t="s">
        <v>38</v>
      </c>
      <c r="D28" s="91" t="s">
        <v>487</v>
      </c>
      <c r="E28" s="91"/>
      <c r="F28" s="91"/>
      <c r="G28" s="91"/>
      <c r="H28" s="91"/>
      <c r="I28" s="91"/>
      <c r="J28" s="91"/>
      <c r="K28" s="245"/>
      <c r="L28" s="246"/>
    </row>
    <row r="29" spans="2:14" ht="52.5" customHeight="1" x14ac:dyDescent="0.25">
      <c r="B29" s="250"/>
      <c r="C29" s="25" t="s">
        <v>169</v>
      </c>
      <c r="D29" s="95">
        <v>39708</v>
      </c>
      <c r="E29" s="95"/>
      <c r="F29" s="95"/>
      <c r="G29" s="95"/>
      <c r="H29" s="95"/>
      <c r="I29" s="95"/>
      <c r="J29" s="95"/>
      <c r="K29" s="245"/>
      <c r="L29" s="246"/>
    </row>
    <row r="30" spans="2:14" ht="54.75" customHeight="1" x14ac:dyDescent="0.25">
      <c r="B30" s="250"/>
      <c r="C30" s="25" t="s">
        <v>42</v>
      </c>
      <c r="D30" s="95">
        <v>39949</v>
      </c>
      <c r="E30" s="95"/>
      <c r="F30" s="95"/>
      <c r="G30" s="95"/>
      <c r="H30" s="95"/>
      <c r="I30" s="95"/>
      <c r="J30" s="95"/>
      <c r="K30" s="245"/>
      <c r="L30" s="246"/>
    </row>
    <row r="31" spans="2:14" ht="41.25" customHeight="1" x14ac:dyDescent="0.25">
      <c r="B31" s="250"/>
      <c r="C31" s="25" t="s">
        <v>39</v>
      </c>
      <c r="D31" s="92">
        <v>2009</v>
      </c>
      <c r="E31" s="92"/>
      <c r="F31" s="92"/>
      <c r="G31" s="92"/>
      <c r="H31" s="92"/>
      <c r="I31" s="92"/>
      <c r="J31" s="92"/>
      <c r="K31" s="245"/>
      <c r="L31" s="246"/>
    </row>
    <row r="32" spans="2:14" ht="63" customHeight="1" x14ac:dyDescent="0.25">
      <c r="B32" s="250"/>
      <c r="C32" s="25" t="s">
        <v>40</v>
      </c>
      <c r="D32" s="91" t="s">
        <v>308</v>
      </c>
      <c r="E32" s="91"/>
      <c r="F32" s="91"/>
      <c r="G32" s="91"/>
      <c r="H32" s="91"/>
      <c r="I32" s="91"/>
      <c r="J32" s="91"/>
      <c r="K32" s="245"/>
      <c r="L32" s="246"/>
    </row>
    <row r="33" spans="2:12" ht="46.5" customHeight="1" x14ac:dyDescent="0.25">
      <c r="B33" s="250"/>
      <c r="C33" s="25" t="s">
        <v>41</v>
      </c>
      <c r="D33" s="91" t="s">
        <v>488</v>
      </c>
      <c r="E33" s="91"/>
      <c r="F33" s="91"/>
      <c r="G33" s="91"/>
      <c r="H33" s="91"/>
      <c r="I33" s="91"/>
      <c r="J33" s="91"/>
      <c r="K33" s="245"/>
      <c r="L33" s="246"/>
    </row>
    <row r="34" spans="2:12" ht="27.75" customHeight="1" x14ac:dyDescent="0.25">
      <c r="B34" s="250"/>
      <c r="C34" s="27" t="s">
        <v>35</v>
      </c>
      <c r="D34" s="96">
        <v>17</v>
      </c>
      <c r="E34" s="96"/>
      <c r="F34" s="96"/>
      <c r="G34" s="97"/>
      <c r="H34" s="97"/>
      <c r="I34" s="97"/>
      <c r="J34" s="97"/>
      <c r="K34" s="245"/>
      <c r="L34" s="246"/>
    </row>
    <row r="35" spans="2:12" ht="102.75" customHeight="1" x14ac:dyDescent="0.25">
      <c r="B35" s="250"/>
      <c r="C35" s="25" t="s">
        <v>137</v>
      </c>
      <c r="D35" s="93">
        <v>3517.81</v>
      </c>
      <c r="E35" s="93"/>
      <c r="F35" s="93"/>
      <c r="G35" s="93"/>
      <c r="H35" s="93"/>
      <c r="I35" s="93"/>
      <c r="J35" s="93"/>
      <c r="K35" s="245"/>
      <c r="L35" s="246"/>
    </row>
    <row r="36" spans="2:12" ht="48" customHeight="1" x14ac:dyDescent="0.25">
      <c r="B36" s="250"/>
      <c r="C36" s="25" t="s">
        <v>76</v>
      </c>
      <c r="D36" s="105">
        <f>IFERROR(D35*VLOOKUP(D31,'DATOS INICIALES'!$A$12:$B$43,2,0),"0")</f>
        <v>1747999789</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0.98</v>
      </c>
      <c r="E37" s="94"/>
      <c r="F37" s="94"/>
      <c r="G37" s="94"/>
      <c r="H37" s="94"/>
      <c r="I37" s="94"/>
      <c r="J37" s="94"/>
      <c r="K37" s="245"/>
      <c r="L37" s="246"/>
    </row>
    <row r="38" spans="2:12" ht="48.75" customHeight="1" x14ac:dyDescent="0.25">
      <c r="B38" s="250"/>
      <c r="C38" s="25" t="s">
        <v>144</v>
      </c>
      <c r="D38" s="105">
        <f t="shared" ref="D38:J38" si="3">IF(D24="","0",D37*D36)</f>
        <v>1713039793.22</v>
      </c>
      <c r="E38" s="105" t="str">
        <f t="shared" si="3"/>
        <v>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3447.4537999999998</v>
      </c>
      <c r="E39" s="106">
        <f t="shared" si="4"/>
        <v>0</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c r="F46" s="90"/>
      <c r="G46" s="90"/>
      <c r="H46" s="90"/>
      <c r="I46" s="90"/>
      <c r="J46" s="90"/>
      <c r="K46" s="245"/>
      <c r="L46" s="246"/>
    </row>
    <row r="47" spans="2:12" ht="24.75" customHeight="1" x14ac:dyDescent="0.25">
      <c r="B47" s="255" t="s">
        <v>36</v>
      </c>
      <c r="C47" s="28">
        <f>+'DATOS INICIALES'!D21</f>
        <v>72101500</v>
      </c>
      <c r="D47" s="96" t="s">
        <v>79</v>
      </c>
      <c r="E47" s="96"/>
      <c r="F47" s="96"/>
      <c r="G47" s="96"/>
      <c r="H47" s="96"/>
      <c r="I47" s="96"/>
      <c r="J47" s="97"/>
      <c r="K47" s="245"/>
      <c r="L47" s="246"/>
    </row>
    <row r="48" spans="2:12" ht="24.75" customHeight="1" x14ac:dyDescent="0.25">
      <c r="B48" s="256"/>
      <c r="C48" s="28">
        <f>+'DATOS INICIALES'!D22</f>
        <v>72102900</v>
      </c>
      <c r="D48" s="96" t="s">
        <v>79</v>
      </c>
      <c r="E48" s="96"/>
      <c r="F48" s="96"/>
      <c r="G48" s="96"/>
      <c r="H48" s="96"/>
      <c r="I48" s="96"/>
      <c r="J48" s="97"/>
      <c r="K48" s="245"/>
      <c r="L48" s="246"/>
    </row>
    <row r="49" spans="2:12" ht="24.75" customHeight="1" x14ac:dyDescent="0.25">
      <c r="B49" s="256"/>
      <c r="C49" s="28">
        <f>+'DATOS INICIALES'!D23</f>
        <v>72103300</v>
      </c>
      <c r="D49" s="96" t="s">
        <v>79</v>
      </c>
      <c r="E49" s="96"/>
      <c r="F49" s="96"/>
      <c r="G49" s="96"/>
      <c r="H49" s="96"/>
      <c r="I49" s="96"/>
      <c r="J49" s="97"/>
      <c r="K49" s="245"/>
      <c r="L49" s="246"/>
    </row>
    <row r="50" spans="2:12" ht="24.75" customHeight="1" x14ac:dyDescent="0.25">
      <c r="B50" s="256"/>
      <c r="C50" s="28">
        <f>+'DATOS INICIALES'!D24</f>
        <v>72141100</v>
      </c>
      <c r="D50" s="96" t="s">
        <v>79</v>
      </c>
      <c r="E50" s="96"/>
      <c r="F50" s="96"/>
      <c r="G50" s="96"/>
      <c r="H50" s="96"/>
      <c r="I50" s="96"/>
      <c r="J50" s="97"/>
      <c r="K50" s="245"/>
      <c r="L50" s="246"/>
    </row>
    <row r="51" spans="2:12" ht="24.75" customHeight="1" x14ac:dyDescent="0.25">
      <c r="B51" s="256"/>
      <c r="C51" s="28">
        <f>+'DATOS INICIALES'!D25</f>
        <v>72141500</v>
      </c>
      <c r="D51" s="96" t="s">
        <v>77</v>
      </c>
      <c r="E51" s="96"/>
      <c r="F51" s="96"/>
      <c r="G51" s="96"/>
      <c r="H51" s="96"/>
      <c r="I51" s="96"/>
      <c r="J51" s="97"/>
      <c r="K51" s="245"/>
      <c r="L51" s="246"/>
    </row>
    <row r="52" spans="2:12" ht="24.75" customHeight="1" x14ac:dyDescent="0.25">
      <c r="B52" s="256"/>
      <c r="C52" s="28">
        <f>+'DATOS INICIALES'!D26</f>
        <v>72153900</v>
      </c>
      <c r="D52" s="96" t="s">
        <v>77</v>
      </c>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c r="F55" s="90"/>
      <c r="G55" s="90"/>
      <c r="H55" s="90"/>
      <c r="I55" s="90"/>
      <c r="J55" s="90"/>
      <c r="K55" s="288"/>
      <c r="L55" s="289"/>
    </row>
    <row r="56" spans="2:12" ht="353.25" customHeight="1" x14ac:dyDescent="0.25">
      <c r="B56" s="258" t="s">
        <v>209</v>
      </c>
      <c r="C56" s="259"/>
      <c r="D56" s="90" t="s">
        <v>14</v>
      </c>
      <c r="E56" s="90"/>
      <c r="F56" s="90"/>
      <c r="G56" s="90"/>
      <c r="H56" s="90"/>
      <c r="I56" s="90"/>
      <c r="J56" s="90"/>
      <c r="K56" s="288"/>
      <c r="L56" s="289"/>
    </row>
    <row r="57" spans="2:12" ht="99" customHeight="1" x14ac:dyDescent="0.25">
      <c r="B57" s="252" t="s">
        <v>211</v>
      </c>
      <c r="C57" s="253"/>
      <c r="D57" s="90" t="s">
        <v>14</v>
      </c>
      <c r="E57" s="90"/>
      <c r="F57" s="90"/>
      <c r="G57" s="90"/>
      <c r="H57" s="90"/>
      <c r="I57" s="90"/>
      <c r="J57" s="90"/>
      <c r="K57" s="288"/>
      <c r="L57" s="289"/>
    </row>
    <row r="58" spans="2:12" ht="92.25" customHeight="1" x14ac:dyDescent="0.25">
      <c r="B58" s="252" t="s">
        <v>207</v>
      </c>
      <c r="C58" s="253"/>
      <c r="D58" s="90" t="s">
        <v>14</v>
      </c>
      <c r="E58" s="90"/>
      <c r="F58" s="90"/>
      <c r="G58" s="90"/>
      <c r="H58" s="90"/>
      <c r="I58" s="90"/>
      <c r="J58" s="90"/>
      <c r="K58" s="288"/>
      <c r="L58" s="289"/>
    </row>
    <row r="59" spans="2:12" ht="291.75" customHeight="1" x14ac:dyDescent="0.25">
      <c r="B59" s="252" t="s">
        <v>208</v>
      </c>
      <c r="C59" s="253"/>
      <c r="D59" s="90" t="s">
        <v>14</v>
      </c>
      <c r="E59" s="90"/>
      <c r="F59" s="90"/>
      <c r="G59" s="90"/>
      <c r="H59" s="90"/>
      <c r="I59" s="90"/>
      <c r="J59" s="90"/>
      <c r="K59" s="288"/>
      <c r="L59" s="289"/>
    </row>
    <row r="60" spans="2:12" ht="336" customHeight="1" x14ac:dyDescent="0.25">
      <c r="B60" s="180" t="s">
        <v>213</v>
      </c>
      <c r="C60" s="180"/>
      <c r="D60" s="90" t="s">
        <v>14</v>
      </c>
      <c r="E60" s="90"/>
      <c r="F60" s="90"/>
      <c r="G60" s="90"/>
      <c r="H60" s="90"/>
      <c r="I60" s="90"/>
      <c r="J60" s="90"/>
      <c r="K60" s="288"/>
      <c r="L60" s="289"/>
    </row>
    <row r="61" spans="2:12" ht="129.75" customHeight="1" x14ac:dyDescent="0.25">
      <c r="B61" s="233" t="s">
        <v>168</v>
      </c>
      <c r="C61" s="234"/>
      <c r="D61" s="90" t="s">
        <v>14</v>
      </c>
      <c r="E61" s="90"/>
      <c r="F61" s="90"/>
      <c r="G61" s="90"/>
      <c r="H61" s="90"/>
      <c r="I61" s="90"/>
      <c r="J61" s="90"/>
      <c r="K61" s="288"/>
      <c r="L61" s="289"/>
    </row>
    <row r="62" spans="2:12" ht="408.75" customHeight="1" x14ac:dyDescent="0.25">
      <c r="B62" s="254" t="s">
        <v>170</v>
      </c>
      <c r="C62" s="254"/>
      <c r="D62" s="90" t="s">
        <v>14</v>
      </c>
      <c r="E62" s="90"/>
      <c r="F62" s="90"/>
      <c r="G62" s="90"/>
      <c r="H62" s="90"/>
      <c r="I62" s="90"/>
      <c r="J62" s="90"/>
      <c r="K62" s="288"/>
      <c r="L62" s="289"/>
    </row>
    <row r="63" spans="2:12" ht="234.75" customHeight="1" x14ac:dyDescent="0.25">
      <c r="B63" s="180" t="s">
        <v>212</v>
      </c>
      <c r="C63" s="180"/>
      <c r="D63" s="90" t="s">
        <v>14</v>
      </c>
      <c r="E63" s="90"/>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646" priority="13">
      <formula>LEN(TRIM(D25))=0</formula>
    </cfRule>
    <cfRule type="notContainsErrors" dxfId="645" priority="14">
      <formula>NOT(ISERROR(D25))</formula>
    </cfRule>
  </conditionalFormatting>
  <conditionalFormatting sqref="D34:J34 D24:K24 D37:J37 D40:J40 D43:J43 D46:J53 D55:J63 K64:L64 D65:K65">
    <cfRule type="containsBlanks" dxfId="644" priority="15">
      <formula>LEN(TRIM(D24))=0</formula>
    </cfRule>
  </conditionalFormatting>
  <conditionalFormatting sqref="D46:J53">
    <cfRule type="cellIs" dxfId="643" priority="11" operator="equal">
      <formula>"NO CUMPLE"</formula>
    </cfRule>
    <cfRule type="cellIs" dxfId="642" priority="12" operator="equal">
      <formula>"CUMPLE"</formula>
    </cfRule>
  </conditionalFormatting>
  <conditionalFormatting sqref="D54:J54">
    <cfRule type="cellIs" dxfId="641" priority="27" operator="equal">
      <formula>"""CUMPLE"""</formula>
    </cfRule>
    <cfRule type="cellIs" dxfId="640" priority="26" operator="equal">
      <formula>"NO CUMPLE"</formula>
    </cfRule>
    <cfRule type="cellIs" dxfId="639" priority="25" operator="equal">
      <formula>"CUMPLE"</formula>
    </cfRule>
    <cfRule type="cellIs" dxfId="638" priority="21" operator="equal">
      <formula>"N/A"</formula>
    </cfRule>
  </conditionalFormatting>
  <conditionalFormatting sqref="D55:J63">
    <cfRule type="cellIs" dxfId="637" priority="3" operator="equal">
      <formula>"NO CUMPLE"</formula>
    </cfRule>
    <cfRule type="cellIs" dxfId="636" priority="4" operator="equal">
      <formula>"CUMPLE"</formula>
    </cfRule>
  </conditionalFormatting>
  <conditionalFormatting sqref="D64:J64">
    <cfRule type="cellIs" dxfId="635" priority="19" operator="equal">
      <formula>"NO CUMPLE"</formula>
    </cfRule>
    <cfRule type="cellIs" dxfId="634" priority="20" operator="equal">
      <formula>"""CUMPLE"""</formula>
    </cfRule>
    <cfRule type="cellIs" dxfId="633" priority="17" operator="equal">
      <formula>"N/A"</formula>
    </cfRule>
    <cfRule type="cellIs" dxfId="632" priority="18" operator="equal">
      <formula>"CUMPLE"</formula>
    </cfRule>
  </conditionalFormatting>
  <conditionalFormatting sqref="D65:J65">
    <cfRule type="cellIs" dxfId="631" priority="9" operator="equal">
      <formula>"NO CUMPLE"</formula>
    </cfRule>
    <cfRule type="cellIs" dxfId="630" priority="10" operator="equal">
      <formula>"CUMPLE"</formula>
    </cfRule>
  </conditionalFormatting>
  <conditionalFormatting sqref="D24:K24 D34:J34 D37:J37 D40:J40 D43:J43 D46:J53 D55:J63 K64:L64 D65:K65">
    <cfRule type="notContainsErrors" dxfId="629" priority="16">
      <formula>NOT(ISERROR(D24))</formula>
    </cfRule>
  </conditionalFormatting>
  <conditionalFormatting sqref="F20:H20">
    <cfRule type="cellIs" dxfId="628" priority="31" operator="equal">
      <formula>"CUMPLE"</formula>
    </cfRule>
    <cfRule type="cellIs" dxfId="627" priority="32" operator="equal">
      <formula>"NO CUMPLE"</formula>
    </cfRule>
    <cfRule type="cellIs" dxfId="626" priority="33" operator="equal">
      <formula>"""CUMPLE"""</formula>
    </cfRule>
  </conditionalFormatting>
  <conditionalFormatting sqref="I11">
    <cfRule type="containsText" dxfId="625" priority="37" operator="containsText" text="NO CUMPLE">
      <formula>NOT(ISERROR(SEARCH("NO CUMPLE",I11)))</formula>
    </cfRule>
    <cfRule type="containsText" dxfId="624" priority="34" operator="containsText" text="INHABILITADO">
      <formula>NOT(ISERROR(SEARCH("INHABILITADO",I11)))</formula>
    </cfRule>
    <cfRule type="containsText" dxfId="623" priority="35" operator="containsText" text="HABILITADO">
      <formula>NOT(ISERROR(SEARCH("HABILITADO",I11)))</formula>
    </cfRule>
    <cfRule type="containsText" dxfId="622" priority="36" operator="containsText" text="HABILITADO">
      <formula>NOT(ISERROR(SEARCH("HABILITADO",I11)))</formula>
    </cfRule>
  </conditionalFormatting>
  <conditionalFormatting sqref="J20">
    <cfRule type="cellIs" dxfId="621" priority="8" operator="equal">
      <formula>"SI"</formula>
    </cfRule>
    <cfRule type="cellIs" dxfId="620" priority="7" operator="equal">
      <formula>"NO"</formula>
    </cfRule>
  </conditionalFormatting>
  <conditionalFormatting sqref="K19">
    <cfRule type="cellIs" dxfId="619" priority="22" operator="equal">
      <formula>"CUMPLE"</formula>
    </cfRule>
    <cfRule type="cellIs" dxfId="618" priority="23" operator="equal">
      <formula>"NO CUMPLE"</formula>
    </cfRule>
    <cfRule type="cellIs" dxfId="617" priority="24" operator="equal">
      <formula>"""CUMPLE"""</formula>
    </cfRule>
  </conditionalFormatting>
  <conditionalFormatting sqref="K25:K63">
    <cfRule type="notContainsErrors" dxfId="616" priority="2">
      <formula>NOT(ISERROR(K25))</formula>
    </cfRule>
    <cfRule type="containsBlanks" dxfId="615" priority="1">
      <formula>LEN(TRIM(K25))=0</formula>
    </cfRule>
  </conditionalFormatting>
  <conditionalFormatting sqref="L15">
    <cfRule type="cellIs" dxfId="614" priority="28" operator="equal">
      <formula>"CUMPLE"</formula>
    </cfRule>
    <cfRule type="cellIs" dxfId="613" priority="29" operator="equal">
      <formula>"NO CUMPLE"</formula>
    </cfRule>
    <cfRule type="cellIs" dxfId="612" priority="30" operator="equal">
      <formula>"""CUMPLE"""</formula>
    </cfRule>
  </conditionalFormatting>
  <conditionalFormatting sqref="L20">
    <cfRule type="cellIs" dxfId="611" priority="5" operator="equal">
      <formula>"NO"</formula>
    </cfRule>
    <cfRule type="cellIs" dxfId="610" priority="6" operator="equal">
      <formula>"SI"</formula>
    </cfRule>
  </conditionalFormatting>
  <dataValidations count="3">
    <dataValidation type="list" allowBlank="1" showInputMessage="1" showErrorMessage="1" sqref="D65:I65" xr:uid="{00000000-0002-0000-1400-000000000000}">
      <formula1>"CUMPLE,NO CUMPLE"</formula1>
    </dataValidation>
    <dataValidation type="list" allowBlank="1" showInputMessage="1" showErrorMessage="1" sqref="D24:J26" xr:uid="{00000000-0002-0000-1400-000001000000}">
      <formula1>$C$15:$C$19</formula1>
    </dataValidation>
    <dataValidation type="list" allowBlank="1" showInputMessage="1" showErrorMessage="1" sqref="L57:L64" xr:uid="{00000000-0002-0000-14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400-000003000000}">
          <x14:formula1>
            <xm:f>'DATOS INICIALES'!$A$13:$A$43</xm:f>
          </x14:formula1>
          <xm:sqref>D31:I31</xm:sqref>
        </x14:dataValidation>
        <x14:dataValidation type="list" allowBlank="1" showInputMessage="1" showErrorMessage="1" xr:uid="{00000000-0002-0000-1400-000004000000}">
          <x14:formula1>
            <xm:f>'DATOS INICIALES'!$D$21:$D$25</xm:f>
          </x14:formula1>
          <xm:sqref>M47:M54</xm:sqref>
        </x14:dataValidation>
        <x14:dataValidation type="list" allowBlank="1" showInputMessage="1" showErrorMessage="1" xr:uid="{00000000-0002-0000-1400-000005000000}">
          <x14:formula1>
            <xm:f>'DATOS INICIALES'!$A$54:$A$59</xm:f>
          </x14:formula1>
          <xm:sqref>D23:I23</xm:sqref>
        </x14:dataValidation>
        <x14:dataValidation type="list" allowBlank="1" showInputMessage="1" showErrorMessage="1" xr:uid="{00000000-0002-0000-1400-000006000000}">
          <x14:formula1>
            <xm:f>'DATOS INICIALES'!$A$50:$A$52</xm:f>
          </x14:formula1>
          <xm:sqref>D55:I57 D46:J46 J55:J56 D58:J63</xm:sqref>
        </x14:dataValidation>
        <x14:dataValidation type="list" allowBlank="1" showInputMessage="1" showErrorMessage="1" xr:uid="{00000000-0002-0000-1400-000007000000}">
          <x14:formula1>
            <xm:f>'DATOS INICIALES'!$C$45:$C$46</xm:f>
          </x14:formula1>
          <xm:sqref>D47:I53 J47:J52</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65"/>
  <sheetViews>
    <sheetView view="pageBreakPreview" zoomScale="40" zoomScaleNormal="55" zoomScaleSheetLayoutView="40" workbookViewId="0">
      <pane ySplit="11" topLeftCell="A58" activePane="bottomLeft" state="frozenSplit"/>
      <selection activeCell="D65" sqref="D65"/>
      <selection pane="bottomLeft" activeCell="K59" sqref="K59:L59"/>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18</v>
      </c>
      <c r="B11" s="2" t="s">
        <v>24</v>
      </c>
      <c r="C11" s="287" t="str">
        <f>VLOOKUP(A11,PROPONENTES!$A$10:$B$42,2,FALSE)</f>
        <v>CONSORCIO MAB KENN PARQUES</v>
      </c>
      <c r="D11" s="287"/>
      <c r="E11" s="287"/>
      <c r="F11" s="287"/>
      <c r="G11" s="287"/>
      <c r="H11" s="146" t="s">
        <v>172</v>
      </c>
      <c r="I11" s="280" t="str">
        <f>IF(AND(F20="CUMPLE",G20="CUMPLE",H20="CUMPLE",L15="CUMPLE",K19="CUMPLE"),"CUMPLE","NO CUMPLE")</f>
        <v>NO 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EDILBERTO MATEUS ALVAREZ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775.19320000000005</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290">
        <f>COUNTIF(D64:I64,"CUMPLE")</f>
        <v>1</v>
      </c>
      <c r="J15" s="235">
        <f>IF(AND(I15&gt;=1,I15&lt;=2),L8,IF(AND(I15&gt;=3,I15&lt;=4),L9,IF(AND(I15&gt;=5,I15&lt;=7),L10)))</f>
        <v>1645.1285451923077</v>
      </c>
      <c r="K15" s="235">
        <f>+E20</f>
        <v>775.19320000000005</v>
      </c>
      <c r="L15" s="236" t="str">
        <f>IF(K15&gt;=J15,"CUMPLE","NO CUMPLE")</f>
        <v>NO CUMPLE</v>
      </c>
    </row>
    <row r="16" spans="1:12" ht="33.75" customHeight="1" x14ac:dyDescent="0.25">
      <c r="B16" s="244"/>
      <c r="C16" s="100" t="str">
        <f>IF(VLOOKUP(C11,PROPONENTES!B10:N111,4,FALSE)=0,"",VLOOKUP(C11,PROPONENTES!B10:N111,4,FALSE))</f>
        <v>GRUPO MABRIL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0</v>
      </c>
      <c r="J19" s="152">
        <f>70%*C10</f>
        <v>1535.4533088461537</v>
      </c>
      <c r="K19" s="236" t="str">
        <f>IF(I19&gt;=J19,"CUMPLE","NO CUMPLE")</f>
        <v>NO CUMPLE</v>
      </c>
      <c r="L19" s="236"/>
    </row>
    <row r="20" spans="2:14" ht="84.75" customHeight="1" x14ac:dyDescent="0.25">
      <c r="B20" s="30" t="s">
        <v>63</v>
      </c>
      <c r="C20" s="24">
        <f>+VLOOKUP(C11,PROPONENTES!B10:N111,12,FALSE)</f>
        <v>2</v>
      </c>
      <c r="D20" s="101">
        <f>+VLOOKUP(C11,PROPONENTES!B10:N111,13,FALSE)</f>
        <v>1</v>
      </c>
      <c r="E20" s="36">
        <f>SUM(E15:E19)</f>
        <v>775.19320000000005</v>
      </c>
      <c r="F20" s="15" t="str">
        <f>IF(F15="SI","CUMPLE",IF(F16="SI","CUMPLE",IF(F17="SI","CUMPLE",IF(F18="SI","CUMPLE",IF(F19="SI","CUMPLE","NO CUMPLE")))))</f>
        <v>NO 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NO 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257</v>
      </c>
      <c r="E24" s="90" t="s">
        <v>258</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489</v>
      </c>
      <c r="E27" s="91" t="s">
        <v>490</v>
      </c>
      <c r="F27" s="91"/>
      <c r="G27" s="91"/>
      <c r="H27" s="91"/>
      <c r="I27" s="91"/>
      <c r="J27" s="91"/>
      <c r="K27" s="245"/>
      <c r="L27" s="246"/>
    </row>
    <row r="28" spans="2:14" ht="156.75" customHeight="1" x14ac:dyDescent="0.25">
      <c r="B28" s="250"/>
      <c r="C28" s="25" t="s">
        <v>38</v>
      </c>
      <c r="D28" s="91" t="s">
        <v>491</v>
      </c>
      <c r="E28" s="91" t="s">
        <v>492</v>
      </c>
      <c r="F28" s="91"/>
      <c r="G28" s="91"/>
      <c r="H28" s="91"/>
      <c r="I28" s="91"/>
      <c r="J28" s="91"/>
      <c r="K28" s="245"/>
      <c r="L28" s="246"/>
    </row>
    <row r="29" spans="2:14" ht="52.5" customHeight="1" x14ac:dyDescent="0.25">
      <c r="B29" s="250"/>
      <c r="C29" s="25" t="s">
        <v>169</v>
      </c>
      <c r="D29" s="95">
        <v>39877</v>
      </c>
      <c r="E29" s="95">
        <v>44865</v>
      </c>
      <c r="F29" s="95"/>
      <c r="G29" s="95"/>
      <c r="H29" s="95"/>
      <c r="I29" s="95"/>
      <c r="J29" s="95"/>
      <c r="K29" s="245"/>
      <c r="L29" s="246"/>
    </row>
    <row r="30" spans="2:14" ht="54.75" customHeight="1" x14ac:dyDescent="0.25">
      <c r="B30" s="250"/>
      <c r="C30" s="25" t="s">
        <v>42</v>
      </c>
      <c r="D30" s="95">
        <v>40091</v>
      </c>
      <c r="E30" s="95">
        <v>45046</v>
      </c>
      <c r="F30" s="95"/>
      <c r="G30" s="95"/>
      <c r="H30" s="95"/>
      <c r="I30" s="95"/>
      <c r="J30" s="95"/>
      <c r="K30" s="245"/>
      <c r="L30" s="246"/>
    </row>
    <row r="31" spans="2:14" ht="41.25" customHeight="1" x14ac:dyDescent="0.25">
      <c r="B31" s="250"/>
      <c r="C31" s="25" t="s">
        <v>39</v>
      </c>
      <c r="D31" s="92">
        <v>2009</v>
      </c>
      <c r="E31" s="92">
        <v>2023</v>
      </c>
      <c r="F31" s="92"/>
      <c r="G31" s="92"/>
      <c r="H31" s="92"/>
      <c r="I31" s="92"/>
      <c r="J31" s="92"/>
      <c r="K31" s="245"/>
      <c r="L31" s="246"/>
    </row>
    <row r="32" spans="2:14" ht="63" customHeight="1" x14ac:dyDescent="0.25">
      <c r="B32" s="250"/>
      <c r="C32" s="25" t="s">
        <v>40</v>
      </c>
      <c r="D32" s="91" t="s">
        <v>308</v>
      </c>
      <c r="E32" s="91" t="s">
        <v>493</v>
      </c>
      <c r="F32" s="91"/>
      <c r="G32" s="91"/>
      <c r="H32" s="91"/>
      <c r="I32" s="91"/>
      <c r="J32" s="91"/>
      <c r="K32" s="245"/>
      <c r="L32" s="246"/>
    </row>
    <row r="33" spans="2:12" ht="46.5" customHeight="1" x14ac:dyDescent="0.25">
      <c r="B33" s="250"/>
      <c r="C33" s="25" t="s">
        <v>41</v>
      </c>
      <c r="D33" s="91" t="s">
        <v>494</v>
      </c>
      <c r="E33" s="91" t="s">
        <v>495</v>
      </c>
      <c r="F33" s="91"/>
      <c r="G33" s="91"/>
      <c r="H33" s="91"/>
      <c r="I33" s="91"/>
      <c r="J33" s="91"/>
      <c r="K33" s="245"/>
      <c r="L33" s="246"/>
    </row>
    <row r="34" spans="2:12" ht="27.75" customHeight="1" x14ac:dyDescent="0.25">
      <c r="B34" s="250"/>
      <c r="C34" s="27" t="s">
        <v>35</v>
      </c>
      <c r="D34" s="96">
        <v>34</v>
      </c>
      <c r="E34" s="96">
        <v>19</v>
      </c>
      <c r="F34" s="96"/>
      <c r="G34" s="97"/>
      <c r="H34" s="97"/>
      <c r="I34" s="97"/>
      <c r="J34" s="97"/>
      <c r="K34" s="245"/>
      <c r="L34" s="246"/>
    </row>
    <row r="35" spans="2:12" ht="102.75" customHeight="1" x14ac:dyDescent="0.25">
      <c r="B35" s="250"/>
      <c r="C35" s="25" t="s">
        <v>137</v>
      </c>
      <c r="D35" s="93">
        <v>2279.98</v>
      </c>
      <c r="E35" s="93">
        <v>4477.7700000000004</v>
      </c>
      <c r="F35" s="93"/>
      <c r="G35" s="93"/>
      <c r="H35" s="93"/>
      <c r="I35" s="93"/>
      <c r="J35" s="93"/>
      <c r="K35" s="245"/>
      <c r="L35" s="246"/>
    </row>
    <row r="36" spans="2:12" ht="48" customHeight="1" x14ac:dyDescent="0.25">
      <c r="B36" s="250"/>
      <c r="C36" s="25" t="s">
        <v>76</v>
      </c>
      <c r="D36" s="105">
        <f>IFERROR(D35*VLOOKUP(D31,'DATOS INICIALES'!$A$12:$B$43,2,0),"0")</f>
        <v>1132922062</v>
      </c>
      <c r="E36" s="105">
        <f>IFERROR(E35*VLOOKUP(E31,'DATOS INICIALES'!$A$12:$B$43,2,0),"0")</f>
        <v>5194213200.000001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0.34</v>
      </c>
      <c r="E37" s="94">
        <v>0.4</v>
      </c>
      <c r="F37" s="94"/>
      <c r="G37" s="94"/>
      <c r="H37" s="94"/>
      <c r="I37" s="94"/>
      <c r="J37" s="94"/>
      <c r="K37" s="245"/>
      <c r="L37" s="246"/>
    </row>
    <row r="38" spans="2:12" ht="48.75" customHeight="1" x14ac:dyDescent="0.25">
      <c r="B38" s="250"/>
      <c r="C38" s="25" t="s">
        <v>144</v>
      </c>
      <c r="D38" s="105">
        <f t="shared" ref="D38:J38" si="3">IF(D24="","0",D37*D36)</f>
        <v>385193501.08000004</v>
      </c>
      <c r="E38" s="105">
        <f t="shared" si="3"/>
        <v>2077685280.0000005</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775.19320000000005</v>
      </c>
      <c r="E39" s="106">
        <f t="shared" si="4"/>
        <v>1791.1080000000002</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77</v>
      </c>
      <c r="E48" s="96" t="s">
        <v>77</v>
      </c>
      <c r="F48" s="96"/>
      <c r="G48" s="96"/>
      <c r="H48" s="96"/>
      <c r="I48" s="96"/>
      <c r="J48" s="97"/>
      <c r="K48" s="245"/>
      <c r="L48" s="246"/>
    </row>
    <row r="49" spans="2:12" ht="24.75" customHeight="1" x14ac:dyDescent="0.25">
      <c r="B49" s="256"/>
      <c r="C49" s="28">
        <f>+'DATOS INICIALES'!D23</f>
        <v>72103300</v>
      </c>
      <c r="D49" s="96" t="s">
        <v>77</v>
      </c>
      <c r="E49" s="96" t="s">
        <v>77</v>
      </c>
      <c r="F49" s="96"/>
      <c r="G49" s="96"/>
      <c r="H49" s="96"/>
      <c r="I49" s="96"/>
      <c r="J49" s="97"/>
      <c r="K49" s="245"/>
      <c r="L49" s="246"/>
    </row>
    <row r="50" spans="2:12" ht="24.75" customHeight="1" x14ac:dyDescent="0.25">
      <c r="B50" s="256"/>
      <c r="C50" s="28">
        <f>+'DATOS INICIALES'!D24</f>
        <v>72141100</v>
      </c>
      <c r="D50" s="96" t="s">
        <v>77</v>
      </c>
      <c r="E50" s="96" t="s">
        <v>77</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77</v>
      </c>
      <c r="E52" s="96" t="s">
        <v>77</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15</v>
      </c>
      <c r="F59" s="90"/>
      <c r="G59" s="90"/>
      <c r="H59" s="90"/>
      <c r="I59" s="90"/>
      <c r="J59" s="90"/>
      <c r="K59" s="288" t="s">
        <v>583</v>
      </c>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NO 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609" priority="13">
      <formula>LEN(TRIM(D25))=0</formula>
    </cfRule>
    <cfRule type="notContainsErrors" dxfId="608" priority="14">
      <formula>NOT(ISERROR(D25))</formula>
    </cfRule>
  </conditionalFormatting>
  <conditionalFormatting sqref="D34:J34 D24:K24 D37:J37 D40:J40 D43:J43 D46:J53 D55:J63 K64:L64 D65:K65">
    <cfRule type="containsBlanks" dxfId="607" priority="15">
      <formula>LEN(TRIM(D24))=0</formula>
    </cfRule>
  </conditionalFormatting>
  <conditionalFormatting sqref="D46:J53">
    <cfRule type="cellIs" dxfId="606" priority="11" operator="equal">
      <formula>"NO CUMPLE"</formula>
    </cfRule>
    <cfRule type="cellIs" dxfId="605" priority="12" operator="equal">
      <formula>"CUMPLE"</formula>
    </cfRule>
  </conditionalFormatting>
  <conditionalFormatting sqref="D54:J54">
    <cfRule type="cellIs" dxfId="604" priority="27" operator="equal">
      <formula>"""CUMPLE"""</formula>
    </cfRule>
    <cfRule type="cellIs" dxfId="603" priority="26" operator="equal">
      <formula>"NO CUMPLE"</formula>
    </cfRule>
    <cfRule type="cellIs" dxfId="602" priority="25" operator="equal">
      <formula>"CUMPLE"</formula>
    </cfRule>
    <cfRule type="cellIs" dxfId="601" priority="21" operator="equal">
      <formula>"N/A"</formula>
    </cfRule>
  </conditionalFormatting>
  <conditionalFormatting sqref="D55:J63">
    <cfRule type="cellIs" dxfId="600" priority="3" operator="equal">
      <formula>"NO CUMPLE"</formula>
    </cfRule>
    <cfRule type="cellIs" dxfId="599" priority="4" operator="equal">
      <formula>"CUMPLE"</formula>
    </cfRule>
  </conditionalFormatting>
  <conditionalFormatting sqref="D64:J64">
    <cfRule type="cellIs" dxfId="598" priority="19" operator="equal">
      <formula>"NO CUMPLE"</formula>
    </cfRule>
    <cfRule type="cellIs" dxfId="597" priority="20" operator="equal">
      <formula>"""CUMPLE"""</formula>
    </cfRule>
    <cfRule type="cellIs" dxfId="596" priority="17" operator="equal">
      <formula>"N/A"</formula>
    </cfRule>
    <cfRule type="cellIs" dxfId="595" priority="18" operator="equal">
      <formula>"CUMPLE"</formula>
    </cfRule>
  </conditionalFormatting>
  <conditionalFormatting sqref="D65:J65">
    <cfRule type="cellIs" dxfId="594" priority="9" operator="equal">
      <formula>"NO CUMPLE"</formula>
    </cfRule>
    <cfRule type="cellIs" dxfId="593" priority="10" operator="equal">
      <formula>"CUMPLE"</formula>
    </cfRule>
  </conditionalFormatting>
  <conditionalFormatting sqref="D24:K24 D34:J34 D37:J37 D40:J40 D43:J43 D46:J53 D55:J63 K64:L64 D65:K65">
    <cfRule type="notContainsErrors" dxfId="592" priority="16">
      <formula>NOT(ISERROR(D24))</formula>
    </cfRule>
  </conditionalFormatting>
  <conditionalFormatting sqref="F20:H20">
    <cfRule type="cellIs" dxfId="591" priority="31" operator="equal">
      <formula>"CUMPLE"</formula>
    </cfRule>
    <cfRule type="cellIs" dxfId="590" priority="32" operator="equal">
      <formula>"NO CUMPLE"</formula>
    </cfRule>
    <cfRule type="cellIs" dxfId="589" priority="33" operator="equal">
      <formula>"""CUMPLE"""</formula>
    </cfRule>
  </conditionalFormatting>
  <conditionalFormatting sqref="I11">
    <cfRule type="containsText" dxfId="588" priority="37" operator="containsText" text="NO CUMPLE">
      <formula>NOT(ISERROR(SEARCH("NO CUMPLE",I11)))</formula>
    </cfRule>
    <cfRule type="containsText" dxfId="587" priority="34" operator="containsText" text="INHABILITADO">
      <formula>NOT(ISERROR(SEARCH("INHABILITADO",I11)))</formula>
    </cfRule>
    <cfRule type="containsText" dxfId="586" priority="35" operator="containsText" text="HABILITADO">
      <formula>NOT(ISERROR(SEARCH("HABILITADO",I11)))</formula>
    </cfRule>
    <cfRule type="containsText" dxfId="585" priority="36" operator="containsText" text="HABILITADO">
      <formula>NOT(ISERROR(SEARCH("HABILITADO",I11)))</formula>
    </cfRule>
  </conditionalFormatting>
  <conditionalFormatting sqref="J20">
    <cfRule type="cellIs" dxfId="584" priority="8" operator="equal">
      <formula>"SI"</formula>
    </cfRule>
    <cfRule type="cellIs" dxfId="583" priority="7" operator="equal">
      <formula>"NO"</formula>
    </cfRule>
  </conditionalFormatting>
  <conditionalFormatting sqref="K19">
    <cfRule type="cellIs" dxfId="582" priority="22" operator="equal">
      <formula>"CUMPLE"</formula>
    </cfRule>
    <cfRule type="cellIs" dxfId="581" priority="23" operator="equal">
      <formula>"NO CUMPLE"</formula>
    </cfRule>
    <cfRule type="cellIs" dxfId="580" priority="24" operator="equal">
      <formula>"""CUMPLE"""</formula>
    </cfRule>
  </conditionalFormatting>
  <conditionalFormatting sqref="K25:K63">
    <cfRule type="notContainsErrors" dxfId="579" priority="2">
      <formula>NOT(ISERROR(K25))</formula>
    </cfRule>
    <cfRule type="containsBlanks" dxfId="578" priority="1">
      <formula>LEN(TRIM(K25))=0</formula>
    </cfRule>
  </conditionalFormatting>
  <conditionalFormatting sqref="L15">
    <cfRule type="cellIs" dxfId="577" priority="28" operator="equal">
      <formula>"CUMPLE"</formula>
    </cfRule>
    <cfRule type="cellIs" dxfId="576" priority="29" operator="equal">
      <formula>"NO CUMPLE"</formula>
    </cfRule>
    <cfRule type="cellIs" dxfId="575" priority="30" operator="equal">
      <formula>"""CUMPLE"""</formula>
    </cfRule>
  </conditionalFormatting>
  <conditionalFormatting sqref="L20">
    <cfRule type="cellIs" dxfId="574" priority="5" operator="equal">
      <formula>"NO"</formula>
    </cfRule>
    <cfRule type="cellIs" dxfId="573" priority="6" operator="equal">
      <formula>"SI"</formula>
    </cfRule>
  </conditionalFormatting>
  <dataValidations count="3">
    <dataValidation type="list" allowBlank="1" showInputMessage="1" showErrorMessage="1" sqref="L57:L64" xr:uid="{00000000-0002-0000-1500-000000000000}">
      <formula1>"0,1,2,3,4,5,6"</formula1>
    </dataValidation>
    <dataValidation type="list" allowBlank="1" showInputMessage="1" showErrorMessage="1" sqref="D24:J26" xr:uid="{00000000-0002-0000-1500-000001000000}">
      <formula1>$C$15:$C$19</formula1>
    </dataValidation>
    <dataValidation type="list" allowBlank="1" showInputMessage="1" showErrorMessage="1" sqref="D65:I65" xr:uid="{00000000-0002-0000-1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500-000003000000}">
          <x14:formula1>
            <xm:f>'DATOS INICIALES'!$C$45:$C$46</xm:f>
          </x14:formula1>
          <xm:sqref>D47:I53 J47:J52</xm:sqref>
        </x14:dataValidation>
        <x14:dataValidation type="list" allowBlank="1" showInputMessage="1" showErrorMessage="1" xr:uid="{00000000-0002-0000-1500-000004000000}">
          <x14:formula1>
            <xm:f>'DATOS INICIALES'!$A$50:$A$52</xm:f>
          </x14:formula1>
          <xm:sqref>D55:I57 D46:J46 J55:J56 D58:J63</xm:sqref>
        </x14:dataValidation>
        <x14:dataValidation type="list" allowBlank="1" showInputMessage="1" showErrorMessage="1" xr:uid="{00000000-0002-0000-1500-000005000000}">
          <x14:formula1>
            <xm:f>'DATOS INICIALES'!$A$54:$A$59</xm:f>
          </x14:formula1>
          <xm:sqref>D23:I23</xm:sqref>
        </x14:dataValidation>
        <x14:dataValidation type="list" allowBlank="1" showInputMessage="1" showErrorMessage="1" xr:uid="{00000000-0002-0000-1500-000006000000}">
          <x14:formula1>
            <xm:f>'DATOS INICIALES'!$D$21:$D$25</xm:f>
          </x14:formula1>
          <xm:sqref>M47:M54</xm:sqref>
        </x14:dataValidation>
        <x14:dataValidation type="list" allowBlank="1" showInputMessage="1" showErrorMessage="1" xr:uid="{00000000-0002-0000-1500-000007000000}">
          <x14:formula1>
            <xm:f>'DATOS INICIALES'!$A$13:$A$43</xm:f>
          </x14:formula1>
          <xm:sqref>D31:I31</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65"/>
  <sheetViews>
    <sheetView view="pageBreakPreview" zoomScale="70" zoomScaleNormal="55" zoomScaleSheetLayoutView="70" workbookViewId="0">
      <pane ySplit="11" topLeftCell="A27"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19</v>
      </c>
      <c r="B11" s="2" t="s">
        <v>24</v>
      </c>
      <c r="C11" s="287" t="str">
        <f>VLOOKUP(A11,PROPONENTES!$A$10:$B$42,2,FALSE)</f>
        <v>PROMCIVILES S.A.S.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PROMCIVILES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40019.574999999997</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40019.574999999997</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40019.574999999997</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40019.574999999997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259</v>
      </c>
      <c r="E24" s="90" t="s">
        <v>259</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496</v>
      </c>
      <c r="E27" s="91" t="s">
        <v>497</v>
      </c>
      <c r="F27" s="91"/>
      <c r="G27" s="91"/>
      <c r="H27" s="91"/>
      <c r="I27" s="91"/>
      <c r="J27" s="91"/>
      <c r="K27" s="245"/>
      <c r="L27" s="246"/>
    </row>
    <row r="28" spans="2:14" ht="156.75" customHeight="1" x14ac:dyDescent="0.25">
      <c r="B28" s="250"/>
      <c r="C28" s="25" t="s">
        <v>38</v>
      </c>
      <c r="D28" s="91" t="s">
        <v>498</v>
      </c>
      <c r="E28" s="91" t="s">
        <v>499</v>
      </c>
      <c r="F28" s="91"/>
      <c r="G28" s="91"/>
      <c r="H28" s="91"/>
      <c r="I28" s="91"/>
      <c r="J28" s="91"/>
      <c r="K28" s="245"/>
      <c r="L28" s="246"/>
    </row>
    <row r="29" spans="2:14" ht="52.5" customHeight="1" x14ac:dyDescent="0.25">
      <c r="B29" s="250"/>
      <c r="C29" s="25" t="s">
        <v>169</v>
      </c>
      <c r="D29" s="95">
        <v>43628</v>
      </c>
      <c r="E29" s="95">
        <v>43845</v>
      </c>
      <c r="F29" s="95"/>
      <c r="G29" s="95"/>
      <c r="H29" s="95"/>
      <c r="I29" s="95"/>
      <c r="J29" s="95"/>
      <c r="K29" s="245"/>
      <c r="L29" s="246"/>
    </row>
    <row r="30" spans="2:14" ht="54.75" customHeight="1" x14ac:dyDescent="0.25">
      <c r="B30" s="250"/>
      <c r="C30" s="25" t="s">
        <v>42</v>
      </c>
      <c r="D30" s="95">
        <v>44052</v>
      </c>
      <c r="E30" s="95">
        <v>44326</v>
      </c>
      <c r="F30" s="95"/>
      <c r="G30" s="95"/>
      <c r="H30" s="95"/>
      <c r="I30" s="95"/>
      <c r="J30" s="95"/>
      <c r="K30" s="245"/>
      <c r="L30" s="246"/>
    </row>
    <row r="31" spans="2:14" ht="41.25" customHeight="1" x14ac:dyDescent="0.25">
      <c r="B31" s="250"/>
      <c r="C31" s="25" t="s">
        <v>39</v>
      </c>
      <c r="D31" s="92">
        <v>2020</v>
      </c>
      <c r="E31" s="92">
        <v>2021</v>
      </c>
      <c r="F31" s="92"/>
      <c r="G31" s="92"/>
      <c r="H31" s="92"/>
      <c r="I31" s="92"/>
      <c r="J31" s="92"/>
      <c r="K31" s="245"/>
      <c r="L31" s="246"/>
    </row>
    <row r="32" spans="2:14" ht="63" customHeight="1" x14ac:dyDescent="0.25">
      <c r="B32" s="250"/>
      <c r="C32" s="25" t="s">
        <v>40</v>
      </c>
      <c r="D32" s="91" t="s">
        <v>500</v>
      </c>
      <c r="E32" s="91" t="s">
        <v>308</v>
      </c>
      <c r="F32" s="91"/>
      <c r="G32" s="91"/>
      <c r="H32" s="91"/>
      <c r="I32" s="91"/>
      <c r="J32" s="91"/>
      <c r="K32" s="245"/>
      <c r="L32" s="246"/>
    </row>
    <row r="33" spans="2:12" ht="46.5" customHeight="1" x14ac:dyDescent="0.25">
      <c r="B33" s="250"/>
      <c r="C33" s="25" t="s">
        <v>41</v>
      </c>
      <c r="D33" s="91" t="s">
        <v>259</v>
      </c>
      <c r="E33" s="91" t="s">
        <v>501</v>
      </c>
      <c r="F33" s="91"/>
      <c r="G33" s="91"/>
      <c r="H33" s="91"/>
      <c r="I33" s="91"/>
      <c r="J33" s="91"/>
      <c r="K33" s="245"/>
      <c r="L33" s="246"/>
    </row>
    <row r="34" spans="2:12" ht="27.75" customHeight="1" x14ac:dyDescent="0.25">
      <c r="B34" s="250"/>
      <c r="C34" s="27" t="s">
        <v>35</v>
      </c>
      <c r="D34" s="96">
        <v>158</v>
      </c>
      <c r="E34" s="96">
        <v>177</v>
      </c>
      <c r="F34" s="96"/>
      <c r="G34" s="97"/>
      <c r="H34" s="97"/>
      <c r="I34" s="97"/>
      <c r="J34" s="97"/>
      <c r="K34" s="245"/>
      <c r="L34" s="246"/>
    </row>
    <row r="35" spans="2:12" ht="102.75" customHeight="1" x14ac:dyDescent="0.25">
      <c r="B35" s="250"/>
      <c r="C35" s="25" t="s">
        <v>137</v>
      </c>
      <c r="D35" s="93">
        <v>32552.66</v>
      </c>
      <c r="E35" s="93">
        <v>14933.83</v>
      </c>
      <c r="F35" s="93"/>
      <c r="G35" s="93"/>
      <c r="H35" s="93"/>
      <c r="I35" s="93"/>
      <c r="J35" s="93"/>
      <c r="K35" s="245"/>
      <c r="L35" s="246"/>
    </row>
    <row r="36" spans="2:12" ht="48" customHeight="1" x14ac:dyDescent="0.25">
      <c r="B36" s="250"/>
      <c r="C36" s="25" t="s">
        <v>76</v>
      </c>
      <c r="D36" s="105">
        <f>IFERROR(D35*VLOOKUP(D31,'DATOS INICIALES'!$A$12:$B$43,2,0),"0")</f>
        <v>28574822605.98</v>
      </c>
      <c r="E36" s="105">
        <f>IFERROR(E35*VLOOKUP(E31,'DATOS INICIALES'!$A$12:$B$43,2,0),"0")</f>
        <v>13567772834.58</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0.5</v>
      </c>
      <c r="F37" s="94"/>
      <c r="G37" s="94"/>
      <c r="H37" s="94"/>
      <c r="I37" s="94"/>
      <c r="J37" s="94"/>
      <c r="K37" s="245"/>
      <c r="L37" s="246"/>
    </row>
    <row r="38" spans="2:12" ht="48.75" customHeight="1" x14ac:dyDescent="0.25">
      <c r="B38" s="250"/>
      <c r="C38" s="25" t="s">
        <v>144</v>
      </c>
      <c r="D38" s="105">
        <f t="shared" ref="D38:J38" si="3">IF(D24="","0",D37*D36)</f>
        <v>28574822605.98</v>
      </c>
      <c r="E38" s="105">
        <f t="shared" si="3"/>
        <v>6783886417.29</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32552.66</v>
      </c>
      <c r="E39" s="106">
        <f t="shared" si="4"/>
        <v>7466.915</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77</v>
      </c>
      <c r="E52" s="96" t="s">
        <v>77</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72" priority="13">
      <formula>LEN(TRIM(D25))=0</formula>
    </cfRule>
    <cfRule type="notContainsErrors" dxfId="571" priority="14">
      <formula>NOT(ISERROR(D25))</formula>
    </cfRule>
  </conditionalFormatting>
  <conditionalFormatting sqref="D34:J34 D24:K24 D37:J37 D40:J40 D43:J43 D46:J53 D55:J63 K64:L64 D65:K65">
    <cfRule type="containsBlanks" dxfId="570" priority="15">
      <formula>LEN(TRIM(D24))=0</formula>
    </cfRule>
  </conditionalFormatting>
  <conditionalFormatting sqref="D46:J53">
    <cfRule type="cellIs" dxfId="569" priority="11" operator="equal">
      <formula>"NO CUMPLE"</formula>
    </cfRule>
    <cfRule type="cellIs" dxfId="568" priority="12" operator="equal">
      <formula>"CUMPLE"</formula>
    </cfRule>
  </conditionalFormatting>
  <conditionalFormatting sqref="D54:J54">
    <cfRule type="cellIs" dxfId="567" priority="27" operator="equal">
      <formula>"""CUMPLE"""</formula>
    </cfRule>
    <cfRule type="cellIs" dxfId="566" priority="26" operator="equal">
      <formula>"NO CUMPLE"</formula>
    </cfRule>
    <cfRule type="cellIs" dxfId="565" priority="25" operator="equal">
      <formula>"CUMPLE"</formula>
    </cfRule>
    <cfRule type="cellIs" dxfId="564" priority="21" operator="equal">
      <formula>"N/A"</formula>
    </cfRule>
  </conditionalFormatting>
  <conditionalFormatting sqref="D55:J63">
    <cfRule type="cellIs" dxfId="563" priority="3" operator="equal">
      <formula>"NO CUMPLE"</formula>
    </cfRule>
    <cfRule type="cellIs" dxfId="562" priority="4" operator="equal">
      <formula>"CUMPLE"</formula>
    </cfRule>
  </conditionalFormatting>
  <conditionalFormatting sqref="D64:J64">
    <cfRule type="cellIs" dxfId="561" priority="19" operator="equal">
      <formula>"NO CUMPLE"</formula>
    </cfRule>
    <cfRule type="cellIs" dxfId="560" priority="20" operator="equal">
      <formula>"""CUMPLE"""</formula>
    </cfRule>
    <cfRule type="cellIs" dxfId="559" priority="17" operator="equal">
      <formula>"N/A"</formula>
    </cfRule>
    <cfRule type="cellIs" dxfId="558" priority="18" operator="equal">
      <formula>"CUMPLE"</formula>
    </cfRule>
  </conditionalFormatting>
  <conditionalFormatting sqref="D65:J65">
    <cfRule type="cellIs" dxfId="557" priority="9" operator="equal">
      <formula>"NO CUMPLE"</formula>
    </cfRule>
    <cfRule type="cellIs" dxfId="556" priority="10" operator="equal">
      <formula>"CUMPLE"</formula>
    </cfRule>
  </conditionalFormatting>
  <conditionalFormatting sqref="D24:K24 D34:J34 D37:J37 D40:J40 D43:J43 D46:J53 D55:J63 K64:L64 D65:K65">
    <cfRule type="notContainsErrors" dxfId="555" priority="16">
      <formula>NOT(ISERROR(D24))</formula>
    </cfRule>
  </conditionalFormatting>
  <conditionalFormatting sqref="F20:H20">
    <cfRule type="cellIs" dxfId="554" priority="31" operator="equal">
      <formula>"CUMPLE"</formula>
    </cfRule>
    <cfRule type="cellIs" dxfId="553" priority="32" operator="equal">
      <formula>"NO CUMPLE"</formula>
    </cfRule>
    <cfRule type="cellIs" dxfId="552" priority="33" operator="equal">
      <formula>"""CUMPLE"""</formula>
    </cfRule>
  </conditionalFormatting>
  <conditionalFormatting sqref="I11">
    <cfRule type="containsText" dxfId="551" priority="37" operator="containsText" text="NO CUMPLE">
      <formula>NOT(ISERROR(SEARCH("NO CUMPLE",I11)))</formula>
    </cfRule>
    <cfRule type="containsText" dxfId="550" priority="34" operator="containsText" text="INHABILITADO">
      <formula>NOT(ISERROR(SEARCH("INHABILITADO",I11)))</formula>
    </cfRule>
    <cfRule type="containsText" dxfId="549" priority="35" operator="containsText" text="HABILITADO">
      <formula>NOT(ISERROR(SEARCH("HABILITADO",I11)))</formula>
    </cfRule>
    <cfRule type="containsText" dxfId="548" priority="36" operator="containsText" text="HABILITADO">
      <formula>NOT(ISERROR(SEARCH("HABILITADO",I11)))</formula>
    </cfRule>
  </conditionalFormatting>
  <conditionalFormatting sqref="J20">
    <cfRule type="cellIs" dxfId="547" priority="8" operator="equal">
      <formula>"SI"</formula>
    </cfRule>
    <cfRule type="cellIs" dxfId="546" priority="7" operator="equal">
      <formula>"NO"</formula>
    </cfRule>
  </conditionalFormatting>
  <conditionalFormatting sqref="K19">
    <cfRule type="cellIs" dxfId="545" priority="22" operator="equal">
      <formula>"CUMPLE"</formula>
    </cfRule>
    <cfRule type="cellIs" dxfId="544" priority="23" operator="equal">
      <formula>"NO CUMPLE"</formula>
    </cfRule>
    <cfRule type="cellIs" dxfId="543" priority="24" operator="equal">
      <formula>"""CUMPLE"""</formula>
    </cfRule>
  </conditionalFormatting>
  <conditionalFormatting sqref="K25:K63">
    <cfRule type="notContainsErrors" dxfId="542" priority="2">
      <formula>NOT(ISERROR(K25))</formula>
    </cfRule>
    <cfRule type="containsBlanks" dxfId="541" priority="1">
      <formula>LEN(TRIM(K25))=0</formula>
    </cfRule>
  </conditionalFormatting>
  <conditionalFormatting sqref="L15">
    <cfRule type="cellIs" dxfId="540" priority="28" operator="equal">
      <formula>"CUMPLE"</formula>
    </cfRule>
    <cfRule type="cellIs" dxfId="539" priority="29" operator="equal">
      <formula>"NO CUMPLE"</formula>
    </cfRule>
    <cfRule type="cellIs" dxfId="538" priority="30" operator="equal">
      <formula>"""CUMPLE"""</formula>
    </cfRule>
  </conditionalFormatting>
  <conditionalFormatting sqref="L20">
    <cfRule type="cellIs" dxfId="537" priority="5" operator="equal">
      <formula>"NO"</formula>
    </cfRule>
    <cfRule type="cellIs" dxfId="536" priority="6" operator="equal">
      <formula>"SI"</formula>
    </cfRule>
  </conditionalFormatting>
  <dataValidations count="3">
    <dataValidation type="list" allowBlank="1" showInputMessage="1" showErrorMessage="1" sqref="D65:I65" xr:uid="{00000000-0002-0000-1600-000000000000}">
      <formula1>"CUMPLE,NO CUMPLE"</formula1>
    </dataValidation>
    <dataValidation type="list" allowBlank="1" showInputMessage="1" showErrorMessage="1" sqref="D24:J26" xr:uid="{00000000-0002-0000-1600-000001000000}">
      <formula1>$C$15:$C$19</formula1>
    </dataValidation>
    <dataValidation type="list" allowBlank="1" showInputMessage="1" showErrorMessage="1" sqref="L57:L64" xr:uid="{00000000-0002-0000-1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600-000003000000}">
          <x14:formula1>
            <xm:f>'DATOS INICIALES'!$A$13:$A$43</xm:f>
          </x14:formula1>
          <xm:sqref>D31:I31</xm:sqref>
        </x14:dataValidation>
        <x14:dataValidation type="list" allowBlank="1" showInputMessage="1" showErrorMessage="1" xr:uid="{00000000-0002-0000-1600-000004000000}">
          <x14:formula1>
            <xm:f>'DATOS INICIALES'!$D$21:$D$25</xm:f>
          </x14:formula1>
          <xm:sqref>M47:M54</xm:sqref>
        </x14:dataValidation>
        <x14:dataValidation type="list" allowBlank="1" showInputMessage="1" showErrorMessage="1" xr:uid="{00000000-0002-0000-1600-000005000000}">
          <x14:formula1>
            <xm:f>'DATOS INICIALES'!$A$54:$A$59</xm:f>
          </x14:formula1>
          <xm:sqref>D23:I23</xm:sqref>
        </x14:dataValidation>
        <x14:dataValidation type="list" allowBlank="1" showInputMessage="1" showErrorMessage="1" xr:uid="{00000000-0002-0000-1600-000006000000}">
          <x14:formula1>
            <xm:f>'DATOS INICIALES'!$A$50:$A$52</xm:f>
          </x14:formula1>
          <xm:sqref>D55:I57 D46:J46 J55:J56 D58:J63</xm:sqref>
        </x14:dataValidation>
        <x14:dataValidation type="list" allowBlank="1" showInputMessage="1" showErrorMessage="1" xr:uid="{00000000-0002-0000-1600-000007000000}">
          <x14:formula1>
            <xm:f>'DATOS INICIALES'!$C$45:$C$46</xm:f>
          </x14:formula1>
          <xm:sqref>D47:I53 J47:J52</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20</v>
      </c>
      <c r="B11" s="2" t="s">
        <v>24</v>
      </c>
      <c r="C11" s="287" t="str">
        <f>VLOOKUP(A11,PROPONENTES!$A$10:$B$42,2,FALSE)</f>
        <v>UNION TEMPORAL PARQUES KENNEDY VE</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VIAL SOLUTIONS S.A.S. </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0">
        <f>COUNTIF(D64:I64,"CUMPLE")</f>
        <v>1</v>
      </c>
      <c r="J15" s="235">
        <f>IF(AND(I15&gt;=1,I15&lt;=2),L8,IF(AND(I15&gt;=3,I15&lt;=4),L9,IF(AND(I15&gt;=5,I15&lt;=7),L10)))</f>
        <v>1645.1285451923077</v>
      </c>
      <c r="K15" s="235">
        <f>+E20</f>
        <v>2226.5594999999998</v>
      </c>
      <c r="L15" s="236" t="str">
        <f>IF(K15&gt;=J15,"CUMPLE","NO CUMPLE")</f>
        <v>CUMPLE</v>
      </c>
    </row>
    <row r="16" spans="1:12" ht="33.75" customHeight="1" x14ac:dyDescent="0.25">
      <c r="B16" s="244"/>
      <c r="C16" s="100" t="str">
        <f>IF(VLOOKUP(C11,PROPONENTES!B10:N111,4,FALSE)=0,"",VLOOKUP(C11,PROPONENTES!B10:N111,4,FALSE))</f>
        <v>EICON SAS</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2226.5594999999998</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2226.5594999999998</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2226.5594999999998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262</v>
      </c>
      <c r="E24" s="90"/>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502</v>
      </c>
      <c r="E27" s="91"/>
      <c r="F27" s="91"/>
      <c r="G27" s="91"/>
      <c r="H27" s="91"/>
      <c r="I27" s="91"/>
      <c r="J27" s="91"/>
      <c r="K27" s="245"/>
      <c r="L27" s="246"/>
    </row>
    <row r="28" spans="2:14" ht="156.75" customHeight="1" x14ac:dyDescent="0.25">
      <c r="B28" s="250"/>
      <c r="C28" s="25" t="s">
        <v>38</v>
      </c>
      <c r="D28" s="91" t="s">
        <v>503</v>
      </c>
      <c r="E28" s="91"/>
      <c r="F28" s="91"/>
      <c r="G28" s="91"/>
      <c r="H28" s="91"/>
      <c r="I28" s="91"/>
      <c r="J28" s="91"/>
      <c r="K28" s="245"/>
      <c r="L28" s="246"/>
    </row>
    <row r="29" spans="2:14" ht="52.5" customHeight="1" x14ac:dyDescent="0.25">
      <c r="B29" s="250"/>
      <c r="C29" s="25" t="s">
        <v>169</v>
      </c>
      <c r="D29" s="95">
        <v>42200</v>
      </c>
      <c r="E29" s="95"/>
      <c r="F29" s="95"/>
      <c r="G29" s="95"/>
      <c r="H29" s="95"/>
      <c r="I29" s="95"/>
      <c r="J29" s="95"/>
      <c r="K29" s="245"/>
      <c r="L29" s="246"/>
    </row>
    <row r="30" spans="2:14" ht="54.75" customHeight="1" x14ac:dyDescent="0.25">
      <c r="B30" s="250"/>
      <c r="C30" s="25" t="s">
        <v>42</v>
      </c>
      <c r="D30" s="95">
        <v>42486</v>
      </c>
      <c r="E30" s="95"/>
      <c r="F30" s="95"/>
      <c r="G30" s="95"/>
      <c r="H30" s="95"/>
      <c r="I30" s="95"/>
      <c r="J30" s="95"/>
      <c r="K30" s="245"/>
      <c r="L30" s="246"/>
    </row>
    <row r="31" spans="2:14" ht="41.25" customHeight="1" x14ac:dyDescent="0.25">
      <c r="B31" s="250"/>
      <c r="C31" s="25" t="s">
        <v>39</v>
      </c>
      <c r="D31" s="92">
        <v>2016</v>
      </c>
      <c r="E31" s="92"/>
      <c r="F31" s="92"/>
      <c r="G31" s="92"/>
      <c r="H31" s="92"/>
      <c r="I31" s="92"/>
      <c r="J31" s="92"/>
      <c r="K31" s="245"/>
      <c r="L31" s="246"/>
    </row>
    <row r="32" spans="2:14" ht="63" customHeight="1" x14ac:dyDescent="0.25">
      <c r="B32" s="250"/>
      <c r="C32" s="25" t="s">
        <v>40</v>
      </c>
      <c r="D32" s="91" t="s">
        <v>504</v>
      </c>
      <c r="E32" s="91"/>
      <c r="F32" s="91"/>
      <c r="G32" s="91"/>
      <c r="H32" s="91"/>
      <c r="I32" s="91"/>
      <c r="J32" s="91"/>
      <c r="K32" s="245"/>
      <c r="L32" s="246"/>
    </row>
    <row r="33" spans="2:12" ht="46.5" customHeight="1" x14ac:dyDescent="0.25">
      <c r="B33" s="250"/>
      <c r="C33" s="25" t="s">
        <v>41</v>
      </c>
      <c r="D33" s="91" t="s">
        <v>505</v>
      </c>
      <c r="E33" s="91"/>
      <c r="F33" s="91"/>
      <c r="G33" s="91"/>
      <c r="H33" s="91"/>
      <c r="I33" s="91"/>
      <c r="J33" s="91"/>
      <c r="K33" s="245"/>
      <c r="L33" s="246"/>
    </row>
    <row r="34" spans="2:12" ht="27.75" customHeight="1" x14ac:dyDescent="0.25">
      <c r="B34" s="250"/>
      <c r="C34" s="27" t="s">
        <v>35</v>
      </c>
      <c r="D34" s="96">
        <v>113</v>
      </c>
      <c r="E34" s="96"/>
      <c r="F34" s="96"/>
      <c r="G34" s="97"/>
      <c r="H34" s="97"/>
      <c r="I34" s="97"/>
      <c r="J34" s="97"/>
      <c r="K34" s="245"/>
      <c r="L34" s="246"/>
    </row>
    <row r="35" spans="2:12" ht="102.75" customHeight="1" x14ac:dyDescent="0.25">
      <c r="B35" s="250"/>
      <c r="C35" s="25" t="s">
        <v>137</v>
      </c>
      <c r="D35" s="93">
        <v>6747.15</v>
      </c>
      <c r="E35" s="93"/>
      <c r="F35" s="93"/>
      <c r="G35" s="93"/>
      <c r="H35" s="93"/>
      <c r="I35" s="93"/>
      <c r="J35" s="93"/>
      <c r="K35" s="245"/>
      <c r="L35" s="246"/>
    </row>
    <row r="36" spans="2:12" ht="48" customHeight="1" x14ac:dyDescent="0.25">
      <c r="B36" s="250"/>
      <c r="C36" s="25" t="s">
        <v>76</v>
      </c>
      <c r="D36" s="105">
        <f>IFERROR(D35*VLOOKUP(D31,'DATOS INICIALES'!$A$12:$B$43,2,0),"0")</f>
        <v>4651856303.25</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0.33</v>
      </c>
      <c r="E37" s="94"/>
      <c r="F37" s="94"/>
      <c r="G37" s="94"/>
      <c r="H37" s="94"/>
      <c r="I37" s="94"/>
      <c r="J37" s="94"/>
      <c r="K37" s="245"/>
      <c r="L37" s="246"/>
    </row>
    <row r="38" spans="2:12" ht="48.75" customHeight="1" x14ac:dyDescent="0.25">
      <c r="B38" s="250"/>
      <c r="C38" s="25" t="s">
        <v>144</v>
      </c>
      <c r="D38" s="105">
        <f t="shared" ref="D38:J38" si="3">IF(D24="","0",D37*D36)</f>
        <v>1535112580.0725</v>
      </c>
      <c r="E38" s="105" t="str">
        <f t="shared" si="3"/>
        <v>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2226.5594999999998</v>
      </c>
      <c r="E39" s="106">
        <f t="shared" si="4"/>
        <v>0</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c r="F46" s="90"/>
      <c r="G46" s="90"/>
      <c r="H46" s="90"/>
      <c r="I46" s="90"/>
      <c r="J46" s="90"/>
      <c r="K46" s="245"/>
      <c r="L46" s="246"/>
    </row>
    <row r="47" spans="2:12" ht="24.75" customHeight="1" x14ac:dyDescent="0.25">
      <c r="B47" s="255" t="s">
        <v>36</v>
      </c>
      <c r="C47" s="28">
        <f>+'DATOS INICIALES'!D21</f>
        <v>72101500</v>
      </c>
      <c r="D47" s="96" t="s">
        <v>79</v>
      </c>
      <c r="E47" s="96"/>
      <c r="F47" s="96"/>
      <c r="G47" s="96"/>
      <c r="H47" s="96"/>
      <c r="I47" s="96"/>
      <c r="J47" s="97"/>
      <c r="K47" s="245"/>
      <c r="L47" s="246"/>
    </row>
    <row r="48" spans="2:12" ht="24.75" customHeight="1" x14ac:dyDescent="0.25">
      <c r="B48" s="256"/>
      <c r="C48" s="28">
        <f>+'DATOS INICIALES'!D22</f>
        <v>72102900</v>
      </c>
      <c r="D48" s="96" t="s">
        <v>79</v>
      </c>
      <c r="E48" s="96"/>
      <c r="F48" s="96"/>
      <c r="G48" s="96"/>
      <c r="H48" s="96"/>
      <c r="I48" s="96"/>
      <c r="J48" s="97"/>
      <c r="K48" s="245"/>
      <c r="L48" s="246"/>
    </row>
    <row r="49" spans="2:12" ht="24.75" customHeight="1" x14ac:dyDescent="0.25">
      <c r="B49" s="256"/>
      <c r="C49" s="28">
        <f>+'DATOS INICIALES'!D23</f>
        <v>72103300</v>
      </c>
      <c r="D49" s="96" t="s">
        <v>79</v>
      </c>
      <c r="E49" s="96"/>
      <c r="F49" s="96"/>
      <c r="G49" s="96"/>
      <c r="H49" s="96"/>
      <c r="I49" s="96"/>
      <c r="J49" s="97"/>
      <c r="K49" s="245"/>
      <c r="L49" s="246"/>
    </row>
    <row r="50" spans="2:12" ht="24.75" customHeight="1" x14ac:dyDescent="0.25">
      <c r="B50" s="256"/>
      <c r="C50" s="28">
        <f>+'DATOS INICIALES'!D24</f>
        <v>72141100</v>
      </c>
      <c r="D50" s="96" t="s">
        <v>79</v>
      </c>
      <c r="E50" s="96"/>
      <c r="F50" s="96"/>
      <c r="G50" s="96"/>
      <c r="H50" s="96"/>
      <c r="I50" s="96"/>
      <c r="J50" s="97"/>
      <c r="K50" s="245"/>
      <c r="L50" s="246"/>
    </row>
    <row r="51" spans="2:12" ht="24.75" customHeight="1" x14ac:dyDescent="0.25">
      <c r="B51" s="256"/>
      <c r="C51" s="28">
        <f>+'DATOS INICIALES'!D25</f>
        <v>72141500</v>
      </c>
      <c r="D51" s="96" t="s">
        <v>79</v>
      </c>
      <c r="E51" s="96"/>
      <c r="F51" s="96"/>
      <c r="G51" s="96"/>
      <c r="H51" s="96"/>
      <c r="I51" s="96"/>
      <c r="J51" s="97"/>
      <c r="K51" s="245"/>
      <c r="L51" s="246"/>
    </row>
    <row r="52" spans="2:12" ht="24.75" customHeight="1" x14ac:dyDescent="0.25">
      <c r="B52" s="256"/>
      <c r="C52" s="28">
        <f>+'DATOS INICIALES'!D26</f>
        <v>72153900</v>
      </c>
      <c r="D52" s="96" t="s">
        <v>79</v>
      </c>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c r="F55" s="90"/>
      <c r="G55" s="90"/>
      <c r="H55" s="90"/>
      <c r="I55" s="90"/>
      <c r="J55" s="90"/>
      <c r="K55" s="288"/>
      <c r="L55" s="289"/>
    </row>
    <row r="56" spans="2:12" ht="353.25" customHeight="1" x14ac:dyDescent="0.25">
      <c r="B56" s="258" t="s">
        <v>209</v>
      </c>
      <c r="C56" s="259"/>
      <c r="D56" s="90" t="s">
        <v>14</v>
      </c>
      <c r="E56" s="90"/>
      <c r="F56" s="90"/>
      <c r="G56" s="90"/>
      <c r="H56" s="90"/>
      <c r="I56" s="90"/>
      <c r="J56" s="90"/>
      <c r="K56" s="288"/>
      <c r="L56" s="289"/>
    </row>
    <row r="57" spans="2:12" ht="99" customHeight="1" x14ac:dyDescent="0.25">
      <c r="B57" s="252" t="s">
        <v>211</v>
      </c>
      <c r="C57" s="253"/>
      <c r="D57" s="90" t="s">
        <v>14</v>
      </c>
      <c r="E57" s="90"/>
      <c r="F57" s="90"/>
      <c r="G57" s="90"/>
      <c r="H57" s="90"/>
      <c r="I57" s="90"/>
      <c r="J57" s="90"/>
      <c r="K57" s="288"/>
      <c r="L57" s="289"/>
    </row>
    <row r="58" spans="2:12" ht="92.25" customHeight="1" x14ac:dyDescent="0.25">
      <c r="B58" s="252" t="s">
        <v>207</v>
      </c>
      <c r="C58" s="253"/>
      <c r="D58" s="90" t="s">
        <v>14</v>
      </c>
      <c r="E58" s="90"/>
      <c r="F58" s="90"/>
      <c r="G58" s="90"/>
      <c r="H58" s="90"/>
      <c r="I58" s="90"/>
      <c r="J58" s="90"/>
      <c r="K58" s="288"/>
      <c r="L58" s="289"/>
    </row>
    <row r="59" spans="2:12" ht="291.75" customHeight="1" x14ac:dyDescent="0.25">
      <c r="B59" s="252" t="s">
        <v>208</v>
      </c>
      <c r="C59" s="253"/>
      <c r="D59" s="90" t="s">
        <v>13</v>
      </c>
      <c r="E59" s="90"/>
      <c r="F59" s="90"/>
      <c r="G59" s="90"/>
      <c r="H59" s="90"/>
      <c r="I59" s="90"/>
      <c r="J59" s="90"/>
      <c r="K59" s="288"/>
      <c r="L59" s="289"/>
    </row>
    <row r="60" spans="2:12" ht="336" customHeight="1" x14ac:dyDescent="0.25">
      <c r="B60" s="180" t="s">
        <v>213</v>
      </c>
      <c r="C60" s="180"/>
      <c r="D60" s="90" t="s">
        <v>14</v>
      </c>
      <c r="E60" s="90"/>
      <c r="F60" s="90"/>
      <c r="G60" s="90"/>
      <c r="H60" s="90"/>
      <c r="I60" s="90"/>
      <c r="J60" s="90"/>
      <c r="K60" s="288"/>
      <c r="L60" s="289"/>
    </row>
    <row r="61" spans="2:12" ht="129.75" customHeight="1" x14ac:dyDescent="0.25">
      <c r="B61" s="233" t="s">
        <v>168</v>
      </c>
      <c r="C61" s="234"/>
      <c r="D61" s="90" t="s">
        <v>13</v>
      </c>
      <c r="E61" s="90"/>
      <c r="F61" s="90"/>
      <c r="G61" s="90"/>
      <c r="H61" s="90"/>
      <c r="I61" s="90"/>
      <c r="J61" s="90"/>
      <c r="K61" s="288"/>
      <c r="L61" s="289"/>
    </row>
    <row r="62" spans="2:12" ht="408.75" customHeight="1" x14ac:dyDescent="0.25">
      <c r="B62" s="254" t="s">
        <v>170</v>
      </c>
      <c r="C62" s="254"/>
      <c r="D62" s="90" t="s">
        <v>13</v>
      </c>
      <c r="E62" s="90"/>
      <c r="F62" s="90"/>
      <c r="G62" s="90"/>
      <c r="H62" s="90"/>
      <c r="I62" s="90"/>
      <c r="J62" s="90"/>
      <c r="K62" s="288"/>
      <c r="L62" s="289"/>
    </row>
    <row r="63" spans="2:12" ht="234.75" customHeight="1" x14ac:dyDescent="0.25">
      <c r="B63" s="180" t="s">
        <v>212</v>
      </c>
      <c r="C63" s="180"/>
      <c r="D63" s="90" t="s">
        <v>14</v>
      </c>
      <c r="E63" s="90"/>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35" priority="13">
      <formula>LEN(TRIM(D25))=0</formula>
    </cfRule>
    <cfRule type="notContainsErrors" dxfId="534" priority="14">
      <formula>NOT(ISERROR(D25))</formula>
    </cfRule>
  </conditionalFormatting>
  <conditionalFormatting sqref="D34:J34 D24:K24 D37:J37 D40:J40 D43:J43 D46:J53 D55:J63 K64:L64 D65:K65">
    <cfRule type="containsBlanks" dxfId="533" priority="15">
      <formula>LEN(TRIM(D24))=0</formula>
    </cfRule>
  </conditionalFormatting>
  <conditionalFormatting sqref="D46:J53">
    <cfRule type="cellIs" dxfId="532" priority="11" operator="equal">
      <formula>"NO CUMPLE"</formula>
    </cfRule>
    <cfRule type="cellIs" dxfId="531" priority="12" operator="equal">
      <formula>"CUMPLE"</formula>
    </cfRule>
  </conditionalFormatting>
  <conditionalFormatting sqref="D54:J54">
    <cfRule type="cellIs" dxfId="530" priority="27" operator="equal">
      <formula>"""CUMPLE"""</formula>
    </cfRule>
    <cfRule type="cellIs" dxfId="529" priority="26" operator="equal">
      <formula>"NO CUMPLE"</formula>
    </cfRule>
    <cfRule type="cellIs" dxfId="528" priority="25" operator="equal">
      <formula>"CUMPLE"</formula>
    </cfRule>
    <cfRule type="cellIs" dxfId="527" priority="21" operator="equal">
      <formula>"N/A"</formula>
    </cfRule>
  </conditionalFormatting>
  <conditionalFormatting sqref="D55:J63">
    <cfRule type="cellIs" dxfId="526" priority="3" operator="equal">
      <formula>"NO CUMPLE"</formula>
    </cfRule>
    <cfRule type="cellIs" dxfId="525" priority="4" operator="equal">
      <formula>"CUMPLE"</formula>
    </cfRule>
  </conditionalFormatting>
  <conditionalFormatting sqref="D64:J64">
    <cfRule type="cellIs" dxfId="524" priority="19" operator="equal">
      <formula>"NO CUMPLE"</formula>
    </cfRule>
    <cfRule type="cellIs" dxfId="523" priority="20" operator="equal">
      <formula>"""CUMPLE"""</formula>
    </cfRule>
    <cfRule type="cellIs" dxfId="522" priority="17" operator="equal">
      <formula>"N/A"</formula>
    </cfRule>
    <cfRule type="cellIs" dxfId="521" priority="18" operator="equal">
      <formula>"CUMPLE"</formula>
    </cfRule>
  </conditionalFormatting>
  <conditionalFormatting sqref="D65:J65">
    <cfRule type="cellIs" dxfId="520" priority="9" operator="equal">
      <formula>"NO CUMPLE"</formula>
    </cfRule>
    <cfRule type="cellIs" dxfId="519" priority="10" operator="equal">
      <formula>"CUMPLE"</formula>
    </cfRule>
  </conditionalFormatting>
  <conditionalFormatting sqref="D24:K24 D34:J34 D37:J37 D40:J40 D43:J43 D46:J53 D55:J63 K64:L64 D65:K65">
    <cfRule type="notContainsErrors" dxfId="518" priority="16">
      <formula>NOT(ISERROR(D24))</formula>
    </cfRule>
  </conditionalFormatting>
  <conditionalFormatting sqref="F20:H20">
    <cfRule type="cellIs" dxfId="517" priority="31" operator="equal">
      <formula>"CUMPLE"</formula>
    </cfRule>
    <cfRule type="cellIs" dxfId="516" priority="32" operator="equal">
      <formula>"NO CUMPLE"</formula>
    </cfRule>
    <cfRule type="cellIs" dxfId="515" priority="33" operator="equal">
      <formula>"""CUMPLE"""</formula>
    </cfRule>
  </conditionalFormatting>
  <conditionalFormatting sqref="I11">
    <cfRule type="containsText" dxfId="514" priority="37" operator="containsText" text="NO CUMPLE">
      <formula>NOT(ISERROR(SEARCH("NO CUMPLE",I11)))</formula>
    </cfRule>
    <cfRule type="containsText" dxfId="513" priority="34" operator="containsText" text="INHABILITADO">
      <formula>NOT(ISERROR(SEARCH("INHABILITADO",I11)))</formula>
    </cfRule>
    <cfRule type="containsText" dxfId="512" priority="35" operator="containsText" text="HABILITADO">
      <formula>NOT(ISERROR(SEARCH("HABILITADO",I11)))</formula>
    </cfRule>
    <cfRule type="containsText" dxfId="511" priority="36" operator="containsText" text="HABILITADO">
      <formula>NOT(ISERROR(SEARCH("HABILITADO",I11)))</formula>
    </cfRule>
  </conditionalFormatting>
  <conditionalFormatting sqref="J20">
    <cfRule type="cellIs" dxfId="510" priority="8" operator="equal">
      <formula>"SI"</formula>
    </cfRule>
    <cfRule type="cellIs" dxfId="509" priority="7" operator="equal">
      <formula>"NO"</formula>
    </cfRule>
  </conditionalFormatting>
  <conditionalFormatting sqref="K19">
    <cfRule type="cellIs" dxfId="508" priority="22" operator="equal">
      <formula>"CUMPLE"</formula>
    </cfRule>
    <cfRule type="cellIs" dxfId="507" priority="23" operator="equal">
      <formula>"NO CUMPLE"</formula>
    </cfRule>
    <cfRule type="cellIs" dxfId="506" priority="24" operator="equal">
      <formula>"""CUMPLE"""</formula>
    </cfRule>
  </conditionalFormatting>
  <conditionalFormatting sqref="K25:K63">
    <cfRule type="notContainsErrors" dxfId="505" priority="2">
      <formula>NOT(ISERROR(K25))</formula>
    </cfRule>
    <cfRule type="containsBlanks" dxfId="504" priority="1">
      <formula>LEN(TRIM(K25))=0</formula>
    </cfRule>
  </conditionalFormatting>
  <conditionalFormatting sqref="L15">
    <cfRule type="cellIs" dxfId="503" priority="28" operator="equal">
      <formula>"CUMPLE"</formula>
    </cfRule>
    <cfRule type="cellIs" dxfId="502" priority="29" operator="equal">
      <formula>"NO CUMPLE"</formula>
    </cfRule>
    <cfRule type="cellIs" dxfId="501" priority="30" operator="equal">
      <formula>"""CUMPLE"""</formula>
    </cfRule>
  </conditionalFormatting>
  <conditionalFormatting sqref="L20">
    <cfRule type="cellIs" dxfId="500" priority="5" operator="equal">
      <formula>"NO"</formula>
    </cfRule>
    <cfRule type="cellIs" dxfId="499" priority="6" operator="equal">
      <formula>"SI"</formula>
    </cfRule>
  </conditionalFormatting>
  <dataValidations count="3">
    <dataValidation type="list" allowBlank="1" showInputMessage="1" showErrorMessage="1" sqref="L57:L64" xr:uid="{00000000-0002-0000-1700-000000000000}">
      <formula1>"0,1,2,3,4,5,6"</formula1>
    </dataValidation>
    <dataValidation type="list" allowBlank="1" showInputMessage="1" showErrorMessage="1" sqref="D24:J26" xr:uid="{00000000-0002-0000-1700-000001000000}">
      <formula1>$C$15:$C$19</formula1>
    </dataValidation>
    <dataValidation type="list" allowBlank="1" showInputMessage="1" showErrorMessage="1" sqref="D65:I65" xr:uid="{00000000-0002-0000-1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700-000003000000}">
          <x14:formula1>
            <xm:f>'DATOS INICIALES'!$C$45:$C$46</xm:f>
          </x14:formula1>
          <xm:sqref>D47:I53 J47:J52</xm:sqref>
        </x14:dataValidation>
        <x14:dataValidation type="list" allowBlank="1" showInputMessage="1" showErrorMessage="1" xr:uid="{00000000-0002-0000-1700-000004000000}">
          <x14:formula1>
            <xm:f>'DATOS INICIALES'!$A$50:$A$52</xm:f>
          </x14:formula1>
          <xm:sqref>D55:I57 D46:J46 J55:J56 D58:J63</xm:sqref>
        </x14:dataValidation>
        <x14:dataValidation type="list" allowBlank="1" showInputMessage="1" showErrorMessage="1" xr:uid="{00000000-0002-0000-1700-000005000000}">
          <x14:formula1>
            <xm:f>'DATOS INICIALES'!$A$54:$A$59</xm:f>
          </x14:formula1>
          <xm:sqref>D23:I23</xm:sqref>
        </x14:dataValidation>
        <x14:dataValidation type="list" allowBlank="1" showInputMessage="1" showErrorMessage="1" xr:uid="{00000000-0002-0000-1700-000006000000}">
          <x14:formula1>
            <xm:f>'DATOS INICIALES'!$D$21:$D$25</xm:f>
          </x14:formula1>
          <xm:sqref>M47:M54</xm:sqref>
        </x14:dataValidation>
        <x14:dataValidation type="list" allowBlank="1" showInputMessage="1" showErrorMessage="1" xr:uid="{00000000-0002-0000-1700-000007000000}">
          <x14:formula1>
            <xm:f>'DATOS INICIALES'!$A$13:$A$43</xm:f>
          </x14:formula1>
          <xm:sqref>D31:I31</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I28" sqref="I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21</v>
      </c>
      <c r="B11" s="2" t="s">
        <v>24</v>
      </c>
      <c r="C11" s="287" t="str">
        <f>VLOOKUP(A11,PROPONENTES!$A$10:$B$42,2,FALSE)</f>
        <v>CONSORCIO INCITECO IP XXI</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INCITECO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68746.395999999993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6</v>
      </c>
      <c r="J15" s="235">
        <f>IF(AND(I15&gt;=1,I15&lt;=2),L8,IF(AND(I15&gt;=3,I15&lt;=4),L9,IF(AND(I15&gt;=5,I15&lt;=7),L10)))</f>
        <v>3290.2570903846154</v>
      </c>
      <c r="K15" s="235">
        <f>+E20</f>
        <v>68746.395999999993</v>
      </c>
      <c r="L15" s="236" t="str">
        <f>IF(K15&gt;=J15,"CUMPLE","NO CUMPLE")</f>
        <v>CUMPLE</v>
      </c>
    </row>
    <row r="16" spans="1:12" ht="33.75" customHeight="1" x14ac:dyDescent="0.25">
      <c r="B16" s="244"/>
      <c r="C16" s="100" t="str">
        <f>IF(VLOOKUP(C11,PROPONENTES!B10:N111,4,FALSE)=0,"",VLOOKUP(C11,PROPONENTES!B10:N111,4,FALSE))</f>
        <v>INGENIEROS PROYECTAR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68746.395999999993</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68746.395999999993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204</v>
      </c>
      <c r="E24" s="90" t="s">
        <v>204</v>
      </c>
      <c r="F24" s="90" t="s">
        <v>204</v>
      </c>
      <c r="G24" s="90" t="s">
        <v>204</v>
      </c>
      <c r="H24" s="90" t="s">
        <v>204</v>
      </c>
      <c r="I24" s="90" t="s">
        <v>204</v>
      </c>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506</v>
      </c>
      <c r="E27" s="91" t="s">
        <v>507</v>
      </c>
      <c r="F27" s="91" t="s">
        <v>508</v>
      </c>
      <c r="G27" s="91" t="s">
        <v>509</v>
      </c>
      <c r="H27" s="91" t="s">
        <v>510</v>
      </c>
      <c r="I27" s="91" t="s">
        <v>511</v>
      </c>
      <c r="J27" s="91"/>
      <c r="K27" s="245"/>
      <c r="L27" s="246"/>
    </row>
    <row r="28" spans="2:14" ht="156.75" customHeight="1" x14ac:dyDescent="0.25">
      <c r="B28" s="250"/>
      <c r="C28" s="25" t="s">
        <v>38</v>
      </c>
      <c r="D28" s="91" t="s">
        <v>512</v>
      </c>
      <c r="E28" s="91" t="s">
        <v>513</v>
      </c>
      <c r="F28" s="91" t="s">
        <v>514</v>
      </c>
      <c r="G28" s="91" t="s">
        <v>515</v>
      </c>
      <c r="H28" s="91" t="s">
        <v>516</v>
      </c>
      <c r="I28" s="91" t="s">
        <v>517</v>
      </c>
      <c r="J28" s="91"/>
      <c r="K28" s="245"/>
      <c r="L28" s="246"/>
    </row>
    <row r="29" spans="2:14" ht="52.5" customHeight="1" x14ac:dyDescent="0.25">
      <c r="B29" s="250"/>
      <c r="C29" s="25" t="s">
        <v>169</v>
      </c>
      <c r="D29" s="95">
        <v>43124</v>
      </c>
      <c r="E29" s="95">
        <v>43166</v>
      </c>
      <c r="F29" s="95">
        <v>43516</v>
      </c>
      <c r="G29" s="95">
        <v>42417</v>
      </c>
      <c r="H29" s="95">
        <v>43745</v>
      </c>
      <c r="I29" s="95">
        <v>42226</v>
      </c>
      <c r="J29" s="95"/>
      <c r="K29" s="245"/>
      <c r="L29" s="246"/>
    </row>
    <row r="30" spans="2:14" ht="54.75" customHeight="1" x14ac:dyDescent="0.25">
      <c r="B30" s="250"/>
      <c r="C30" s="25" t="s">
        <v>42</v>
      </c>
      <c r="D30" s="95">
        <v>43519</v>
      </c>
      <c r="E30" s="95">
        <v>43525</v>
      </c>
      <c r="F30" s="95">
        <v>43696</v>
      </c>
      <c r="G30" s="95">
        <v>43096</v>
      </c>
      <c r="H30" s="95">
        <v>44147</v>
      </c>
      <c r="I30" s="95">
        <v>42378</v>
      </c>
      <c r="J30" s="95"/>
      <c r="K30" s="245"/>
      <c r="L30" s="246"/>
    </row>
    <row r="31" spans="2:14" ht="41.25" customHeight="1" x14ac:dyDescent="0.25">
      <c r="B31" s="250"/>
      <c r="C31" s="25" t="s">
        <v>39</v>
      </c>
      <c r="D31" s="92">
        <v>2019</v>
      </c>
      <c r="E31" s="92">
        <v>2019</v>
      </c>
      <c r="F31" s="92">
        <v>2019</v>
      </c>
      <c r="G31" s="92">
        <v>2017</v>
      </c>
      <c r="H31" s="92">
        <v>2020</v>
      </c>
      <c r="I31" s="92">
        <v>2016</v>
      </c>
      <c r="J31" s="92"/>
      <c r="K31" s="245"/>
      <c r="L31" s="246"/>
    </row>
    <row r="32" spans="2:14" ht="63" customHeight="1" x14ac:dyDescent="0.25">
      <c r="B32" s="250"/>
      <c r="C32" s="25" t="s">
        <v>40</v>
      </c>
      <c r="D32" s="91" t="s">
        <v>518</v>
      </c>
      <c r="E32" s="91" t="s">
        <v>504</v>
      </c>
      <c r="F32" s="91" t="s">
        <v>518</v>
      </c>
      <c r="G32" s="91" t="s">
        <v>461</v>
      </c>
      <c r="H32" s="91" t="s">
        <v>518</v>
      </c>
      <c r="I32" s="91" t="s">
        <v>518</v>
      </c>
      <c r="J32" s="91"/>
      <c r="K32" s="245"/>
      <c r="L32" s="246"/>
    </row>
    <row r="33" spans="2:12" ht="46.5" customHeight="1" x14ac:dyDescent="0.25">
      <c r="B33" s="250"/>
      <c r="C33" s="25" t="s">
        <v>41</v>
      </c>
      <c r="D33" s="91" t="s">
        <v>204</v>
      </c>
      <c r="E33" s="91" t="s">
        <v>204</v>
      </c>
      <c r="F33" s="91" t="s">
        <v>204</v>
      </c>
      <c r="G33" s="91" t="s">
        <v>204</v>
      </c>
      <c r="H33" s="91" t="s">
        <v>519</v>
      </c>
      <c r="I33" s="91" t="s">
        <v>204</v>
      </c>
      <c r="J33" s="91"/>
      <c r="K33" s="245"/>
      <c r="L33" s="246"/>
    </row>
    <row r="34" spans="2:12" ht="27.75" customHeight="1" x14ac:dyDescent="0.25">
      <c r="B34" s="250"/>
      <c r="C34" s="27" t="s">
        <v>35</v>
      </c>
      <c r="D34" s="96">
        <v>168</v>
      </c>
      <c r="E34" s="96">
        <v>170</v>
      </c>
      <c r="F34" s="96">
        <v>178</v>
      </c>
      <c r="G34" s="97">
        <v>161</v>
      </c>
      <c r="H34" s="97">
        <v>189</v>
      </c>
      <c r="I34" s="97">
        <v>139</v>
      </c>
      <c r="J34" s="97"/>
      <c r="K34" s="245"/>
      <c r="L34" s="246"/>
    </row>
    <row r="35" spans="2:12" ht="102.75" customHeight="1" x14ac:dyDescent="0.25">
      <c r="B35" s="250"/>
      <c r="C35" s="25" t="s">
        <v>137</v>
      </c>
      <c r="D35" s="93">
        <v>25842.17</v>
      </c>
      <c r="E35" s="93">
        <v>12156.03</v>
      </c>
      <c r="F35" s="93">
        <v>8514.2800000000007</v>
      </c>
      <c r="G35" s="93">
        <v>9329.0300000000007</v>
      </c>
      <c r="H35" s="93">
        <v>17088.11</v>
      </c>
      <c r="I35" s="93">
        <v>2652.02</v>
      </c>
      <c r="J35" s="93"/>
      <c r="K35" s="245"/>
      <c r="L35" s="246"/>
    </row>
    <row r="36" spans="2:12" ht="48" customHeight="1" x14ac:dyDescent="0.25">
      <c r="B36" s="250"/>
      <c r="C36" s="25" t="s">
        <v>76</v>
      </c>
      <c r="D36" s="105">
        <f>IFERROR(D35*VLOOKUP(D31,'DATOS INICIALES'!$A$12:$B$43,2,0),"0")</f>
        <v>21400314451.719997</v>
      </c>
      <c r="E36" s="105">
        <f>IFERROR(E35*VLOOKUP(E31,'DATOS INICIALES'!$A$12:$B$43,2,0),"0")</f>
        <v>10066602939.480001</v>
      </c>
      <c r="F36" s="105">
        <f>IFERROR(F35*VLOOKUP(F31,'DATOS INICIALES'!$A$12:$B$43,2,0),"0")</f>
        <v>7050811496.4800005</v>
      </c>
      <c r="G36" s="105">
        <f>IFERROR(G35*VLOOKUP(G31,'DATOS INICIALES'!$A$12:$B$43,2,0),"0")</f>
        <v>6882184024.5100002</v>
      </c>
      <c r="H36" s="105">
        <f>IFERROR(H35*VLOOKUP(H31,'DATOS INICIALES'!$A$12:$B$43,2,0),"0")</f>
        <v>14999994222.33</v>
      </c>
      <c r="I36" s="105">
        <f>IFERROR(I35*VLOOKUP(I31,'DATOS INICIALES'!$A$12:$B$43,2,0),"0")</f>
        <v>1828448449.0999999</v>
      </c>
      <c r="J36" s="105" t="str">
        <f>IFERROR(J35*VLOOKUP(J31,'DATOS INICIALES'!$A$12:$B$43,2,0),"0")</f>
        <v>0</v>
      </c>
      <c r="K36" s="245"/>
      <c r="L36" s="246"/>
    </row>
    <row r="37" spans="2:12" ht="33.75" customHeight="1" x14ac:dyDescent="0.25">
      <c r="B37" s="250"/>
      <c r="C37" s="25" t="s">
        <v>138</v>
      </c>
      <c r="D37" s="94">
        <v>1</v>
      </c>
      <c r="E37" s="94">
        <v>1</v>
      </c>
      <c r="F37" s="94">
        <v>1</v>
      </c>
      <c r="G37" s="94">
        <v>1</v>
      </c>
      <c r="H37" s="94">
        <v>0.6</v>
      </c>
      <c r="I37" s="94">
        <v>1</v>
      </c>
      <c r="J37" s="94"/>
      <c r="K37" s="245"/>
      <c r="L37" s="246"/>
    </row>
    <row r="38" spans="2:12" ht="48.75" customHeight="1" x14ac:dyDescent="0.25">
      <c r="B38" s="250"/>
      <c r="C38" s="25" t="s">
        <v>144</v>
      </c>
      <c r="D38" s="105">
        <f t="shared" ref="D38:J38" si="3">IF(D24="","0",D37*D36)</f>
        <v>21400314451.719997</v>
      </c>
      <c r="E38" s="105">
        <f t="shared" si="3"/>
        <v>10066602939.480001</v>
      </c>
      <c r="F38" s="105">
        <f t="shared" si="3"/>
        <v>7050811496.4800005</v>
      </c>
      <c r="G38" s="105">
        <f t="shared" si="3"/>
        <v>6882184024.5100002</v>
      </c>
      <c r="H38" s="105">
        <f t="shared" si="3"/>
        <v>8999996533.3979988</v>
      </c>
      <c r="I38" s="105">
        <f t="shared" si="3"/>
        <v>1828448449.0999999</v>
      </c>
      <c r="J38" s="105" t="str">
        <f t="shared" si="3"/>
        <v>0</v>
      </c>
      <c r="K38" s="245"/>
      <c r="L38" s="246"/>
    </row>
    <row r="39" spans="2:12" ht="65.25" customHeight="1" x14ac:dyDescent="0.25">
      <c r="B39" s="250"/>
      <c r="C39" s="25" t="s">
        <v>139</v>
      </c>
      <c r="D39" s="106">
        <f t="shared" ref="D39:J39" si="4">IFERROR(D35*D37,"0")</f>
        <v>25842.17</v>
      </c>
      <c r="E39" s="106">
        <f t="shared" si="4"/>
        <v>12156.03</v>
      </c>
      <c r="F39" s="106">
        <f t="shared" si="4"/>
        <v>8514.2800000000007</v>
      </c>
      <c r="G39" s="106">
        <f t="shared" si="4"/>
        <v>9329.0300000000007</v>
      </c>
      <c r="H39" s="106">
        <f t="shared" si="4"/>
        <v>10252.866</v>
      </c>
      <c r="I39" s="106">
        <f t="shared" si="4"/>
        <v>2652.02</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t="s">
        <v>14</v>
      </c>
      <c r="H46" s="90" t="s">
        <v>14</v>
      </c>
      <c r="I46" s="90" t="s">
        <v>14</v>
      </c>
      <c r="J46" s="90"/>
      <c r="K46" s="245"/>
      <c r="L46" s="246"/>
    </row>
    <row r="47" spans="2:12" ht="24.75" customHeight="1" x14ac:dyDescent="0.25">
      <c r="B47" s="255" t="s">
        <v>36</v>
      </c>
      <c r="C47" s="28">
        <f>+'DATOS INICIALES'!D21</f>
        <v>72101500</v>
      </c>
      <c r="D47" s="96" t="s">
        <v>79</v>
      </c>
      <c r="E47" s="96" t="s">
        <v>79</v>
      </c>
      <c r="F47" s="96" t="s">
        <v>79</v>
      </c>
      <c r="G47" s="96" t="s">
        <v>79</v>
      </c>
      <c r="H47" s="96" t="s">
        <v>79</v>
      </c>
      <c r="I47" s="96" t="s">
        <v>79</v>
      </c>
      <c r="J47" s="97"/>
      <c r="K47" s="245"/>
      <c r="L47" s="246"/>
    </row>
    <row r="48" spans="2:12" ht="24.75" customHeight="1" x14ac:dyDescent="0.25">
      <c r="B48" s="256"/>
      <c r="C48" s="28">
        <f>+'DATOS INICIALES'!D22</f>
        <v>72102900</v>
      </c>
      <c r="D48" s="96" t="s">
        <v>79</v>
      </c>
      <c r="E48" s="96" t="s">
        <v>79</v>
      </c>
      <c r="F48" s="96" t="s">
        <v>79</v>
      </c>
      <c r="G48" s="96" t="s">
        <v>79</v>
      </c>
      <c r="H48" s="96" t="s">
        <v>79</v>
      </c>
      <c r="I48" s="96" t="s">
        <v>79</v>
      </c>
      <c r="J48" s="97"/>
      <c r="K48" s="245"/>
      <c r="L48" s="246"/>
    </row>
    <row r="49" spans="2:12" ht="24.75" customHeight="1" x14ac:dyDescent="0.25">
      <c r="B49" s="256"/>
      <c r="C49" s="28">
        <f>+'DATOS INICIALES'!D23</f>
        <v>72103300</v>
      </c>
      <c r="D49" s="96" t="s">
        <v>79</v>
      </c>
      <c r="E49" s="96" t="s">
        <v>79</v>
      </c>
      <c r="F49" s="96" t="s">
        <v>79</v>
      </c>
      <c r="G49" s="96" t="s">
        <v>79</v>
      </c>
      <c r="H49" s="96" t="s">
        <v>79</v>
      </c>
      <c r="I49" s="96" t="s">
        <v>79</v>
      </c>
      <c r="J49" s="97"/>
      <c r="K49" s="245"/>
      <c r="L49" s="246"/>
    </row>
    <row r="50" spans="2:12" ht="24.75" customHeight="1" x14ac:dyDescent="0.25">
      <c r="B50" s="256"/>
      <c r="C50" s="28">
        <f>+'DATOS INICIALES'!D24</f>
        <v>72141100</v>
      </c>
      <c r="D50" s="96" t="s">
        <v>79</v>
      </c>
      <c r="E50" s="96" t="s">
        <v>79</v>
      </c>
      <c r="F50" s="96" t="s">
        <v>79</v>
      </c>
      <c r="G50" s="96" t="s">
        <v>79</v>
      </c>
      <c r="H50" s="96" t="s">
        <v>79</v>
      </c>
      <c r="I50" s="96" t="s">
        <v>79</v>
      </c>
      <c r="J50" s="97"/>
      <c r="K50" s="245"/>
      <c r="L50" s="246"/>
    </row>
    <row r="51" spans="2:12" ht="24.75" customHeight="1" x14ac:dyDescent="0.25">
      <c r="B51" s="256"/>
      <c r="C51" s="28">
        <f>+'DATOS INICIALES'!D25</f>
        <v>72141500</v>
      </c>
      <c r="D51" s="96" t="s">
        <v>79</v>
      </c>
      <c r="E51" s="96" t="s">
        <v>79</v>
      </c>
      <c r="F51" s="96" t="s">
        <v>79</v>
      </c>
      <c r="G51" s="96" t="s">
        <v>79</v>
      </c>
      <c r="H51" s="96" t="s">
        <v>79</v>
      </c>
      <c r="I51" s="96" t="s">
        <v>79</v>
      </c>
      <c r="J51" s="97"/>
      <c r="K51" s="245"/>
      <c r="L51" s="246"/>
    </row>
    <row r="52" spans="2:12" ht="24.75" customHeight="1" x14ac:dyDescent="0.25">
      <c r="B52" s="256"/>
      <c r="C52" s="28">
        <f>+'DATOS INICIALES'!D26</f>
        <v>72153900</v>
      </c>
      <c r="D52" s="96" t="s">
        <v>77</v>
      </c>
      <c r="E52" s="96" t="s">
        <v>77</v>
      </c>
      <c r="F52" s="96" t="s">
        <v>77</v>
      </c>
      <c r="G52" s="96" t="s">
        <v>77</v>
      </c>
      <c r="H52" s="96" t="s">
        <v>77</v>
      </c>
      <c r="I52" s="96" t="s">
        <v>77</v>
      </c>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CUMPLE</v>
      </c>
      <c r="I54" s="15" t="str">
        <f t="shared" si="9"/>
        <v>CUMPLE</v>
      </c>
      <c r="J54" s="15" t="str">
        <f t="shared" si="9"/>
        <v>N/A</v>
      </c>
      <c r="K54" s="245"/>
      <c r="L54" s="246"/>
    </row>
    <row r="55" spans="2:12" ht="296.25" customHeight="1" x14ac:dyDescent="0.25">
      <c r="B55" s="258" t="s">
        <v>206</v>
      </c>
      <c r="C55" s="259"/>
      <c r="D55" s="90" t="s">
        <v>14</v>
      </c>
      <c r="E55" s="90" t="s">
        <v>14</v>
      </c>
      <c r="F55" s="90" t="s">
        <v>14</v>
      </c>
      <c r="G55" s="90" t="s">
        <v>14</v>
      </c>
      <c r="H55" s="90" t="s">
        <v>14</v>
      </c>
      <c r="I55" s="90" t="s">
        <v>14</v>
      </c>
      <c r="J55" s="90"/>
      <c r="K55" s="288"/>
      <c r="L55" s="289"/>
    </row>
    <row r="56" spans="2:12" ht="353.25" customHeight="1" x14ac:dyDescent="0.25">
      <c r="B56" s="258" t="s">
        <v>209</v>
      </c>
      <c r="C56" s="259"/>
      <c r="D56" s="90" t="s">
        <v>14</v>
      </c>
      <c r="E56" s="90" t="s">
        <v>14</v>
      </c>
      <c r="F56" s="90" t="s">
        <v>14</v>
      </c>
      <c r="G56" s="90" t="s">
        <v>14</v>
      </c>
      <c r="H56" s="90" t="s">
        <v>14</v>
      </c>
      <c r="I56" s="90" t="s">
        <v>14</v>
      </c>
      <c r="J56" s="90"/>
      <c r="K56" s="288"/>
      <c r="L56" s="289"/>
    </row>
    <row r="57" spans="2:12" ht="99" customHeight="1" x14ac:dyDescent="0.25">
      <c r="B57" s="252" t="s">
        <v>211</v>
      </c>
      <c r="C57" s="253"/>
      <c r="D57" s="90" t="s">
        <v>14</v>
      </c>
      <c r="E57" s="90" t="s">
        <v>14</v>
      </c>
      <c r="F57" s="90" t="s">
        <v>14</v>
      </c>
      <c r="G57" s="90" t="s">
        <v>14</v>
      </c>
      <c r="H57" s="90" t="s">
        <v>14</v>
      </c>
      <c r="I57" s="90" t="s">
        <v>14</v>
      </c>
      <c r="J57" s="90"/>
      <c r="K57" s="288"/>
      <c r="L57" s="289"/>
    </row>
    <row r="58" spans="2:12" ht="92.25" customHeight="1" x14ac:dyDescent="0.25">
      <c r="B58" s="252" t="s">
        <v>207</v>
      </c>
      <c r="C58" s="253"/>
      <c r="D58" s="90" t="s">
        <v>14</v>
      </c>
      <c r="E58" s="90" t="s">
        <v>14</v>
      </c>
      <c r="F58" s="90" t="s">
        <v>14</v>
      </c>
      <c r="G58" s="90" t="s">
        <v>14</v>
      </c>
      <c r="H58" s="90" t="s">
        <v>14</v>
      </c>
      <c r="I58" s="90" t="s">
        <v>14</v>
      </c>
      <c r="J58" s="90"/>
      <c r="K58" s="288"/>
      <c r="L58" s="289"/>
    </row>
    <row r="59" spans="2:12" ht="291.75" customHeight="1" x14ac:dyDescent="0.25">
      <c r="B59" s="252" t="s">
        <v>208</v>
      </c>
      <c r="C59" s="253"/>
      <c r="D59" s="90" t="s">
        <v>13</v>
      </c>
      <c r="E59" s="90" t="s">
        <v>13</v>
      </c>
      <c r="F59" s="90" t="s">
        <v>13</v>
      </c>
      <c r="G59" s="90" t="s">
        <v>13</v>
      </c>
      <c r="H59" s="90" t="s">
        <v>13</v>
      </c>
      <c r="I59" s="90" t="s">
        <v>13</v>
      </c>
      <c r="J59" s="90"/>
      <c r="K59" s="288"/>
      <c r="L59" s="289"/>
    </row>
    <row r="60" spans="2:12" ht="336" customHeight="1" x14ac:dyDescent="0.25">
      <c r="B60" s="180" t="s">
        <v>213</v>
      </c>
      <c r="C60" s="180"/>
      <c r="D60" s="90" t="s">
        <v>14</v>
      </c>
      <c r="E60" s="90" t="s">
        <v>14</v>
      </c>
      <c r="F60" s="90" t="s">
        <v>14</v>
      </c>
      <c r="G60" s="90" t="s">
        <v>14</v>
      </c>
      <c r="H60" s="90" t="s">
        <v>14</v>
      </c>
      <c r="I60" s="90" t="s">
        <v>14</v>
      </c>
      <c r="J60" s="90"/>
      <c r="K60" s="288"/>
      <c r="L60" s="289"/>
    </row>
    <row r="61" spans="2:12" ht="129.75" customHeight="1" x14ac:dyDescent="0.25">
      <c r="B61" s="233" t="s">
        <v>168</v>
      </c>
      <c r="C61" s="234"/>
      <c r="D61" s="90" t="s">
        <v>13</v>
      </c>
      <c r="E61" s="90" t="s">
        <v>13</v>
      </c>
      <c r="F61" s="90" t="s">
        <v>13</v>
      </c>
      <c r="G61" s="90" t="s">
        <v>13</v>
      </c>
      <c r="H61" s="90" t="s">
        <v>13</v>
      </c>
      <c r="I61" s="90" t="s">
        <v>13</v>
      </c>
      <c r="J61" s="90"/>
      <c r="K61" s="288"/>
      <c r="L61" s="289"/>
    </row>
    <row r="62" spans="2:12" ht="408.75" customHeight="1" x14ac:dyDescent="0.25">
      <c r="B62" s="254" t="s">
        <v>170</v>
      </c>
      <c r="C62" s="254"/>
      <c r="D62" s="90" t="s">
        <v>13</v>
      </c>
      <c r="E62" s="90" t="s">
        <v>13</v>
      </c>
      <c r="F62" s="90" t="s">
        <v>13</v>
      </c>
      <c r="G62" s="90" t="s">
        <v>13</v>
      </c>
      <c r="H62" s="90" t="s">
        <v>13</v>
      </c>
      <c r="I62" s="90" t="s">
        <v>13</v>
      </c>
      <c r="J62" s="90"/>
      <c r="K62" s="288"/>
      <c r="L62" s="289"/>
    </row>
    <row r="63" spans="2:12" ht="234.75" customHeight="1" x14ac:dyDescent="0.25">
      <c r="B63" s="180" t="s">
        <v>212</v>
      </c>
      <c r="C63" s="180"/>
      <c r="D63" s="90" t="s">
        <v>14</v>
      </c>
      <c r="E63" s="90" t="s">
        <v>14</v>
      </c>
      <c r="F63" s="90" t="s">
        <v>14</v>
      </c>
      <c r="G63" s="90" t="s">
        <v>14</v>
      </c>
      <c r="H63" s="90" t="s">
        <v>14</v>
      </c>
      <c r="I63" s="90" t="s">
        <v>14</v>
      </c>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CUMPLE</v>
      </c>
      <c r="I64" s="15" t="str">
        <f t="shared" si="10"/>
        <v>CUMPLE</v>
      </c>
      <c r="J64" s="15" t="str">
        <f t="shared" si="10"/>
        <v>N/A</v>
      </c>
      <c r="K64" s="165"/>
      <c r="L64" s="162"/>
    </row>
    <row r="65" spans="2:12" ht="81.75" customHeight="1" x14ac:dyDescent="0.25">
      <c r="B65" s="180" t="s">
        <v>177</v>
      </c>
      <c r="C65" s="180"/>
      <c r="D65" s="90" t="s">
        <v>14</v>
      </c>
      <c r="E65" s="90" t="s">
        <v>14</v>
      </c>
      <c r="F65" s="90" t="s">
        <v>14</v>
      </c>
      <c r="G65" s="90" t="s">
        <v>14</v>
      </c>
      <c r="H65" s="90" t="s">
        <v>14</v>
      </c>
      <c r="I65" s="90" t="s">
        <v>14</v>
      </c>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498" priority="13">
      <formula>LEN(TRIM(D25))=0</formula>
    </cfRule>
    <cfRule type="notContainsErrors" dxfId="497" priority="14">
      <formula>NOT(ISERROR(D25))</formula>
    </cfRule>
  </conditionalFormatting>
  <conditionalFormatting sqref="D34:J34 D24:K24 D37:J37 D40:J40 D43:J43 D46:J53 D55:J63 K64:L64 D65:K65">
    <cfRule type="containsBlanks" dxfId="496" priority="15">
      <formula>LEN(TRIM(D24))=0</formula>
    </cfRule>
  </conditionalFormatting>
  <conditionalFormatting sqref="D46:J53">
    <cfRule type="cellIs" dxfId="495" priority="11" operator="equal">
      <formula>"NO CUMPLE"</formula>
    </cfRule>
    <cfRule type="cellIs" dxfId="494" priority="12" operator="equal">
      <formula>"CUMPLE"</formula>
    </cfRule>
  </conditionalFormatting>
  <conditionalFormatting sqref="D54:J54">
    <cfRule type="cellIs" dxfId="493" priority="27" operator="equal">
      <formula>"""CUMPLE"""</formula>
    </cfRule>
    <cfRule type="cellIs" dxfId="492" priority="26" operator="equal">
      <formula>"NO CUMPLE"</formula>
    </cfRule>
    <cfRule type="cellIs" dxfId="491" priority="25" operator="equal">
      <formula>"CUMPLE"</formula>
    </cfRule>
    <cfRule type="cellIs" dxfId="490" priority="21" operator="equal">
      <formula>"N/A"</formula>
    </cfRule>
  </conditionalFormatting>
  <conditionalFormatting sqref="D55:J63">
    <cfRule type="cellIs" dxfId="489" priority="3" operator="equal">
      <formula>"NO CUMPLE"</formula>
    </cfRule>
    <cfRule type="cellIs" dxfId="488" priority="4" operator="equal">
      <formula>"CUMPLE"</formula>
    </cfRule>
  </conditionalFormatting>
  <conditionalFormatting sqref="D64:J64">
    <cfRule type="cellIs" dxfId="487" priority="19" operator="equal">
      <formula>"NO CUMPLE"</formula>
    </cfRule>
    <cfRule type="cellIs" dxfId="486" priority="20" operator="equal">
      <formula>"""CUMPLE"""</formula>
    </cfRule>
    <cfRule type="cellIs" dxfId="485" priority="17" operator="equal">
      <formula>"N/A"</formula>
    </cfRule>
    <cfRule type="cellIs" dxfId="484" priority="18" operator="equal">
      <formula>"CUMPLE"</formula>
    </cfRule>
  </conditionalFormatting>
  <conditionalFormatting sqref="D65:J65">
    <cfRule type="cellIs" dxfId="483" priority="9" operator="equal">
      <formula>"NO CUMPLE"</formula>
    </cfRule>
    <cfRule type="cellIs" dxfId="482" priority="10" operator="equal">
      <formula>"CUMPLE"</formula>
    </cfRule>
  </conditionalFormatting>
  <conditionalFormatting sqref="D24:K24 D34:J34 D37:J37 D40:J40 D43:J43 D46:J53 D55:J63 K64:L64 D65:K65">
    <cfRule type="notContainsErrors" dxfId="481" priority="16">
      <formula>NOT(ISERROR(D24))</formula>
    </cfRule>
  </conditionalFormatting>
  <conditionalFormatting sqref="F20:H20">
    <cfRule type="cellIs" dxfId="480" priority="31" operator="equal">
      <formula>"CUMPLE"</formula>
    </cfRule>
    <cfRule type="cellIs" dxfId="479" priority="32" operator="equal">
      <formula>"NO CUMPLE"</formula>
    </cfRule>
    <cfRule type="cellIs" dxfId="478" priority="33" operator="equal">
      <formula>"""CUMPLE"""</formula>
    </cfRule>
  </conditionalFormatting>
  <conditionalFormatting sqref="I11">
    <cfRule type="containsText" dxfId="477" priority="37" operator="containsText" text="NO CUMPLE">
      <formula>NOT(ISERROR(SEARCH("NO CUMPLE",I11)))</formula>
    </cfRule>
    <cfRule type="containsText" dxfId="476" priority="34" operator="containsText" text="INHABILITADO">
      <formula>NOT(ISERROR(SEARCH("INHABILITADO",I11)))</formula>
    </cfRule>
    <cfRule type="containsText" dxfId="475" priority="35" operator="containsText" text="HABILITADO">
      <formula>NOT(ISERROR(SEARCH("HABILITADO",I11)))</formula>
    </cfRule>
    <cfRule type="containsText" dxfId="474" priority="36" operator="containsText" text="HABILITADO">
      <formula>NOT(ISERROR(SEARCH("HABILITADO",I11)))</formula>
    </cfRule>
  </conditionalFormatting>
  <conditionalFormatting sqref="J20">
    <cfRule type="cellIs" dxfId="473" priority="8" operator="equal">
      <formula>"SI"</formula>
    </cfRule>
    <cfRule type="cellIs" dxfId="472" priority="7" operator="equal">
      <formula>"NO"</formula>
    </cfRule>
  </conditionalFormatting>
  <conditionalFormatting sqref="K19">
    <cfRule type="cellIs" dxfId="471" priority="22" operator="equal">
      <formula>"CUMPLE"</formula>
    </cfRule>
    <cfRule type="cellIs" dxfId="470" priority="23" operator="equal">
      <formula>"NO CUMPLE"</formula>
    </cfRule>
    <cfRule type="cellIs" dxfId="469" priority="24" operator="equal">
      <formula>"""CUMPLE"""</formula>
    </cfRule>
  </conditionalFormatting>
  <conditionalFormatting sqref="K25:K63">
    <cfRule type="notContainsErrors" dxfId="468" priority="2">
      <formula>NOT(ISERROR(K25))</formula>
    </cfRule>
    <cfRule type="containsBlanks" dxfId="467" priority="1">
      <formula>LEN(TRIM(K25))=0</formula>
    </cfRule>
  </conditionalFormatting>
  <conditionalFormatting sqref="L15">
    <cfRule type="cellIs" dxfId="466" priority="28" operator="equal">
      <formula>"CUMPLE"</formula>
    </cfRule>
    <cfRule type="cellIs" dxfId="465" priority="29" operator="equal">
      <formula>"NO CUMPLE"</formula>
    </cfRule>
    <cfRule type="cellIs" dxfId="464" priority="30" operator="equal">
      <formula>"""CUMPLE"""</formula>
    </cfRule>
  </conditionalFormatting>
  <conditionalFormatting sqref="L20">
    <cfRule type="cellIs" dxfId="463" priority="5" operator="equal">
      <formula>"NO"</formula>
    </cfRule>
    <cfRule type="cellIs" dxfId="462" priority="6" operator="equal">
      <formula>"SI"</formula>
    </cfRule>
  </conditionalFormatting>
  <dataValidations count="3">
    <dataValidation type="list" allowBlank="1" showInputMessage="1" showErrorMessage="1" sqref="D65:I65" xr:uid="{00000000-0002-0000-1800-000000000000}">
      <formula1>"CUMPLE,NO CUMPLE"</formula1>
    </dataValidation>
    <dataValidation type="list" allowBlank="1" showInputMessage="1" showErrorMessage="1" sqref="D24:J26" xr:uid="{00000000-0002-0000-1800-000001000000}">
      <formula1>$C$15:$C$19</formula1>
    </dataValidation>
    <dataValidation type="list" allowBlank="1" showInputMessage="1" showErrorMessage="1" sqref="L57:L64" xr:uid="{00000000-0002-0000-18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800-000003000000}">
          <x14:formula1>
            <xm:f>'DATOS INICIALES'!$A$13:$A$43</xm:f>
          </x14:formula1>
          <xm:sqref>D31:I31</xm:sqref>
        </x14:dataValidation>
        <x14:dataValidation type="list" allowBlank="1" showInputMessage="1" showErrorMessage="1" xr:uid="{00000000-0002-0000-1800-000004000000}">
          <x14:formula1>
            <xm:f>'DATOS INICIALES'!$D$21:$D$25</xm:f>
          </x14:formula1>
          <xm:sqref>M47:M54</xm:sqref>
        </x14:dataValidation>
        <x14:dataValidation type="list" allowBlank="1" showInputMessage="1" showErrorMessage="1" xr:uid="{00000000-0002-0000-1800-000005000000}">
          <x14:formula1>
            <xm:f>'DATOS INICIALES'!$A$54:$A$59</xm:f>
          </x14:formula1>
          <xm:sqref>D23:I23</xm:sqref>
        </x14:dataValidation>
        <x14:dataValidation type="list" allowBlank="1" showInputMessage="1" showErrorMessage="1" xr:uid="{00000000-0002-0000-1800-000006000000}">
          <x14:formula1>
            <xm:f>'DATOS INICIALES'!$A$50:$A$52</xm:f>
          </x14:formula1>
          <xm:sqref>D55:I57 D46:J46 J55:J56 D58:J63</xm:sqref>
        </x14:dataValidation>
        <x14:dataValidation type="list" allowBlank="1" showInputMessage="1" showErrorMessage="1" xr:uid="{00000000-0002-0000-1800-000007000000}">
          <x14:formula1>
            <xm:f>'DATOS INICIALES'!$C$45:$C$46</xm:f>
          </x14:formula1>
          <xm:sqref>D47:I53 J47:J52</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D28" sqref="D28"/>
    </sheetView>
  </sheetViews>
  <sheetFormatPr baseColWidth="10" defaultColWidth="11.42578125" defaultRowHeight="15" x14ac:dyDescent="0.25"/>
  <cols>
    <col min="1" max="1" width="5.42578125" customWidth="1"/>
    <col min="2" max="2" width="30.85546875" customWidth="1"/>
    <col min="3" max="3" width="63.140625" customWidth="1"/>
    <col min="4" max="4" width="50.14062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22</v>
      </c>
      <c r="B11" s="2" t="s">
        <v>24</v>
      </c>
      <c r="C11" s="287" t="str">
        <f>VLOOKUP(A11,PROPONENTES!$A$10:$B$42,2,FALSE)</f>
        <v>PROJECTING DESIGNING AND BUILDING LTDA</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PROJECTING DESIGNING AND BUILDING LTDA</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3879.9700000000003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3879.9700000000003</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3879.9700000000003</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3879.9700000000003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264</v>
      </c>
      <c r="E24" s="90" t="s">
        <v>264</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298</v>
      </c>
      <c r="E27" s="91" t="s">
        <v>302</v>
      </c>
      <c r="F27" s="91"/>
      <c r="G27" s="91"/>
      <c r="H27" s="91"/>
      <c r="I27" s="91"/>
      <c r="J27" s="91"/>
      <c r="K27" s="245"/>
      <c r="L27" s="246"/>
    </row>
    <row r="28" spans="2:14" ht="156.75" customHeight="1" x14ac:dyDescent="0.25">
      <c r="B28" s="250"/>
      <c r="C28" s="25" t="s">
        <v>38</v>
      </c>
      <c r="D28" s="91" t="s">
        <v>301</v>
      </c>
      <c r="E28" s="91" t="s">
        <v>300</v>
      </c>
      <c r="F28" s="91"/>
      <c r="G28" s="91"/>
      <c r="H28" s="91"/>
      <c r="I28" s="91"/>
      <c r="J28" s="91"/>
      <c r="K28" s="245"/>
      <c r="L28" s="246"/>
    </row>
    <row r="29" spans="2:14" ht="52.5" customHeight="1" x14ac:dyDescent="0.25">
      <c r="B29" s="250"/>
      <c r="C29" s="25" t="s">
        <v>169</v>
      </c>
      <c r="D29" s="95">
        <v>41883</v>
      </c>
      <c r="E29" s="95">
        <v>43510</v>
      </c>
      <c r="F29" s="95"/>
      <c r="G29" s="95"/>
      <c r="H29" s="95"/>
      <c r="I29" s="95"/>
      <c r="J29" s="95"/>
      <c r="K29" s="245"/>
      <c r="L29" s="246"/>
    </row>
    <row r="30" spans="2:14" ht="54.75" customHeight="1" x14ac:dyDescent="0.25">
      <c r="B30" s="250"/>
      <c r="C30" s="25" t="s">
        <v>42</v>
      </c>
      <c r="D30" s="95">
        <v>42212</v>
      </c>
      <c r="E30" s="95">
        <v>43784</v>
      </c>
      <c r="F30" s="95"/>
      <c r="G30" s="95"/>
      <c r="H30" s="95"/>
      <c r="I30" s="95"/>
      <c r="J30" s="95"/>
      <c r="K30" s="245"/>
      <c r="L30" s="246"/>
    </row>
    <row r="31" spans="2:14" ht="41.25" customHeight="1" x14ac:dyDescent="0.25">
      <c r="B31" s="250"/>
      <c r="C31" s="25" t="s">
        <v>39</v>
      </c>
      <c r="D31" s="92">
        <v>2015</v>
      </c>
      <c r="E31" s="92">
        <v>2019</v>
      </c>
      <c r="F31" s="92"/>
      <c r="G31" s="92"/>
      <c r="H31" s="92"/>
      <c r="I31" s="92"/>
      <c r="J31" s="92"/>
      <c r="K31" s="245"/>
      <c r="L31" s="246"/>
    </row>
    <row r="32" spans="2:14" ht="63" customHeight="1" x14ac:dyDescent="0.25">
      <c r="B32" s="250"/>
      <c r="C32" s="25" t="s">
        <v>40</v>
      </c>
      <c r="D32" s="91" t="s">
        <v>299</v>
      </c>
      <c r="E32" s="91" t="s">
        <v>299</v>
      </c>
      <c r="F32" s="91"/>
      <c r="G32" s="91"/>
      <c r="H32" s="91"/>
      <c r="I32" s="91"/>
      <c r="J32" s="91"/>
      <c r="K32" s="245"/>
      <c r="L32" s="246"/>
    </row>
    <row r="33" spans="2:12" ht="46.5" customHeight="1" x14ac:dyDescent="0.25">
      <c r="B33" s="250"/>
      <c r="C33" s="25" t="s">
        <v>41</v>
      </c>
      <c r="D33" s="91" t="s">
        <v>264</v>
      </c>
      <c r="E33" s="91" t="s">
        <v>264</v>
      </c>
      <c r="F33" s="91"/>
      <c r="G33" s="91"/>
      <c r="H33" s="91"/>
      <c r="I33" s="91"/>
      <c r="J33" s="91"/>
      <c r="K33" s="245"/>
      <c r="L33" s="246"/>
    </row>
    <row r="34" spans="2:12" ht="27.75" customHeight="1" x14ac:dyDescent="0.25">
      <c r="B34" s="250"/>
      <c r="C34" s="27" t="s">
        <v>35</v>
      </c>
      <c r="D34" s="96">
        <v>47</v>
      </c>
      <c r="E34" s="96">
        <v>78</v>
      </c>
      <c r="F34" s="96"/>
      <c r="G34" s="97"/>
      <c r="H34" s="97"/>
      <c r="I34" s="97"/>
      <c r="J34" s="97"/>
      <c r="K34" s="245"/>
      <c r="L34" s="246"/>
    </row>
    <row r="35" spans="2:12" ht="102.75" customHeight="1" x14ac:dyDescent="0.25">
      <c r="B35" s="250"/>
      <c r="C35" s="25" t="s">
        <v>137</v>
      </c>
      <c r="D35" s="93">
        <v>2794.31</v>
      </c>
      <c r="E35" s="93">
        <v>1085.6600000000001</v>
      </c>
      <c r="F35" s="93"/>
      <c r="G35" s="93"/>
      <c r="H35" s="93"/>
      <c r="I35" s="93"/>
      <c r="J35" s="93"/>
      <c r="K35" s="245"/>
      <c r="L35" s="246"/>
    </row>
    <row r="36" spans="2:12" ht="48" customHeight="1" x14ac:dyDescent="0.25">
      <c r="B36" s="250"/>
      <c r="C36" s="25" t="s">
        <v>76</v>
      </c>
      <c r="D36" s="105">
        <f>IFERROR(D35*VLOOKUP(D31,'DATOS INICIALES'!$A$12:$B$43,2,0),"0")</f>
        <v>1800513648.5</v>
      </c>
      <c r="E36" s="105">
        <f>IFERROR(E35*VLOOKUP(E31,'DATOS INICIALES'!$A$12:$B$43,2,0),"0")</f>
        <v>899052416.56000006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1</v>
      </c>
      <c r="F37" s="94"/>
      <c r="G37" s="94"/>
      <c r="H37" s="94"/>
      <c r="I37" s="94"/>
      <c r="J37" s="94"/>
      <c r="K37" s="245"/>
      <c r="L37" s="246"/>
    </row>
    <row r="38" spans="2:12" ht="48.75" customHeight="1" x14ac:dyDescent="0.25">
      <c r="B38" s="250"/>
      <c r="C38" s="25" t="s">
        <v>144</v>
      </c>
      <c r="D38" s="105">
        <f t="shared" ref="D38:J38" si="3">IF(D24="","0",D37*D36)</f>
        <v>1800513648.5</v>
      </c>
      <c r="E38" s="105">
        <f t="shared" si="3"/>
        <v>899052416.56000006</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2794.31</v>
      </c>
      <c r="E39" s="106">
        <f t="shared" si="4"/>
        <v>1085.6600000000001</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c r="E47" s="96" t="s">
        <v>79</v>
      </c>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t="s">
        <v>79</v>
      </c>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461" priority="13">
      <formula>LEN(TRIM(D25))=0</formula>
    </cfRule>
    <cfRule type="notContainsErrors" dxfId="460" priority="14">
      <formula>NOT(ISERROR(D25))</formula>
    </cfRule>
  </conditionalFormatting>
  <conditionalFormatting sqref="D34:J34 D24:K24 D37:J37 D40:J40 D43:J43 D46:J53 D55:J63 K64:L64 D65:K65">
    <cfRule type="containsBlanks" dxfId="459" priority="15">
      <formula>LEN(TRIM(D24))=0</formula>
    </cfRule>
  </conditionalFormatting>
  <conditionalFormatting sqref="D46:J53">
    <cfRule type="cellIs" dxfId="458" priority="11" operator="equal">
      <formula>"NO CUMPLE"</formula>
    </cfRule>
    <cfRule type="cellIs" dxfId="457" priority="12" operator="equal">
      <formula>"CUMPLE"</formula>
    </cfRule>
  </conditionalFormatting>
  <conditionalFormatting sqref="D54:J54">
    <cfRule type="cellIs" dxfId="456" priority="27" operator="equal">
      <formula>"""CUMPLE"""</formula>
    </cfRule>
    <cfRule type="cellIs" dxfId="455" priority="26" operator="equal">
      <formula>"NO CUMPLE"</formula>
    </cfRule>
    <cfRule type="cellIs" dxfId="454" priority="25" operator="equal">
      <formula>"CUMPLE"</formula>
    </cfRule>
    <cfRule type="cellIs" dxfId="453" priority="21" operator="equal">
      <formula>"N/A"</formula>
    </cfRule>
  </conditionalFormatting>
  <conditionalFormatting sqref="D55:J63">
    <cfRule type="cellIs" dxfId="452" priority="3" operator="equal">
      <formula>"NO CUMPLE"</formula>
    </cfRule>
    <cfRule type="cellIs" dxfId="451" priority="4" operator="equal">
      <formula>"CUMPLE"</formula>
    </cfRule>
  </conditionalFormatting>
  <conditionalFormatting sqref="D64:J64">
    <cfRule type="cellIs" dxfId="450" priority="19" operator="equal">
      <formula>"NO CUMPLE"</formula>
    </cfRule>
    <cfRule type="cellIs" dxfId="449" priority="20" operator="equal">
      <formula>"""CUMPLE"""</formula>
    </cfRule>
    <cfRule type="cellIs" dxfId="448" priority="17" operator="equal">
      <formula>"N/A"</formula>
    </cfRule>
    <cfRule type="cellIs" dxfId="447" priority="18" operator="equal">
      <formula>"CUMPLE"</formula>
    </cfRule>
  </conditionalFormatting>
  <conditionalFormatting sqref="D65:J65">
    <cfRule type="cellIs" dxfId="446" priority="9" operator="equal">
      <formula>"NO CUMPLE"</formula>
    </cfRule>
    <cfRule type="cellIs" dxfId="445" priority="10" operator="equal">
      <formula>"CUMPLE"</formula>
    </cfRule>
  </conditionalFormatting>
  <conditionalFormatting sqref="D24:K24 D34:J34 D37:J37 D40:J40 D43:J43 D46:J53 D55:J63 K64:L64 D65:K65">
    <cfRule type="notContainsErrors" dxfId="444" priority="16">
      <formula>NOT(ISERROR(D24))</formula>
    </cfRule>
  </conditionalFormatting>
  <conditionalFormatting sqref="F20:H20">
    <cfRule type="cellIs" dxfId="443" priority="31" operator="equal">
      <formula>"CUMPLE"</formula>
    </cfRule>
    <cfRule type="cellIs" dxfId="442" priority="32" operator="equal">
      <formula>"NO CUMPLE"</formula>
    </cfRule>
    <cfRule type="cellIs" dxfId="441" priority="33" operator="equal">
      <formula>"""CUMPLE"""</formula>
    </cfRule>
  </conditionalFormatting>
  <conditionalFormatting sqref="I11">
    <cfRule type="containsText" dxfId="440" priority="37" operator="containsText" text="NO CUMPLE">
      <formula>NOT(ISERROR(SEARCH("NO CUMPLE",I11)))</formula>
    </cfRule>
    <cfRule type="containsText" dxfId="439" priority="34" operator="containsText" text="INHABILITADO">
      <formula>NOT(ISERROR(SEARCH("INHABILITADO",I11)))</formula>
    </cfRule>
    <cfRule type="containsText" dxfId="438" priority="35" operator="containsText" text="HABILITADO">
      <formula>NOT(ISERROR(SEARCH("HABILITADO",I11)))</formula>
    </cfRule>
    <cfRule type="containsText" dxfId="437" priority="36" operator="containsText" text="HABILITADO">
      <formula>NOT(ISERROR(SEARCH("HABILITADO",I11)))</formula>
    </cfRule>
  </conditionalFormatting>
  <conditionalFormatting sqref="J20">
    <cfRule type="cellIs" dxfId="436" priority="8" operator="equal">
      <formula>"SI"</formula>
    </cfRule>
    <cfRule type="cellIs" dxfId="435" priority="7" operator="equal">
      <formula>"NO"</formula>
    </cfRule>
  </conditionalFormatting>
  <conditionalFormatting sqref="K19">
    <cfRule type="cellIs" dxfId="434" priority="22" operator="equal">
      <formula>"CUMPLE"</formula>
    </cfRule>
    <cfRule type="cellIs" dxfId="433" priority="23" operator="equal">
      <formula>"NO CUMPLE"</formula>
    </cfRule>
    <cfRule type="cellIs" dxfId="432" priority="24" operator="equal">
      <formula>"""CUMPLE"""</formula>
    </cfRule>
  </conditionalFormatting>
  <conditionalFormatting sqref="K25:K63">
    <cfRule type="notContainsErrors" dxfId="431" priority="2">
      <formula>NOT(ISERROR(K25))</formula>
    </cfRule>
    <cfRule type="containsBlanks" dxfId="430" priority="1">
      <formula>LEN(TRIM(K25))=0</formula>
    </cfRule>
  </conditionalFormatting>
  <conditionalFormatting sqref="L15">
    <cfRule type="cellIs" dxfId="429" priority="28" operator="equal">
      <formula>"CUMPLE"</formula>
    </cfRule>
    <cfRule type="cellIs" dxfId="428" priority="29" operator="equal">
      <formula>"NO CUMPLE"</formula>
    </cfRule>
    <cfRule type="cellIs" dxfId="427" priority="30" operator="equal">
      <formula>"""CUMPLE"""</formula>
    </cfRule>
  </conditionalFormatting>
  <conditionalFormatting sqref="L20">
    <cfRule type="cellIs" dxfId="426" priority="5" operator="equal">
      <formula>"NO"</formula>
    </cfRule>
    <cfRule type="cellIs" dxfId="425" priority="6" operator="equal">
      <formula>"SI"</formula>
    </cfRule>
  </conditionalFormatting>
  <dataValidations count="3">
    <dataValidation type="list" allowBlank="1" showInputMessage="1" showErrorMessage="1" sqref="L57:L64" xr:uid="{00000000-0002-0000-1900-000000000000}">
      <formula1>"0,1,2,3,4,5,6"</formula1>
    </dataValidation>
    <dataValidation type="list" allowBlank="1" showInputMessage="1" showErrorMessage="1" sqref="D24:J26" xr:uid="{00000000-0002-0000-1900-000001000000}">
      <formula1>$C$15:$C$19</formula1>
    </dataValidation>
    <dataValidation type="list" allowBlank="1" showInputMessage="1" showErrorMessage="1" sqref="D65:I65" xr:uid="{00000000-0002-0000-1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900-000003000000}">
          <x14:formula1>
            <xm:f>'DATOS INICIALES'!$C$45:$C$46</xm:f>
          </x14:formula1>
          <xm:sqref>D47:I53 J47:J52</xm:sqref>
        </x14:dataValidation>
        <x14:dataValidation type="list" allowBlank="1" showInputMessage="1" showErrorMessage="1" xr:uid="{00000000-0002-0000-1900-000004000000}">
          <x14:formula1>
            <xm:f>'DATOS INICIALES'!$A$50:$A$52</xm:f>
          </x14:formula1>
          <xm:sqref>D46:J46 J55:J56 D58:J63 D55:I57</xm:sqref>
        </x14:dataValidation>
        <x14:dataValidation type="list" allowBlank="1" showInputMessage="1" showErrorMessage="1" xr:uid="{00000000-0002-0000-1900-000005000000}">
          <x14:formula1>
            <xm:f>'DATOS INICIALES'!$A$54:$A$59</xm:f>
          </x14:formula1>
          <xm:sqref>D23:I23</xm:sqref>
        </x14:dataValidation>
        <x14:dataValidation type="list" allowBlank="1" showInputMessage="1" showErrorMessage="1" xr:uid="{00000000-0002-0000-1900-000006000000}">
          <x14:formula1>
            <xm:f>'DATOS INICIALES'!$D$21:$D$25</xm:f>
          </x14:formula1>
          <xm:sqref>M47:M54</xm:sqref>
        </x14:dataValidation>
        <x14:dataValidation type="list" allowBlank="1" showInputMessage="1" showErrorMessage="1" xr:uid="{00000000-0002-0000-1900-000007000000}">
          <x14:formula1>
            <xm:f>'DATOS INICIALES'!$A$13:$A$43</xm:f>
          </x14:formula1>
          <xm:sqref>D31:I31</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48.5703125" customWidth="1"/>
    <col min="5" max="5" width="39.14062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23</v>
      </c>
      <c r="B11" s="2" t="s">
        <v>24</v>
      </c>
      <c r="C11" s="287" t="str">
        <f>VLOOKUP(A11,PROPONENTES!$A$10:$B$42,2,FALSE)</f>
        <v>UNIOBRAS SAS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UNIOBRAS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10608.758399999999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10608.758399999999</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10608.758399999999</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10608.758399999999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265</v>
      </c>
      <c r="E24" s="90" t="s">
        <v>265</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304</v>
      </c>
      <c r="E27" s="91" t="s">
        <v>305</v>
      </c>
      <c r="F27" s="91"/>
      <c r="G27" s="91"/>
      <c r="H27" s="91"/>
      <c r="I27" s="91"/>
      <c r="J27" s="91"/>
      <c r="K27" s="245"/>
      <c r="L27" s="246"/>
    </row>
    <row r="28" spans="2:14" ht="156.75" customHeight="1" x14ac:dyDescent="0.25">
      <c r="B28" s="250"/>
      <c r="C28" s="25" t="s">
        <v>38</v>
      </c>
      <c r="D28" s="91" t="s">
        <v>306</v>
      </c>
      <c r="E28" s="91" t="s">
        <v>307</v>
      </c>
      <c r="F28" s="91"/>
      <c r="G28" s="91"/>
      <c r="H28" s="91"/>
      <c r="I28" s="91"/>
      <c r="J28" s="91"/>
      <c r="K28" s="245"/>
      <c r="L28" s="246"/>
    </row>
    <row r="29" spans="2:14" ht="52.5" customHeight="1" x14ac:dyDescent="0.25">
      <c r="B29" s="250"/>
      <c r="C29" s="25" t="s">
        <v>169</v>
      </c>
      <c r="D29" s="95">
        <v>42208</v>
      </c>
      <c r="E29" s="95">
        <v>43213</v>
      </c>
      <c r="F29" s="95"/>
      <c r="G29" s="95"/>
      <c r="H29" s="95"/>
      <c r="I29" s="95"/>
      <c r="J29" s="95"/>
      <c r="K29" s="245"/>
      <c r="L29" s="246"/>
    </row>
    <row r="30" spans="2:14" ht="54.75" customHeight="1" x14ac:dyDescent="0.25">
      <c r="B30" s="250"/>
      <c r="C30" s="25" t="s">
        <v>42</v>
      </c>
      <c r="D30" s="95">
        <v>42855</v>
      </c>
      <c r="E30" s="95">
        <v>43636</v>
      </c>
      <c r="F30" s="95"/>
      <c r="G30" s="95"/>
      <c r="H30" s="95"/>
      <c r="I30" s="95"/>
      <c r="J30" s="95"/>
      <c r="K30" s="245"/>
      <c r="L30" s="246"/>
    </row>
    <row r="31" spans="2:14" ht="41.25" customHeight="1" x14ac:dyDescent="0.25">
      <c r="B31" s="250"/>
      <c r="C31" s="25" t="s">
        <v>39</v>
      </c>
      <c r="D31" s="92">
        <v>2017</v>
      </c>
      <c r="E31" s="92">
        <v>2019</v>
      </c>
      <c r="F31" s="92"/>
      <c r="G31" s="92"/>
      <c r="H31" s="92"/>
      <c r="I31" s="92"/>
      <c r="J31" s="92"/>
      <c r="K31" s="245"/>
      <c r="L31" s="246"/>
    </row>
    <row r="32" spans="2:14" ht="63" customHeight="1" x14ac:dyDescent="0.25">
      <c r="B32" s="250"/>
      <c r="C32" s="25" t="s">
        <v>40</v>
      </c>
      <c r="D32" s="91" t="s">
        <v>308</v>
      </c>
      <c r="E32" s="91" t="s">
        <v>309</v>
      </c>
      <c r="F32" s="91"/>
      <c r="G32" s="91"/>
      <c r="H32" s="91"/>
      <c r="I32" s="91"/>
      <c r="J32" s="91"/>
      <c r="K32" s="245"/>
      <c r="L32" s="246"/>
    </row>
    <row r="33" spans="2:12" ht="46.5" customHeight="1" x14ac:dyDescent="0.25">
      <c r="B33" s="250"/>
      <c r="C33" s="25" t="s">
        <v>41</v>
      </c>
      <c r="D33" s="91" t="s">
        <v>311</v>
      </c>
      <c r="E33" s="91" t="s">
        <v>310</v>
      </c>
      <c r="F33" s="91"/>
      <c r="G33" s="91"/>
      <c r="H33" s="91"/>
      <c r="I33" s="91"/>
      <c r="J33" s="91"/>
      <c r="K33" s="245"/>
      <c r="L33" s="246"/>
    </row>
    <row r="34" spans="2:12" ht="27.75" customHeight="1" x14ac:dyDescent="0.25">
      <c r="B34" s="250"/>
      <c r="C34" s="27" t="s">
        <v>35</v>
      </c>
      <c r="D34" s="96">
        <v>7</v>
      </c>
      <c r="E34" s="96">
        <v>9</v>
      </c>
      <c r="F34" s="96"/>
      <c r="G34" s="97"/>
      <c r="H34" s="97"/>
      <c r="I34" s="97"/>
      <c r="J34" s="97"/>
      <c r="K34" s="245"/>
      <c r="L34" s="246"/>
    </row>
    <row r="35" spans="2:12" ht="102.75" customHeight="1" x14ac:dyDescent="0.25">
      <c r="B35" s="250"/>
      <c r="C35" s="25" t="s">
        <v>137</v>
      </c>
      <c r="D35" s="93">
        <v>7113.32</v>
      </c>
      <c r="E35" s="93">
        <v>7222.84</v>
      </c>
      <c r="F35" s="93"/>
      <c r="G35" s="93"/>
      <c r="H35" s="93"/>
      <c r="I35" s="93"/>
      <c r="J35" s="93"/>
      <c r="K35" s="245"/>
      <c r="L35" s="246"/>
    </row>
    <row r="36" spans="2:12" ht="48" customHeight="1" x14ac:dyDescent="0.25">
      <c r="B36" s="250"/>
      <c r="C36" s="25" t="s">
        <v>76</v>
      </c>
      <c r="D36" s="105">
        <f>IFERROR(D35*VLOOKUP(D31,'DATOS INICIALES'!$A$12:$B$43,2,0),"0")</f>
        <v>5247617090.4399996</v>
      </c>
      <c r="E36" s="105">
        <f>IFERROR(E35*VLOOKUP(E31,'DATOS INICIALES'!$A$12:$B$43,2,0),"0")</f>
        <v>5981349369.4400005</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0.74</v>
      </c>
      <c r="E37" s="94">
        <v>0.74</v>
      </c>
      <c r="F37" s="94"/>
      <c r="G37" s="94"/>
      <c r="H37" s="94"/>
      <c r="I37" s="94"/>
      <c r="J37" s="94"/>
      <c r="K37" s="245"/>
      <c r="L37" s="246"/>
    </row>
    <row r="38" spans="2:12" ht="48.75" customHeight="1" x14ac:dyDescent="0.25">
      <c r="B38" s="250"/>
      <c r="C38" s="25" t="s">
        <v>144</v>
      </c>
      <c r="D38" s="105">
        <f t="shared" ref="D38:J38" si="3">IF(D24="","0",D37*D36)</f>
        <v>3883236646.9255996</v>
      </c>
      <c r="E38" s="105">
        <f t="shared" si="3"/>
        <v>4426198533.3856001</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5263.8567999999996</v>
      </c>
      <c r="E39" s="106">
        <f t="shared" si="4"/>
        <v>5344.9016000000001</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c r="E47" s="96"/>
      <c r="F47" s="96"/>
      <c r="G47" s="96"/>
      <c r="H47" s="96"/>
      <c r="I47" s="96"/>
      <c r="J47" s="97"/>
      <c r="K47" s="245"/>
      <c r="L47" s="246"/>
    </row>
    <row r="48" spans="2:12" ht="24.75" customHeight="1" x14ac:dyDescent="0.25">
      <c r="B48" s="256"/>
      <c r="C48" s="28">
        <f>+'DATOS INICIALES'!D22</f>
        <v>72102900</v>
      </c>
      <c r="D48" s="96" t="s">
        <v>79</v>
      </c>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t="s">
        <v>79</v>
      </c>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424" priority="13">
      <formula>LEN(TRIM(D25))=0</formula>
    </cfRule>
    <cfRule type="notContainsErrors" dxfId="423" priority="14">
      <formula>NOT(ISERROR(D25))</formula>
    </cfRule>
  </conditionalFormatting>
  <conditionalFormatting sqref="D34:J34 D24:K24 D37:J37 D40:J40 D43:J43 D46:J53 D55:J63 K64:L64 D65:K65">
    <cfRule type="containsBlanks" dxfId="422" priority="15">
      <formula>LEN(TRIM(D24))=0</formula>
    </cfRule>
  </conditionalFormatting>
  <conditionalFormatting sqref="D46:J53">
    <cfRule type="cellIs" dxfId="421" priority="11" operator="equal">
      <formula>"NO CUMPLE"</formula>
    </cfRule>
    <cfRule type="cellIs" dxfId="420" priority="12" operator="equal">
      <formula>"CUMPLE"</formula>
    </cfRule>
  </conditionalFormatting>
  <conditionalFormatting sqref="D54:J54">
    <cfRule type="cellIs" dxfId="419" priority="27" operator="equal">
      <formula>"""CUMPLE"""</formula>
    </cfRule>
    <cfRule type="cellIs" dxfId="418" priority="26" operator="equal">
      <formula>"NO CUMPLE"</formula>
    </cfRule>
    <cfRule type="cellIs" dxfId="417" priority="25" operator="equal">
      <formula>"CUMPLE"</formula>
    </cfRule>
    <cfRule type="cellIs" dxfId="416" priority="21" operator="equal">
      <formula>"N/A"</formula>
    </cfRule>
  </conditionalFormatting>
  <conditionalFormatting sqref="D55:J63">
    <cfRule type="cellIs" dxfId="415" priority="3" operator="equal">
      <formula>"NO CUMPLE"</formula>
    </cfRule>
    <cfRule type="cellIs" dxfId="414" priority="4" operator="equal">
      <formula>"CUMPLE"</formula>
    </cfRule>
  </conditionalFormatting>
  <conditionalFormatting sqref="D64:J64">
    <cfRule type="cellIs" dxfId="413" priority="19" operator="equal">
      <formula>"NO CUMPLE"</formula>
    </cfRule>
    <cfRule type="cellIs" dxfId="412" priority="20" operator="equal">
      <formula>"""CUMPLE"""</formula>
    </cfRule>
    <cfRule type="cellIs" dxfId="411" priority="17" operator="equal">
      <formula>"N/A"</formula>
    </cfRule>
    <cfRule type="cellIs" dxfId="410" priority="18" operator="equal">
      <formula>"CUMPLE"</formula>
    </cfRule>
  </conditionalFormatting>
  <conditionalFormatting sqref="D65:J65">
    <cfRule type="cellIs" dxfId="409" priority="9" operator="equal">
      <formula>"NO CUMPLE"</formula>
    </cfRule>
    <cfRule type="cellIs" dxfId="408" priority="10" operator="equal">
      <formula>"CUMPLE"</formula>
    </cfRule>
  </conditionalFormatting>
  <conditionalFormatting sqref="D24:K24 D34:J34 D37:J37 D40:J40 D43:J43 D46:J53 D55:J63 K64:L64 D65:K65">
    <cfRule type="notContainsErrors" dxfId="407" priority="16">
      <formula>NOT(ISERROR(D24))</formula>
    </cfRule>
  </conditionalFormatting>
  <conditionalFormatting sqref="F20:H20">
    <cfRule type="cellIs" dxfId="406" priority="31" operator="equal">
      <formula>"CUMPLE"</formula>
    </cfRule>
    <cfRule type="cellIs" dxfId="405" priority="32" operator="equal">
      <formula>"NO CUMPLE"</formula>
    </cfRule>
    <cfRule type="cellIs" dxfId="404" priority="33" operator="equal">
      <formula>"""CUMPLE"""</formula>
    </cfRule>
  </conditionalFormatting>
  <conditionalFormatting sqref="I11">
    <cfRule type="containsText" dxfId="403" priority="37" operator="containsText" text="NO CUMPLE">
      <formula>NOT(ISERROR(SEARCH("NO CUMPLE",I11)))</formula>
    </cfRule>
    <cfRule type="containsText" dxfId="402" priority="34" operator="containsText" text="INHABILITADO">
      <formula>NOT(ISERROR(SEARCH("INHABILITADO",I11)))</formula>
    </cfRule>
    <cfRule type="containsText" dxfId="401" priority="35" operator="containsText" text="HABILITADO">
      <formula>NOT(ISERROR(SEARCH("HABILITADO",I11)))</formula>
    </cfRule>
    <cfRule type="containsText" dxfId="400" priority="36" operator="containsText" text="HABILITADO">
      <formula>NOT(ISERROR(SEARCH("HABILITADO",I11)))</formula>
    </cfRule>
  </conditionalFormatting>
  <conditionalFormatting sqref="J20">
    <cfRule type="cellIs" dxfId="399" priority="8" operator="equal">
      <formula>"SI"</formula>
    </cfRule>
    <cfRule type="cellIs" dxfId="398" priority="7" operator="equal">
      <formula>"NO"</formula>
    </cfRule>
  </conditionalFormatting>
  <conditionalFormatting sqref="K19">
    <cfRule type="cellIs" dxfId="397" priority="22" operator="equal">
      <formula>"CUMPLE"</formula>
    </cfRule>
    <cfRule type="cellIs" dxfId="396" priority="23" operator="equal">
      <formula>"NO CUMPLE"</formula>
    </cfRule>
    <cfRule type="cellIs" dxfId="395" priority="24" operator="equal">
      <formula>"""CUMPLE"""</formula>
    </cfRule>
  </conditionalFormatting>
  <conditionalFormatting sqref="K25:K63">
    <cfRule type="notContainsErrors" dxfId="394" priority="2">
      <formula>NOT(ISERROR(K25))</formula>
    </cfRule>
    <cfRule type="containsBlanks" dxfId="393" priority="1">
      <formula>LEN(TRIM(K25))=0</formula>
    </cfRule>
  </conditionalFormatting>
  <conditionalFormatting sqref="L15">
    <cfRule type="cellIs" dxfId="392" priority="28" operator="equal">
      <formula>"CUMPLE"</formula>
    </cfRule>
    <cfRule type="cellIs" dxfId="391" priority="29" operator="equal">
      <formula>"NO CUMPLE"</formula>
    </cfRule>
    <cfRule type="cellIs" dxfId="390" priority="30" operator="equal">
      <formula>"""CUMPLE"""</formula>
    </cfRule>
  </conditionalFormatting>
  <conditionalFormatting sqref="L20">
    <cfRule type="cellIs" dxfId="389" priority="5" operator="equal">
      <formula>"NO"</formula>
    </cfRule>
    <cfRule type="cellIs" dxfId="388" priority="6" operator="equal">
      <formula>"SI"</formula>
    </cfRule>
  </conditionalFormatting>
  <dataValidations count="3">
    <dataValidation type="list" allowBlank="1" showInputMessage="1" showErrorMessage="1" sqref="D65:I65" xr:uid="{00000000-0002-0000-1A00-000000000000}">
      <formula1>"CUMPLE,NO CUMPLE"</formula1>
    </dataValidation>
    <dataValidation type="list" allowBlank="1" showInputMessage="1" showErrorMessage="1" sqref="D24:J26" xr:uid="{00000000-0002-0000-1A00-000001000000}">
      <formula1>$C$15:$C$19</formula1>
    </dataValidation>
    <dataValidation type="list" allowBlank="1" showInputMessage="1" showErrorMessage="1" sqref="L57:L64" xr:uid="{00000000-0002-0000-1A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A00-000003000000}">
          <x14:formula1>
            <xm:f>'DATOS INICIALES'!$A$13:$A$43</xm:f>
          </x14:formula1>
          <xm:sqref>D31:I31</xm:sqref>
        </x14:dataValidation>
        <x14:dataValidation type="list" allowBlank="1" showInputMessage="1" showErrorMessage="1" xr:uid="{00000000-0002-0000-1A00-000004000000}">
          <x14:formula1>
            <xm:f>'DATOS INICIALES'!$D$21:$D$25</xm:f>
          </x14:formula1>
          <xm:sqref>M47:M54</xm:sqref>
        </x14:dataValidation>
        <x14:dataValidation type="list" allowBlank="1" showInputMessage="1" showErrorMessage="1" xr:uid="{00000000-0002-0000-1A00-000005000000}">
          <x14:formula1>
            <xm:f>'DATOS INICIALES'!$A$54:$A$59</xm:f>
          </x14:formula1>
          <xm:sqref>D23:I23</xm:sqref>
        </x14:dataValidation>
        <x14:dataValidation type="list" allowBlank="1" showInputMessage="1" showErrorMessage="1" xr:uid="{00000000-0002-0000-1A00-000006000000}">
          <x14:formula1>
            <xm:f>'DATOS INICIALES'!$A$50:$A$52</xm:f>
          </x14:formula1>
          <xm:sqref>D58:J63 D46:J46 J55:J56 D55:I57</xm:sqref>
        </x14:dataValidation>
        <x14:dataValidation type="list" allowBlank="1" showInputMessage="1" showErrorMessage="1" xr:uid="{00000000-0002-0000-1A00-000007000000}">
          <x14:formula1>
            <xm:f>'DATOS INICIALES'!$C$45:$C$46</xm:f>
          </x14:formula1>
          <xm:sqref>D47:I53 J47:J52</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65"/>
  <sheetViews>
    <sheetView view="pageBreakPreview" zoomScale="55" zoomScaleNormal="55" zoomScaleSheetLayoutView="55" workbookViewId="0">
      <pane ySplit="11" topLeftCell="A25" activePane="bottomLeft" state="frozenSplit"/>
      <selection activeCell="D65" sqref="D65"/>
      <selection pane="bottomLeft" activeCell="E46" sqref="E46"/>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24</v>
      </c>
      <c r="B11" s="2" t="s">
        <v>24</v>
      </c>
      <c r="C11" s="287" t="str">
        <f>VLOOKUP(A11,PROPONENTES!$A$10:$B$42,2,FALSE)</f>
        <v>CONSORCIO T&amp;G PARQUES IV</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TCONSTRUYE INGENIERIA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2688.8450000000003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2688.8450000000003</v>
      </c>
      <c r="L15" s="236" t="str">
        <f>IF(K15&gt;=J15,"CUMPLE","NO CUMPLE")</f>
        <v>CUMPLE</v>
      </c>
    </row>
    <row r="16" spans="1:12" ht="33.75" customHeight="1" x14ac:dyDescent="0.25">
      <c r="B16" s="244"/>
      <c r="C16" s="100" t="str">
        <f>IF(VLOOKUP(C11,PROPONENTES!B10:N111,4,FALSE)=0,"",VLOOKUP(C11,PROPONENTES!B10:N111,4,FALSE))</f>
        <v>GYMCOL SAS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2688.8450000000003</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2688.8450000000003</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267</v>
      </c>
      <c r="E24" s="90" t="s">
        <v>267</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312</v>
      </c>
      <c r="E27" s="91" t="s">
        <v>313</v>
      </c>
      <c r="F27" s="91"/>
      <c r="G27" s="91"/>
      <c r="H27" s="91"/>
      <c r="I27" s="91"/>
      <c r="J27" s="91"/>
      <c r="K27" s="245"/>
      <c r="L27" s="246"/>
    </row>
    <row r="28" spans="2:14" ht="156.75" customHeight="1" x14ac:dyDescent="0.25">
      <c r="B28" s="250"/>
      <c r="C28" s="25" t="s">
        <v>38</v>
      </c>
      <c r="D28" s="91" t="s">
        <v>314</v>
      </c>
      <c r="E28" s="91" t="s">
        <v>320</v>
      </c>
      <c r="F28" s="91"/>
      <c r="G28" s="91"/>
      <c r="H28" s="91"/>
      <c r="I28" s="91"/>
      <c r="J28" s="91"/>
      <c r="K28" s="245"/>
      <c r="L28" s="246"/>
    </row>
    <row r="29" spans="2:14" ht="52.5" customHeight="1" x14ac:dyDescent="0.25">
      <c r="B29" s="250"/>
      <c r="C29" s="25" t="s">
        <v>169</v>
      </c>
      <c r="D29" s="95">
        <v>38408</v>
      </c>
      <c r="E29" s="95">
        <v>39204</v>
      </c>
      <c r="F29" s="95"/>
      <c r="G29" s="95"/>
      <c r="H29" s="95"/>
      <c r="I29" s="95"/>
      <c r="J29" s="95"/>
      <c r="K29" s="245"/>
      <c r="L29" s="246"/>
    </row>
    <row r="30" spans="2:14" ht="54.75" customHeight="1" x14ac:dyDescent="0.25">
      <c r="B30" s="250"/>
      <c r="C30" s="25" t="s">
        <v>42</v>
      </c>
      <c r="D30" s="95">
        <v>38879</v>
      </c>
      <c r="E30" s="95">
        <v>39355</v>
      </c>
      <c r="F30" s="95"/>
      <c r="G30" s="95"/>
      <c r="H30" s="95"/>
      <c r="I30" s="95"/>
      <c r="J30" s="95"/>
      <c r="K30" s="245"/>
      <c r="L30" s="246"/>
    </row>
    <row r="31" spans="2:14" ht="41.25" customHeight="1" x14ac:dyDescent="0.25">
      <c r="B31" s="250"/>
      <c r="C31" s="25" t="s">
        <v>39</v>
      </c>
      <c r="D31" s="92">
        <v>2006</v>
      </c>
      <c r="E31" s="92">
        <v>2001</v>
      </c>
      <c r="F31" s="92"/>
      <c r="G31" s="92"/>
      <c r="H31" s="92"/>
      <c r="I31" s="92"/>
      <c r="J31" s="92"/>
      <c r="K31" s="245"/>
      <c r="L31" s="246"/>
    </row>
    <row r="32" spans="2:14" ht="63" customHeight="1" x14ac:dyDescent="0.25">
      <c r="B32" s="250"/>
      <c r="C32" s="25" t="s">
        <v>40</v>
      </c>
      <c r="D32" s="91" t="s">
        <v>315</v>
      </c>
      <c r="E32" s="91" t="s">
        <v>315</v>
      </c>
      <c r="F32" s="91"/>
      <c r="G32" s="91"/>
      <c r="H32" s="91"/>
      <c r="I32" s="91"/>
      <c r="J32" s="91"/>
      <c r="K32" s="245"/>
      <c r="L32" s="246"/>
    </row>
    <row r="33" spans="2:12" ht="46.5" customHeight="1" x14ac:dyDescent="0.25">
      <c r="B33" s="250"/>
      <c r="C33" s="25" t="s">
        <v>41</v>
      </c>
      <c r="D33" s="91" t="s">
        <v>318</v>
      </c>
      <c r="E33" s="91" t="s">
        <v>319</v>
      </c>
      <c r="F33" s="91"/>
      <c r="G33" s="91"/>
      <c r="H33" s="91"/>
      <c r="I33" s="91"/>
      <c r="J33" s="91"/>
      <c r="K33" s="245"/>
      <c r="L33" s="246"/>
    </row>
    <row r="34" spans="2:12" ht="27.75" customHeight="1" x14ac:dyDescent="0.25">
      <c r="B34" s="250"/>
      <c r="C34" s="27" t="s">
        <v>35</v>
      </c>
      <c r="D34" s="96" t="s">
        <v>316</v>
      </c>
      <c r="E34" s="96" t="s">
        <v>317</v>
      </c>
      <c r="F34" s="96"/>
      <c r="G34" s="97"/>
      <c r="H34" s="97"/>
      <c r="I34" s="97"/>
      <c r="J34" s="97"/>
      <c r="K34" s="245"/>
      <c r="L34" s="246"/>
    </row>
    <row r="35" spans="2:12" ht="102.75" customHeight="1" x14ac:dyDescent="0.25">
      <c r="B35" s="250"/>
      <c r="C35" s="25" t="s">
        <v>137</v>
      </c>
      <c r="D35" s="93">
        <v>1966.65</v>
      </c>
      <c r="E35" s="93">
        <v>1444.39</v>
      </c>
      <c r="F35" s="93"/>
      <c r="G35" s="93"/>
      <c r="H35" s="93"/>
      <c r="I35" s="93"/>
      <c r="J35" s="93"/>
      <c r="K35" s="245"/>
      <c r="L35" s="246"/>
    </row>
    <row r="36" spans="2:12" ht="48" customHeight="1" x14ac:dyDescent="0.25">
      <c r="B36" s="250"/>
      <c r="C36" s="25" t="s">
        <v>76</v>
      </c>
      <c r="D36" s="105">
        <f>IFERROR(D35*VLOOKUP(D31,'DATOS INICIALES'!$A$12:$B$43,2,0),"0")</f>
        <v>802393200</v>
      </c>
      <c r="E36" s="105">
        <f>IFERROR(E35*VLOOKUP(E31,'DATOS INICIALES'!$A$12:$B$43,2,0),"0")</f>
        <v>413095540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0.5</v>
      </c>
      <c r="F37" s="94"/>
      <c r="G37" s="94"/>
      <c r="H37" s="94"/>
      <c r="I37" s="94"/>
      <c r="J37" s="94"/>
      <c r="K37" s="245"/>
      <c r="L37" s="246"/>
    </row>
    <row r="38" spans="2:12" ht="48.75" customHeight="1" x14ac:dyDescent="0.25">
      <c r="B38" s="250"/>
      <c r="C38" s="25" t="s">
        <v>144</v>
      </c>
      <c r="D38" s="105">
        <f t="shared" ref="D38:J38" si="3">IF(D24="","0",D37*D36)</f>
        <v>802393200</v>
      </c>
      <c r="E38" s="105">
        <f t="shared" si="3"/>
        <v>206547770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1966.65</v>
      </c>
      <c r="E39" s="106">
        <f t="shared" si="4"/>
        <v>722.19500000000005</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c r="E47" s="96"/>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t="s">
        <v>79</v>
      </c>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387" priority="13">
      <formula>LEN(TRIM(D25))=0</formula>
    </cfRule>
    <cfRule type="notContainsErrors" dxfId="386" priority="14">
      <formula>NOT(ISERROR(D25))</formula>
    </cfRule>
  </conditionalFormatting>
  <conditionalFormatting sqref="D34:J34 D24:K24 D37:J37 D40:J40 D43:J43 D46:J53 D55:J63 K64:L64 D65:K65">
    <cfRule type="containsBlanks" dxfId="385" priority="15">
      <formula>LEN(TRIM(D24))=0</formula>
    </cfRule>
  </conditionalFormatting>
  <conditionalFormatting sqref="D46:J53">
    <cfRule type="cellIs" dxfId="384" priority="11" operator="equal">
      <formula>"NO CUMPLE"</formula>
    </cfRule>
    <cfRule type="cellIs" dxfId="383" priority="12" operator="equal">
      <formula>"CUMPLE"</formula>
    </cfRule>
  </conditionalFormatting>
  <conditionalFormatting sqref="D54:J54">
    <cfRule type="cellIs" dxfId="382" priority="27" operator="equal">
      <formula>"""CUMPLE"""</formula>
    </cfRule>
    <cfRule type="cellIs" dxfId="381" priority="26" operator="equal">
      <formula>"NO CUMPLE"</formula>
    </cfRule>
    <cfRule type="cellIs" dxfId="380" priority="25" operator="equal">
      <formula>"CUMPLE"</formula>
    </cfRule>
    <cfRule type="cellIs" dxfId="379" priority="21" operator="equal">
      <formula>"N/A"</formula>
    </cfRule>
  </conditionalFormatting>
  <conditionalFormatting sqref="D55:J63">
    <cfRule type="cellIs" dxfId="378" priority="3" operator="equal">
      <formula>"NO CUMPLE"</formula>
    </cfRule>
    <cfRule type="cellIs" dxfId="377" priority="4" operator="equal">
      <formula>"CUMPLE"</formula>
    </cfRule>
  </conditionalFormatting>
  <conditionalFormatting sqref="D64:J64">
    <cfRule type="cellIs" dxfId="376" priority="19" operator="equal">
      <formula>"NO CUMPLE"</formula>
    </cfRule>
    <cfRule type="cellIs" dxfId="375" priority="20" operator="equal">
      <formula>"""CUMPLE"""</formula>
    </cfRule>
    <cfRule type="cellIs" dxfId="374" priority="17" operator="equal">
      <formula>"N/A"</formula>
    </cfRule>
    <cfRule type="cellIs" dxfId="373" priority="18" operator="equal">
      <formula>"CUMPLE"</formula>
    </cfRule>
  </conditionalFormatting>
  <conditionalFormatting sqref="D65:J65">
    <cfRule type="cellIs" dxfId="372" priority="9" operator="equal">
      <formula>"NO CUMPLE"</formula>
    </cfRule>
    <cfRule type="cellIs" dxfId="371" priority="10" operator="equal">
      <formula>"CUMPLE"</formula>
    </cfRule>
  </conditionalFormatting>
  <conditionalFormatting sqref="D24:K24 D34:J34 D37:J37 D40:J40 D43:J43 D46:J53 D55:J63 K64:L64 D65:K65">
    <cfRule type="notContainsErrors" dxfId="370" priority="16">
      <formula>NOT(ISERROR(D24))</formula>
    </cfRule>
  </conditionalFormatting>
  <conditionalFormatting sqref="F20:H20">
    <cfRule type="cellIs" dxfId="369" priority="31" operator="equal">
      <formula>"CUMPLE"</formula>
    </cfRule>
    <cfRule type="cellIs" dxfId="368" priority="32" operator="equal">
      <formula>"NO CUMPLE"</formula>
    </cfRule>
    <cfRule type="cellIs" dxfId="367" priority="33" operator="equal">
      <formula>"""CUMPLE"""</formula>
    </cfRule>
  </conditionalFormatting>
  <conditionalFormatting sqref="I11">
    <cfRule type="containsText" dxfId="366" priority="37" operator="containsText" text="NO CUMPLE">
      <formula>NOT(ISERROR(SEARCH("NO CUMPLE",I11)))</formula>
    </cfRule>
    <cfRule type="containsText" dxfId="365" priority="34" operator="containsText" text="INHABILITADO">
      <formula>NOT(ISERROR(SEARCH("INHABILITADO",I11)))</formula>
    </cfRule>
    <cfRule type="containsText" dxfId="364" priority="35" operator="containsText" text="HABILITADO">
      <formula>NOT(ISERROR(SEARCH("HABILITADO",I11)))</formula>
    </cfRule>
    <cfRule type="containsText" dxfId="363" priority="36" operator="containsText" text="HABILITADO">
      <formula>NOT(ISERROR(SEARCH("HABILITADO",I11)))</formula>
    </cfRule>
  </conditionalFormatting>
  <conditionalFormatting sqref="J20">
    <cfRule type="cellIs" dxfId="362" priority="8" operator="equal">
      <formula>"SI"</formula>
    </cfRule>
    <cfRule type="cellIs" dxfId="361" priority="7" operator="equal">
      <formula>"NO"</formula>
    </cfRule>
  </conditionalFormatting>
  <conditionalFormatting sqref="K19">
    <cfRule type="cellIs" dxfId="360" priority="22" operator="equal">
      <formula>"CUMPLE"</formula>
    </cfRule>
    <cfRule type="cellIs" dxfId="359" priority="23" operator="equal">
      <formula>"NO CUMPLE"</formula>
    </cfRule>
    <cfRule type="cellIs" dxfId="358" priority="24" operator="equal">
      <formula>"""CUMPLE"""</formula>
    </cfRule>
  </conditionalFormatting>
  <conditionalFormatting sqref="K25:K63">
    <cfRule type="notContainsErrors" dxfId="357" priority="2">
      <formula>NOT(ISERROR(K25))</formula>
    </cfRule>
    <cfRule type="containsBlanks" dxfId="356" priority="1">
      <formula>LEN(TRIM(K25))=0</formula>
    </cfRule>
  </conditionalFormatting>
  <conditionalFormatting sqref="L15">
    <cfRule type="cellIs" dxfId="355" priority="28" operator="equal">
      <formula>"CUMPLE"</formula>
    </cfRule>
    <cfRule type="cellIs" dxfId="354" priority="29" operator="equal">
      <formula>"NO CUMPLE"</formula>
    </cfRule>
    <cfRule type="cellIs" dxfId="353" priority="30" operator="equal">
      <formula>"""CUMPLE"""</formula>
    </cfRule>
  </conditionalFormatting>
  <conditionalFormatting sqref="L20">
    <cfRule type="cellIs" dxfId="352" priority="5" operator="equal">
      <formula>"NO"</formula>
    </cfRule>
    <cfRule type="cellIs" dxfId="351" priority="6" operator="equal">
      <formula>"SI"</formula>
    </cfRule>
  </conditionalFormatting>
  <dataValidations count="3">
    <dataValidation type="list" allowBlank="1" showInputMessage="1" showErrorMessage="1" sqref="L57:L64" xr:uid="{00000000-0002-0000-1B00-000000000000}">
      <formula1>"0,1,2,3,4,5,6"</formula1>
    </dataValidation>
    <dataValidation type="list" allowBlank="1" showInputMessage="1" showErrorMessage="1" sqref="D24:J26" xr:uid="{00000000-0002-0000-1B00-000001000000}">
      <formula1>$C$15:$C$19</formula1>
    </dataValidation>
    <dataValidation type="list" allowBlank="1" showInputMessage="1" showErrorMessage="1" sqref="D65:I65" xr:uid="{00000000-0002-0000-1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B00-000003000000}">
          <x14:formula1>
            <xm:f>'DATOS INICIALES'!$C$45:$C$46</xm:f>
          </x14:formula1>
          <xm:sqref>D47:I53 J47:J52</xm:sqref>
        </x14:dataValidation>
        <x14:dataValidation type="list" allowBlank="1" showInputMessage="1" showErrorMessage="1" xr:uid="{00000000-0002-0000-1B00-000004000000}">
          <x14:formula1>
            <xm:f>'DATOS INICIALES'!$A$50:$A$52</xm:f>
          </x14:formula1>
          <xm:sqref>D46:J46 J55:J56 D58:J63 D55:I57</xm:sqref>
        </x14:dataValidation>
        <x14:dataValidation type="list" allowBlank="1" showInputMessage="1" showErrorMessage="1" xr:uid="{00000000-0002-0000-1B00-000005000000}">
          <x14:formula1>
            <xm:f>'DATOS INICIALES'!$A$54:$A$59</xm:f>
          </x14:formula1>
          <xm:sqref>D23:I23</xm:sqref>
        </x14:dataValidation>
        <x14:dataValidation type="list" allowBlank="1" showInputMessage="1" showErrorMessage="1" xr:uid="{00000000-0002-0000-1B00-000006000000}">
          <x14:formula1>
            <xm:f>'DATOS INICIALES'!$D$21:$D$25</xm:f>
          </x14:formula1>
          <xm:sqref>M47:M54</xm:sqref>
        </x14:dataValidation>
        <x14:dataValidation type="list" allowBlank="1" showInputMessage="1" showErrorMessage="1" xr:uid="{00000000-0002-0000-1B00-000007000000}">
          <x14:formula1>
            <xm:f>'DATOS INICIALES'!$A$13:$A$43</xm:f>
          </x14:formula1>
          <xm:sqref>D31:I31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N65"/>
  <sheetViews>
    <sheetView view="pageBreakPreview" topLeftCell="C1" zoomScale="55" zoomScaleNormal="55" zoomScaleSheetLayoutView="55" workbookViewId="0">
      <pane ySplit="11" topLeftCell="A63" activePane="bottomLeft" state="frozenSplit"/>
      <selection activeCell="D65" sqref="D65"/>
      <selection pane="bottomLeft" activeCell="I63" sqref="I63"/>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25</v>
      </c>
      <c r="B11" s="2" t="s">
        <v>24</v>
      </c>
      <c r="C11" s="287" t="str">
        <f>VLOOKUP(A11,PROPONENTES!$A$10:$B$42,2,FALSE)</f>
        <v>CONSORCIO JH KENNEDY</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HMR INGENIERIA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5944.3430000000008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5</v>
      </c>
      <c r="J15" s="235">
        <f>IF(AND(I15&gt;=1,I15&lt;=2),L8,IF(AND(I15&gt;=3,I15&lt;=4),L9,IF(AND(I15&gt;=5,I15&lt;=7),L10)))</f>
        <v>3290.2570903846154</v>
      </c>
      <c r="K15" s="235">
        <f>+E20</f>
        <v>15960.829000000002</v>
      </c>
      <c r="L15" s="236" t="str">
        <f>IF(K15&gt;=J15,"CUMPLE","NO CUMPLE")</f>
        <v>CUMPLE</v>
      </c>
    </row>
    <row r="16" spans="1:12" ht="33.75" customHeight="1" x14ac:dyDescent="0.25">
      <c r="B16" s="244"/>
      <c r="C16" s="100" t="str">
        <f>IF(VLOOKUP(C11,PROPONENTES!B10:N111,4,FALSE)=0,"",VLOOKUP(C11,PROPONENTES!B10:N111,4,FALSE))</f>
        <v>JESUS ELQUIN HERNANDEZ ROJAS</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10016.486000000001</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8430.0740000000005</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15960.829000000002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170" t="s">
        <v>17</v>
      </c>
      <c r="F23" s="26" t="s">
        <v>18</v>
      </c>
      <c r="G23" s="26" t="s">
        <v>19</v>
      </c>
      <c r="H23" s="170" t="s">
        <v>20</v>
      </c>
      <c r="I23" s="26" t="s">
        <v>21</v>
      </c>
      <c r="J23" s="26" t="s">
        <v>165</v>
      </c>
      <c r="K23" s="247" t="s">
        <v>74</v>
      </c>
      <c r="L23" s="248"/>
    </row>
    <row r="24" spans="2:14" ht="39.75" customHeight="1" x14ac:dyDescent="0.25">
      <c r="B24" s="231" t="s">
        <v>134</v>
      </c>
      <c r="C24" s="232"/>
      <c r="D24" s="90" t="s">
        <v>200</v>
      </c>
      <c r="E24" s="90" t="s">
        <v>200</v>
      </c>
      <c r="F24" s="90" t="s">
        <v>270</v>
      </c>
      <c r="G24" s="90" t="s">
        <v>270</v>
      </c>
      <c r="H24" s="90" t="s">
        <v>270</v>
      </c>
      <c r="I24" s="90"/>
      <c r="J24" s="90"/>
      <c r="K24" s="245"/>
      <c r="L24" s="246"/>
    </row>
    <row r="25" spans="2:14" ht="39.75" customHeight="1" x14ac:dyDescent="0.25">
      <c r="B25" s="231" t="s">
        <v>135</v>
      </c>
      <c r="C25" s="232"/>
      <c r="D25" s="90"/>
      <c r="E25" s="90"/>
      <c r="F25" s="90" t="s">
        <v>200</v>
      </c>
      <c r="G25" s="90" t="s">
        <v>200</v>
      </c>
      <c r="H25" s="90" t="s">
        <v>200</v>
      </c>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322</v>
      </c>
      <c r="E27" s="91" t="s">
        <v>323</v>
      </c>
      <c r="F27" s="91" t="s">
        <v>324</v>
      </c>
      <c r="G27" s="91" t="s">
        <v>325</v>
      </c>
      <c r="H27" s="91" t="s">
        <v>326</v>
      </c>
      <c r="I27" s="91"/>
      <c r="J27" s="91"/>
      <c r="K27" s="245"/>
      <c r="L27" s="246"/>
    </row>
    <row r="28" spans="2:14" ht="156.75" customHeight="1" x14ac:dyDescent="0.25">
      <c r="B28" s="250"/>
      <c r="C28" s="25" t="s">
        <v>38</v>
      </c>
      <c r="D28" s="91" t="s">
        <v>327</v>
      </c>
      <c r="E28" s="91" t="s">
        <v>328</v>
      </c>
      <c r="F28" s="91" t="s">
        <v>329</v>
      </c>
      <c r="G28" s="91" t="s">
        <v>330</v>
      </c>
      <c r="H28" s="91" t="s">
        <v>331</v>
      </c>
      <c r="I28" s="91"/>
      <c r="J28" s="91"/>
      <c r="K28" s="245"/>
      <c r="L28" s="246"/>
    </row>
    <row r="29" spans="2:14" ht="52.5" customHeight="1" x14ac:dyDescent="0.25">
      <c r="B29" s="250"/>
      <c r="C29" s="25" t="s">
        <v>169</v>
      </c>
      <c r="D29" s="95">
        <v>43159</v>
      </c>
      <c r="E29" s="95">
        <v>43154</v>
      </c>
      <c r="F29" s="95">
        <v>44602</v>
      </c>
      <c r="G29" s="95">
        <v>44572</v>
      </c>
      <c r="H29" s="95">
        <v>44474</v>
      </c>
      <c r="I29" s="95"/>
      <c r="J29" s="95"/>
      <c r="K29" s="245"/>
      <c r="L29" s="246"/>
    </row>
    <row r="30" spans="2:14" ht="54.75" customHeight="1" x14ac:dyDescent="0.25">
      <c r="B30" s="250"/>
      <c r="C30" s="25" t="s">
        <v>42</v>
      </c>
      <c r="D30" s="95">
        <v>43552</v>
      </c>
      <c r="E30" s="95">
        <v>43726</v>
      </c>
      <c r="F30" s="95">
        <v>45088</v>
      </c>
      <c r="G30" s="95">
        <v>45110</v>
      </c>
      <c r="H30" s="95">
        <v>44925</v>
      </c>
      <c r="I30" s="95"/>
      <c r="J30" s="95"/>
      <c r="K30" s="245"/>
      <c r="L30" s="246"/>
    </row>
    <row r="31" spans="2:14" ht="41.25" customHeight="1" x14ac:dyDescent="0.25">
      <c r="B31" s="250"/>
      <c r="C31" s="25" t="s">
        <v>39</v>
      </c>
      <c r="D31" s="92">
        <v>2019</v>
      </c>
      <c r="E31" s="92">
        <v>2019</v>
      </c>
      <c r="F31" s="92">
        <v>2023</v>
      </c>
      <c r="G31" s="92">
        <v>2023</v>
      </c>
      <c r="H31" s="92">
        <v>2022</v>
      </c>
      <c r="I31" s="92"/>
      <c r="J31" s="92"/>
      <c r="K31" s="245"/>
      <c r="L31" s="246"/>
    </row>
    <row r="32" spans="2:14" ht="63" customHeight="1" x14ac:dyDescent="0.25">
      <c r="B32" s="250"/>
      <c r="C32" s="25" t="s">
        <v>40</v>
      </c>
      <c r="D32" s="91" t="s">
        <v>332</v>
      </c>
      <c r="E32" s="91" t="s">
        <v>333</v>
      </c>
      <c r="F32" s="91" t="s">
        <v>334</v>
      </c>
      <c r="G32" s="91" t="s">
        <v>335</v>
      </c>
      <c r="H32" s="91" t="s">
        <v>336</v>
      </c>
      <c r="I32" s="91"/>
      <c r="J32" s="91"/>
      <c r="K32" s="245"/>
      <c r="L32" s="246"/>
    </row>
    <row r="33" spans="2:12" ht="46.5" customHeight="1" x14ac:dyDescent="0.25">
      <c r="B33" s="250"/>
      <c r="C33" s="25" t="s">
        <v>41</v>
      </c>
      <c r="D33" s="91" t="s">
        <v>343</v>
      </c>
      <c r="E33" s="91" t="s">
        <v>344</v>
      </c>
      <c r="F33" s="91" t="s">
        <v>340</v>
      </c>
      <c r="G33" s="91" t="s">
        <v>341</v>
      </c>
      <c r="H33" s="91" t="s">
        <v>342</v>
      </c>
      <c r="I33" s="91"/>
      <c r="J33" s="91"/>
      <c r="K33" s="245"/>
      <c r="L33" s="246"/>
    </row>
    <row r="34" spans="2:12" ht="27.75" customHeight="1" x14ac:dyDescent="0.25">
      <c r="B34" s="250"/>
      <c r="C34" s="27" t="s">
        <v>35</v>
      </c>
      <c r="D34" s="96">
        <v>95</v>
      </c>
      <c r="E34" s="96">
        <v>43</v>
      </c>
      <c r="F34" s="96" t="s">
        <v>337</v>
      </c>
      <c r="G34" s="97" t="s">
        <v>338</v>
      </c>
      <c r="H34" s="97" t="s">
        <v>339</v>
      </c>
      <c r="I34" s="97"/>
      <c r="J34" s="97"/>
      <c r="K34" s="245"/>
      <c r="L34" s="246"/>
    </row>
    <row r="35" spans="2:12" ht="102.75" customHeight="1" x14ac:dyDescent="0.25">
      <c r="B35" s="250"/>
      <c r="C35" s="25" t="s">
        <v>137</v>
      </c>
      <c r="D35" s="93">
        <v>7777.08</v>
      </c>
      <c r="E35" s="93">
        <v>12193.9</v>
      </c>
      <c r="F35" s="93">
        <v>7457.93</v>
      </c>
      <c r="G35" s="93">
        <v>1527.51</v>
      </c>
      <c r="H35" s="93">
        <v>4548.5600000000004</v>
      </c>
      <c r="I35" s="93"/>
      <c r="J35" s="93"/>
      <c r="K35" s="245"/>
      <c r="L35" s="246"/>
    </row>
    <row r="36" spans="2:12" ht="48" customHeight="1" x14ac:dyDescent="0.25">
      <c r="B36" s="250"/>
      <c r="C36" s="25" t="s">
        <v>76</v>
      </c>
      <c r="D36" s="105">
        <f>IFERROR(D35*VLOOKUP(D31,'DATOS INICIALES'!$A$12:$B$43,2,0),"0")</f>
        <v>6440324381.2799997</v>
      </c>
      <c r="E36" s="105">
        <f>IFERROR(E35*VLOOKUP(E31,'DATOS INICIALES'!$A$12:$B$43,2,0),"0")</f>
        <v>10097963692.4</v>
      </c>
      <c r="F36" s="105">
        <f>IFERROR(F35*VLOOKUP(F31,'DATOS INICIALES'!$A$12:$B$43,2,0),"0")</f>
        <v>8651198800</v>
      </c>
      <c r="G36" s="105">
        <f>IFERROR(G35*VLOOKUP(G31,'DATOS INICIALES'!$A$12:$B$43,2,0),"0")</f>
        <v>1771911600</v>
      </c>
      <c r="H36" s="105">
        <f>IFERROR(H35*VLOOKUP(H31,'DATOS INICIALES'!$A$12:$B$43,2,0),"0")</f>
        <v>4548560000</v>
      </c>
      <c r="I36" s="105" t="str">
        <f>IFERROR(I35*VLOOKUP(I31,'DATOS INICIALES'!$A$12:$B$43,2,0),"0")</f>
        <v>0</v>
      </c>
      <c r="J36" s="105" t="str">
        <f>IFERROR(J35*VLOOKUP(J31,'DATOS INICIALES'!$A$12:$B$43,2,0),"0")</f>
        <v>0</v>
      </c>
      <c r="K36" s="245"/>
      <c r="L36" s="246"/>
    </row>
    <row r="37" spans="2:12" ht="33.75" customHeight="1" x14ac:dyDescent="0.25">
      <c r="B37" s="250"/>
      <c r="C37" s="25" t="s">
        <v>138</v>
      </c>
      <c r="D37" s="94">
        <v>0.3</v>
      </c>
      <c r="E37" s="94">
        <v>0.5</v>
      </c>
      <c r="F37" s="94">
        <v>0.45</v>
      </c>
      <c r="G37" s="94">
        <v>0.95</v>
      </c>
      <c r="H37" s="94">
        <v>0.25</v>
      </c>
      <c r="I37" s="94"/>
      <c r="J37" s="94"/>
      <c r="K37" s="245"/>
      <c r="L37" s="246"/>
    </row>
    <row r="38" spans="2:12" ht="48.75" customHeight="1" x14ac:dyDescent="0.25">
      <c r="B38" s="250"/>
      <c r="C38" s="25" t="s">
        <v>144</v>
      </c>
      <c r="D38" s="105">
        <f t="shared" ref="D38:J38" si="3">IF(D24="","0",D37*D36)</f>
        <v>1932097314.3839998</v>
      </c>
      <c r="E38" s="105">
        <f t="shared" si="3"/>
        <v>5048981846.1999998</v>
      </c>
      <c r="F38" s="105">
        <f t="shared" si="3"/>
        <v>3893039460</v>
      </c>
      <c r="G38" s="105">
        <f t="shared" si="3"/>
        <v>1683316020</v>
      </c>
      <c r="H38" s="105">
        <f t="shared" si="3"/>
        <v>1137140000</v>
      </c>
      <c r="I38" s="105" t="str">
        <f t="shared" si="3"/>
        <v>0</v>
      </c>
      <c r="J38" s="105" t="str">
        <f t="shared" si="3"/>
        <v>0</v>
      </c>
      <c r="K38" s="245"/>
      <c r="L38" s="246"/>
    </row>
    <row r="39" spans="2:12" ht="65.25" customHeight="1" x14ac:dyDescent="0.25">
      <c r="B39" s="250"/>
      <c r="C39" s="25" t="s">
        <v>139</v>
      </c>
      <c r="D39" s="106">
        <f t="shared" ref="D39:J39" si="4">IFERROR(D35*D37,"0")</f>
        <v>2333.1239999999998</v>
      </c>
      <c r="E39" s="106">
        <f t="shared" si="4"/>
        <v>6096.95</v>
      </c>
      <c r="F39" s="106">
        <f t="shared" si="4"/>
        <v>3356.0685000000003</v>
      </c>
      <c r="G39" s="106">
        <f t="shared" si="4"/>
        <v>1451.1344999999999</v>
      </c>
      <c r="H39" s="106">
        <f t="shared" si="4"/>
        <v>1137.1400000000001</v>
      </c>
      <c r="I39" s="106">
        <f t="shared" si="4"/>
        <v>0</v>
      </c>
      <c r="J39" s="106">
        <f t="shared" si="4"/>
        <v>0</v>
      </c>
      <c r="K39" s="245"/>
      <c r="L39" s="246"/>
    </row>
    <row r="40" spans="2:12" ht="65.25" customHeight="1" x14ac:dyDescent="0.25">
      <c r="B40" s="250"/>
      <c r="C40" s="25" t="s">
        <v>140</v>
      </c>
      <c r="D40" s="94"/>
      <c r="E40" s="94"/>
      <c r="F40" s="94">
        <v>0.05</v>
      </c>
      <c r="G40" s="94">
        <v>0.05</v>
      </c>
      <c r="H40" s="94">
        <v>0.25</v>
      </c>
      <c r="I40" s="94"/>
      <c r="J40" s="94"/>
      <c r="K40" s="245"/>
      <c r="L40" s="246"/>
    </row>
    <row r="41" spans="2:12" ht="65.25" customHeight="1" x14ac:dyDescent="0.25">
      <c r="B41" s="250"/>
      <c r="C41" s="25" t="s">
        <v>145</v>
      </c>
      <c r="D41" s="107" t="str">
        <f t="shared" ref="D41:J41" si="5">IF(D25="","0",D40*D36)</f>
        <v>0</v>
      </c>
      <c r="E41" s="107" t="str">
        <f t="shared" si="5"/>
        <v>0</v>
      </c>
      <c r="F41" s="107">
        <f t="shared" si="5"/>
        <v>432559940</v>
      </c>
      <c r="G41" s="107">
        <f t="shared" si="5"/>
        <v>88595580</v>
      </c>
      <c r="H41" s="107">
        <f t="shared" si="5"/>
        <v>1137140000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372.89650000000006</v>
      </c>
      <c r="G42" s="106">
        <f t="shared" si="6"/>
        <v>76.375500000000002</v>
      </c>
      <c r="H42" s="106">
        <f t="shared" si="6"/>
        <v>1137.1400000000001</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t="s">
        <v>14</v>
      </c>
      <c r="G46" s="90" t="s">
        <v>14</v>
      </c>
      <c r="H46" s="90" t="s">
        <v>14</v>
      </c>
      <c r="I46" s="90"/>
      <c r="J46" s="90"/>
      <c r="K46" s="245"/>
      <c r="L46" s="246"/>
    </row>
    <row r="47" spans="2:12" ht="24.75" customHeight="1" x14ac:dyDescent="0.25">
      <c r="B47" s="255" t="s">
        <v>36</v>
      </c>
      <c r="C47" s="28">
        <f>+'DATOS INICIALES'!D21</f>
        <v>72101500</v>
      </c>
      <c r="D47" s="96" t="s">
        <v>79</v>
      </c>
      <c r="E47" s="96"/>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t="s">
        <v>79</v>
      </c>
      <c r="F49" s="96"/>
      <c r="G49" s="96"/>
      <c r="H49" s="96"/>
      <c r="I49" s="96"/>
      <c r="J49" s="97"/>
      <c r="K49" s="245"/>
      <c r="L49" s="246"/>
    </row>
    <row r="50" spans="2:12" ht="24.75" customHeight="1" x14ac:dyDescent="0.25">
      <c r="B50" s="256"/>
      <c r="C50" s="28">
        <f>+'DATOS INICIALES'!D24</f>
        <v>72141100</v>
      </c>
      <c r="D50" s="96"/>
      <c r="E50" s="96"/>
      <c r="F50" s="96" t="s">
        <v>79</v>
      </c>
      <c r="G50" s="96"/>
      <c r="H50" s="96" t="s">
        <v>79</v>
      </c>
      <c r="I50" s="96"/>
      <c r="J50" s="97"/>
      <c r="K50" s="245"/>
      <c r="L50" s="246"/>
    </row>
    <row r="51" spans="2:12" ht="24.75" customHeight="1" x14ac:dyDescent="0.25">
      <c r="B51" s="256"/>
      <c r="C51" s="28">
        <f>+'DATOS INICIALES'!D25</f>
        <v>72141500</v>
      </c>
      <c r="D51" s="96"/>
      <c r="E51" s="96"/>
      <c r="F51" s="96"/>
      <c r="G51" s="96" t="s">
        <v>79</v>
      </c>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CUMPLE</v>
      </c>
      <c r="G54" s="15" t="str">
        <f t="shared" si="9"/>
        <v>CUMPLE</v>
      </c>
      <c r="H54" s="15" t="str">
        <f t="shared" si="9"/>
        <v>CUMPLE</v>
      </c>
      <c r="I54" s="15" t="str">
        <f t="shared" si="9"/>
        <v>N/A</v>
      </c>
      <c r="J54" s="15" t="str">
        <f t="shared" si="9"/>
        <v>N/A</v>
      </c>
      <c r="K54" s="245"/>
      <c r="L54" s="246"/>
    </row>
    <row r="55" spans="2:12" ht="296.25" customHeight="1" x14ac:dyDescent="0.25">
      <c r="B55" s="258" t="s">
        <v>206</v>
      </c>
      <c r="C55" s="259"/>
      <c r="D55" s="90" t="s">
        <v>14</v>
      </c>
      <c r="E55" s="90" t="s">
        <v>14</v>
      </c>
      <c r="F55" s="90" t="s">
        <v>14</v>
      </c>
      <c r="G55" s="90" t="s">
        <v>14</v>
      </c>
      <c r="H55" s="90" t="s">
        <v>14</v>
      </c>
      <c r="I55" s="90"/>
      <c r="J55" s="90"/>
      <c r="K55" s="288"/>
      <c r="L55" s="289"/>
    </row>
    <row r="56" spans="2:12" ht="353.25" customHeight="1" x14ac:dyDescent="0.25">
      <c r="B56" s="258" t="s">
        <v>209</v>
      </c>
      <c r="C56" s="259"/>
      <c r="D56" s="90" t="s">
        <v>14</v>
      </c>
      <c r="E56" s="90" t="s">
        <v>14</v>
      </c>
      <c r="F56" s="90" t="s">
        <v>14</v>
      </c>
      <c r="G56" s="90" t="s">
        <v>14</v>
      </c>
      <c r="H56" s="90" t="s">
        <v>14</v>
      </c>
      <c r="I56" s="90"/>
      <c r="J56" s="90"/>
      <c r="K56" s="288"/>
      <c r="L56" s="289"/>
    </row>
    <row r="57" spans="2:12" ht="99" customHeight="1" x14ac:dyDescent="0.25">
      <c r="B57" s="252" t="s">
        <v>211</v>
      </c>
      <c r="C57" s="253"/>
      <c r="D57" s="90" t="s">
        <v>14</v>
      </c>
      <c r="E57" s="90" t="s">
        <v>14</v>
      </c>
      <c r="F57" s="90" t="s">
        <v>14</v>
      </c>
      <c r="G57" s="90" t="s">
        <v>14</v>
      </c>
      <c r="H57" s="90" t="s">
        <v>14</v>
      </c>
      <c r="I57" s="90"/>
      <c r="J57" s="90"/>
      <c r="K57" s="288"/>
      <c r="L57" s="289"/>
    </row>
    <row r="58" spans="2:12" ht="92.25" customHeight="1" x14ac:dyDescent="0.25">
      <c r="B58" s="252" t="s">
        <v>207</v>
      </c>
      <c r="C58" s="253"/>
      <c r="D58" s="90" t="s">
        <v>14</v>
      </c>
      <c r="E58" s="90" t="s">
        <v>14</v>
      </c>
      <c r="F58" s="90" t="s">
        <v>14</v>
      </c>
      <c r="G58" s="90" t="s">
        <v>14</v>
      </c>
      <c r="H58" s="90" t="s">
        <v>14</v>
      </c>
      <c r="I58" s="90"/>
      <c r="J58" s="90"/>
      <c r="K58" s="288"/>
      <c r="L58" s="289"/>
    </row>
    <row r="59" spans="2:12" ht="291.75" customHeight="1" x14ac:dyDescent="0.25">
      <c r="B59" s="252" t="s">
        <v>208</v>
      </c>
      <c r="C59" s="253"/>
      <c r="D59" s="90" t="s">
        <v>13</v>
      </c>
      <c r="E59" s="90" t="s">
        <v>13</v>
      </c>
      <c r="F59" s="90" t="s">
        <v>13</v>
      </c>
      <c r="G59" s="90" t="s">
        <v>13</v>
      </c>
      <c r="H59" s="90" t="s">
        <v>13</v>
      </c>
      <c r="I59" s="90"/>
      <c r="J59" s="90"/>
      <c r="K59" s="288"/>
      <c r="L59" s="289"/>
    </row>
    <row r="60" spans="2:12" ht="336" customHeight="1" x14ac:dyDescent="0.25">
      <c r="B60" s="180" t="s">
        <v>213</v>
      </c>
      <c r="C60" s="180"/>
      <c r="D60" s="90" t="s">
        <v>14</v>
      </c>
      <c r="E60" s="90" t="s">
        <v>14</v>
      </c>
      <c r="F60" s="90" t="s">
        <v>14</v>
      </c>
      <c r="G60" s="90" t="s">
        <v>14</v>
      </c>
      <c r="H60" s="90" t="s">
        <v>14</v>
      </c>
      <c r="I60" s="90"/>
      <c r="J60" s="90"/>
      <c r="K60" s="288"/>
      <c r="L60" s="289"/>
    </row>
    <row r="61" spans="2:12" ht="129.75" customHeight="1" x14ac:dyDescent="0.25">
      <c r="B61" s="233" t="s">
        <v>168</v>
      </c>
      <c r="C61" s="234"/>
      <c r="D61" s="90" t="s">
        <v>13</v>
      </c>
      <c r="E61" s="90" t="s">
        <v>13</v>
      </c>
      <c r="F61" s="90" t="s">
        <v>13</v>
      </c>
      <c r="G61" s="90" t="s">
        <v>13</v>
      </c>
      <c r="H61" s="90" t="s">
        <v>13</v>
      </c>
      <c r="I61" s="90"/>
      <c r="J61" s="90"/>
      <c r="K61" s="288"/>
      <c r="L61" s="289"/>
    </row>
    <row r="62" spans="2:12" ht="408.75" customHeight="1" x14ac:dyDescent="0.25">
      <c r="B62" s="254" t="s">
        <v>170</v>
      </c>
      <c r="C62" s="254"/>
      <c r="D62" s="90" t="s">
        <v>13</v>
      </c>
      <c r="E62" s="90" t="s">
        <v>13</v>
      </c>
      <c r="F62" s="90" t="s">
        <v>13</v>
      </c>
      <c r="G62" s="90" t="s">
        <v>13</v>
      </c>
      <c r="H62" s="90" t="s">
        <v>13</v>
      </c>
      <c r="I62" s="90"/>
      <c r="J62" s="90"/>
      <c r="K62" s="288"/>
      <c r="L62" s="289"/>
    </row>
    <row r="63" spans="2:12" ht="234.75" customHeight="1" x14ac:dyDescent="0.25">
      <c r="B63" s="180" t="s">
        <v>212</v>
      </c>
      <c r="C63" s="180"/>
      <c r="D63" s="90" t="s">
        <v>14</v>
      </c>
      <c r="E63" s="90" t="s">
        <v>14</v>
      </c>
      <c r="F63" s="90" t="s">
        <v>14</v>
      </c>
      <c r="G63" s="90" t="s">
        <v>14</v>
      </c>
      <c r="H63" s="90" t="s">
        <v>14</v>
      </c>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CUMPLE</v>
      </c>
      <c r="G64" s="15" t="str">
        <f t="shared" si="10"/>
        <v>CUMPLE</v>
      </c>
      <c r="H64" s="15" t="str">
        <f t="shared" si="10"/>
        <v>CUMPLE</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350" priority="13">
      <formula>LEN(TRIM(D25))=0</formula>
    </cfRule>
    <cfRule type="notContainsErrors" dxfId="349" priority="14">
      <formula>NOT(ISERROR(D25))</formula>
    </cfRule>
  </conditionalFormatting>
  <conditionalFormatting sqref="D34:J34 D24:K24 D37:J37 D40:J40 D43:J43 D46:J53 D55:J63 K64:L64 D65:K65">
    <cfRule type="containsBlanks" dxfId="348" priority="15">
      <formula>LEN(TRIM(D24))=0</formula>
    </cfRule>
  </conditionalFormatting>
  <conditionalFormatting sqref="D46:J53">
    <cfRule type="cellIs" dxfId="347" priority="11" operator="equal">
      <formula>"NO CUMPLE"</formula>
    </cfRule>
    <cfRule type="cellIs" dxfId="346" priority="12" operator="equal">
      <formula>"CUMPLE"</formula>
    </cfRule>
  </conditionalFormatting>
  <conditionalFormatting sqref="D54:J54">
    <cfRule type="cellIs" dxfId="345" priority="27" operator="equal">
      <formula>"""CUMPLE"""</formula>
    </cfRule>
    <cfRule type="cellIs" dxfId="344" priority="26" operator="equal">
      <formula>"NO CUMPLE"</formula>
    </cfRule>
    <cfRule type="cellIs" dxfId="343" priority="25" operator="equal">
      <formula>"CUMPLE"</formula>
    </cfRule>
    <cfRule type="cellIs" dxfId="342" priority="21" operator="equal">
      <formula>"N/A"</formula>
    </cfRule>
  </conditionalFormatting>
  <conditionalFormatting sqref="D55:J63">
    <cfRule type="cellIs" dxfId="341" priority="3" operator="equal">
      <formula>"NO CUMPLE"</formula>
    </cfRule>
    <cfRule type="cellIs" dxfId="340" priority="4" operator="equal">
      <formula>"CUMPLE"</formula>
    </cfRule>
  </conditionalFormatting>
  <conditionalFormatting sqref="D64:J64">
    <cfRule type="cellIs" dxfId="339" priority="19" operator="equal">
      <formula>"NO CUMPLE"</formula>
    </cfRule>
    <cfRule type="cellIs" dxfId="338" priority="20" operator="equal">
      <formula>"""CUMPLE"""</formula>
    </cfRule>
    <cfRule type="cellIs" dxfId="337" priority="17" operator="equal">
      <formula>"N/A"</formula>
    </cfRule>
    <cfRule type="cellIs" dxfId="336" priority="18" operator="equal">
      <formula>"CUMPLE"</formula>
    </cfRule>
  </conditionalFormatting>
  <conditionalFormatting sqref="D65:J65">
    <cfRule type="cellIs" dxfId="335" priority="9" operator="equal">
      <formula>"NO CUMPLE"</formula>
    </cfRule>
    <cfRule type="cellIs" dxfId="334" priority="10" operator="equal">
      <formula>"CUMPLE"</formula>
    </cfRule>
  </conditionalFormatting>
  <conditionalFormatting sqref="D24:K24 D34:J34 D37:J37 D40:J40 D43:J43 D46:J53 D55:J63 K64:L64 D65:K65">
    <cfRule type="notContainsErrors" dxfId="333" priority="16">
      <formula>NOT(ISERROR(D24))</formula>
    </cfRule>
  </conditionalFormatting>
  <conditionalFormatting sqref="F20:H20">
    <cfRule type="cellIs" dxfId="332" priority="31" operator="equal">
      <formula>"CUMPLE"</formula>
    </cfRule>
    <cfRule type="cellIs" dxfId="331" priority="32" operator="equal">
      <formula>"NO CUMPLE"</formula>
    </cfRule>
    <cfRule type="cellIs" dxfId="330" priority="33" operator="equal">
      <formula>"""CUMPLE"""</formula>
    </cfRule>
  </conditionalFormatting>
  <conditionalFormatting sqref="I11">
    <cfRule type="containsText" dxfId="329" priority="37" operator="containsText" text="NO CUMPLE">
      <formula>NOT(ISERROR(SEARCH("NO CUMPLE",I11)))</formula>
    </cfRule>
    <cfRule type="containsText" dxfId="328" priority="34" operator="containsText" text="INHABILITADO">
      <formula>NOT(ISERROR(SEARCH("INHABILITADO",I11)))</formula>
    </cfRule>
    <cfRule type="containsText" dxfId="327" priority="35" operator="containsText" text="HABILITADO">
      <formula>NOT(ISERROR(SEARCH("HABILITADO",I11)))</formula>
    </cfRule>
    <cfRule type="containsText" dxfId="326" priority="36" operator="containsText" text="HABILITADO">
      <formula>NOT(ISERROR(SEARCH("HABILITADO",I11)))</formula>
    </cfRule>
  </conditionalFormatting>
  <conditionalFormatting sqref="J20">
    <cfRule type="cellIs" dxfId="325" priority="8" operator="equal">
      <formula>"SI"</formula>
    </cfRule>
    <cfRule type="cellIs" dxfId="324" priority="7" operator="equal">
      <formula>"NO"</formula>
    </cfRule>
  </conditionalFormatting>
  <conditionalFormatting sqref="K19">
    <cfRule type="cellIs" dxfId="323" priority="22" operator="equal">
      <formula>"CUMPLE"</formula>
    </cfRule>
    <cfRule type="cellIs" dxfId="322" priority="23" operator="equal">
      <formula>"NO CUMPLE"</formula>
    </cfRule>
    <cfRule type="cellIs" dxfId="321" priority="24" operator="equal">
      <formula>"""CUMPLE"""</formula>
    </cfRule>
  </conditionalFormatting>
  <conditionalFormatting sqref="K25:K63">
    <cfRule type="notContainsErrors" dxfId="320" priority="2">
      <formula>NOT(ISERROR(K25))</formula>
    </cfRule>
    <cfRule type="containsBlanks" dxfId="319" priority="1">
      <formula>LEN(TRIM(K25))=0</formula>
    </cfRule>
  </conditionalFormatting>
  <conditionalFormatting sqref="L15">
    <cfRule type="cellIs" dxfId="318" priority="28" operator="equal">
      <formula>"CUMPLE"</formula>
    </cfRule>
    <cfRule type="cellIs" dxfId="317" priority="29" operator="equal">
      <formula>"NO CUMPLE"</formula>
    </cfRule>
    <cfRule type="cellIs" dxfId="316" priority="30" operator="equal">
      <formula>"""CUMPLE"""</formula>
    </cfRule>
  </conditionalFormatting>
  <conditionalFormatting sqref="L20">
    <cfRule type="cellIs" dxfId="315" priority="5" operator="equal">
      <formula>"NO"</formula>
    </cfRule>
    <cfRule type="cellIs" dxfId="314" priority="6" operator="equal">
      <formula>"SI"</formula>
    </cfRule>
  </conditionalFormatting>
  <dataValidations count="3">
    <dataValidation type="list" allowBlank="1" showInputMessage="1" showErrorMessage="1" sqref="D65:I65" xr:uid="{00000000-0002-0000-1C00-000000000000}">
      <formula1>"CUMPLE,NO CUMPLE"</formula1>
    </dataValidation>
    <dataValidation type="list" allowBlank="1" showInputMessage="1" showErrorMessage="1" sqref="D24:J26" xr:uid="{00000000-0002-0000-1C00-000001000000}">
      <formula1>$C$15:$C$19</formula1>
    </dataValidation>
    <dataValidation type="list" allowBlank="1" showInputMessage="1" showErrorMessage="1" sqref="L57:L64" xr:uid="{00000000-0002-0000-1C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C00-000003000000}">
          <x14:formula1>
            <xm:f>'DATOS INICIALES'!$A$13:$A$43</xm:f>
          </x14:formula1>
          <xm:sqref>D31:I31</xm:sqref>
        </x14:dataValidation>
        <x14:dataValidation type="list" allowBlank="1" showInputMessage="1" showErrorMessage="1" xr:uid="{00000000-0002-0000-1C00-000004000000}">
          <x14:formula1>
            <xm:f>'DATOS INICIALES'!$D$21:$D$25</xm:f>
          </x14:formula1>
          <xm:sqref>M47:M54</xm:sqref>
        </x14:dataValidation>
        <x14:dataValidation type="list" allowBlank="1" showInputMessage="1" showErrorMessage="1" xr:uid="{00000000-0002-0000-1C00-000005000000}">
          <x14:formula1>
            <xm:f>'DATOS INICIALES'!$A$54:$A$59</xm:f>
          </x14:formula1>
          <xm:sqref>D23:I23</xm:sqref>
        </x14:dataValidation>
        <x14:dataValidation type="list" allowBlank="1" showInputMessage="1" showErrorMessage="1" xr:uid="{00000000-0002-0000-1C00-000006000000}">
          <x14:formula1>
            <xm:f>'DATOS INICIALES'!$A$50:$A$52</xm:f>
          </x14:formula1>
          <xm:sqref>D46:J46 J55:J56 D58:J63 D55:I57</xm:sqref>
        </x14:dataValidation>
        <x14:dataValidation type="list" allowBlank="1" showInputMessage="1" showErrorMessage="1" xr:uid="{00000000-0002-0000-1C00-000007000000}">
          <x14:formula1>
            <xm:f>'DATOS INICIALES'!$C$45:$C$46</xm:f>
          </x14:formula1>
          <xm:sqref>D47:I53 J47:J52</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65"/>
  <sheetViews>
    <sheetView view="pageBreakPreview" zoomScale="55" zoomScaleNormal="55" zoomScaleSheetLayoutView="55" workbookViewId="0">
      <pane ySplit="11" topLeftCell="A17" activePane="bottomLeft" state="frozenSplit"/>
      <selection activeCell="D65" sqref="D65"/>
      <selection pane="bottomLeft" activeCell="D65" sqref="D65"/>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26</v>
      </c>
      <c r="B11" s="2" t="s">
        <v>24</v>
      </c>
      <c r="C11" s="287" t="str">
        <f>VLOOKUP(A11,PROPONENTES!$A$10:$B$42,2,FALSE)</f>
        <v>CONSORCIO PARQUES KENNEDY</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GRUPO IPROGEX ZOMAC S.A.S.</v>
      </c>
      <c r="D15" s="101">
        <f>IF(VLOOKUP(C11,PROPONENTES!B10:N111,3,FALSE)=0,"",VLOOKUP(C11,PROPONENTES!B10:N111,3,FALSE))</f>
        <v>0.1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0">
        <f>COUNTIF(D64:I64,"CUMPLE")</f>
        <v>1</v>
      </c>
      <c r="J15" s="235">
        <f>IF(AND(I15&gt;=1,I15&lt;=2),L8,IF(AND(I15&gt;=3,I15&lt;=4),L9,IF(AND(I15&gt;=5,I15&lt;=7),L10)))</f>
        <v>1645.1285451923077</v>
      </c>
      <c r="K15" s="235">
        <f>+E20</f>
        <v>3113.77</v>
      </c>
      <c r="L15" s="236" t="str">
        <f>IF(K15&gt;=J15,"CUMPLE","NO CUMPLE")</f>
        <v>CUMPLE</v>
      </c>
    </row>
    <row r="16" spans="1:12" ht="33.75" customHeight="1" x14ac:dyDescent="0.25">
      <c r="B16" s="244"/>
      <c r="C16" s="100" t="str">
        <f>IF(VLOOKUP(C11,PROPONENTES!B10:N111,4,FALSE)=0,"",VLOOKUP(C11,PROPONENTES!B10:N111,4,FALSE))</f>
        <v>INGECOL HS Y CIA S EN C</v>
      </c>
      <c r="D16" s="101">
        <f>IF(VLOOKUP(C11,PROPONENTES!B10:N111,5,FALSE)=0,"",VLOOKUP(C11,PROPONENTES!B10:N111,5,FALSE))</f>
        <v>0.9</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3113.77</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3113.77</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3113.77</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273</v>
      </c>
      <c r="E24" s="90"/>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520</v>
      </c>
      <c r="E27" s="91"/>
      <c r="F27" s="91"/>
      <c r="G27" s="91"/>
      <c r="H27" s="91"/>
      <c r="I27" s="91"/>
      <c r="J27" s="91"/>
      <c r="K27" s="245"/>
      <c r="L27" s="246"/>
    </row>
    <row r="28" spans="2:14" ht="156.75" customHeight="1" x14ac:dyDescent="0.25">
      <c r="B28" s="250"/>
      <c r="C28" s="25" t="s">
        <v>38</v>
      </c>
      <c r="D28" s="91" t="s">
        <v>521</v>
      </c>
      <c r="E28" s="91"/>
      <c r="F28" s="91"/>
      <c r="G28" s="91"/>
      <c r="H28" s="91"/>
      <c r="I28" s="91"/>
      <c r="J28" s="91"/>
      <c r="K28" s="245"/>
      <c r="L28" s="246"/>
    </row>
    <row r="29" spans="2:14" ht="52.5" customHeight="1" x14ac:dyDescent="0.25">
      <c r="B29" s="250"/>
      <c r="C29" s="25" t="s">
        <v>169</v>
      </c>
      <c r="D29" s="95">
        <v>42135</v>
      </c>
      <c r="E29" s="95"/>
      <c r="F29" s="95"/>
      <c r="G29" s="95"/>
      <c r="H29" s="95"/>
      <c r="I29" s="95"/>
      <c r="J29" s="95"/>
      <c r="K29" s="245"/>
      <c r="L29" s="246"/>
    </row>
    <row r="30" spans="2:14" ht="54.75" customHeight="1" x14ac:dyDescent="0.25">
      <c r="B30" s="250"/>
      <c r="C30" s="25" t="s">
        <v>42</v>
      </c>
      <c r="D30" s="95">
        <v>42606</v>
      </c>
      <c r="E30" s="95"/>
      <c r="F30" s="95"/>
      <c r="G30" s="95"/>
      <c r="H30" s="95"/>
      <c r="I30" s="95"/>
      <c r="J30" s="95"/>
      <c r="K30" s="245"/>
      <c r="L30" s="246"/>
    </row>
    <row r="31" spans="2:14" ht="41.25" customHeight="1" x14ac:dyDescent="0.25">
      <c r="B31" s="250"/>
      <c r="C31" s="25" t="s">
        <v>39</v>
      </c>
      <c r="D31" s="92">
        <v>2016</v>
      </c>
      <c r="E31" s="92"/>
      <c r="F31" s="92"/>
      <c r="G31" s="92"/>
      <c r="H31" s="92"/>
      <c r="I31" s="92"/>
      <c r="J31" s="92"/>
      <c r="K31" s="245"/>
      <c r="L31" s="246"/>
    </row>
    <row r="32" spans="2:14" ht="63" customHeight="1" x14ac:dyDescent="0.25">
      <c r="B32" s="250"/>
      <c r="C32" s="25" t="s">
        <v>40</v>
      </c>
      <c r="D32" s="91" t="s">
        <v>522</v>
      </c>
      <c r="E32" s="91"/>
      <c r="F32" s="91"/>
      <c r="G32" s="91"/>
      <c r="H32" s="91"/>
      <c r="I32" s="91"/>
      <c r="J32" s="91"/>
      <c r="K32" s="245"/>
      <c r="L32" s="246"/>
    </row>
    <row r="33" spans="2:12" ht="46.5" customHeight="1" x14ac:dyDescent="0.25">
      <c r="B33" s="250"/>
      <c r="C33" s="25" t="s">
        <v>41</v>
      </c>
      <c r="D33" s="91" t="s">
        <v>523</v>
      </c>
      <c r="E33" s="91"/>
      <c r="F33" s="91"/>
      <c r="G33" s="91"/>
      <c r="H33" s="91"/>
      <c r="I33" s="91"/>
      <c r="J33" s="91"/>
      <c r="K33" s="245"/>
      <c r="L33" s="246"/>
    </row>
    <row r="34" spans="2:12" ht="27.75" customHeight="1" x14ac:dyDescent="0.25">
      <c r="B34" s="250"/>
      <c r="C34" s="27" t="s">
        <v>35</v>
      </c>
      <c r="D34" s="96">
        <v>126</v>
      </c>
      <c r="E34" s="96"/>
      <c r="F34" s="96"/>
      <c r="G34" s="97"/>
      <c r="H34" s="97"/>
      <c r="I34" s="97"/>
      <c r="J34" s="97"/>
      <c r="K34" s="245"/>
      <c r="L34" s="246"/>
    </row>
    <row r="35" spans="2:12" ht="102.75" customHeight="1" x14ac:dyDescent="0.25">
      <c r="B35" s="250"/>
      <c r="C35" s="25" t="s">
        <v>137</v>
      </c>
      <c r="D35" s="93">
        <v>5661.4</v>
      </c>
      <c r="E35" s="93"/>
      <c r="F35" s="93"/>
      <c r="G35" s="93"/>
      <c r="H35" s="93"/>
      <c r="I35" s="93"/>
      <c r="J35" s="93"/>
      <c r="K35" s="245"/>
      <c r="L35" s="246"/>
    </row>
    <row r="36" spans="2:12" ht="48" customHeight="1" x14ac:dyDescent="0.25">
      <c r="B36" s="250"/>
      <c r="C36" s="25" t="s">
        <v>76</v>
      </c>
      <c r="D36" s="105">
        <f>IFERROR(D35*VLOOKUP(D31,'DATOS INICIALES'!$A$12:$B$43,2,0),"0")</f>
        <v>3903280536.9999995</v>
      </c>
      <c r="E36" s="105" t="str">
        <f>IFERROR(E35*VLOOKUP(E31,'DATOS INICIALES'!$A$12:$B$43,2,0),"0")</f>
        <v>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0.55000000000000004</v>
      </c>
      <c r="E37" s="94"/>
      <c r="F37" s="94"/>
      <c r="G37" s="94"/>
      <c r="H37" s="94"/>
      <c r="I37" s="94"/>
      <c r="J37" s="94"/>
      <c r="K37" s="245"/>
      <c r="L37" s="246"/>
    </row>
    <row r="38" spans="2:12" ht="48.75" customHeight="1" x14ac:dyDescent="0.25">
      <c r="B38" s="250"/>
      <c r="C38" s="25" t="s">
        <v>144</v>
      </c>
      <c r="D38" s="105">
        <f t="shared" ref="D38:J38" si="3">IF(D24="","0",D37*D36)</f>
        <v>2146804295.3499999</v>
      </c>
      <c r="E38" s="105" t="str">
        <f t="shared" si="3"/>
        <v>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3113.77</v>
      </c>
      <c r="E39" s="106">
        <f t="shared" si="4"/>
        <v>0</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c r="F46" s="90"/>
      <c r="G46" s="90"/>
      <c r="H46" s="90"/>
      <c r="I46" s="90"/>
      <c r="J46" s="90"/>
      <c r="K46" s="245"/>
      <c r="L46" s="246"/>
    </row>
    <row r="47" spans="2:12" ht="24.75" customHeight="1" x14ac:dyDescent="0.25">
      <c r="B47" s="255" t="s">
        <v>36</v>
      </c>
      <c r="C47" s="28">
        <f>+'DATOS INICIALES'!D21</f>
        <v>72101500</v>
      </c>
      <c r="D47" s="96" t="s">
        <v>79</v>
      </c>
      <c r="E47" s="96"/>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N/A</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c r="F55" s="90"/>
      <c r="G55" s="90"/>
      <c r="H55" s="90"/>
      <c r="I55" s="90"/>
      <c r="J55" s="90"/>
      <c r="K55" s="288"/>
      <c r="L55" s="289"/>
    </row>
    <row r="56" spans="2:12" ht="353.25" customHeight="1" x14ac:dyDescent="0.25">
      <c r="B56" s="258" t="s">
        <v>209</v>
      </c>
      <c r="C56" s="259"/>
      <c r="D56" s="90" t="s">
        <v>14</v>
      </c>
      <c r="E56" s="90"/>
      <c r="F56" s="90"/>
      <c r="G56" s="90"/>
      <c r="H56" s="90"/>
      <c r="I56" s="90"/>
      <c r="J56" s="90"/>
      <c r="K56" s="288"/>
      <c r="L56" s="289"/>
    </row>
    <row r="57" spans="2:12" ht="99" customHeight="1" x14ac:dyDescent="0.25">
      <c r="B57" s="252" t="s">
        <v>211</v>
      </c>
      <c r="C57" s="253"/>
      <c r="D57" s="90" t="s">
        <v>14</v>
      </c>
      <c r="E57" s="90"/>
      <c r="F57" s="90"/>
      <c r="G57" s="90"/>
      <c r="H57" s="90"/>
      <c r="I57" s="90"/>
      <c r="J57" s="90"/>
      <c r="K57" s="288"/>
      <c r="L57" s="289"/>
    </row>
    <row r="58" spans="2:12" ht="92.25" customHeight="1" x14ac:dyDescent="0.25">
      <c r="B58" s="252" t="s">
        <v>207</v>
      </c>
      <c r="C58" s="253"/>
      <c r="D58" s="90" t="s">
        <v>14</v>
      </c>
      <c r="E58" s="90"/>
      <c r="F58" s="90"/>
      <c r="G58" s="90"/>
      <c r="H58" s="90"/>
      <c r="I58" s="90"/>
      <c r="J58" s="90"/>
      <c r="K58" s="288"/>
      <c r="L58" s="289"/>
    </row>
    <row r="59" spans="2:12" ht="291.75" customHeight="1" x14ac:dyDescent="0.25">
      <c r="B59" s="252" t="s">
        <v>208</v>
      </c>
      <c r="C59" s="253"/>
      <c r="D59" s="90" t="s">
        <v>14</v>
      </c>
      <c r="E59" s="90"/>
      <c r="F59" s="90"/>
      <c r="G59" s="90"/>
      <c r="H59" s="90"/>
      <c r="I59" s="90"/>
      <c r="J59" s="90"/>
      <c r="K59" s="288"/>
      <c r="L59" s="289"/>
    </row>
    <row r="60" spans="2:12" ht="336" customHeight="1" x14ac:dyDescent="0.25">
      <c r="B60" s="180" t="s">
        <v>213</v>
      </c>
      <c r="C60" s="180"/>
      <c r="D60" s="90" t="s">
        <v>14</v>
      </c>
      <c r="E60" s="90"/>
      <c r="F60" s="90"/>
      <c r="G60" s="90"/>
      <c r="H60" s="90"/>
      <c r="I60" s="90"/>
      <c r="J60" s="90"/>
      <c r="K60" s="288"/>
      <c r="L60" s="289"/>
    </row>
    <row r="61" spans="2:12" ht="129.75" customHeight="1" x14ac:dyDescent="0.25">
      <c r="B61" s="233" t="s">
        <v>168</v>
      </c>
      <c r="C61" s="234"/>
      <c r="D61" s="90" t="s">
        <v>13</v>
      </c>
      <c r="E61" s="90"/>
      <c r="F61" s="90"/>
      <c r="G61" s="90"/>
      <c r="H61" s="90"/>
      <c r="I61" s="90"/>
      <c r="J61" s="90"/>
      <c r="K61" s="288"/>
      <c r="L61" s="289"/>
    </row>
    <row r="62" spans="2:12" ht="408.75" customHeight="1" x14ac:dyDescent="0.25">
      <c r="B62" s="254" t="s">
        <v>170</v>
      </c>
      <c r="C62" s="254"/>
      <c r="D62" s="90" t="s">
        <v>13</v>
      </c>
      <c r="E62" s="90"/>
      <c r="F62" s="90"/>
      <c r="G62" s="90"/>
      <c r="H62" s="90"/>
      <c r="I62" s="90"/>
      <c r="J62" s="90"/>
      <c r="K62" s="288"/>
      <c r="L62" s="289"/>
    </row>
    <row r="63" spans="2:12" ht="234.75" customHeight="1" x14ac:dyDescent="0.25">
      <c r="B63" s="180" t="s">
        <v>212</v>
      </c>
      <c r="C63" s="180"/>
      <c r="D63" s="90" t="s">
        <v>14</v>
      </c>
      <c r="E63" s="90"/>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N/A</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313" priority="13">
      <formula>LEN(TRIM(D25))=0</formula>
    </cfRule>
    <cfRule type="notContainsErrors" dxfId="312" priority="14">
      <formula>NOT(ISERROR(D25))</formula>
    </cfRule>
  </conditionalFormatting>
  <conditionalFormatting sqref="D34:J34 D24:K24 D37:J37 D40:J40 D43:J43 D46:J53 D55:J63 K64:L64 D65:K65">
    <cfRule type="containsBlanks" dxfId="311" priority="15">
      <formula>LEN(TRIM(D24))=0</formula>
    </cfRule>
  </conditionalFormatting>
  <conditionalFormatting sqref="D46:J53">
    <cfRule type="cellIs" dxfId="310" priority="11" operator="equal">
      <formula>"NO CUMPLE"</formula>
    </cfRule>
    <cfRule type="cellIs" dxfId="309" priority="12" operator="equal">
      <formula>"CUMPLE"</formula>
    </cfRule>
  </conditionalFormatting>
  <conditionalFormatting sqref="D54:J54">
    <cfRule type="cellIs" dxfId="308" priority="27" operator="equal">
      <formula>"""CUMPLE"""</formula>
    </cfRule>
    <cfRule type="cellIs" dxfId="307" priority="26" operator="equal">
      <formula>"NO CUMPLE"</formula>
    </cfRule>
    <cfRule type="cellIs" dxfId="306" priority="25" operator="equal">
      <formula>"CUMPLE"</formula>
    </cfRule>
    <cfRule type="cellIs" dxfId="305" priority="21" operator="equal">
      <formula>"N/A"</formula>
    </cfRule>
  </conditionalFormatting>
  <conditionalFormatting sqref="D55:J63">
    <cfRule type="cellIs" dxfId="304" priority="3" operator="equal">
      <formula>"NO CUMPLE"</formula>
    </cfRule>
    <cfRule type="cellIs" dxfId="303" priority="4" operator="equal">
      <formula>"CUMPLE"</formula>
    </cfRule>
  </conditionalFormatting>
  <conditionalFormatting sqref="D64:J64">
    <cfRule type="cellIs" dxfId="302" priority="19" operator="equal">
      <formula>"NO CUMPLE"</formula>
    </cfRule>
    <cfRule type="cellIs" dxfId="301" priority="20" operator="equal">
      <formula>"""CUMPLE"""</formula>
    </cfRule>
    <cfRule type="cellIs" dxfId="300" priority="17" operator="equal">
      <formula>"N/A"</formula>
    </cfRule>
    <cfRule type="cellIs" dxfId="299" priority="18" operator="equal">
      <formula>"CUMPLE"</formula>
    </cfRule>
  </conditionalFormatting>
  <conditionalFormatting sqref="D65:J65">
    <cfRule type="cellIs" dxfId="298" priority="9" operator="equal">
      <formula>"NO CUMPLE"</formula>
    </cfRule>
    <cfRule type="cellIs" dxfId="297" priority="10" operator="equal">
      <formula>"CUMPLE"</formula>
    </cfRule>
  </conditionalFormatting>
  <conditionalFormatting sqref="D24:K24 D34:J34 D37:J37 D40:J40 D43:J43 D46:J53 D55:J63 K64:L64 D65:K65">
    <cfRule type="notContainsErrors" dxfId="296" priority="16">
      <formula>NOT(ISERROR(D24))</formula>
    </cfRule>
  </conditionalFormatting>
  <conditionalFormatting sqref="F20:H20">
    <cfRule type="cellIs" dxfId="295" priority="31" operator="equal">
      <formula>"CUMPLE"</formula>
    </cfRule>
    <cfRule type="cellIs" dxfId="294" priority="32" operator="equal">
      <formula>"NO CUMPLE"</formula>
    </cfRule>
    <cfRule type="cellIs" dxfId="293" priority="33" operator="equal">
      <formula>"""CUMPLE"""</formula>
    </cfRule>
  </conditionalFormatting>
  <conditionalFormatting sqref="I11">
    <cfRule type="containsText" dxfId="292" priority="37" operator="containsText" text="NO CUMPLE">
      <formula>NOT(ISERROR(SEARCH("NO CUMPLE",I11)))</formula>
    </cfRule>
    <cfRule type="containsText" dxfId="291" priority="34" operator="containsText" text="INHABILITADO">
      <formula>NOT(ISERROR(SEARCH("INHABILITADO",I11)))</formula>
    </cfRule>
    <cfRule type="containsText" dxfId="290" priority="35" operator="containsText" text="HABILITADO">
      <formula>NOT(ISERROR(SEARCH("HABILITADO",I11)))</formula>
    </cfRule>
    <cfRule type="containsText" dxfId="289" priority="36" operator="containsText" text="HABILITADO">
      <formula>NOT(ISERROR(SEARCH("HABILITADO",I11)))</formula>
    </cfRule>
  </conditionalFormatting>
  <conditionalFormatting sqref="J20">
    <cfRule type="cellIs" dxfId="288" priority="8" operator="equal">
      <formula>"SI"</formula>
    </cfRule>
    <cfRule type="cellIs" dxfId="287" priority="7" operator="equal">
      <formula>"NO"</formula>
    </cfRule>
  </conditionalFormatting>
  <conditionalFormatting sqref="K19">
    <cfRule type="cellIs" dxfId="286" priority="22" operator="equal">
      <formula>"CUMPLE"</formula>
    </cfRule>
    <cfRule type="cellIs" dxfId="285" priority="23" operator="equal">
      <formula>"NO CUMPLE"</formula>
    </cfRule>
    <cfRule type="cellIs" dxfId="284" priority="24" operator="equal">
      <formula>"""CUMPLE"""</formula>
    </cfRule>
  </conditionalFormatting>
  <conditionalFormatting sqref="K25:K63">
    <cfRule type="notContainsErrors" dxfId="283" priority="2">
      <formula>NOT(ISERROR(K25))</formula>
    </cfRule>
    <cfRule type="containsBlanks" dxfId="282" priority="1">
      <formula>LEN(TRIM(K25))=0</formula>
    </cfRule>
  </conditionalFormatting>
  <conditionalFormatting sqref="L15">
    <cfRule type="cellIs" dxfId="281" priority="28" operator="equal">
      <formula>"CUMPLE"</formula>
    </cfRule>
    <cfRule type="cellIs" dxfId="280" priority="29" operator="equal">
      <formula>"NO CUMPLE"</formula>
    </cfRule>
    <cfRule type="cellIs" dxfId="279" priority="30" operator="equal">
      <formula>"""CUMPLE"""</formula>
    </cfRule>
  </conditionalFormatting>
  <conditionalFormatting sqref="L20">
    <cfRule type="cellIs" dxfId="278" priority="5" operator="equal">
      <formula>"NO"</formula>
    </cfRule>
    <cfRule type="cellIs" dxfId="277" priority="6" operator="equal">
      <formula>"SI"</formula>
    </cfRule>
  </conditionalFormatting>
  <dataValidations count="3">
    <dataValidation type="list" allowBlank="1" showInputMessage="1" showErrorMessage="1" sqref="L57:L64" xr:uid="{00000000-0002-0000-1D00-000000000000}">
      <formula1>"0,1,2,3,4,5,6"</formula1>
    </dataValidation>
    <dataValidation type="list" allowBlank="1" showInputMessage="1" showErrorMessage="1" sqref="D24:J26" xr:uid="{00000000-0002-0000-1D00-000001000000}">
      <formula1>$C$15:$C$19</formula1>
    </dataValidation>
    <dataValidation type="list" allowBlank="1" showInputMessage="1" showErrorMessage="1" sqref="D65:I65" xr:uid="{00000000-0002-0000-1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D00-000003000000}">
          <x14:formula1>
            <xm:f>'DATOS INICIALES'!$C$45:$C$46</xm:f>
          </x14:formula1>
          <xm:sqref>D47:I53 J47:J52</xm:sqref>
        </x14:dataValidation>
        <x14:dataValidation type="list" allowBlank="1" showInputMessage="1" showErrorMessage="1" xr:uid="{00000000-0002-0000-1D00-000004000000}">
          <x14:formula1>
            <xm:f>'DATOS INICIALES'!$A$50:$A$52</xm:f>
          </x14:formula1>
          <xm:sqref>D55:I57 D46:J46 J55:J56 D58:J63</xm:sqref>
        </x14:dataValidation>
        <x14:dataValidation type="list" allowBlank="1" showInputMessage="1" showErrorMessage="1" xr:uid="{00000000-0002-0000-1D00-000005000000}">
          <x14:formula1>
            <xm:f>'DATOS INICIALES'!$A$54:$A$59</xm:f>
          </x14:formula1>
          <xm:sqref>D23:I23</xm:sqref>
        </x14:dataValidation>
        <x14:dataValidation type="list" allowBlank="1" showInputMessage="1" showErrorMessage="1" xr:uid="{00000000-0002-0000-1D00-000006000000}">
          <x14:formula1>
            <xm:f>'DATOS INICIALES'!$D$21:$D$25</xm:f>
          </x14:formula1>
          <xm:sqref>M47:M54</xm:sqref>
        </x14:dataValidation>
        <x14:dataValidation type="list" allowBlank="1" showInputMessage="1" showErrorMessage="1" xr:uid="{00000000-0002-0000-1D00-000007000000}">
          <x14:formula1>
            <xm:f>'DATOS INICIALES'!$A$13:$A$43</xm:f>
          </x14:formula1>
          <xm:sqref>D31:I31</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65"/>
  <sheetViews>
    <sheetView view="pageBreakPreview" topLeftCell="D1" zoomScale="55" zoomScaleNormal="55" zoomScaleSheetLayoutView="55" workbookViewId="0">
      <pane ySplit="11" topLeftCell="A62" activePane="bottomLeft" state="frozenSplit"/>
      <selection activeCell="D65" sqref="D65"/>
      <selection pane="bottomLeft" activeCell="E64" sqref="E64"/>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27</v>
      </c>
      <c r="B11" s="2" t="s">
        <v>24</v>
      </c>
      <c r="C11" s="287" t="str">
        <f>VLOOKUP(A11,PROPONENTES!$A$10:$B$42,2,FALSE)</f>
        <v>CONSORCIO CGC 2024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JAIME CEPEDA FONSECA </v>
      </c>
      <c r="D15" s="101">
        <f>IF(VLOOKUP(C11,PROPONENTES!B10:N111,3,FALSE)=0,"",VLOOKUP(C11,PROPONENTES!B10:N111,3,FALSE))</f>
        <v>0.45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4563.1899999999996</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4855.1399999999994</v>
      </c>
      <c r="L15" s="236" t="str">
        <f>IF(K15&gt;=J15,"CUMPLE","NO CUMPLE")</f>
        <v>CUMPLE</v>
      </c>
    </row>
    <row r="16" spans="1:12" ht="33.75" customHeight="1" x14ac:dyDescent="0.25">
      <c r="B16" s="244"/>
      <c r="C16" s="100" t="str">
        <f>IF(VLOOKUP(C11,PROPONENTES!B10:N111,4,FALSE)=0,"",VLOOKUP(C11,PROPONENTES!B10:N111,4,FALSE))</f>
        <v>JONATHAN GOMEZ</v>
      </c>
      <c r="D16" s="101">
        <f>IF(VLOOKUP(C11,PROPONENTES!B10:N111,5,FALSE)=0,"",VLOOKUP(C11,PROPONENTES!B10:N111,5,FALSE))</f>
        <v>0.45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291.95</v>
      </c>
      <c r="F16" s="103" t="str">
        <f t="shared" si="1"/>
        <v>NO</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CONSTRUCTORA COINAR SAS</v>
      </c>
      <c r="D17" s="101">
        <f>IF(VLOOKUP(C11,PROPONENTES!B10:N111,7,FALSE)=0,"",VLOOKUP(C11,PROPONENTES!B10:N111,7,FALSE))</f>
        <v>0.1</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0</v>
      </c>
      <c r="F17" s="103" t="str">
        <f t="shared" si="1"/>
        <v>NO</v>
      </c>
      <c r="G17" s="104" t="str">
        <f t="shared" si="2"/>
        <v>NO APORTA EXPERIENCIA</v>
      </c>
      <c r="H17" s="103" t="str">
        <f>IF(C17="","",IF(AND(G17="NO APORTA EXPERIENCIA",D17&lt;=10%),"SI",IF(G17="SI","NO APLICA","NO - PORCENTAJE MAYOR AL 10%")))</f>
        <v>SI</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4563.1899999999996</v>
      </c>
      <c r="J19" s="152">
        <f>70%*C10</f>
        <v>1535.4533088461537</v>
      </c>
      <c r="K19" s="236" t="str">
        <f>IF(I19&gt;=J19,"CUMPLE","NO CUMPLE")</f>
        <v>CUMPLE</v>
      </c>
      <c r="L19" s="236"/>
    </row>
    <row r="20" spans="2:14" ht="84.75" customHeight="1" x14ac:dyDescent="0.25">
      <c r="B20" s="30" t="s">
        <v>63</v>
      </c>
      <c r="C20" s="24">
        <f>+VLOOKUP(C11,PROPONENTES!B10:N111,12,FALSE)</f>
        <v>3</v>
      </c>
      <c r="D20" s="101">
        <f>+VLOOKUP(C11,PROPONENTES!B10:N111,13,FALSE)</f>
        <v>1</v>
      </c>
      <c r="E20" s="36">
        <f>SUM(E15:E19)</f>
        <v>4855.1399999999994</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275</v>
      </c>
      <c r="E24" s="90" t="s">
        <v>276</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524</v>
      </c>
      <c r="E27" s="91" t="s">
        <v>525</v>
      </c>
      <c r="F27" s="91"/>
      <c r="G27" s="91"/>
      <c r="H27" s="91"/>
      <c r="I27" s="91"/>
      <c r="J27" s="91"/>
      <c r="K27" s="245"/>
      <c r="L27" s="246"/>
    </row>
    <row r="28" spans="2:14" ht="156.75" customHeight="1" x14ac:dyDescent="0.25">
      <c r="B28" s="250"/>
      <c r="C28" s="25" t="s">
        <v>38</v>
      </c>
      <c r="D28" s="91" t="s">
        <v>526</v>
      </c>
      <c r="E28" s="91" t="s">
        <v>527</v>
      </c>
      <c r="F28" s="91"/>
      <c r="G28" s="91"/>
      <c r="H28" s="91"/>
      <c r="I28" s="91"/>
      <c r="J28" s="91"/>
      <c r="K28" s="245"/>
      <c r="L28" s="246"/>
    </row>
    <row r="29" spans="2:14" ht="52.5" customHeight="1" x14ac:dyDescent="0.25">
      <c r="B29" s="250"/>
      <c r="C29" s="25" t="s">
        <v>169</v>
      </c>
      <c r="D29" s="95">
        <v>41220</v>
      </c>
      <c r="E29" s="95">
        <v>44917</v>
      </c>
      <c r="F29" s="95"/>
      <c r="G29" s="95"/>
      <c r="H29" s="95"/>
      <c r="I29" s="95"/>
      <c r="J29" s="95"/>
      <c r="K29" s="245"/>
      <c r="L29" s="246"/>
    </row>
    <row r="30" spans="2:14" ht="54.75" customHeight="1" x14ac:dyDescent="0.25">
      <c r="B30" s="250"/>
      <c r="C30" s="25" t="s">
        <v>42</v>
      </c>
      <c r="D30" s="95">
        <v>41623</v>
      </c>
      <c r="E30" s="95">
        <v>45230</v>
      </c>
      <c r="F30" s="95"/>
      <c r="G30" s="95"/>
      <c r="H30" s="95"/>
      <c r="I30" s="95"/>
      <c r="J30" s="95"/>
      <c r="K30" s="245"/>
      <c r="L30" s="246"/>
    </row>
    <row r="31" spans="2:14" ht="41.25" customHeight="1" x14ac:dyDescent="0.25">
      <c r="B31" s="250"/>
      <c r="C31" s="25" t="s">
        <v>39</v>
      </c>
      <c r="D31" s="92">
        <v>2013</v>
      </c>
      <c r="E31" s="92">
        <v>2023</v>
      </c>
      <c r="F31" s="92"/>
      <c r="G31" s="92"/>
      <c r="H31" s="92"/>
      <c r="I31" s="92"/>
      <c r="J31" s="92"/>
      <c r="K31" s="245"/>
      <c r="L31" s="246"/>
    </row>
    <row r="32" spans="2:14" ht="63" customHeight="1" x14ac:dyDescent="0.25">
      <c r="B32" s="250"/>
      <c r="C32" s="25" t="s">
        <v>40</v>
      </c>
      <c r="D32" s="91" t="s">
        <v>528</v>
      </c>
      <c r="E32" s="91" t="s">
        <v>529</v>
      </c>
      <c r="F32" s="91"/>
      <c r="G32" s="91"/>
      <c r="H32" s="91"/>
      <c r="I32" s="91"/>
      <c r="J32" s="91"/>
      <c r="K32" s="245"/>
      <c r="L32" s="246"/>
    </row>
    <row r="33" spans="2:12" ht="46.5" customHeight="1" x14ac:dyDescent="0.25">
      <c r="B33" s="250"/>
      <c r="C33" s="25" t="s">
        <v>41</v>
      </c>
      <c r="D33" s="91" t="s">
        <v>275</v>
      </c>
      <c r="E33" s="91" t="s">
        <v>530</v>
      </c>
      <c r="F33" s="91"/>
      <c r="G33" s="91"/>
      <c r="H33" s="91"/>
      <c r="I33" s="91"/>
      <c r="J33" s="91"/>
      <c r="K33" s="245"/>
      <c r="L33" s="246"/>
    </row>
    <row r="34" spans="2:12" ht="27.75" customHeight="1" x14ac:dyDescent="0.25">
      <c r="B34" s="250"/>
      <c r="C34" s="27" t="s">
        <v>35</v>
      </c>
      <c r="D34" s="96">
        <v>7</v>
      </c>
      <c r="E34" s="96">
        <v>58</v>
      </c>
      <c r="F34" s="96"/>
      <c r="G34" s="97"/>
      <c r="H34" s="97"/>
      <c r="I34" s="97"/>
      <c r="J34" s="97"/>
      <c r="K34" s="245"/>
      <c r="L34" s="246"/>
    </row>
    <row r="35" spans="2:12" ht="102.75" customHeight="1" x14ac:dyDescent="0.25">
      <c r="B35" s="250"/>
      <c r="C35" s="25" t="s">
        <v>137</v>
      </c>
      <c r="D35" s="93">
        <v>4563.1899999999996</v>
      </c>
      <c r="E35" s="93">
        <v>1167.8</v>
      </c>
      <c r="F35" s="93"/>
      <c r="G35" s="93"/>
      <c r="H35" s="93"/>
      <c r="I35" s="93"/>
      <c r="J35" s="93"/>
      <c r="K35" s="245"/>
      <c r="L35" s="246"/>
    </row>
    <row r="36" spans="2:12" ht="48" customHeight="1" x14ac:dyDescent="0.25">
      <c r="B36" s="250"/>
      <c r="C36" s="25" t="s">
        <v>76</v>
      </c>
      <c r="D36" s="105">
        <f>IFERROR(D35*VLOOKUP(D31,'DATOS INICIALES'!$A$12:$B$43,2,0),"0")</f>
        <v>2690000505</v>
      </c>
      <c r="E36" s="105">
        <f>IFERROR(E35*VLOOKUP(E31,'DATOS INICIALES'!$A$12:$B$43,2,0),"0")</f>
        <v>1354648000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1</v>
      </c>
      <c r="E37" s="94">
        <v>0.25</v>
      </c>
      <c r="F37" s="94"/>
      <c r="G37" s="94"/>
      <c r="H37" s="94"/>
      <c r="I37" s="94"/>
      <c r="J37" s="94"/>
      <c r="K37" s="245"/>
      <c r="L37" s="246"/>
    </row>
    <row r="38" spans="2:12" ht="48.75" customHeight="1" x14ac:dyDescent="0.25">
      <c r="B38" s="250"/>
      <c r="C38" s="25" t="s">
        <v>144</v>
      </c>
      <c r="D38" s="105">
        <f t="shared" ref="D38:J38" si="3">IF(D24="","0",D37*D36)</f>
        <v>2690000505</v>
      </c>
      <c r="E38" s="105">
        <f t="shared" si="3"/>
        <v>338662000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4563.1899999999996</v>
      </c>
      <c r="E39" s="106">
        <f t="shared" si="4"/>
        <v>291.95</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notContainsErrors" dxfId="276" priority="18">
      <formula>NOT(ISERROR(D25))</formula>
    </cfRule>
    <cfRule type="containsBlanks" dxfId="275" priority="17">
      <formula>LEN(TRIM(D25))=0</formula>
    </cfRule>
  </conditionalFormatting>
  <conditionalFormatting sqref="D34:J34 D24:K24 D37:J37 D40:J40 D43:J43 D46:J53 D55:J63 K64:L64">
    <cfRule type="containsBlanks" dxfId="274" priority="19">
      <formula>LEN(TRIM(D24))=0</formula>
    </cfRule>
  </conditionalFormatting>
  <conditionalFormatting sqref="D46:J53">
    <cfRule type="cellIs" dxfId="273" priority="15" operator="equal">
      <formula>"NO CUMPLE"</formula>
    </cfRule>
    <cfRule type="cellIs" dxfId="272" priority="16" operator="equal">
      <formula>"CUMPLE"</formula>
    </cfRule>
  </conditionalFormatting>
  <conditionalFormatting sqref="D54:J54">
    <cfRule type="cellIs" dxfId="271" priority="31" operator="equal">
      <formula>"""CUMPLE"""</formula>
    </cfRule>
    <cfRule type="cellIs" dxfId="270" priority="30" operator="equal">
      <formula>"NO CUMPLE"</formula>
    </cfRule>
    <cfRule type="cellIs" dxfId="269" priority="29" operator="equal">
      <formula>"CUMPLE"</formula>
    </cfRule>
    <cfRule type="cellIs" dxfId="268" priority="25" operator="equal">
      <formula>"N/A"</formula>
    </cfRule>
  </conditionalFormatting>
  <conditionalFormatting sqref="D55:J63">
    <cfRule type="cellIs" dxfId="267" priority="7" operator="equal">
      <formula>"NO CUMPLE"</formula>
    </cfRule>
    <cfRule type="cellIs" dxfId="266" priority="8" operator="equal">
      <formula>"CUMPLE"</formula>
    </cfRule>
  </conditionalFormatting>
  <conditionalFormatting sqref="D64:J64">
    <cfRule type="cellIs" dxfId="265" priority="22" operator="equal">
      <formula>"CUMPLE"</formula>
    </cfRule>
    <cfRule type="cellIs" dxfId="264" priority="23" operator="equal">
      <formula>"NO CUMPLE"</formula>
    </cfRule>
    <cfRule type="cellIs" dxfId="263" priority="21" operator="equal">
      <formula>"N/A"</formula>
    </cfRule>
    <cfRule type="cellIs" dxfId="262" priority="24" operator="equal">
      <formula>"""CUMPLE"""</formula>
    </cfRule>
  </conditionalFormatting>
  <conditionalFormatting sqref="D65:J65">
    <cfRule type="cellIs" dxfId="261" priority="2" operator="equal">
      <formula>"CUMPLE"</formula>
    </cfRule>
    <cfRule type="cellIs" dxfId="260" priority="1" operator="equal">
      <formula>"NO CUMPLE"</formula>
    </cfRule>
  </conditionalFormatting>
  <conditionalFormatting sqref="D24:K24 D34:J34 D37:J37 D40:J40 D43:J43 D46:J53 D55:J63 K64:L64">
    <cfRule type="notContainsErrors" dxfId="259" priority="20">
      <formula>NOT(ISERROR(D24))</formula>
    </cfRule>
  </conditionalFormatting>
  <conditionalFormatting sqref="D65:K65">
    <cfRule type="containsBlanks" dxfId="258" priority="3">
      <formula>LEN(TRIM(D65))=0</formula>
    </cfRule>
    <cfRule type="notContainsErrors" dxfId="257" priority="4">
      <formula>NOT(ISERROR(D65))</formula>
    </cfRule>
  </conditionalFormatting>
  <conditionalFormatting sqref="F20:H20">
    <cfRule type="cellIs" dxfId="256" priority="35" operator="equal">
      <formula>"CUMPLE"</formula>
    </cfRule>
    <cfRule type="cellIs" dxfId="255" priority="36" operator="equal">
      <formula>"NO CUMPLE"</formula>
    </cfRule>
    <cfRule type="cellIs" dxfId="254" priority="37" operator="equal">
      <formula>"""CUMPLE"""</formula>
    </cfRule>
  </conditionalFormatting>
  <conditionalFormatting sqref="I11">
    <cfRule type="containsText" dxfId="253" priority="38" operator="containsText" text="INHABILITADO">
      <formula>NOT(ISERROR(SEARCH("INHABILITADO",I11)))</formula>
    </cfRule>
    <cfRule type="containsText" dxfId="252" priority="39" operator="containsText" text="HABILITADO">
      <formula>NOT(ISERROR(SEARCH("HABILITADO",I11)))</formula>
    </cfRule>
    <cfRule type="containsText" dxfId="251" priority="40" operator="containsText" text="HABILITADO">
      <formula>NOT(ISERROR(SEARCH("HABILITADO",I11)))</formula>
    </cfRule>
    <cfRule type="containsText" dxfId="250" priority="41" operator="containsText" text="NO CUMPLE">
      <formula>NOT(ISERROR(SEARCH("NO CUMPLE",I11)))</formula>
    </cfRule>
  </conditionalFormatting>
  <conditionalFormatting sqref="J20">
    <cfRule type="cellIs" dxfId="249" priority="12" operator="equal">
      <formula>"SI"</formula>
    </cfRule>
    <cfRule type="cellIs" dxfId="248" priority="11" operator="equal">
      <formula>"NO"</formula>
    </cfRule>
  </conditionalFormatting>
  <conditionalFormatting sqref="K19">
    <cfRule type="cellIs" dxfId="247" priority="26" operator="equal">
      <formula>"CUMPLE"</formula>
    </cfRule>
    <cfRule type="cellIs" dxfId="246" priority="27" operator="equal">
      <formula>"NO CUMPLE"</formula>
    </cfRule>
    <cfRule type="cellIs" dxfId="245" priority="28" operator="equal">
      <formula>"""CUMPLE"""</formula>
    </cfRule>
  </conditionalFormatting>
  <conditionalFormatting sqref="K25:K63">
    <cfRule type="containsBlanks" dxfId="244" priority="5">
      <formula>LEN(TRIM(K25))=0</formula>
    </cfRule>
    <cfRule type="notContainsErrors" dxfId="243" priority="6">
      <formula>NOT(ISERROR(K25))</formula>
    </cfRule>
  </conditionalFormatting>
  <conditionalFormatting sqref="L15">
    <cfRule type="cellIs" dxfId="242" priority="32" operator="equal">
      <formula>"CUMPLE"</formula>
    </cfRule>
    <cfRule type="cellIs" dxfId="241" priority="33" operator="equal">
      <formula>"NO CUMPLE"</formula>
    </cfRule>
    <cfRule type="cellIs" dxfId="240" priority="34" operator="equal">
      <formula>"""CUMPLE"""</formula>
    </cfRule>
  </conditionalFormatting>
  <conditionalFormatting sqref="L20">
    <cfRule type="cellIs" dxfId="239" priority="10" operator="equal">
      <formula>"SI"</formula>
    </cfRule>
    <cfRule type="cellIs" dxfId="238" priority="9" operator="equal">
      <formula>"NO"</formula>
    </cfRule>
  </conditionalFormatting>
  <dataValidations count="3">
    <dataValidation type="list" allowBlank="1" showInputMessage="1" showErrorMessage="1" sqref="D65:I65" xr:uid="{00000000-0002-0000-1E00-000000000000}">
      <formula1>"CUMPLE,NO CUMPLE"</formula1>
    </dataValidation>
    <dataValidation type="list" allowBlank="1" showInputMessage="1" showErrorMessage="1" sqref="D24:J26" xr:uid="{00000000-0002-0000-1E00-000001000000}">
      <formula1>$C$15:$C$19</formula1>
    </dataValidation>
    <dataValidation type="list" allowBlank="1" showInputMessage="1" showErrorMessage="1" sqref="L57:L64" xr:uid="{00000000-0002-0000-1E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E00-000003000000}">
          <x14:formula1>
            <xm:f>'DATOS INICIALES'!$A$13:$A$43</xm:f>
          </x14:formula1>
          <xm:sqref>D31:I31</xm:sqref>
        </x14:dataValidation>
        <x14:dataValidation type="list" allowBlank="1" showInputMessage="1" showErrorMessage="1" xr:uid="{00000000-0002-0000-1E00-000004000000}">
          <x14:formula1>
            <xm:f>'DATOS INICIALES'!$D$21:$D$25</xm:f>
          </x14:formula1>
          <xm:sqref>M47:M54</xm:sqref>
        </x14:dataValidation>
        <x14:dataValidation type="list" allowBlank="1" showInputMessage="1" showErrorMessage="1" xr:uid="{00000000-0002-0000-1E00-000005000000}">
          <x14:formula1>
            <xm:f>'DATOS INICIALES'!$A$54:$A$59</xm:f>
          </x14:formula1>
          <xm:sqref>D23:I23</xm:sqref>
        </x14:dataValidation>
        <x14:dataValidation type="list" allowBlank="1" showInputMessage="1" showErrorMessage="1" xr:uid="{00000000-0002-0000-1E00-000006000000}">
          <x14:formula1>
            <xm:f>'DATOS INICIALES'!$A$50:$A$52</xm:f>
          </x14:formula1>
          <xm:sqref>D55:I57 D46:J46 J55:J56 D58:J63</xm:sqref>
        </x14:dataValidation>
        <x14:dataValidation type="list" allowBlank="1" showInputMessage="1" showErrorMessage="1" xr:uid="{00000000-0002-0000-1E00-000007000000}">
          <x14:formula1>
            <xm:f>'DATOS INICIALES'!$C$45:$C$46</xm:f>
          </x14:formula1>
          <xm:sqref>D47:I53 J47:J52</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N65"/>
  <sheetViews>
    <sheetView view="pageBreakPreview" topLeftCell="C1" zoomScale="55" zoomScaleNormal="55" zoomScaleSheetLayoutView="55" workbookViewId="0">
      <pane ySplit="11" topLeftCell="A60"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28</v>
      </c>
      <c r="B11" s="2" t="s">
        <v>24</v>
      </c>
      <c r="C11" s="287" t="str">
        <f>VLOOKUP(A11,PROPONENTES!$A$10:$B$42,2,FALSE)</f>
        <v>CONSORCIO PARQUES KASAF 2025</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SAFRID INGENIERIA SAS</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18281.59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18281.59</v>
      </c>
      <c r="L15" s="236" t="str">
        <f>IF(K15&gt;=J15,"CUMPLE","NO CUMPLE")</f>
        <v>CUMPLE</v>
      </c>
    </row>
    <row r="16" spans="1:12" ht="33.75" customHeight="1" x14ac:dyDescent="0.25">
      <c r="B16" s="244"/>
      <c r="C16" s="100" t="str">
        <f>IF(VLOOKUP(C11,PROPONENTES!B10:N111,4,FALSE)=0,"",VLOOKUP(C11,PROPONENTES!B10:N111,4,FALSE))</f>
        <v xml:space="preserve">CONSTRUCTORA KASAF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SI</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18281.59</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18281.59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279</v>
      </c>
      <c r="E24" s="90" t="s">
        <v>279</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531</v>
      </c>
      <c r="E27" s="91" t="s">
        <v>532</v>
      </c>
      <c r="F27" s="91"/>
      <c r="G27" s="91"/>
      <c r="H27" s="91"/>
      <c r="I27" s="91"/>
      <c r="J27" s="91"/>
      <c r="K27" s="245"/>
      <c r="L27" s="246"/>
    </row>
    <row r="28" spans="2:14" ht="156.75" customHeight="1" x14ac:dyDescent="0.25">
      <c r="B28" s="250"/>
      <c r="C28" s="25" t="s">
        <v>38</v>
      </c>
      <c r="D28" s="91" t="s">
        <v>533</v>
      </c>
      <c r="E28" s="91" t="s">
        <v>534</v>
      </c>
      <c r="F28" s="91"/>
      <c r="G28" s="91"/>
      <c r="H28" s="91"/>
      <c r="I28" s="91"/>
      <c r="J28" s="91"/>
      <c r="K28" s="245"/>
      <c r="L28" s="246"/>
    </row>
    <row r="29" spans="2:14" ht="52.5" customHeight="1" x14ac:dyDescent="0.25">
      <c r="B29" s="250"/>
      <c r="C29" s="25" t="s">
        <v>169</v>
      </c>
      <c r="D29" s="95">
        <v>43866</v>
      </c>
      <c r="E29" s="95">
        <v>44704</v>
      </c>
      <c r="F29" s="95"/>
      <c r="G29" s="95"/>
      <c r="H29" s="95"/>
      <c r="I29" s="95"/>
      <c r="J29" s="95"/>
      <c r="K29" s="245"/>
      <c r="L29" s="246"/>
    </row>
    <row r="30" spans="2:14" ht="54.75" customHeight="1" x14ac:dyDescent="0.25">
      <c r="B30" s="250"/>
      <c r="C30" s="25" t="s">
        <v>42</v>
      </c>
      <c r="D30" s="95">
        <v>44741</v>
      </c>
      <c r="E30" s="95">
        <v>45288</v>
      </c>
      <c r="F30" s="95"/>
      <c r="G30" s="95"/>
      <c r="H30" s="95"/>
      <c r="I30" s="95"/>
      <c r="J30" s="95"/>
      <c r="K30" s="245"/>
      <c r="L30" s="246"/>
    </row>
    <row r="31" spans="2:14" ht="41.25" customHeight="1" x14ac:dyDescent="0.25">
      <c r="B31" s="250"/>
      <c r="C31" s="25" t="s">
        <v>39</v>
      </c>
      <c r="D31" s="92">
        <v>2022</v>
      </c>
      <c r="E31" s="92">
        <v>2023</v>
      </c>
      <c r="F31" s="92"/>
      <c r="G31" s="92"/>
      <c r="H31" s="92"/>
      <c r="I31" s="92"/>
      <c r="J31" s="92"/>
      <c r="K31" s="245"/>
      <c r="L31" s="246"/>
    </row>
    <row r="32" spans="2:14" ht="63" customHeight="1" x14ac:dyDescent="0.25">
      <c r="B32" s="250"/>
      <c r="C32" s="25" t="s">
        <v>40</v>
      </c>
      <c r="D32" s="91" t="s">
        <v>535</v>
      </c>
      <c r="E32" s="91" t="s">
        <v>536</v>
      </c>
      <c r="F32" s="91"/>
      <c r="G32" s="91"/>
      <c r="H32" s="91"/>
      <c r="I32" s="91"/>
      <c r="J32" s="91"/>
      <c r="K32" s="245"/>
      <c r="L32" s="246"/>
    </row>
    <row r="33" spans="2:12" ht="46.5" customHeight="1" x14ac:dyDescent="0.25">
      <c r="B33" s="250"/>
      <c r="C33" s="25" t="s">
        <v>41</v>
      </c>
      <c r="D33" s="91" t="s">
        <v>537</v>
      </c>
      <c r="E33" s="91" t="s">
        <v>279</v>
      </c>
      <c r="F33" s="91"/>
      <c r="G33" s="91"/>
      <c r="H33" s="91"/>
      <c r="I33" s="91"/>
      <c r="J33" s="91"/>
      <c r="K33" s="245"/>
      <c r="L33" s="246"/>
    </row>
    <row r="34" spans="2:12" ht="27.75" customHeight="1" x14ac:dyDescent="0.25">
      <c r="B34" s="250"/>
      <c r="C34" s="27" t="s">
        <v>35</v>
      </c>
      <c r="D34" s="96">
        <v>90</v>
      </c>
      <c r="E34" s="96">
        <v>120</v>
      </c>
      <c r="F34" s="96"/>
      <c r="G34" s="97"/>
      <c r="H34" s="97"/>
      <c r="I34" s="97"/>
      <c r="J34" s="97"/>
      <c r="K34" s="245"/>
      <c r="L34" s="246"/>
    </row>
    <row r="35" spans="2:12" ht="102.75" customHeight="1" x14ac:dyDescent="0.25">
      <c r="B35" s="250"/>
      <c r="C35" s="25" t="s">
        <v>137</v>
      </c>
      <c r="D35" s="93">
        <v>28763.34</v>
      </c>
      <c r="E35" s="93">
        <v>3899.92</v>
      </c>
      <c r="F35" s="93"/>
      <c r="G35" s="93"/>
      <c r="H35" s="93"/>
      <c r="I35" s="93"/>
      <c r="J35" s="93"/>
      <c r="K35" s="245"/>
      <c r="L35" s="246"/>
    </row>
    <row r="36" spans="2:12" ht="48" customHeight="1" x14ac:dyDescent="0.25">
      <c r="B36" s="250"/>
      <c r="C36" s="25" t="s">
        <v>76</v>
      </c>
      <c r="D36" s="105">
        <f>IFERROR(D35*VLOOKUP(D31,'DATOS INICIALES'!$A$12:$B$43,2,0),"0")</f>
        <v>28763340000</v>
      </c>
      <c r="E36" s="105">
        <f>IFERROR(E35*VLOOKUP(E31,'DATOS INICIALES'!$A$12:$B$43,2,0),"0")</f>
        <v>4523907200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1</v>
      </c>
      <c r="F37" s="94"/>
      <c r="G37" s="94"/>
      <c r="H37" s="94"/>
      <c r="I37" s="94"/>
      <c r="J37" s="94"/>
      <c r="K37" s="245"/>
      <c r="L37" s="246"/>
    </row>
    <row r="38" spans="2:12" ht="48.75" customHeight="1" x14ac:dyDescent="0.25">
      <c r="B38" s="250"/>
      <c r="C38" s="25" t="s">
        <v>144</v>
      </c>
      <c r="D38" s="105">
        <f t="shared" ref="D38:J38" si="3">IF(D24="","0",D37*D36)</f>
        <v>14381670000</v>
      </c>
      <c r="E38" s="105">
        <f t="shared" si="3"/>
        <v>4523907200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14381.67</v>
      </c>
      <c r="E39" s="106">
        <f t="shared" si="4"/>
        <v>3899.92</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237" priority="13">
      <formula>LEN(TRIM(D25))=0</formula>
    </cfRule>
    <cfRule type="notContainsErrors" dxfId="236" priority="14">
      <formula>NOT(ISERROR(D25))</formula>
    </cfRule>
  </conditionalFormatting>
  <conditionalFormatting sqref="D34:J34 D24:K24 D37:J37 D40:J40 D43:J43 D46:J53 D55:J63 K64:L64 D65:K65">
    <cfRule type="containsBlanks" dxfId="235" priority="15">
      <formula>LEN(TRIM(D24))=0</formula>
    </cfRule>
  </conditionalFormatting>
  <conditionalFormatting sqref="D46:J53">
    <cfRule type="cellIs" dxfId="234" priority="11" operator="equal">
      <formula>"NO CUMPLE"</formula>
    </cfRule>
    <cfRule type="cellIs" dxfId="233" priority="12" operator="equal">
      <formula>"CUMPLE"</formula>
    </cfRule>
  </conditionalFormatting>
  <conditionalFormatting sqref="D54:J54">
    <cfRule type="cellIs" dxfId="232" priority="27" operator="equal">
      <formula>"""CUMPLE"""</formula>
    </cfRule>
    <cfRule type="cellIs" dxfId="231" priority="26" operator="equal">
      <formula>"NO CUMPLE"</formula>
    </cfRule>
    <cfRule type="cellIs" dxfId="230" priority="25" operator="equal">
      <formula>"CUMPLE"</formula>
    </cfRule>
    <cfRule type="cellIs" dxfId="229" priority="21" operator="equal">
      <formula>"N/A"</formula>
    </cfRule>
  </conditionalFormatting>
  <conditionalFormatting sqref="D55:J63">
    <cfRule type="cellIs" dxfId="228" priority="3" operator="equal">
      <formula>"NO CUMPLE"</formula>
    </cfRule>
    <cfRule type="cellIs" dxfId="227" priority="4" operator="equal">
      <formula>"CUMPLE"</formula>
    </cfRule>
  </conditionalFormatting>
  <conditionalFormatting sqref="D64:J64">
    <cfRule type="cellIs" dxfId="226" priority="19" operator="equal">
      <formula>"NO CUMPLE"</formula>
    </cfRule>
    <cfRule type="cellIs" dxfId="225" priority="20" operator="equal">
      <formula>"""CUMPLE"""</formula>
    </cfRule>
    <cfRule type="cellIs" dxfId="224" priority="17" operator="equal">
      <formula>"N/A"</formula>
    </cfRule>
    <cfRule type="cellIs" dxfId="223" priority="18" operator="equal">
      <formula>"CUMPLE"</formula>
    </cfRule>
  </conditionalFormatting>
  <conditionalFormatting sqref="D65:J65">
    <cfRule type="cellIs" dxfId="222" priority="9" operator="equal">
      <formula>"NO CUMPLE"</formula>
    </cfRule>
    <cfRule type="cellIs" dxfId="221" priority="10" operator="equal">
      <formula>"CUMPLE"</formula>
    </cfRule>
  </conditionalFormatting>
  <conditionalFormatting sqref="D24:K24 D34:J34 D37:J37 D40:J40 D43:J43 D46:J53 D55:J63 K64:L64 D65:K65">
    <cfRule type="notContainsErrors" dxfId="220" priority="16">
      <formula>NOT(ISERROR(D24))</formula>
    </cfRule>
  </conditionalFormatting>
  <conditionalFormatting sqref="F20:H20">
    <cfRule type="cellIs" dxfId="219" priority="31" operator="equal">
      <formula>"CUMPLE"</formula>
    </cfRule>
    <cfRule type="cellIs" dxfId="218" priority="32" operator="equal">
      <formula>"NO CUMPLE"</formula>
    </cfRule>
    <cfRule type="cellIs" dxfId="217" priority="33" operator="equal">
      <formula>"""CUMPLE"""</formula>
    </cfRule>
  </conditionalFormatting>
  <conditionalFormatting sqref="I11">
    <cfRule type="containsText" dxfId="216" priority="37" operator="containsText" text="NO CUMPLE">
      <formula>NOT(ISERROR(SEARCH("NO CUMPLE",I11)))</formula>
    </cfRule>
    <cfRule type="containsText" dxfId="215" priority="34" operator="containsText" text="INHABILITADO">
      <formula>NOT(ISERROR(SEARCH("INHABILITADO",I11)))</formula>
    </cfRule>
    <cfRule type="containsText" dxfId="214" priority="35" operator="containsText" text="HABILITADO">
      <formula>NOT(ISERROR(SEARCH("HABILITADO",I11)))</formula>
    </cfRule>
    <cfRule type="containsText" dxfId="213" priority="36" operator="containsText" text="HABILITADO">
      <formula>NOT(ISERROR(SEARCH("HABILITADO",I11)))</formula>
    </cfRule>
  </conditionalFormatting>
  <conditionalFormatting sqref="J20">
    <cfRule type="cellIs" dxfId="212" priority="8" operator="equal">
      <formula>"SI"</formula>
    </cfRule>
    <cfRule type="cellIs" dxfId="211" priority="7" operator="equal">
      <formula>"NO"</formula>
    </cfRule>
  </conditionalFormatting>
  <conditionalFormatting sqref="K19">
    <cfRule type="cellIs" dxfId="210" priority="22" operator="equal">
      <formula>"CUMPLE"</formula>
    </cfRule>
    <cfRule type="cellIs" dxfId="209" priority="23" operator="equal">
      <formula>"NO CUMPLE"</formula>
    </cfRule>
    <cfRule type="cellIs" dxfId="208" priority="24" operator="equal">
      <formula>"""CUMPLE"""</formula>
    </cfRule>
  </conditionalFormatting>
  <conditionalFormatting sqref="K25:K63">
    <cfRule type="notContainsErrors" dxfId="207" priority="2">
      <formula>NOT(ISERROR(K25))</formula>
    </cfRule>
    <cfRule type="containsBlanks" dxfId="206" priority="1">
      <formula>LEN(TRIM(K25))=0</formula>
    </cfRule>
  </conditionalFormatting>
  <conditionalFormatting sqref="L15">
    <cfRule type="cellIs" dxfId="205" priority="28" operator="equal">
      <formula>"CUMPLE"</formula>
    </cfRule>
    <cfRule type="cellIs" dxfId="204" priority="29" operator="equal">
      <formula>"NO CUMPLE"</formula>
    </cfRule>
    <cfRule type="cellIs" dxfId="203" priority="30" operator="equal">
      <formula>"""CUMPLE"""</formula>
    </cfRule>
  </conditionalFormatting>
  <conditionalFormatting sqref="L20">
    <cfRule type="cellIs" dxfId="202" priority="5" operator="equal">
      <formula>"NO"</formula>
    </cfRule>
    <cfRule type="cellIs" dxfId="201" priority="6" operator="equal">
      <formula>"SI"</formula>
    </cfRule>
  </conditionalFormatting>
  <dataValidations count="3">
    <dataValidation type="list" allowBlank="1" showInputMessage="1" showErrorMessage="1" sqref="L57:L64" xr:uid="{00000000-0002-0000-1F00-000000000000}">
      <formula1>"0,1,2,3,4,5,6"</formula1>
    </dataValidation>
    <dataValidation type="list" allowBlank="1" showInputMessage="1" showErrorMessage="1" sqref="D24:J26" xr:uid="{00000000-0002-0000-1F00-000001000000}">
      <formula1>$C$15:$C$19</formula1>
    </dataValidation>
    <dataValidation type="list" allowBlank="1" showInputMessage="1" showErrorMessage="1" sqref="D65:I65" xr:uid="{00000000-0002-0000-1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F00-000003000000}">
          <x14:formula1>
            <xm:f>'DATOS INICIALES'!$C$45:$C$46</xm:f>
          </x14:formula1>
          <xm:sqref>D47:I53 J47:J52</xm:sqref>
        </x14:dataValidation>
        <x14:dataValidation type="list" allowBlank="1" showInputMessage="1" showErrorMessage="1" xr:uid="{00000000-0002-0000-1F00-000004000000}">
          <x14:formula1>
            <xm:f>'DATOS INICIALES'!$A$50:$A$52</xm:f>
          </x14:formula1>
          <xm:sqref>D55:I57 D46:J46 J55:J56 D58:J63</xm:sqref>
        </x14:dataValidation>
        <x14:dataValidation type="list" allowBlank="1" showInputMessage="1" showErrorMessage="1" xr:uid="{00000000-0002-0000-1F00-000005000000}">
          <x14:formula1>
            <xm:f>'DATOS INICIALES'!$A$54:$A$59</xm:f>
          </x14:formula1>
          <xm:sqref>D23:I23</xm:sqref>
        </x14:dataValidation>
        <x14:dataValidation type="list" allowBlank="1" showInputMessage="1" showErrorMessage="1" xr:uid="{00000000-0002-0000-1F00-000006000000}">
          <x14:formula1>
            <xm:f>'DATOS INICIALES'!$D$21:$D$25</xm:f>
          </x14:formula1>
          <xm:sqref>M47:M54</xm:sqref>
        </x14:dataValidation>
        <x14:dataValidation type="list" allowBlank="1" showInputMessage="1" showErrorMessage="1" xr:uid="{00000000-0002-0000-1F00-000007000000}">
          <x14:formula1>
            <xm:f>'DATOS INICIALES'!$A$13:$A$43</xm:f>
          </x14:formula1>
          <xm:sqref>D31:I31</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65"/>
  <sheetViews>
    <sheetView view="pageBreakPreview" zoomScale="55" zoomScaleNormal="55" zoomScaleSheetLayoutView="55" workbookViewId="0">
      <pane ySplit="11" topLeftCell="A25"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29</v>
      </c>
      <c r="B11" s="2" t="s">
        <v>24</v>
      </c>
      <c r="C11" s="287" t="str">
        <f>VLOOKUP(A11,PROPONENTES!$A$10:$B$42,2,FALSE)</f>
        <v xml:space="preserve">CONSORCIO PARQUES K. 24	</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 xml:space="preserve">LUGARQ DISEÑO Y CONSTRUCCION SAS </v>
      </c>
      <c r="D15" s="101">
        <f>IF(VLOOKUP(C11,PROPONENTES!B10:N111,3,FALSE)=0,"",VLOOKUP(C11,PROPONENTES!B10:N111,3,FALSE))</f>
        <v>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274.31700000000001</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5135.9989999999998</v>
      </c>
      <c r="L15" s="236" t="str">
        <f>IF(K15&gt;=J15,"CUMPLE","NO CUMPLE")</f>
        <v>CUMPLE</v>
      </c>
    </row>
    <row r="16" spans="1:12" ht="33.75" customHeight="1" x14ac:dyDescent="0.25">
      <c r="B16" s="244"/>
      <c r="C16" s="100" t="str">
        <f>IF(VLOOKUP(C11,PROPONENTES!B10:N111,4,FALSE)=0,"",VLOOKUP(C11,PROPONENTES!B10:N111,4,FALSE))</f>
        <v xml:space="preserve">BYGGER SAS </v>
      </c>
      <c r="D16" s="101">
        <f>IF(VLOOKUP(C11,PROPONENTES!B10:N111,5,FALSE)=0,"",VLOOKUP(C11,PROPONENTES!B10:N111,5,FALSE))</f>
        <v>0.1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4861.6819999999998</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5135.9989999999998</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5135.9989999999998</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283</v>
      </c>
      <c r="E24" s="90" t="s">
        <v>282</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538</v>
      </c>
      <c r="E27" s="91" t="s">
        <v>539</v>
      </c>
      <c r="F27" s="91"/>
      <c r="G27" s="91"/>
      <c r="H27" s="91"/>
      <c r="I27" s="91"/>
      <c r="J27" s="91"/>
      <c r="K27" s="245"/>
      <c r="L27" s="246"/>
    </row>
    <row r="28" spans="2:14" ht="156.75" customHeight="1" x14ac:dyDescent="0.25">
      <c r="B28" s="250"/>
      <c r="C28" s="25" t="s">
        <v>38</v>
      </c>
      <c r="D28" s="91" t="s">
        <v>540</v>
      </c>
      <c r="E28" s="91" t="s">
        <v>541</v>
      </c>
      <c r="F28" s="91"/>
      <c r="G28" s="91"/>
      <c r="H28" s="91"/>
      <c r="I28" s="91"/>
      <c r="J28" s="91"/>
      <c r="K28" s="245"/>
      <c r="L28" s="246"/>
    </row>
    <row r="29" spans="2:14" ht="52.5" customHeight="1" x14ac:dyDescent="0.25">
      <c r="B29" s="250"/>
      <c r="C29" s="25" t="s">
        <v>169</v>
      </c>
      <c r="D29" s="95">
        <v>43510</v>
      </c>
      <c r="E29" s="95">
        <v>44495</v>
      </c>
      <c r="F29" s="95"/>
      <c r="G29" s="95"/>
      <c r="H29" s="95"/>
      <c r="I29" s="95"/>
      <c r="J29" s="95"/>
      <c r="K29" s="245"/>
      <c r="L29" s="246"/>
    </row>
    <row r="30" spans="2:14" ht="54.75" customHeight="1" x14ac:dyDescent="0.25">
      <c r="B30" s="250"/>
      <c r="C30" s="25" t="s">
        <v>42</v>
      </c>
      <c r="D30" s="95">
        <v>44099</v>
      </c>
      <c r="E30" s="95">
        <v>44869</v>
      </c>
      <c r="F30" s="95"/>
      <c r="G30" s="95"/>
      <c r="H30" s="95"/>
      <c r="I30" s="95"/>
      <c r="J30" s="95"/>
      <c r="K30" s="245"/>
      <c r="L30" s="246"/>
    </row>
    <row r="31" spans="2:14" ht="41.25" customHeight="1" x14ac:dyDescent="0.25">
      <c r="B31" s="250"/>
      <c r="C31" s="25" t="s">
        <v>39</v>
      </c>
      <c r="D31" s="92">
        <v>2020</v>
      </c>
      <c r="E31" s="92">
        <v>2022</v>
      </c>
      <c r="F31" s="92"/>
      <c r="G31" s="92"/>
      <c r="H31" s="92"/>
      <c r="I31" s="92"/>
      <c r="J31" s="92"/>
      <c r="K31" s="245"/>
      <c r="L31" s="246"/>
    </row>
    <row r="32" spans="2:14" ht="63" customHeight="1" x14ac:dyDescent="0.25">
      <c r="B32" s="250"/>
      <c r="C32" s="25" t="s">
        <v>40</v>
      </c>
      <c r="D32" s="91" t="s">
        <v>542</v>
      </c>
      <c r="E32" s="91" t="s">
        <v>543</v>
      </c>
      <c r="F32" s="91"/>
      <c r="G32" s="91"/>
      <c r="H32" s="91"/>
      <c r="I32" s="91"/>
      <c r="J32" s="91"/>
      <c r="K32" s="245"/>
      <c r="L32" s="246"/>
    </row>
    <row r="33" spans="2:12" ht="46.5" customHeight="1" x14ac:dyDescent="0.25">
      <c r="B33" s="250"/>
      <c r="C33" s="25" t="s">
        <v>41</v>
      </c>
      <c r="D33" s="91" t="s">
        <v>544</v>
      </c>
      <c r="E33" s="91" t="s">
        <v>545</v>
      </c>
      <c r="F33" s="91"/>
      <c r="G33" s="91"/>
      <c r="H33" s="91"/>
      <c r="I33" s="91"/>
      <c r="J33" s="91"/>
      <c r="K33" s="245"/>
      <c r="L33" s="246"/>
    </row>
    <row r="34" spans="2:12" ht="27.75" customHeight="1" x14ac:dyDescent="0.25">
      <c r="B34" s="250"/>
      <c r="C34" s="27" t="s">
        <v>35</v>
      </c>
      <c r="D34" s="96">
        <v>41</v>
      </c>
      <c r="E34" s="96">
        <v>26</v>
      </c>
      <c r="F34" s="96"/>
      <c r="G34" s="97"/>
      <c r="H34" s="97"/>
      <c r="I34" s="97"/>
      <c r="J34" s="97"/>
      <c r="K34" s="245"/>
      <c r="L34" s="246"/>
    </row>
    <row r="35" spans="2:12" ht="102.75" customHeight="1" x14ac:dyDescent="0.25">
      <c r="B35" s="250"/>
      <c r="C35" s="25" t="s">
        <v>137</v>
      </c>
      <c r="D35" s="93">
        <v>5117.5600000000004</v>
      </c>
      <c r="E35" s="93">
        <v>2743.17</v>
      </c>
      <c r="F35" s="93"/>
      <c r="G35" s="93"/>
      <c r="H35" s="93"/>
      <c r="I35" s="93"/>
      <c r="J35" s="93"/>
      <c r="K35" s="245"/>
      <c r="L35" s="246"/>
    </row>
    <row r="36" spans="2:12" ht="48" customHeight="1" x14ac:dyDescent="0.25">
      <c r="B36" s="250"/>
      <c r="C36" s="25" t="s">
        <v>76</v>
      </c>
      <c r="D36" s="105">
        <f>IFERROR(D35*VLOOKUP(D31,'DATOS INICIALES'!$A$12:$B$43,2,0),"0")</f>
        <v>4492209520.6800003</v>
      </c>
      <c r="E36" s="105">
        <f>IFERROR(E35*VLOOKUP(E31,'DATOS INICIALES'!$A$12:$B$43,2,0),"0")</f>
        <v>2743170000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0.95</v>
      </c>
      <c r="E37" s="94">
        <v>0.1</v>
      </c>
      <c r="F37" s="94"/>
      <c r="G37" s="94"/>
      <c r="H37" s="94"/>
      <c r="I37" s="94"/>
      <c r="J37" s="94"/>
      <c r="K37" s="245"/>
      <c r="L37" s="246"/>
    </row>
    <row r="38" spans="2:12" ht="48.75" customHeight="1" x14ac:dyDescent="0.25">
      <c r="B38" s="250"/>
      <c r="C38" s="25" t="s">
        <v>144</v>
      </c>
      <c r="D38" s="105">
        <f t="shared" ref="D38:J38" si="3">IF(D24="","0",D37*D36)</f>
        <v>4267599044.6459999</v>
      </c>
      <c r="E38" s="105">
        <f t="shared" si="3"/>
        <v>274317000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4861.6819999999998</v>
      </c>
      <c r="E39" s="106">
        <f t="shared" si="4"/>
        <v>274.31700000000001</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c r="E48" s="96"/>
      <c r="F48" s="96"/>
      <c r="G48" s="96"/>
      <c r="H48" s="96"/>
      <c r="I48" s="96"/>
      <c r="J48" s="97"/>
      <c r="K48" s="245"/>
      <c r="L48" s="246"/>
    </row>
    <row r="49" spans="2:12" ht="24.75" customHeight="1" x14ac:dyDescent="0.25">
      <c r="B49" s="256"/>
      <c r="C49" s="28">
        <f>+'DATOS INICIALES'!D23</f>
        <v>72103300</v>
      </c>
      <c r="D49" s="96"/>
      <c r="E49" s="96"/>
      <c r="F49" s="96"/>
      <c r="G49" s="96"/>
      <c r="H49" s="96"/>
      <c r="I49" s="96"/>
      <c r="J49" s="97"/>
      <c r="K49" s="245"/>
      <c r="L49" s="246"/>
    </row>
    <row r="50" spans="2:12" ht="24.75" customHeight="1" x14ac:dyDescent="0.25">
      <c r="B50" s="256"/>
      <c r="C50" s="28">
        <f>+'DATOS INICIALES'!D24</f>
        <v>72141100</v>
      </c>
      <c r="D50" s="96"/>
      <c r="E50" s="96"/>
      <c r="F50" s="96"/>
      <c r="G50" s="96"/>
      <c r="H50" s="96"/>
      <c r="I50" s="96"/>
      <c r="J50" s="97"/>
      <c r="K50" s="245"/>
      <c r="L50" s="246"/>
    </row>
    <row r="51" spans="2:12" ht="24.75" customHeight="1" x14ac:dyDescent="0.25">
      <c r="B51" s="256"/>
      <c r="C51" s="28">
        <f>+'DATOS INICIALES'!D25</f>
        <v>72141500</v>
      </c>
      <c r="D51" s="96"/>
      <c r="E51" s="96"/>
      <c r="F51" s="96"/>
      <c r="G51" s="96"/>
      <c r="H51" s="96"/>
      <c r="I51" s="96"/>
      <c r="J51" s="97"/>
      <c r="K51" s="245"/>
      <c r="L51" s="246"/>
    </row>
    <row r="52" spans="2:12" ht="24.75" customHeight="1" x14ac:dyDescent="0.25">
      <c r="B52" s="256"/>
      <c r="C52" s="28">
        <f>+'DATOS INICIALES'!D26</f>
        <v>72153900</v>
      </c>
      <c r="D52" s="96"/>
      <c r="E52" s="96"/>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200" priority="13">
      <formula>LEN(TRIM(D25))=0</formula>
    </cfRule>
    <cfRule type="notContainsErrors" dxfId="199" priority="14">
      <formula>NOT(ISERROR(D25))</formula>
    </cfRule>
  </conditionalFormatting>
  <conditionalFormatting sqref="D34:J34 D24:K24 D37:J37 D40:J40 D43:J43 D46:J53 D55:J63 K64:L64 D65:K65">
    <cfRule type="containsBlanks" dxfId="198" priority="15">
      <formula>LEN(TRIM(D24))=0</formula>
    </cfRule>
  </conditionalFormatting>
  <conditionalFormatting sqref="D46:J53">
    <cfRule type="cellIs" dxfId="197" priority="11" operator="equal">
      <formula>"NO CUMPLE"</formula>
    </cfRule>
    <cfRule type="cellIs" dxfId="196" priority="12" operator="equal">
      <formula>"CUMPLE"</formula>
    </cfRule>
  </conditionalFormatting>
  <conditionalFormatting sqref="D54:J54">
    <cfRule type="cellIs" dxfId="195" priority="27" operator="equal">
      <formula>"""CUMPLE"""</formula>
    </cfRule>
    <cfRule type="cellIs" dxfId="194" priority="26" operator="equal">
      <formula>"NO CUMPLE"</formula>
    </cfRule>
    <cfRule type="cellIs" dxfId="193" priority="25" operator="equal">
      <formula>"CUMPLE"</formula>
    </cfRule>
    <cfRule type="cellIs" dxfId="192" priority="21" operator="equal">
      <formula>"N/A"</formula>
    </cfRule>
  </conditionalFormatting>
  <conditionalFormatting sqref="D55:J63">
    <cfRule type="cellIs" dxfId="191" priority="3" operator="equal">
      <formula>"NO CUMPLE"</formula>
    </cfRule>
    <cfRule type="cellIs" dxfId="190" priority="4" operator="equal">
      <formula>"CUMPLE"</formula>
    </cfRule>
  </conditionalFormatting>
  <conditionalFormatting sqref="D64:J64">
    <cfRule type="cellIs" dxfId="189" priority="19" operator="equal">
      <formula>"NO CUMPLE"</formula>
    </cfRule>
    <cfRule type="cellIs" dxfId="188" priority="20" operator="equal">
      <formula>"""CUMPLE"""</formula>
    </cfRule>
    <cfRule type="cellIs" dxfId="187" priority="17" operator="equal">
      <formula>"N/A"</formula>
    </cfRule>
    <cfRule type="cellIs" dxfId="186" priority="18" operator="equal">
      <formula>"CUMPLE"</formula>
    </cfRule>
  </conditionalFormatting>
  <conditionalFormatting sqref="D65:J65">
    <cfRule type="cellIs" dxfId="185" priority="9" operator="equal">
      <formula>"NO CUMPLE"</formula>
    </cfRule>
    <cfRule type="cellIs" dxfId="184" priority="10" operator="equal">
      <formula>"CUMPLE"</formula>
    </cfRule>
  </conditionalFormatting>
  <conditionalFormatting sqref="D24:K24 D34:J34 D37:J37 D40:J40 D43:J43 D46:J53 D55:J63 K64:L64 D65:K65">
    <cfRule type="notContainsErrors" dxfId="183" priority="16">
      <formula>NOT(ISERROR(D24))</formula>
    </cfRule>
  </conditionalFormatting>
  <conditionalFormatting sqref="F20:H20">
    <cfRule type="cellIs" dxfId="182" priority="31" operator="equal">
      <formula>"CUMPLE"</formula>
    </cfRule>
    <cfRule type="cellIs" dxfId="181" priority="32" operator="equal">
      <formula>"NO CUMPLE"</formula>
    </cfRule>
    <cfRule type="cellIs" dxfId="180" priority="33" operator="equal">
      <formula>"""CUMPLE"""</formula>
    </cfRule>
  </conditionalFormatting>
  <conditionalFormatting sqref="I11">
    <cfRule type="containsText" dxfId="179" priority="37" operator="containsText" text="NO CUMPLE">
      <formula>NOT(ISERROR(SEARCH("NO CUMPLE",I11)))</formula>
    </cfRule>
    <cfRule type="containsText" dxfId="178" priority="34" operator="containsText" text="INHABILITADO">
      <formula>NOT(ISERROR(SEARCH("INHABILITADO",I11)))</formula>
    </cfRule>
    <cfRule type="containsText" dxfId="177" priority="35" operator="containsText" text="HABILITADO">
      <formula>NOT(ISERROR(SEARCH("HABILITADO",I11)))</formula>
    </cfRule>
    <cfRule type="containsText" dxfId="176" priority="36" operator="containsText" text="HABILITADO">
      <formula>NOT(ISERROR(SEARCH("HABILITADO",I11)))</formula>
    </cfRule>
  </conditionalFormatting>
  <conditionalFormatting sqref="J20">
    <cfRule type="cellIs" dxfId="175" priority="8" operator="equal">
      <formula>"SI"</formula>
    </cfRule>
    <cfRule type="cellIs" dxfId="174" priority="7" operator="equal">
      <formula>"NO"</formula>
    </cfRule>
  </conditionalFormatting>
  <conditionalFormatting sqref="K19">
    <cfRule type="cellIs" dxfId="173" priority="22" operator="equal">
      <formula>"CUMPLE"</formula>
    </cfRule>
    <cfRule type="cellIs" dxfId="172" priority="23" operator="equal">
      <formula>"NO CUMPLE"</formula>
    </cfRule>
    <cfRule type="cellIs" dxfId="171" priority="24" operator="equal">
      <formula>"""CUMPLE"""</formula>
    </cfRule>
  </conditionalFormatting>
  <conditionalFormatting sqref="K25:K63">
    <cfRule type="notContainsErrors" dxfId="170" priority="2">
      <formula>NOT(ISERROR(K25))</formula>
    </cfRule>
    <cfRule type="containsBlanks" dxfId="169" priority="1">
      <formula>LEN(TRIM(K25))=0</formula>
    </cfRule>
  </conditionalFormatting>
  <conditionalFormatting sqref="L15">
    <cfRule type="cellIs" dxfId="168" priority="28" operator="equal">
      <formula>"CUMPLE"</formula>
    </cfRule>
    <cfRule type="cellIs" dxfId="167" priority="29" operator="equal">
      <formula>"NO CUMPLE"</formula>
    </cfRule>
    <cfRule type="cellIs" dxfId="166" priority="30" operator="equal">
      <formula>"""CUMPLE"""</formula>
    </cfRule>
  </conditionalFormatting>
  <conditionalFormatting sqref="L20">
    <cfRule type="cellIs" dxfId="165" priority="5" operator="equal">
      <formula>"NO"</formula>
    </cfRule>
    <cfRule type="cellIs" dxfId="164" priority="6" operator="equal">
      <formula>"SI"</formula>
    </cfRule>
  </conditionalFormatting>
  <dataValidations count="3">
    <dataValidation type="list" allowBlank="1" showInputMessage="1" showErrorMessage="1" sqref="D65:I65" xr:uid="{00000000-0002-0000-2000-000000000000}">
      <formula1>"CUMPLE,NO CUMPLE"</formula1>
    </dataValidation>
    <dataValidation type="list" allowBlank="1" showInputMessage="1" showErrorMessage="1" sqref="D24:J26" xr:uid="{00000000-0002-0000-2000-000001000000}">
      <formula1>$C$15:$C$19</formula1>
    </dataValidation>
    <dataValidation type="list" allowBlank="1" showInputMessage="1" showErrorMessage="1" sqref="L57:L64" xr:uid="{00000000-0002-0000-20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000-000003000000}">
          <x14:formula1>
            <xm:f>'DATOS INICIALES'!$A$13:$A$43</xm:f>
          </x14:formula1>
          <xm:sqref>D31:I31</xm:sqref>
        </x14:dataValidation>
        <x14:dataValidation type="list" allowBlank="1" showInputMessage="1" showErrorMessage="1" xr:uid="{00000000-0002-0000-2000-000004000000}">
          <x14:formula1>
            <xm:f>'DATOS INICIALES'!$D$21:$D$25</xm:f>
          </x14:formula1>
          <xm:sqref>M47:M54</xm:sqref>
        </x14:dataValidation>
        <x14:dataValidation type="list" allowBlank="1" showInputMessage="1" showErrorMessage="1" xr:uid="{00000000-0002-0000-2000-000005000000}">
          <x14:formula1>
            <xm:f>'DATOS INICIALES'!$A$54:$A$59</xm:f>
          </x14:formula1>
          <xm:sqref>D23:I23</xm:sqref>
        </x14:dataValidation>
        <x14:dataValidation type="list" allowBlank="1" showInputMessage="1" showErrorMessage="1" xr:uid="{00000000-0002-0000-2000-000006000000}">
          <x14:formula1>
            <xm:f>'DATOS INICIALES'!$A$50:$A$52</xm:f>
          </x14:formula1>
          <xm:sqref>D55:I57 D46:J46 J55:J56 D58:J63</xm:sqref>
        </x14:dataValidation>
        <x14:dataValidation type="list" allowBlank="1" showInputMessage="1" showErrorMessage="1" xr:uid="{00000000-0002-0000-2000-000007000000}">
          <x14:formula1>
            <xm:f>'DATOS INICIALES'!$C$45:$C$46</xm:f>
          </x14:formula1>
          <xm:sqref>D47:I53 J47:J52</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65"/>
  <sheetViews>
    <sheetView view="pageBreakPreview" zoomScale="55" zoomScaleNormal="55" zoomScaleSheetLayoutView="55" workbookViewId="0">
      <pane ySplit="11" topLeftCell="A39"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30</v>
      </c>
      <c r="B11" s="2" t="s">
        <v>24</v>
      </c>
      <c r="C11" s="287" t="str">
        <f>VLOOKUP(A11,PROPONENTES!$A$10:$B$42,2,FALSE)</f>
        <v>GERMAN RAMIREZ BARBOSA</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GERMAN RAMIREZ BARBOSA</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8100.9040000000005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8100.9040000000005</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8100.9040000000005</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8100.9040000000005</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284</v>
      </c>
      <c r="E24" s="90" t="s">
        <v>284</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549</v>
      </c>
      <c r="E27" s="91" t="s">
        <v>550</v>
      </c>
      <c r="F27" s="91"/>
      <c r="G27" s="91"/>
      <c r="H27" s="91"/>
      <c r="I27" s="91"/>
      <c r="J27" s="91"/>
      <c r="K27" s="245"/>
      <c r="L27" s="246"/>
    </row>
    <row r="28" spans="2:14" ht="156.75" customHeight="1" x14ac:dyDescent="0.25">
      <c r="B28" s="250"/>
      <c r="C28" s="25" t="s">
        <v>38</v>
      </c>
      <c r="D28" s="91" t="s">
        <v>551</v>
      </c>
      <c r="E28" s="91" t="s">
        <v>552</v>
      </c>
      <c r="F28" s="91"/>
      <c r="G28" s="91"/>
      <c r="H28" s="91"/>
      <c r="I28" s="91"/>
      <c r="J28" s="91"/>
      <c r="K28" s="245"/>
      <c r="L28" s="246"/>
    </row>
    <row r="29" spans="2:14" ht="52.5" customHeight="1" x14ac:dyDescent="0.25">
      <c r="B29" s="250"/>
      <c r="C29" s="25" t="s">
        <v>169</v>
      </c>
      <c r="D29" s="95">
        <v>39576</v>
      </c>
      <c r="E29" s="95">
        <v>42807</v>
      </c>
      <c r="F29" s="95"/>
      <c r="G29" s="95"/>
      <c r="H29" s="95"/>
      <c r="I29" s="95"/>
      <c r="J29" s="95"/>
      <c r="K29" s="245"/>
      <c r="L29" s="246"/>
    </row>
    <row r="30" spans="2:14" ht="54.75" customHeight="1" x14ac:dyDescent="0.25">
      <c r="B30" s="250"/>
      <c r="C30" s="25" t="s">
        <v>42</v>
      </c>
      <c r="D30" s="95">
        <v>39853</v>
      </c>
      <c r="E30" s="95">
        <v>43112</v>
      </c>
      <c r="F30" s="95"/>
      <c r="G30" s="95"/>
      <c r="H30" s="95"/>
      <c r="I30" s="95"/>
      <c r="J30" s="95"/>
      <c r="K30" s="245"/>
      <c r="L30" s="246"/>
    </row>
    <row r="31" spans="2:14" ht="41.25" customHeight="1" x14ac:dyDescent="0.25">
      <c r="B31" s="250"/>
      <c r="C31" s="25" t="s">
        <v>39</v>
      </c>
      <c r="D31" s="92">
        <v>2009</v>
      </c>
      <c r="E31" s="92">
        <v>2018</v>
      </c>
      <c r="F31" s="92"/>
      <c r="G31" s="92"/>
      <c r="H31" s="92"/>
      <c r="I31" s="92"/>
      <c r="J31" s="92"/>
      <c r="K31" s="245"/>
      <c r="L31" s="246"/>
    </row>
    <row r="32" spans="2:14" ht="63" customHeight="1" x14ac:dyDescent="0.25">
      <c r="B32" s="250"/>
      <c r="C32" s="25" t="s">
        <v>40</v>
      </c>
      <c r="D32" s="91" t="s">
        <v>553</v>
      </c>
      <c r="E32" s="91" t="s">
        <v>308</v>
      </c>
      <c r="F32" s="91"/>
      <c r="G32" s="91"/>
      <c r="H32" s="91"/>
      <c r="I32" s="91"/>
      <c r="J32" s="91"/>
      <c r="K32" s="245"/>
      <c r="L32" s="246"/>
    </row>
    <row r="33" spans="2:12" ht="46.5" customHeight="1" x14ac:dyDescent="0.25">
      <c r="B33" s="250"/>
      <c r="C33" s="25" t="s">
        <v>41</v>
      </c>
      <c r="D33" s="91" t="s">
        <v>554</v>
      </c>
      <c r="E33" s="91" t="s">
        <v>555</v>
      </c>
      <c r="F33" s="91"/>
      <c r="G33" s="91"/>
      <c r="H33" s="91"/>
      <c r="I33" s="91"/>
      <c r="J33" s="91"/>
      <c r="K33" s="245"/>
      <c r="L33" s="246"/>
    </row>
    <row r="34" spans="2:12" ht="27.75" customHeight="1" x14ac:dyDescent="0.25">
      <c r="B34" s="250"/>
      <c r="C34" s="27" t="s">
        <v>35</v>
      </c>
      <c r="D34" s="96">
        <v>7</v>
      </c>
      <c r="E34" s="96">
        <v>58</v>
      </c>
      <c r="F34" s="96"/>
      <c r="G34" s="97"/>
      <c r="H34" s="97"/>
      <c r="I34" s="97"/>
      <c r="J34" s="97"/>
      <c r="K34" s="245"/>
      <c r="L34" s="246"/>
    </row>
    <row r="35" spans="2:12" ht="102.75" customHeight="1" x14ac:dyDescent="0.25">
      <c r="B35" s="250"/>
      <c r="C35" s="25" t="s">
        <v>137</v>
      </c>
      <c r="D35" s="93">
        <v>11285.36</v>
      </c>
      <c r="E35" s="93">
        <v>7681.95</v>
      </c>
      <c r="F35" s="93"/>
      <c r="G35" s="93"/>
      <c r="H35" s="93"/>
      <c r="I35" s="93"/>
      <c r="J35" s="93"/>
      <c r="K35" s="245"/>
      <c r="L35" s="246"/>
    </row>
    <row r="36" spans="2:12" ht="48" customHeight="1" x14ac:dyDescent="0.25">
      <c r="B36" s="250"/>
      <c r="C36" s="25" t="s">
        <v>76</v>
      </c>
      <c r="D36" s="105">
        <f>IFERROR(D35*VLOOKUP(D31,'DATOS INICIALES'!$A$12:$B$43,2,0),"0")</f>
        <v>5607695384</v>
      </c>
      <c r="E36" s="105">
        <f>IFERROR(E35*VLOOKUP(E31,'DATOS INICIALES'!$A$12:$B$43,2,0),"0")</f>
        <v>6001461981.8999996</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0.32</v>
      </c>
      <c r="F37" s="94"/>
      <c r="G37" s="94"/>
      <c r="H37" s="94"/>
      <c r="I37" s="94"/>
      <c r="J37" s="94"/>
      <c r="K37" s="245"/>
      <c r="L37" s="246"/>
    </row>
    <row r="38" spans="2:12" ht="48.75" customHeight="1" x14ac:dyDescent="0.25">
      <c r="B38" s="250"/>
      <c r="C38" s="25" t="s">
        <v>144</v>
      </c>
      <c r="D38" s="105">
        <f t="shared" ref="D38:J38" si="3">IF(D24="","0",D37*D36)</f>
        <v>2803847692</v>
      </c>
      <c r="E38" s="105">
        <f t="shared" si="3"/>
        <v>1920467834.2079999</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5642.68</v>
      </c>
      <c r="E39" s="106">
        <f t="shared" si="4"/>
        <v>2458.2240000000002</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77</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63" priority="13">
      <formula>LEN(TRIM(D25))=0</formula>
    </cfRule>
    <cfRule type="notContainsErrors" dxfId="162" priority="14">
      <formula>NOT(ISERROR(D25))</formula>
    </cfRule>
  </conditionalFormatting>
  <conditionalFormatting sqref="D34:J34 D24:K24 D37:J37 D40:J40 D43:J43 D46:J53 D55:J63 K64:L64 D65:K65">
    <cfRule type="containsBlanks" dxfId="161" priority="15">
      <formula>LEN(TRIM(D24))=0</formula>
    </cfRule>
  </conditionalFormatting>
  <conditionalFormatting sqref="D46:J53">
    <cfRule type="cellIs" dxfId="160" priority="11" operator="equal">
      <formula>"NO CUMPLE"</formula>
    </cfRule>
    <cfRule type="cellIs" dxfId="159" priority="12" operator="equal">
      <formula>"CUMPLE"</formula>
    </cfRule>
  </conditionalFormatting>
  <conditionalFormatting sqref="D54:J54">
    <cfRule type="cellIs" dxfId="158" priority="27" operator="equal">
      <formula>"""CUMPLE"""</formula>
    </cfRule>
    <cfRule type="cellIs" dxfId="157" priority="26" operator="equal">
      <formula>"NO CUMPLE"</formula>
    </cfRule>
    <cfRule type="cellIs" dxfId="156" priority="25" operator="equal">
      <formula>"CUMPLE"</formula>
    </cfRule>
    <cfRule type="cellIs" dxfId="155" priority="21" operator="equal">
      <formula>"N/A"</formula>
    </cfRule>
  </conditionalFormatting>
  <conditionalFormatting sqref="D55:J63">
    <cfRule type="cellIs" dxfId="154" priority="3" operator="equal">
      <formula>"NO CUMPLE"</formula>
    </cfRule>
    <cfRule type="cellIs" dxfId="153" priority="4" operator="equal">
      <formula>"CUMPLE"</formula>
    </cfRule>
  </conditionalFormatting>
  <conditionalFormatting sqref="D64:J64">
    <cfRule type="cellIs" dxfId="152" priority="19" operator="equal">
      <formula>"NO CUMPLE"</formula>
    </cfRule>
    <cfRule type="cellIs" dxfId="151" priority="20" operator="equal">
      <formula>"""CUMPLE"""</formula>
    </cfRule>
    <cfRule type="cellIs" dxfId="150" priority="17" operator="equal">
      <formula>"N/A"</formula>
    </cfRule>
    <cfRule type="cellIs" dxfId="149" priority="18" operator="equal">
      <formula>"CUMPLE"</formula>
    </cfRule>
  </conditionalFormatting>
  <conditionalFormatting sqref="D65:J65">
    <cfRule type="cellIs" dxfId="148" priority="9" operator="equal">
      <formula>"NO CUMPLE"</formula>
    </cfRule>
    <cfRule type="cellIs" dxfId="147" priority="10" operator="equal">
      <formula>"CUMPLE"</formula>
    </cfRule>
  </conditionalFormatting>
  <conditionalFormatting sqref="D24:K24 D34:J34 D37:J37 D40:J40 D43:J43 D46:J53 D55:J63 K64:L64 D65:K65">
    <cfRule type="notContainsErrors" dxfId="146" priority="16">
      <formula>NOT(ISERROR(D24))</formula>
    </cfRule>
  </conditionalFormatting>
  <conditionalFormatting sqref="F20:H20">
    <cfRule type="cellIs" dxfId="145" priority="31" operator="equal">
      <formula>"CUMPLE"</formula>
    </cfRule>
    <cfRule type="cellIs" dxfId="144" priority="32" operator="equal">
      <formula>"NO CUMPLE"</formula>
    </cfRule>
    <cfRule type="cellIs" dxfId="143" priority="33" operator="equal">
      <formula>"""CUMPLE"""</formula>
    </cfRule>
  </conditionalFormatting>
  <conditionalFormatting sqref="I11">
    <cfRule type="containsText" dxfId="142" priority="37" operator="containsText" text="NO CUMPLE">
      <formula>NOT(ISERROR(SEARCH("NO CUMPLE",I11)))</formula>
    </cfRule>
    <cfRule type="containsText" dxfId="141" priority="34" operator="containsText" text="INHABILITADO">
      <formula>NOT(ISERROR(SEARCH("INHABILITADO",I11)))</formula>
    </cfRule>
    <cfRule type="containsText" dxfId="140" priority="35" operator="containsText" text="HABILITADO">
      <formula>NOT(ISERROR(SEARCH("HABILITADO",I11)))</formula>
    </cfRule>
    <cfRule type="containsText" dxfId="139" priority="36" operator="containsText" text="HABILITADO">
      <formula>NOT(ISERROR(SEARCH("HABILITADO",I11)))</formula>
    </cfRule>
  </conditionalFormatting>
  <conditionalFormatting sqref="J20">
    <cfRule type="cellIs" dxfId="138" priority="8" operator="equal">
      <formula>"SI"</formula>
    </cfRule>
    <cfRule type="cellIs" dxfId="137" priority="7" operator="equal">
      <formula>"NO"</formula>
    </cfRule>
  </conditionalFormatting>
  <conditionalFormatting sqref="K19">
    <cfRule type="cellIs" dxfId="136" priority="22" operator="equal">
      <formula>"CUMPLE"</formula>
    </cfRule>
    <cfRule type="cellIs" dxfId="135" priority="23" operator="equal">
      <formula>"NO CUMPLE"</formula>
    </cfRule>
    <cfRule type="cellIs" dxfId="134" priority="24" operator="equal">
      <formula>"""CUMPLE"""</formula>
    </cfRule>
  </conditionalFormatting>
  <conditionalFormatting sqref="K25:K63">
    <cfRule type="notContainsErrors" dxfId="133" priority="2">
      <formula>NOT(ISERROR(K25))</formula>
    </cfRule>
    <cfRule type="containsBlanks" dxfId="132" priority="1">
      <formula>LEN(TRIM(K25))=0</formula>
    </cfRule>
  </conditionalFormatting>
  <conditionalFormatting sqref="L15">
    <cfRule type="cellIs" dxfId="131" priority="28" operator="equal">
      <formula>"CUMPLE"</formula>
    </cfRule>
    <cfRule type="cellIs" dxfId="130" priority="29" operator="equal">
      <formula>"NO CUMPLE"</formula>
    </cfRule>
    <cfRule type="cellIs" dxfId="129" priority="30" operator="equal">
      <formula>"""CUMPLE"""</formula>
    </cfRule>
  </conditionalFormatting>
  <conditionalFormatting sqref="L20">
    <cfRule type="cellIs" dxfId="128" priority="5" operator="equal">
      <formula>"NO"</formula>
    </cfRule>
    <cfRule type="cellIs" dxfId="127" priority="6" operator="equal">
      <formula>"SI"</formula>
    </cfRule>
  </conditionalFormatting>
  <dataValidations count="3">
    <dataValidation type="list" allowBlank="1" showInputMessage="1" showErrorMessage="1" sqref="L57:L64" xr:uid="{00000000-0002-0000-2100-000000000000}">
      <formula1>"0,1,2,3,4,5,6"</formula1>
    </dataValidation>
    <dataValidation type="list" allowBlank="1" showInputMessage="1" showErrorMessage="1" sqref="D24:J26" xr:uid="{00000000-0002-0000-2100-000001000000}">
      <formula1>$C$15:$C$19</formula1>
    </dataValidation>
    <dataValidation type="list" allowBlank="1" showInputMessage="1" showErrorMessage="1" sqref="D65:I65" xr:uid="{00000000-0002-0000-21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100-000003000000}">
          <x14:formula1>
            <xm:f>'DATOS INICIALES'!$C$45:$C$46</xm:f>
          </x14:formula1>
          <xm:sqref>D47:I53 J47:J52</xm:sqref>
        </x14:dataValidation>
        <x14:dataValidation type="list" allowBlank="1" showInputMessage="1" showErrorMessage="1" xr:uid="{00000000-0002-0000-2100-000004000000}">
          <x14:formula1>
            <xm:f>'DATOS INICIALES'!$A$50:$A$52</xm:f>
          </x14:formula1>
          <xm:sqref>D55:I57 D46:J46 J55:J56 D58:J63</xm:sqref>
        </x14:dataValidation>
        <x14:dataValidation type="list" allowBlank="1" showInputMessage="1" showErrorMessage="1" xr:uid="{00000000-0002-0000-2100-000005000000}">
          <x14:formula1>
            <xm:f>'DATOS INICIALES'!$A$54:$A$59</xm:f>
          </x14:formula1>
          <xm:sqref>D23:I23</xm:sqref>
        </x14:dataValidation>
        <x14:dataValidation type="list" allowBlank="1" showInputMessage="1" showErrorMessage="1" xr:uid="{00000000-0002-0000-2100-000006000000}">
          <x14:formula1>
            <xm:f>'DATOS INICIALES'!$D$21:$D$25</xm:f>
          </x14:formula1>
          <xm:sqref>M47:M54</xm:sqref>
        </x14:dataValidation>
        <x14:dataValidation type="list" allowBlank="1" showInputMessage="1" showErrorMessage="1" xr:uid="{00000000-0002-0000-2100-000007000000}">
          <x14:formula1>
            <xm:f>'DATOS INICIALES'!$A$13:$A$43</xm:f>
          </x14:formula1>
          <xm:sqref>D31:I31</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N65"/>
  <sheetViews>
    <sheetView view="pageBreakPreview" zoomScale="55" zoomScaleNormal="55" zoomScaleSheetLayoutView="55" workbookViewId="0">
      <pane ySplit="11" topLeftCell="A26" activePane="bottomLeft" state="frozenSplit"/>
      <selection activeCell="D65" sqref="D65"/>
      <selection pane="bottomLeft" activeCell="E28" sqref="E28"/>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31</v>
      </c>
      <c r="B11" s="2" t="s">
        <v>24</v>
      </c>
      <c r="C11" s="287" t="str">
        <f>VLOOKUP(A11,PROPONENTES!$A$10:$B$42,2,FALSE)</f>
        <v>CONSTRUCOL SAS</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CONSTRUCOL SAS</v>
      </c>
      <c r="D15" s="101">
        <f>IF(VLOOKUP(C11,PROPONENTES!B10:N111,3,FALSE)=0,"",VLOOKUP(C11,PROPONENTES!B10:N111,3,FALSE))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6735.4132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6735.4132</v>
      </c>
      <c r="L15" s="236" t="str">
        <f>IF(K15&gt;=J15,"CUMPLE","NO CUMPLE")</f>
        <v>CUMPLE</v>
      </c>
    </row>
    <row r="16" spans="1:12" ht="33.75" customHeight="1" x14ac:dyDescent="0.25">
      <c r="B16" s="244"/>
      <c r="C16" s="100" t="str">
        <f>IF(VLOOKUP(C11,PROPONENTES!B10:N111,4,FALSE)=0,"",VLOOKUP(C11,PROPONENTES!B10:N111,4,FALSE))</f>
        <v/>
      </c>
      <c r="D16" s="101" t="str">
        <f>IF(VLOOKUP(C11,PROPONENTES!B10:N111,5,FALSE)=0,"",VLOOKUP(C11,PROPONENTES!B10:N111,5,FALSE))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6735.4132</v>
      </c>
      <c r="J19" s="152">
        <f>70%*C10</f>
        <v>1535.4533088461537</v>
      </c>
      <c r="K19" s="236" t="str">
        <f>IF(I19&gt;=J19,"CUMPLE","NO CUMPLE")</f>
        <v>CUMPLE</v>
      </c>
      <c r="L19" s="236"/>
    </row>
    <row r="20" spans="2:14" ht="84.75" customHeight="1" x14ac:dyDescent="0.25">
      <c r="B20" s="30" t="s">
        <v>63</v>
      </c>
      <c r="C20" s="24">
        <f>+VLOOKUP(C11,PROPONENTES!B10:N111,12,FALSE)</f>
        <v>1</v>
      </c>
      <c r="D20" s="101">
        <f>+VLOOKUP(C11,PROPONENTES!B10:N111,13,FALSE)</f>
        <v>1</v>
      </c>
      <c r="E20" s="36">
        <f>SUM(E15:E19)</f>
        <v>6735.4132</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285</v>
      </c>
      <c r="E24" s="90" t="s">
        <v>285</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556</v>
      </c>
      <c r="E27" s="91" t="s">
        <v>557</v>
      </c>
      <c r="F27" s="91"/>
      <c r="G27" s="91"/>
      <c r="H27" s="91"/>
      <c r="I27" s="91"/>
      <c r="J27" s="91"/>
      <c r="K27" s="245"/>
      <c r="L27" s="246"/>
    </row>
    <row r="28" spans="2:14" ht="156.75" customHeight="1" x14ac:dyDescent="0.25">
      <c r="B28" s="250"/>
      <c r="C28" s="25" t="s">
        <v>38</v>
      </c>
      <c r="D28" s="91" t="s">
        <v>558</v>
      </c>
      <c r="E28" s="91" t="s">
        <v>559</v>
      </c>
      <c r="F28" s="91"/>
      <c r="G28" s="91"/>
      <c r="H28" s="91"/>
      <c r="I28" s="91"/>
      <c r="J28" s="91"/>
      <c r="K28" s="245"/>
      <c r="L28" s="246"/>
    </row>
    <row r="29" spans="2:14" ht="52.5" customHeight="1" x14ac:dyDescent="0.25">
      <c r="B29" s="250"/>
      <c r="C29" s="25" t="s">
        <v>169</v>
      </c>
      <c r="D29" s="95">
        <v>43706</v>
      </c>
      <c r="E29" s="95">
        <v>43084</v>
      </c>
      <c r="F29" s="95"/>
      <c r="G29" s="95"/>
      <c r="H29" s="95"/>
      <c r="I29" s="95"/>
      <c r="J29" s="95"/>
      <c r="K29" s="245"/>
      <c r="L29" s="246"/>
    </row>
    <row r="30" spans="2:14" ht="54.75" customHeight="1" x14ac:dyDescent="0.25">
      <c r="B30" s="250"/>
      <c r="C30" s="25" t="s">
        <v>42</v>
      </c>
      <c r="D30" s="95">
        <v>43766</v>
      </c>
      <c r="E30" s="95">
        <v>43349</v>
      </c>
      <c r="F30" s="95"/>
      <c r="G30" s="95"/>
      <c r="H30" s="95"/>
      <c r="I30" s="95"/>
      <c r="J30" s="95"/>
      <c r="K30" s="245"/>
      <c r="L30" s="246"/>
    </row>
    <row r="31" spans="2:14" ht="41.25" customHeight="1" x14ac:dyDescent="0.25">
      <c r="B31" s="250"/>
      <c r="C31" s="25" t="s">
        <v>39</v>
      </c>
      <c r="D31" s="92">
        <v>2019</v>
      </c>
      <c r="E31" s="92">
        <v>2018</v>
      </c>
      <c r="F31" s="92"/>
      <c r="G31" s="92"/>
      <c r="H31" s="92"/>
      <c r="I31" s="92"/>
      <c r="J31" s="92"/>
      <c r="K31" s="245"/>
      <c r="L31" s="246"/>
    </row>
    <row r="32" spans="2:14" ht="63" customHeight="1" x14ac:dyDescent="0.25">
      <c r="B32" s="250"/>
      <c r="C32" s="25" t="s">
        <v>40</v>
      </c>
      <c r="D32" s="91" t="s">
        <v>560</v>
      </c>
      <c r="E32" s="91" t="s">
        <v>561</v>
      </c>
      <c r="F32" s="91"/>
      <c r="G32" s="91"/>
      <c r="H32" s="91"/>
      <c r="I32" s="91"/>
      <c r="J32" s="91"/>
      <c r="K32" s="245"/>
      <c r="L32" s="246"/>
    </row>
    <row r="33" spans="2:12" ht="46.5" customHeight="1" x14ac:dyDescent="0.25">
      <c r="B33" s="250"/>
      <c r="C33" s="25" t="s">
        <v>41</v>
      </c>
      <c r="D33" s="91" t="s">
        <v>562</v>
      </c>
      <c r="E33" s="91" t="s">
        <v>563</v>
      </c>
      <c r="F33" s="91"/>
      <c r="G33" s="91"/>
      <c r="H33" s="91"/>
      <c r="I33" s="91"/>
      <c r="J33" s="91"/>
      <c r="K33" s="245"/>
      <c r="L33" s="246"/>
    </row>
    <row r="34" spans="2:12" ht="27.75" customHeight="1" x14ac:dyDescent="0.25">
      <c r="B34" s="250"/>
      <c r="C34" s="27" t="s">
        <v>35</v>
      </c>
      <c r="D34" s="96">
        <v>154</v>
      </c>
      <c r="E34" s="96">
        <v>136</v>
      </c>
      <c r="F34" s="96"/>
      <c r="G34" s="97"/>
      <c r="H34" s="97"/>
      <c r="I34" s="97"/>
      <c r="J34" s="97"/>
      <c r="K34" s="245"/>
      <c r="L34" s="246"/>
    </row>
    <row r="35" spans="2:12" ht="102.75" customHeight="1" x14ac:dyDescent="0.25">
      <c r="B35" s="250"/>
      <c r="C35" s="25" t="s">
        <v>137</v>
      </c>
      <c r="D35" s="93">
        <v>10978.34</v>
      </c>
      <c r="E35" s="93">
        <v>1298.17</v>
      </c>
      <c r="F35" s="93"/>
      <c r="G35" s="93"/>
      <c r="H35" s="93"/>
      <c r="I35" s="93"/>
      <c r="J35" s="93"/>
      <c r="K35" s="245"/>
      <c r="L35" s="246"/>
    </row>
    <row r="36" spans="2:12" ht="48" customHeight="1" x14ac:dyDescent="0.25">
      <c r="B36" s="250"/>
      <c r="C36" s="25" t="s">
        <v>76</v>
      </c>
      <c r="D36" s="105">
        <f>IFERROR(D35*VLOOKUP(D31,'DATOS INICIALES'!$A$12:$B$43,2,0),"0")</f>
        <v>9091339007.4400005</v>
      </c>
      <c r="E36" s="105">
        <f>IFERROR(E35*VLOOKUP(E31,'DATOS INICIALES'!$A$12:$B$43,2,0),"0")</f>
        <v>1014184927.1400001</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0.5</v>
      </c>
      <c r="E37" s="94">
        <v>0.96</v>
      </c>
      <c r="F37" s="94"/>
      <c r="G37" s="94"/>
      <c r="H37" s="94"/>
      <c r="I37" s="94"/>
      <c r="J37" s="94"/>
      <c r="K37" s="245"/>
      <c r="L37" s="246"/>
    </row>
    <row r="38" spans="2:12" ht="48.75" customHeight="1" x14ac:dyDescent="0.25">
      <c r="B38" s="250"/>
      <c r="C38" s="25" t="s">
        <v>144</v>
      </c>
      <c r="D38" s="105">
        <f t="shared" ref="D38:J38" si="3">IF(D24="","0",D37*D36)</f>
        <v>4545669503.7200003</v>
      </c>
      <c r="E38" s="105">
        <f t="shared" si="3"/>
        <v>973617530.05440009</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5489.17</v>
      </c>
      <c r="E39" s="106">
        <f t="shared" si="4"/>
        <v>1246.2432000000001</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126" priority="13">
      <formula>LEN(TRIM(D25))=0</formula>
    </cfRule>
    <cfRule type="notContainsErrors" dxfId="125" priority="14">
      <formula>NOT(ISERROR(D25))</formula>
    </cfRule>
  </conditionalFormatting>
  <conditionalFormatting sqref="D34:J34 D24:K24 D37:J37 D40:J40 D43:J43 D46:J53 D55:J63 K64:L64 D65:K65">
    <cfRule type="containsBlanks" dxfId="124" priority="15">
      <formula>LEN(TRIM(D24))=0</formula>
    </cfRule>
  </conditionalFormatting>
  <conditionalFormatting sqref="D46:J53">
    <cfRule type="cellIs" dxfId="123" priority="11" operator="equal">
      <formula>"NO CUMPLE"</formula>
    </cfRule>
    <cfRule type="cellIs" dxfId="122" priority="12" operator="equal">
      <formula>"CUMPLE"</formula>
    </cfRule>
  </conditionalFormatting>
  <conditionalFormatting sqref="D54:J54">
    <cfRule type="cellIs" dxfId="121" priority="27" operator="equal">
      <formula>"""CUMPLE"""</formula>
    </cfRule>
    <cfRule type="cellIs" dxfId="120" priority="26" operator="equal">
      <formula>"NO CUMPLE"</formula>
    </cfRule>
    <cfRule type="cellIs" dxfId="119" priority="25" operator="equal">
      <formula>"CUMPLE"</formula>
    </cfRule>
    <cfRule type="cellIs" dxfId="118" priority="21" operator="equal">
      <formula>"N/A"</formula>
    </cfRule>
  </conditionalFormatting>
  <conditionalFormatting sqref="D55:J63">
    <cfRule type="cellIs" dxfId="117" priority="3" operator="equal">
      <formula>"NO CUMPLE"</formula>
    </cfRule>
    <cfRule type="cellIs" dxfId="116" priority="4" operator="equal">
      <formula>"CUMPLE"</formula>
    </cfRule>
  </conditionalFormatting>
  <conditionalFormatting sqref="D64:J64">
    <cfRule type="cellIs" dxfId="115" priority="19" operator="equal">
      <formula>"NO CUMPLE"</formula>
    </cfRule>
    <cfRule type="cellIs" dxfId="114" priority="20" operator="equal">
      <formula>"""CUMPLE"""</formula>
    </cfRule>
    <cfRule type="cellIs" dxfId="113" priority="17" operator="equal">
      <formula>"N/A"</formula>
    </cfRule>
    <cfRule type="cellIs" dxfId="112" priority="18" operator="equal">
      <formula>"CUMPLE"</formula>
    </cfRule>
  </conditionalFormatting>
  <conditionalFormatting sqref="D65:J65">
    <cfRule type="cellIs" dxfId="111" priority="9" operator="equal">
      <formula>"NO CUMPLE"</formula>
    </cfRule>
    <cfRule type="cellIs" dxfId="110" priority="10" operator="equal">
      <formula>"CUMPLE"</formula>
    </cfRule>
  </conditionalFormatting>
  <conditionalFormatting sqref="D24:K24 D34:J34 D37:J37 D40:J40 D43:J43 D46:J53 D55:J63 K64:L64 D65:K65">
    <cfRule type="notContainsErrors" dxfId="109" priority="16">
      <formula>NOT(ISERROR(D24))</formula>
    </cfRule>
  </conditionalFormatting>
  <conditionalFormatting sqref="F20:H20">
    <cfRule type="cellIs" dxfId="108" priority="31" operator="equal">
      <formula>"CUMPLE"</formula>
    </cfRule>
    <cfRule type="cellIs" dxfId="107" priority="32" operator="equal">
      <formula>"NO CUMPLE"</formula>
    </cfRule>
    <cfRule type="cellIs" dxfId="106" priority="33" operator="equal">
      <formula>"""CUMPLE"""</formula>
    </cfRule>
  </conditionalFormatting>
  <conditionalFormatting sqref="I11">
    <cfRule type="containsText" dxfId="105" priority="37" operator="containsText" text="NO CUMPLE">
      <formula>NOT(ISERROR(SEARCH("NO CUMPLE",I11)))</formula>
    </cfRule>
    <cfRule type="containsText" dxfId="104" priority="34" operator="containsText" text="INHABILITADO">
      <formula>NOT(ISERROR(SEARCH("INHABILITADO",I11)))</formula>
    </cfRule>
    <cfRule type="containsText" dxfId="103" priority="35" operator="containsText" text="HABILITADO">
      <formula>NOT(ISERROR(SEARCH("HABILITADO",I11)))</formula>
    </cfRule>
    <cfRule type="containsText" dxfId="102" priority="36" operator="containsText" text="HABILITADO">
      <formula>NOT(ISERROR(SEARCH("HABILITADO",I11)))</formula>
    </cfRule>
  </conditionalFormatting>
  <conditionalFormatting sqref="J20">
    <cfRule type="cellIs" dxfId="101" priority="8" operator="equal">
      <formula>"SI"</formula>
    </cfRule>
    <cfRule type="cellIs" dxfId="100" priority="7" operator="equal">
      <formula>"NO"</formula>
    </cfRule>
  </conditionalFormatting>
  <conditionalFormatting sqref="K19">
    <cfRule type="cellIs" dxfId="99" priority="22" operator="equal">
      <formula>"CUMPLE"</formula>
    </cfRule>
    <cfRule type="cellIs" dxfId="98" priority="23" operator="equal">
      <formula>"NO CUMPLE"</formula>
    </cfRule>
    <cfRule type="cellIs" dxfId="97" priority="24" operator="equal">
      <formula>"""CUMPLE"""</formula>
    </cfRule>
  </conditionalFormatting>
  <conditionalFormatting sqref="K25:K63">
    <cfRule type="notContainsErrors" dxfId="96" priority="2">
      <formula>NOT(ISERROR(K25))</formula>
    </cfRule>
    <cfRule type="containsBlanks" dxfId="95" priority="1">
      <formula>LEN(TRIM(K25))=0</formula>
    </cfRule>
  </conditionalFormatting>
  <conditionalFormatting sqref="L15">
    <cfRule type="cellIs" dxfId="94" priority="28" operator="equal">
      <formula>"CUMPLE"</formula>
    </cfRule>
    <cfRule type="cellIs" dxfId="93" priority="29" operator="equal">
      <formula>"NO CUMPLE"</formula>
    </cfRule>
    <cfRule type="cellIs" dxfId="92" priority="30" operator="equal">
      <formula>"""CUMPLE"""</formula>
    </cfRule>
  </conditionalFormatting>
  <conditionalFormatting sqref="L20">
    <cfRule type="cellIs" dxfId="91" priority="5" operator="equal">
      <formula>"NO"</formula>
    </cfRule>
    <cfRule type="cellIs" dxfId="90" priority="6" operator="equal">
      <formula>"SI"</formula>
    </cfRule>
  </conditionalFormatting>
  <dataValidations count="3">
    <dataValidation type="list" allowBlank="1" showInputMessage="1" showErrorMessage="1" sqref="D65:I65" xr:uid="{00000000-0002-0000-2200-000000000000}">
      <formula1>"CUMPLE,NO CUMPLE"</formula1>
    </dataValidation>
    <dataValidation type="list" allowBlank="1" showInputMessage="1" showErrorMessage="1" sqref="D24:J26" xr:uid="{00000000-0002-0000-2200-000001000000}">
      <formula1>$C$15:$C$19</formula1>
    </dataValidation>
    <dataValidation type="list" allowBlank="1" showInputMessage="1" showErrorMessage="1" sqref="L57:L64" xr:uid="{00000000-0002-0000-2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200-000003000000}">
          <x14:formula1>
            <xm:f>'DATOS INICIALES'!$A$13:$A$43</xm:f>
          </x14:formula1>
          <xm:sqref>D31:I31</xm:sqref>
        </x14:dataValidation>
        <x14:dataValidation type="list" allowBlank="1" showInputMessage="1" showErrorMessage="1" xr:uid="{00000000-0002-0000-2200-000004000000}">
          <x14:formula1>
            <xm:f>'DATOS INICIALES'!$D$21:$D$25</xm:f>
          </x14:formula1>
          <xm:sqref>M47:M54</xm:sqref>
        </x14:dataValidation>
        <x14:dataValidation type="list" allowBlank="1" showInputMessage="1" showErrorMessage="1" xr:uid="{00000000-0002-0000-2200-000005000000}">
          <x14:formula1>
            <xm:f>'DATOS INICIALES'!$A$54:$A$59</xm:f>
          </x14:formula1>
          <xm:sqref>D23:I23</xm:sqref>
        </x14:dataValidation>
        <x14:dataValidation type="list" allowBlank="1" showInputMessage="1" showErrorMessage="1" xr:uid="{00000000-0002-0000-2200-000006000000}">
          <x14:formula1>
            <xm:f>'DATOS INICIALES'!$A$50:$A$52</xm:f>
          </x14:formula1>
          <xm:sqref>D55:I57 D46:J46 J55:J56 D58:J63</xm:sqref>
        </x14:dataValidation>
        <x14:dataValidation type="list" allowBlank="1" showInputMessage="1" showErrorMessage="1" xr:uid="{00000000-0002-0000-2200-000007000000}">
          <x14:formula1>
            <xm:f>'DATOS INICIALES'!$C$45:$C$46</xm:f>
          </x14:formula1>
          <xm:sqref>D47:I53 J47:J52</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N65"/>
  <sheetViews>
    <sheetView view="pageBreakPreview" zoomScale="55" zoomScaleNormal="55" zoomScaleSheetLayoutView="55" workbookViewId="0">
      <pane ySplit="11" topLeftCell="A32" activePane="bottomLeft" state="frozenSplit"/>
      <selection activeCell="D65" sqref="D65"/>
      <selection pane="bottomLeft" activeCell="E36" sqref="E36"/>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32</v>
      </c>
      <c r="B11" s="2" t="s">
        <v>24</v>
      </c>
      <c r="C11" s="287" t="str">
        <f>VLOOKUP(A11,PROPONENTES!$A$10:$B$42,2,FALSE)</f>
        <v>CONSORCIO DISTRITAL-5G</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GLORIA E. CEDIEL E.</v>
      </c>
      <c r="D15" s="101">
        <f>IF(VLOOKUP(C11,PROPONENTES!B10:N111,3,FALSE)=0,"",VLOOKUP(C11,PROPONENTES!B10:N111,3,FALSE))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5226.8404999999993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8050.820999999999</v>
      </c>
      <c r="L15" s="236" t="str">
        <f>IF(K15&gt;=J15,"CUMPLE","NO CUMPLE")</f>
        <v>CUMPLE</v>
      </c>
    </row>
    <row r="16" spans="1:12" ht="33.75" customHeight="1" x14ac:dyDescent="0.25">
      <c r="B16" s="244"/>
      <c r="C16" s="100" t="str">
        <f>IF(VLOOKUP(C11,PROPONENTES!B10:N111,4,FALSE)=0,"",VLOOKUP(C11,PROPONENTES!B10:N111,4,FALSE))</f>
        <v>SINCOMAQ S.A.S</v>
      </c>
      <c r="D16" s="101">
        <f>IF(VLOOKUP(C11,PROPONENTES!B10:N111,5,FALSE)=0,"",VLOOKUP(C11,PROPONENTES!B10:N111,5,FALSE))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2823.9804999999997</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c>
      <c r="D17" s="101" t="str">
        <f>IF(VLOOKUP(C11,PROPONENTES!B10:N111,7,FALSE)=0,"",VLOOKUP(C11,PROPONENTES!B10:N111,7,FALSE))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8050.820999999999</v>
      </c>
      <c r="J19" s="152">
        <f>70%*C10</f>
        <v>1535.4533088461537</v>
      </c>
      <c r="K19" s="236" t="str">
        <f>IF(I19&gt;=J19,"CUMPLE","NO CUMPLE")</f>
        <v>CUMPLE</v>
      </c>
      <c r="L19" s="236"/>
    </row>
    <row r="20" spans="2:14" ht="84.75" customHeight="1" x14ac:dyDescent="0.25">
      <c r="B20" s="30" t="s">
        <v>63</v>
      </c>
      <c r="C20" s="24">
        <f>+VLOOKUP(C11,PROPONENTES!B10:N111,12,FALSE)</f>
        <v>2</v>
      </c>
      <c r="D20" s="101">
        <f>+VLOOKUP(C11,PROPONENTES!B10:N111,13,FALSE)</f>
        <v>1</v>
      </c>
      <c r="E20" s="36">
        <f>SUM(E15:E19)</f>
        <v>8050.820999999999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287</v>
      </c>
      <c r="E24" s="90" t="s">
        <v>288</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564</v>
      </c>
      <c r="E27" s="91" t="s">
        <v>565</v>
      </c>
      <c r="F27" s="91"/>
      <c r="G27" s="91"/>
      <c r="H27" s="91"/>
      <c r="I27" s="91"/>
      <c r="J27" s="91"/>
      <c r="K27" s="245"/>
      <c r="L27" s="246"/>
    </row>
    <row r="28" spans="2:14" ht="156.75" customHeight="1" x14ac:dyDescent="0.25">
      <c r="B28" s="250"/>
      <c r="C28" s="25" t="s">
        <v>38</v>
      </c>
      <c r="D28" s="91" t="s">
        <v>566</v>
      </c>
      <c r="E28" s="91" t="s">
        <v>567</v>
      </c>
      <c r="F28" s="91"/>
      <c r="G28" s="91"/>
      <c r="H28" s="91"/>
      <c r="I28" s="91"/>
      <c r="J28" s="91"/>
      <c r="K28" s="245"/>
      <c r="L28" s="246"/>
    </row>
    <row r="29" spans="2:14" ht="52.5" customHeight="1" x14ac:dyDescent="0.25">
      <c r="B29" s="250"/>
      <c r="C29" s="25" t="s">
        <v>169</v>
      </c>
      <c r="D29" s="95">
        <v>43845</v>
      </c>
      <c r="E29" s="95">
        <v>45042</v>
      </c>
      <c r="F29" s="95"/>
      <c r="G29" s="95"/>
      <c r="H29" s="95"/>
      <c r="I29" s="95"/>
      <c r="J29" s="95"/>
      <c r="K29" s="245"/>
      <c r="L29" s="246"/>
    </row>
    <row r="30" spans="2:14" ht="54.75" customHeight="1" x14ac:dyDescent="0.25">
      <c r="B30" s="250"/>
      <c r="C30" s="25" t="s">
        <v>42</v>
      </c>
      <c r="D30" s="95">
        <v>44326</v>
      </c>
      <c r="E30" s="95">
        <v>45255</v>
      </c>
      <c r="F30" s="95"/>
      <c r="G30" s="95"/>
      <c r="H30" s="95"/>
      <c r="I30" s="95"/>
      <c r="J30" s="95"/>
      <c r="K30" s="245"/>
      <c r="L30" s="246"/>
    </row>
    <row r="31" spans="2:14" ht="41.25" customHeight="1" x14ac:dyDescent="0.25">
      <c r="B31" s="250"/>
      <c r="C31" s="25" t="s">
        <v>39</v>
      </c>
      <c r="D31" s="92">
        <v>2021</v>
      </c>
      <c r="E31" s="92">
        <v>2023</v>
      </c>
      <c r="F31" s="92"/>
      <c r="G31" s="92"/>
      <c r="H31" s="92"/>
      <c r="I31" s="92"/>
      <c r="J31" s="92"/>
      <c r="K31" s="245"/>
      <c r="L31" s="246"/>
    </row>
    <row r="32" spans="2:14" ht="63" customHeight="1" x14ac:dyDescent="0.25">
      <c r="B32" s="250"/>
      <c r="C32" s="25" t="s">
        <v>40</v>
      </c>
      <c r="D32" s="91" t="s">
        <v>308</v>
      </c>
      <c r="E32" s="91" t="s">
        <v>568</v>
      </c>
      <c r="F32" s="91"/>
      <c r="G32" s="91"/>
      <c r="H32" s="91"/>
      <c r="I32" s="91"/>
      <c r="J32" s="91"/>
      <c r="K32" s="245"/>
      <c r="L32" s="246"/>
    </row>
    <row r="33" spans="2:12" ht="46.5" customHeight="1" x14ac:dyDescent="0.25">
      <c r="B33" s="250"/>
      <c r="C33" s="25" t="s">
        <v>41</v>
      </c>
      <c r="D33" s="91" t="s">
        <v>501</v>
      </c>
      <c r="E33" s="91" t="s">
        <v>569</v>
      </c>
      <c r="F33" s="91"/>
      <c r="G33" s="91"/>
      <c r="H33" s="91"/>
      <c r="I33" s="91"/>
      <c r="J33" s="91"/>
      <c r="K33" s="245"/>
      <c r="L33" s="246"/>
    </row>
    <row r="34" spans="2:12" ht="27.75" customHeight="1" x14ac:dyDescent="0.25">
      <c r="B34" s="250"/>
      <c r="C34" s="27" t="s">
        <v>35</v>
      </c>
      <c r="D34" s="96">
        <v>47</v>
      </c>
      <c r="E34" s="96">
        <v>9</v>
      </c>
      <c r="F34" s="96"/>
      <c r="G34" s="97"/>
      <c r="H34" s="97"/>
      <c r="I34" s="97"/>
      <c r="J34" s="97"/>
      <c r="K34" s="245"/>
      <c r="L34" s="246"/>
    </row>
    <row r="35" spans="2:12" ht="102.75" customHeight="1" x14ac:dyDescent="0.25">
      <c r="B35" s="250"/>
      <c r="C35" s="25" t="s">
        <v>137</v>
      </c>
      <c r="D35" s="93">
        <v>14933.83</v>
      </c>
      <c r="E35" s="93">
        <v>3322.33</v>
      </c>
      <c r="F35" s="93"/>
      <c r="G35" s="93"/>
      <c r="H35" s="93"/>
      <c r="I35" s="93"/>
      <c r="J35" s="93"/>
      <c r="K35" s="245"/>
      <c r="L35" s="246"/>
    </row>
    <row r="36" spans="2:12" ht="48" customHeight="1" x14ac:dyDescent="0.25">
      <c r="B36" s="250"/>
      <c r="C36" s="25" t="s">
        <v>76</v>
      </c>
      <c r="D36" s="105">
        <f>IFERROR(D35*VLOOKUP(D31,'DATOS INICIALES'!$A$12:$B$43,2,0),"0")</f>
        <v>13567772834.58</v>
      </c>
      <c r="E36" s="105">
        <f>IFERROR(E35*VLOOKUP(E31,'DATOS INICIALES'!$A$12:$B$43,2,0),"0")</f>
        <v>3853902800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0.35</v>
      </c>
      <c r="E37" s="94">
        <v>0.85</v>
      </c>
      <c r="F37" s="94"/>
      <c r="G37" s="94"/>
      <c r="H37" s="94"/>
      <c r="I37" s="94"/>
      <c r="J37" s="94"/>
      <c r="K37" s="245"/>
      <c r="L37" s="246"/>
    </row>
    <row r="38" spans="2:12" ht="48.75" customHeight="1" x14ac:dyDescent="0.25">
      <c r="B38" s="250"/>
      <c r="C38" s="25" t="s">
        <v>144</v>
      </c>
      <c r="D38" s="105">
        <f t="shared" ref="D38:J38" si="3">IF(D24="","0",D37*D36)</f>
        <v>4748720492.1029997</v>
      </c>
      <c r="E38" s="105">
        <f t="shared" si="3"/>
        <v>3275817380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5226.8404999999993</v>
      </c>
      <c r="E39" s="106">
        <f t="shared" si="4"/>
        <v>2823.9804999999997</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79</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79</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79</v>
      </c>
      <c r="E52" s="96" t="s">
        <v>79</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14</v>
      </c>
      <c r="E59" s="90" t="s">
        <v>14</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89" priority="13">
      <formula>LEN(TRIM(D25))=0</formula>
    </cfRule>
    <cfRule type="notContainsErrors" dxfId="88" priority="14">
      <formula>NOT(ISERROR(D25))</formula>
    </cfRule>
  </conditionalFormatting>
  <conditionalFormatting sqref="D34:J34 D24:K24 D37:J37 D40:J40 D43:J43 D46:J53 D55:J63 K64:L64 D65:K65">
    <cfRule type="containsBlanks" dxfId="87" priority="15">
      <formula>LEN(TRIM(D24))=0</formula>
    </cfRule>
  </conditionalFormatting>
  <conditionalFormatting sqref="D46:J53">
    <cfRule type="cellIs" dxfId="86" priority="11" operator="equal">
      <formula>"NO CUMPLE"</formula>
    </cfRule>
    <cfRule type="cellIs" dxfId="85" priority="12" operator="equal">
      <formula>"CUMPLE"</formula>
    </cfRule>
  </conditionalFormatting>
  <conditionalFormatting sqref="D54:J54">
    <cfRule type="cellIs" dxfId="84" priority="27" operator="equal">
      <formula>"""CUMPLE"""</formula>
    </cfRule>
    <cfRule type="cellIs" dxfId="83" priority="26" operator="equal">
      <formula>"NO CUMPLE"</formula>
    </cfRule>
    <cfRule type="cellIs" dxfId="82" priority="25" operator="equal">
      <formula>"CUMPLE"</formula>
    </cfRule>
    <cfRule type="cellIs" dxfId="81" priority="21" operator="equal">
      <formula>"N/A"</formula>
    </cfRule>
  </conditionalFormatting>
  <conditionalFormatting sqref="D55:J63">
    <cfRule type="cellIs" dxfId="80" priority="3" operator="equal">
      <formula>"NO CUMPLE"</formula>
    </cfRule>
    <cfRule type="cellIs" dxfId="79" priority="4" operator="equal">
      <formula>"CUMPLE"</formula>
    </cfRule>
  </conditionalFormatting>
  <conditionalFormatting sqref="D64:J64">
    <cfRule type="cellIs" dxfId="78" priority="19" operator="equal">
      <formula>"NO CUMPLE"</formula>
    </cfRule>
    <cfRule type="cellIs" dxfId="77" priority="20" operator="equal">
      <formula>"""CUMPLE"""</formula>
    </cfRule>
    <cfRule type="cellIs" dxfId="76" priority="17" operator="equal">
      <formula>"N/A"</formula>
    </cfRule>
    <cfRule type="cellIs" dxfId="75" priority="18" operator="equal">
      <formula>"CUMPLE"</formula>
    </cfRule>
  </conditionalFormatting>
  <conditionalFormatting sqref="D65:J65">
    <cfRule type="cellIs" dxfId="74" priority="9" operator="equal">
      <formula>"NO CUMPLE"</formula>
    </cfRule>
    <cfRule type="cellIs" dxfId="73" priority="10" operator="equal">
      <formula>"CUMPLE"</formula>
    </cfRule>
  </conditionalFormatting>
  <conditionalFormatting sqref="D24:K24 D34:J34 D37:J37 D40:J40 D43:J43 D46:J53 D55:J63 K64:L64 D65:K65">
    <cfRule type="notContainsErrors" dxfId="72" priority="16">
      <formula>NOT(ISERROR(D24))</formula>
    </cfRule>
  </conditionalFormatting>
  <conditionalFormatting sqref="F20:H20">
    <cfRule type="cellIs" dxfId="71" priority="31" operator="equal">
      <formula>"CUMPLE"</formula>
    </cfRule>
    <cfRule type="cellIs" dxfId="70" priority="32" operator="equal">
      <formula>"NO CUMPLE"</formula>
    </cfRule>
    <cfRule type="cellIs" dxfId="69" priority="33" operator="equal">
      <formula>"""CUMPLE"""</formula>
    </cfRule>
  </conditionalFormatting>
  <conditionalFormatting sqref="I11">
    <cfRule type="containsText" dxfId="68" priority="37" operator="containsText" text="NO CUMPLE">
      <formula>NOT(ISERROR(SEARCH("NO CUMPLE",I11)))</formula>
    </cfRule>
    <cfRule type="containsText" dxfId="67" priority="34" operator="containsText" text="INHABILITADO">
      <formula>NOT(ISERROR(SEARCH("INHABILITADO",I11)))</formula>
    </cfRule>
    <cfRule type="containsText" dxfId="66" priority="35" operator="containsText" text="HABILITADO">
      <formula>NOT(ISERROR(SEARCH("HABILITADO",I11)))</formula>
    </cfRule>
    <cfRule type="containsText" dxfId="65" priority="36" operator="containsText" text="HABILITADO">
      <formula>NOT(ISERROR(SEARCH("HABILITADO",I11)))</formula>
    </cfRule>
  </conditionalFormatting>
  <conditionalFormatting sqref="J20">
    <cfRule type="cellIs" dxfId="64" priority="8" operator="equal">
      <formula>"SI"</formula>
    </cfRule>
    <cfRule type="cellIs" dxfId="63" priority="7" operator="equal">
      <formula>"NO"</formula>
    </cfRule>
  </conditionalFormatting>
  <conditionalFormatting sqref="K19">
    <cfRule type="cellIs" dxfId="62" priority="22" operator="equal">
      <formula>"CUMPLE"</formula>
    </cfRule>
    <cfRule type="cellIs" dxfId="61" priority="23" operator="equal">
      <formula>"NO CUMPLE"</formula>
    </cfRule>
    <cfRule type="cellIs" dxfId="60" priority="24" operator="equal">
      <formula>"""CUMPLE"""</formula>
    </cfRule>
  </conditionalFormatting>
  <conditionalFormatting sqref="K25:K63">
    <cfRule type="notContainsErrors" dxfId="59" priority="2">
      <formula>NOT(ISERROR(K25))</formula>
    </cfRule>
    <cfRule type="containsBlanks" dxfId="58" priority="1">
      <formula>LEN(TRIM(K25))=0</formula>
    </cfRule>
  </conditionalFormatting>
  <conditionalFormatting sqref="L15">
    <cfRule type="cellIs" dxfId="57" priority="28" operator="equal">
      <formula>"CUMPLE"</formula>
    </cfRule>
    <cfRule type="cellIs" dxfId="56" priority="29" operator="equal">
      <formula>"NO CUMPLE"</formula>
    </cfRule>
    <cfRule type="cellIs" dxfId="55" priority="30" operator="equal">
      <formula>"""CUMPLE"""</formula>
    </cfRule>
  </conditionalFormatting>
  <conditionalFormatting sqref="L20">
    <cfRule type="cellIs" dxfId="54" priority="5" operator="equal">
      <formula>"NO"</formula>
    </cfRule>
    <cfRule type="cellIs" dxfId="53" priority="6" operator="equal">
      <formula>"SI"</formula>
    </cfRule>
  </conditionalFormatting>
  <dataValidations count="3">
    <dataValidation type="list" allowBlank="1" showInputMessage="1" showErrorMessage="1" sqref="L57:L64" xr:uid="{00000000-0002-0000-2300-000000000000}">
      <formula1>"0,1,2,3,4,5,6"</formula1>
    </dataValidation>
    <dataValidation type="list" allowBlank="1" showInputMessage="1" showErrorMessage="1" sqref="D24:J26" xr:uid="{00000000-0002-0000-2300-000001000000}">
      <formula1>$C$15:$C$19</formula1>
    </dataValidation>
    <dataValidation type="list" allowBlank="1" showInputMessage="1" showErrorMessage="1" sqref="D65:I65" xr:uid="{00000000-0002-0000-23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300-000003000000}">
          <x14:formula1>
            <xm:f>'DATOS INICIALES'!$C$45:$C$46</xm:f>
          </x14:formula1>
          <xm:sqref>D47:I53 J47:J52</xm:sqref>
        </x14:dataValidation>
        <x14:dataValidation type="list" allowBlank="1" showInputMessage="1" showErrorMessage="1" xr:uid="{00000000-0002-0000-2300-000004000000}">
          <x14:formula1>
            <xm:f>'DATOS INICIALES'!$A$50:$A$52</xm:f>
          </x14:formula1>
          <xm:sqref>D55:I57 D46:J46 J55:J56 D58:J63</xm:sqref>
        </x14:dataValidation>
        <x14:dataValidation type="list" allowBlank="1" showInputMessage="1" showErrorMessage="1" xr:uid="{00000000-0002-0000-2300-000005000000}">
          <x14:formula1>
            <xm:f>'DATOS INICIALES'!$A$54:$A$59</xm:f>
          </x14:formula1>
          <xm:sqref>D23:I23</xm:sqref>
        </x14:dataValidation>
        <x14:dataValidation type="list" allowBlank="1" showInputMessage="1" showErrorMessage="1" xr:uid="{00000000-0002-0000-2300-000006000000}">
          <x14:formula1>
            <xm:f>'DATOS INICIALES'!$D$21:$D$25</xm:f>
          </x14:formula1>
          <xm:sqref>M47:M54</xm:sqref>
        </x14:dataValidation>
        <x14:dataValidation type="list" allowBlank="1" showInputMessage="1" showErrorMessage="1" xr:uid="{00000000-0002-0000-2300-000007000000}">
          <x14:formula1>
            <xm:f>'DATOS INICIALES'!$A$13:$A$43</xm:f>
          </x14:formula1>
          <xm:sqref>D31:I31</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65"/>
  <sheetViews>
    <sheetView view="pageBreakPreview" zoomScale="55" zoomScaleNormal="55" zoomScaleSheetLayoutView="55" workbookViewId="0">
      <pane ySplit="11" topLeftCell="A12" activePane="bottomLeft" state="frozenSplit"/>
      <selection activeCell="D58" sqref="D58"/>
      <selection pane="bottomLeft" activeCell="J15" sqref="J15:J17"/>
    </sheetView>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261" t="s">
        <v>0</v>
      </c>
      <c r="C2" s="262"/>
      <c r="D2" s="262"/>
      <c r="E2" s="262"/>
      <c r="F2" s="262"/>
      <c r="G2" s="262"/>
      <c r="H2" s="262"/>
      <c r="I2" s="262"/>
      <c r="J2" s="262"/>
      <c r="K2" s="262"/>
      <c r="L2" s="263"/>
    </row>
    <row r="3" spans="1:12" ht="4.5" customHeight="1" x14ac:dyDescent="0.25">
      <c r="B3" s="264"/>
      <c r="C3" s="265"/>
      <c r="D3" s="265"/>
      <c r="E3" s="265"/>
      <c r="F3" s="265"/>
      <c r="G3" s="265"/>
      <c r="H3" s="265"/>
      <c r="I3" s="265"/>
      <c r="J3" s="265"/>
      <c r="K3" s="265"/>
      <c r="L3" s="266"/>
    </row>
    <row r="4" spans="1:12" ht="18.75" x14ac:dyDescent="0.3">
      <c r="B4" s="267" t="str">
        <f>'DATOS INICIALES'!G4</f>
        <v>FDLK-LP-013-20234</v>
      </c>
      <c r="C4" s="268"/>
      <c r="D4" s="268"/>
      <c r="E4" s="268"/>
      <c r="F4" s="268"/>
      <c r="G4" s="268"/>
      <c r="H4" s="268"/>
      <c r="I4" s="268"/>
      <c r="J4" s="268"/>
      <c r="K4" s="268"/>
      <c r="L4" s="269"/>
    </row>
    <row r="5" spans="1:12" ht="3.75" customHeight="1" x14ac:dyDescent="0.25">
      <c r="B5" s="264"/>
      <c r="C5" s="265"/>
      <c r="D5" s="265"/>
      <c r="E5" s="265"/>
      <c r="F5" s="265"/>
      <c r="G5" s="265"/>
      <c r="H5" s="265"/>
      <c r="I5" s="265"/>
      <c r="J5" s="265"/>
      <c r="K5" s="265"/>
      <c r="L5" s="266"/>
    </row>
    <row r="6" spans="1:12" x14ac:dyDescent="0.25">
      <c r="B6" s="10" t="s">
        <v>32</v>
      </c>
      <c r="C6" s="73" t="s">
        <v>54</v>
      </c>
      <c r="D6" s="72" t="s">
        <v>70</v>
      </c>
      <c r="E6" s="89"/>
      <c r="F6" s="65"/>
      <c r="G6" s="72" t="s">
        <v>97</v>
      </c>
      <c r="H6" s="99">
        <v>45632</v>
      </c>
      <c r="I6" s="41"/>
      <c r="J6" s="41"/>
      <c r="K6" s="41"/>
      <c r="L6" s="42"/>
    </row>
    <row r="7" spans="1:12" x14ac:dyDescent="0.25">
      <c r="B7" s="270" t="s">
        <v>89</v>
      </c>
      <c r="C7" s="271"/>
      <c r="D7" s="271"/>
      <c r="E7" s="271"/>
      <c r="F7" s="271"/>
      <c r="G7" s="271"/>
      <c r="H7" s="271"/>
      <c r="I7" s="271"/>
      <c r="J7" s="272" t="s">
        <v>71</v>
      </c>
      <c r="K7" s="271"/>
      <c r="L7" s="273"/>
    </row>
    <row r="8" spans="1:12" ht="36.75" customHeight="1" x14ac:dyDescent="0.25">
      <c r="B8" s="2" t="s">
        <v>23</v>
      </c>
      <c r="C8" s="281"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282"/>
      <c r="E8" s="282"/>
      <c r="F8" s="282"/>
      <c r="G8" s="282"/>
      <c r="H8" s="282"/>
      <c r="I8" s="282"/>
      <c r="J8" s="154" t="s">
        <v>66</v>
      </c>
      <c r="K8" s="155">
        <v>0.75</v>
      </c>
      <c r="L8" s="156">
        <f>K8*$C$10</f>
        <v>1645.1285451923077</v>
      </c>
    </row>
    <row r="9" spans="1:12" ht="28.5" customHeight="1" x14ac:dyDescent="0.25">
      <c r="B9" s="2" t="s">
        <v>68</v>
      </c>
      <c r="C9" s="283">
        <f>+'DATOS INICIALES'!C5</f>
        <v>2851556145</v>
      </c>
      <c r="D9" s="284"/>
      <c r="E9" s="284"/>
      <c r="F9" s="284"/>
      <c r="G9" s="284"/>
      <c r="H9" s="284"/>
      <c r="I9" s="284"/>
      <c r="J9" s="154" t="s">
        <v>67</v>
      </c>
      <c r="K9" s="155">
        <v>1.2</v>
      </c>
      <c r="L9" s="156">
        <f t="shared" ref="L9:L10" si="0">K9*$C$10</f>
        <v>2632.2056723076921</v>
      </c>
    </row>
    <row r="10" spans="1:12" ht="25.5" customHeight="1" x14ac:dyDescent="0.25">
      <c r="B10" s="2" t="s">
        <v>69</v>
      </c>
      <c r="C10" s="285">
        <f>C9/'DATOS INICIALES'!B43</f>
        <v>2193.5047269230768</v>
      </c>
      <c r="D10" s="286"/>
      <c r="E10" s="286"/>
      <c r="F10" s="286"/>
      <c r="G10" s="286"/>
      <c r="H10" s="286"/>
      <c r="I10" s="286"/>
      <c r="J10" s="154" t="s">
        <v>171</v>
      </c>
      <c r="K10" s="155">
        <v>1.5</v>
      </c>
      <c r="L10" s="156">
        <f t="shared" si="0"/>
        <v>3290.2570903846154</v>
      </c>
    </row>
    <row r="11" spans="1:12" ht="59.25" customHeight="1" x14ac:dyDescent="0.25">
      <c r="A11" s="11">
        <v>33</v>
      </c>
      <c r="B11" s="2" t="s">
        <v>24</v>
      </c>
      <c r="C11" s="287" t="str">
        <f>VLOOKUP(A11,PROPONENTES!$A$10:$B$42,2,FALSE)</f>
        <v>CONSORCIO PARQUES VECINALES 24</v>
      </c>
      <c r="D11" s="287"/>
      <c r="E11" s="287"/>
      <c r="F11" s="287"/>
      <c r="G11" s="287"/>
      <c r="H11" s="146" t="s">
        <v>172</v>
      </c>
      <c r="I11" s="280" t="str">
        <f>IF(AND(F20="CUMPLE",G20="CUMPLE",H20="CUMPLE",L15="CUMPLE",K19="CUMPLE"),"CUMPLE","NO CUMPLE")</f>
        <v>CUMPLE</v>
      </c>
      <c r="J11" s="280"/>
      <c r="K11" s="280"/>
      <c r="L11" s="280"/>
    </row>
    <row r="12" spans="1:12" ht="9.75" customHeight="1" x14ac:dyDescent="0.25">
      <c r="B12" s="274"/>
      <c r="C12" s="275"/>
      <c r="D12" s="275"/>
      <c r="E12" s="275"/>
      <c r="F12" s="275"/>
      <c r="G12" s="275"/>
      <c r="H12" s="275"/>
      <c r="I12" s="275"/>
      <c r="J12" s="275"/>
      <c r="K12" s="275"/>
      <c r="L12" s="276"/>
    </row>
    <row r="13" spans="1:12" s="141" customFormat="1" ht="24" customHeight="1" x14ac:dyDescent="0.25">
      <c r="B13" s="277" t="s">
        <v>78</v>
      </c>
      <c r="C13" s="278"/>
      <c r="D13" s="278"/>
      <c r="E13" s="278"/>
      <c r="F13" s="278"/>
      <c r="G13" s="278"/>
      <c r="H13" s="278"/>
      <c r="I13" s="278"/>
      <c r="J13" s="278"/>
      <c r="K13" s="278"/>
      <c r="L13" s="279"/>
    </row>
    <row r="14" spans="1:12" ht="69" customHeight="1" x14ac:dyDescent="0.25">
      <c r="B14" s="244" t="s">
        <v>33</v>
      </c>
      <c r="C14" s="74" t="s">
        <v>61</v>
      </c>
      <c r="D14" s="74" t="s">
        <v>62</v>
      </c>
      <c r="E14" s="35" t="s">
        <v>65</v>
      </c>
      <c r="F14" s="35" t="s">
        <v>75</v>
      </c>
      <c r="G14" s="35" t="s">
        <v>64</v>
      </c>
      <c r="H14" s="35" t="s">
        <v>167</v>
      </c>
      <c r="I14" s="35" t="s">
        <v>72</v>
      </c>
      <c r="J14" s="35" t="s">
        <v>147</v>
      </c>
      <c r="K14" s="35" t="s">
        <v>148</v>
      </c>
      <c r="L14" s="74" t="s">
        <v>73</v>
      </c>
    </row>
    <row r="15" spans="1:12" ht="33.75" customHeight="1" x14ac:dyDescent="0.25">
      <c r="B15" s="244"/>
      <c r="C15" s="100" t="str">
        <f>IF(VLOOKUP(C11,PROPONENTES!B10:N111,2,FALSE)=0,"",VLOOKUP(C11,PROPONENTES!B10:N111,2,FALSE))</f>
        <v>OSCAR ANDRÉS CUERVO ACOSTA</v>
      </c>
      <c r="D15" s="101">
        <f>IF(VLOOKUP(C11,PROPONENTES!B10:N111,3,FALSE)=0,"",VLOOKUP(C11,PROPONENTES!B10:N111,3,FALSE))</f>
        <v>0.55000000000000004</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9190.764000000001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0">
        <f>COUNTIF(D64:I64,"CUMPLE")</f>
        <v>2</v>
      </c>
      <c r="J15" s="235">
        <f>IF(AND(I15&gt;=1,I15&lt;=2),L8,IF(AND(I15&gt;=3,I15&lt;=4),L9,IF(AND(I15&gt;=5,I15&lt;=7),L10)))</f>
        <v>1645.1285451923077</v>
      </c>
      <c r="K15" s="235">
        <f>+E20</f>
        <v>14357.359</v>
      </c>
      <c r="L15" s="236" t="str">
        <f>IF(K15&gt;=J15,"CUMPLE","NO CUMPLE")</f>
        <v>CUMPLE</v>
      </c>
    </row>
    <row r="16" spans="1:12" ht="33.75" customHeight="1" x14ac:dyDescent="0.25">
      <c r="B16" s="244"/>
      <c r="C16" s="100" t="str">
        <f>IF(VLOOKUP(C11,PROPONENTES!B10:N111,4,FALSE)=0,"",VLOOKUP(C11,PROPONENTES!B10:N111,4,FALSE))</f>
        <v xml:space="preserve">ICSSA SAS </v>
      </c>
      <c r="D16" s="101">
        <f>IF(VLOOKUP(C11,PROPONENTES!B10:N111,5,FALSE)=0,"",VLOOKUP(C11,PROPONENTES!B10:N111,5,FALSE))</f>
        <v>0.35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5166.5950000000003</v>
      </c>
      <c r="F16" s="103" t="str">
        <f t="shared" si="1"/>
        <v>SI</v>
      </c>
      <c r="G16" s="104" t="str">
        <f t="shared" si="2"/>
        <v>SI</v>
      </c>
      <c r="H16" s="104" t="str">
        <f>IF(C16="","",IF(AND(G16="NO APORTA EXPERIENCIA",D16&lt;=10%),"SI",IF(G16="SI","NO APLICA","NO - PORCENTAJE MAYOR AL 10%")))</f>
        <v>NO APLICA</v>
      </c>
      <c r="I16" s="290"/>
      <c r="J16" s="235"/>
      <c r="K16" s="235"/>
      <c r="L16" s="236"/>
    </row>
    <row r="17" spans="2:14" ht="33.75" customHeight="1" x14ac:dyDescent="0.25">
      <c r="B17" s="244"/>
      <c r="C17" s="100" t="str">
        <f>IF(VLOOKUP(C11,PROPONENTES!B10:N111,6,FALSE)=0,"",VLOOKUP(C11,PROPONENTES!B10:N111,6,FALSE))</f>
        <v xml:space="preserve">ALFÉREZ INGENIERÍA SAS </v>
      </c>
      <c r="D17" s="101">
        <f>IF(VLOOKUP(C11,PROPONENTES!B10:N111,7,FALSE)=0,"",VLOOKUP(C11,PROPONENTES!B10:N111,7,FALSE))</f>
        <v>0.1</v>
      </c>
      <c r="E17" s="102">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0</v>
      </c>
      <c r="F17" s="103" t="str">
        <f t="shared" si="1"/>
        <v>NO</v>
      </c>
      <c r="G17" s="104" t="str">
        <f t="shared" si="2"/>
        <v>NO APORTA EXPERIENCIA</v>
      </c>
      <c r="H17" s="103" t="str">
        <f>IF(C17="","",IF(AND(G17="NO APORTA EXPERIENCIA",D17&lt;=10%),"SI",IF(G17="SI","NO APLICA","NO - PORCENTAJE MAYOR AL 10%")))</f>
        <v>SI</v>
      </c>
      <c r="I17" s="290"/>
      <c r="J17" s="235"/>
      <c r="K17" s="235"/>
      <c r="L17" s="236"/>
    </row>
    <row r="18" spans="2:14" ht="50.25" customHeight="1" x14ac:dyDescent="0.25">
      <c r="B18" s="244"/>
      <c r="C18" s="100" t="str">
        <f>IF(VLOOKUP(C11,PROPONENTES!B10:N111,8,FALSE)=0,"",VLOOKUP(C11,PROPONENTES!B10:N111,8,FALSE))</f>
        <v/>
      </c>
      <c r="D18" s="101" t="str">
        <f>IF(VLOOKUP(C11,PROPONENTES!B10:N111,9,FALSE)=0,"",VLOOKUP(C11,PROPONENTES!B10:N111,9,FALSE))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5" t="s">
        <v>176</v>
      </c>
      <c r="J18" s="35" t="s">
        <v>175</v>
      </c>
      <c r="K18" s="177" t="s">
        <v>73</v>
      </c>
      <c r="L18" s="177"/>
    </row>
    <row r="19" spans="2:14" ht="33.75" customHeight="1" x14ac:dyDescent="0.25">
      <c r="B19" s="244"/>
      <c r="C19" s="100" t="str">
        <f>IF(VLOOKUP(C11,PROPONENTES!B10:N111,10,FALSE)=0,"",VLOOKUP(C11,PROPONENTES!B10:N111,10,FALSE))</f>
        <v/>
      </c>
      <c r="D19" s="101" t="str">
        <f>IF(VLOOKUP(C11,PROPONENTES!B10:N111,11,FALSE)=0,"",VLOOKUP(C11,PROPONENTES!B10:N111,11,FALSE))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57">
        <f>SUMIF(D65:J65,"CUMPLE",D39:J39)+SUMIF(D65:J65,"CUMPLE",D42:J42)+SUMIF(D65:J65,"CUMPLE",D45:J45)</f>
        <v>14357.359</v>
      </c>
      <c r="J19" s="152">
        <f>70%*C10</f>
        <v>1535.4533088461537</v>
      </c>
      <c r="K19" s="236" t="str">
        <f>IF(I19&gt;=J19,"CUMPLE","NO CUMPLE")</f>
        <v>CUMPLE</v>
      </c>
      <c r="L19" s="236"/>
    </row>
    <row r="20" spans="2:14" ht="84.75" customHeight="1" x14ac:dyDescent="0.25">
      <c r="B20" s="30" t="s">
        <v>63</v>
      </c>
      <c r="C20" s="24">
        <f>+VLOOKUP(C11,PROPONENTES!B10:N111,12,FALSE)</f>
        <v>3</v>
      </c>
      <c r="D20" s="101">
        <f>+VLOOKUP(C11,PROPONENTES!B10:N111,13,FALSE)</f>
        <v>1</v>
      </c>
      <c r="E20" s="36">
        <f>SUM(E15:E19)</f>
        <v>14357.359</v>
      </c>
      <c r="F20" s="15" t="str">
        <f>IF(F15="SI","CUMPLE",IF(F16="SI","CUMPLE",IF(F17="SI","CUMPLE",IF(F18="SI","CUMPLE",IF(F19="SI","CUMPLE","NO CUMPLE")))))</f>
        <v>CUMPLE</v>
      </c>
      <c r="G20" s="15"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5" t="str">
        <f>IF(COUNTIF(E15:E19,0)&gt;1,"NO CUMPLE, HAY MAS DE UN (1) INTEGRANTE QUE NO APORTA EXPERIENCIA",IF(AND(OR(H15="NO APLICA",H15="SI",H15=""),OR(H16="NO APLICA",H16="SI",H16=""),OR(H17="NO APLICA",H17="SI",H17=""),OR(H18="NO APLICA",H18="SI",H18=""),OR(H19="NO APLICA",H19="SI",H19="")),"CUMPLE","NO CUMPLE"))</f>
        <v>CUMPLE</v>
      </c>
      <c r="I20" s="35" t="s">
        <v>174</v>
      </c>
      <c r="J20" s="143" t="str">
        <f>IF(VLOOKUP(C11,PUNTAJE!B15:AF179,27,FALSE)=0.25,"SI","NO")</f>
        <v>SI</v>
      </c>
      <c r="K20" s="35" t="s">
        <v>173</v>
      </c>
      <c r="L20" s="143" t="str">
        <f>IF(VLOOKUP(C11,PUNTAJE!B15:AF179,31,FALSE)=0.25,"SI","NO")</f>
        <v>SI</v>
      </c>
      <c r="N20" s="35"/>
    </row>
    <row r="21" spans="2:14" ht="10.5" customHeight="1" thickBot="1" x14ac:dyDescent="0.3">
      <c r="B21" s="237"/>
      <c r="C21" s="238"/>
      <c r="D21" s="238"/>
      <c r="E21" s="238"/>
      <c r="F21" s="238"/>
      <c r="G21" s="238"/>
      <c r="H21" s="238"/>
      <c r="I21" s="238"/>
      <c r="J21" s="238"/>
      <c r="K21" s="238"/>
      <c r="L21" s="239"/>
    </row>
    <row r="22" spans="2:14" ht="54" customHeight="1" thickBot="1" x14ac:dyDescent="0.3">
      <c r="B22" s="240" t="str">
        <f>CONCATENATE("ACREDITACION EXPERIENCIA ",'DATOS INICIALES'!G4)</f>
        <v>ACREDITACION EXPERIENCIA FDLK-LP-013-20234</v>
      </c>
      <c r="C22" s="241"/>
      <c r="D22" s="241"/>
      <c r="E22" s="241"/>
      <c r="F22" s="241"/>
      <c r="G22" s="241"/>
      <c r="H22" s="241"/>
      <c r="I22" s="241"/>
      <c r="J22" s="242"/>
      <c r="K22" s="242"/>
      <c r="L22" s="243"/>
    </row>
    <row r="23" spans="2:14" ht="40.5" customHeight="1" x14ac:dyDescent="0.25">
      <c r="B23" s="31" t="s">
        <v>34</v>
      </c>
      <c r="C23" s="25" t="s">
        <v>166</v>
      </c>
      <c r="D23" s="26" t="s">
        <v>16</v>
      </c>
      <c r="E23" s="26" t="s">
        <v>17</v>
      </c>
      <c r="F23" s="26" t="s">
        <v>18</v>
      </c>
      <c r="G23" s="26" t="s">
        <v>19</v>
      </c>
      <c r="H23" s="26" t="s">
        <v>20</v>
      </c>
      <c r="I23" s="26" t="s">
        <v>21</v>
      </c>
      <c r="J23" s="26" t="s">
        <v>165</v>
      </c>
      <c r="K23" s="247" t="s">
        <v>74</v>
      </c>
      <c r="L23" s="248"/>
    </row>
    <row r="24" spans="2:14" ht="39.75" customHeight="1" x14ac:dyDescent="0.25">
      <c r="B24" s="231" t="s">
        <v>134</v>
      </c>
      <c r="C24" s="232"/>
      <c r="D24" s="90" t="s">
        <v>290</v>
      </c>
      <c r="E24" s="90" t="s">
        <v>291</v>
      </c>
      <c r="F24" s="90"/>
      <c r="G24" s="90"/>
      <c r="H24" s="90"/>
      <c r="I24" s="90"/>
      <c r="J24" s="90"/>
      <c r="K24" s="245"/>
      <c r="L24" s="246"/>
    </row>
    <row r="25" spans="2:14" ht="39.75" customHeight="1" x14ac:dyDescent="0.25">
      <c r="B25" s="231" t="s">
        <v>135</v>
      </c>
      <c r="C25" s="232"/>
      <c r="D25" s="90"/>
      <c r="E25" s="90"/>
      <c r="F25" s="90"/>
      <c r="G25" s="90"/>
      <c r="H25" s="90"/>
      <c r="I25" s="90"/>
      <c r="J25" s="90"/>
      <c r="K25" s="245"/>
      <c r="L25" s="246"/>
    </row>
    <row r="26" spans="2:14" ht="39.75" customHeight="1" x14ac:dyDescent="0.25">
      <c r="B26" s="231" t="s">
        <v>136</v>
      </c>
      <c r="C26" s="232"/>
      <c r="D26" s="90"/>
      <c r="E26" s="90"/>
      <c r="F26" s="90"/>
      <c r="G26" s="90"/>
      <c r="H26" s="90"/>
      <c r="I26" s="90"/>
      <c r="J26" s="90"/>
      <c r="K26" s="245"/>
      <c r="L26" s="246"/>
    </row>
    <row r="27" spans="2:14" ht="45.75" customHeight="1" x14ac:dyDescent="0.25">
      <c r="B27" s="249" t="s">
        <v>60</v>
      </c>
      <c r="C27" s="25" t="s">
        <v>37</v>
      </c>
      <c r="D27" s="91" t="s">
        <v>570</v>
      </c>
      <c r="E27" s="91" t="s">
        <v>571</v>
      </c>
      <c r="F27" s="91"/>
      <c r="G27" s="91"/>
      <c r="H27" s="91"/>
      <c r="I27" s="91"/>
      <c r="J27" s="91"/>
      <c r="K27" s="245"/>
      <c r="L27" s="246"/>
    </row>
    <row r="28" spans="2:14" ht="156.75" customHeight="1" x14ac:dyDescent="0.25">
      <c r="B28" s="250"/>
      <c r="C28" s="25" t="s">
        <v>38</v>
      </c>
      <c r="D28" s="91" t="s">
        <v>572</v>
      </c>
      <c r="E28" s="91" t="s">
        <v>573</v>
      </c>
      <c r="F28" s="91"/>
      <c r="G28" s="91"/>
      <c r="H28" s="91"/>
      <c r="I28" s="91"/>
      <c r="J28" s="91"/>
      <c r="K28" s="245"/>
      <c r="L28" s="246"/>
    </row>
    <row r="29" spans="2:14" ht="52.5" customHeight="1" x14ac:dyDescent="0.25">
      <c r="B29" s="250"/>
      <c r="C29" s="25" t="s">
        <v>169</v>
      </c>
      <c r="D29" s="95">
        <v>43115</v>
      </c>
      <c r="E29" s="95">
        <v>40732</v>
      </c>
      <c r="F29" s="95"/>
      <c r="G29" s="95"/>
      <c r="H29" s="95"/>
      <c r="I29" s="95"/>
      <c r="J29" s="95"/>
      <c r="K29" s="245"/>
      <c r="L29" s="246"/>
    </row>
    <row r="30" spans="2:14" ht="54.75" customHeight="1" x14ac:dyDescent="0.25">
      <c r="B30" s="250"/>
      <c r="C30" s="25" t="s">
        <v>42</v>
      </c>
      <c r="D30" s="95">
        <v>44408</v>
      </c>
      <c r="E30" s="95">
        <v>41782</v>
      </c>
      <c r="F30" s="95"/>
      <c r="G30" s="95"/>
      <c r="H30" s="95"/>
      <c r="I30" s="95"/>
      <c r="J30" s="95"/>
      <c r="K30" s="245"/>
      <c r="L30" s="246"/>
    </row>
    <row r="31" spans="2:14" ht="41.25" customHeight="1" x14ac:dyDescent="0.25">
      <c r="B31" s="250"/>
      <c r="C31" s="25" t="s">
        <v>39</v>
      </c>
      <c r="D31" s="92">
        <v>2021</v>
      </c>
      <c r="E31" s="92">
        <v>2014</v>
      </c>
      <c r="F31" s="92"/>
      <c r="G31" s="92"/>
      <c r="H31" s="92"/>
      <c r="I31" s="92"/>
      <c r="J31" s="92"/>
      <c r="K31" s="245"/>
      <c r="L31" s="246"/>
    </row>
    <row r="32" spans="2:14" ht="63" customHeight="1" x14ac:dyDescent="0.25">
      <c r="B32" s="250"/>
      <c r="C32" s="25" t="s">
        <v>40</v>
      </c>
      <c r="D32" s="91" t="s">
        <v>574</v>
      </c>
      <c r="E32" s="91" t="s">
        <v>575</v>
      </c>
      <c r="F32" s="91"/>
      <c r="G32" s="91"/>
      <c r="H32" s="91"/>
      <c r="I32" s="91"/>
      <c r="J32" s="91"/>
      <c r="K32" s="245"/>
      <c r="L32" s="246"/>
    </row>
    <row r="33" spans="2:12" ht="46.5" customHeight="1" x14ac:dyDescent="0.25">
      <c r="B33" s="250"/>
      <c r="C33" s="25" t="s">
        <v>41</v>
      </c>
      <c r="D33" s="91" t="s">
        <v>576</v>
      </c>
      <c r="E33" s="91" t="s">
        <v>577</v>
      </c>
      <c r="F33" s="91"/>
      <c r="G33" s="91"/>
      <c r="H33" s="91"/>
      <c r="I33" s="91"/>
      <c r="J33" s="91"/>
      <c r="K33" s="245"/>
      <c r="L33" s="246"/>
    </row>
    <row r="34" spans="2:12" ht="27.75" customHeight="1" x14ac:dyDescent="0.25">
      <c r="B34" s="250"/>
      <c r="C34" s="27" t="s">
        <v>35</v>
      </c>
      <c r="D34" s="96">
        <v>24</v>
      </c>
      <c r="E34" s="96">
        <v>50</v>
      </c>
      <c r="F34" s="96"/>
      <c r="G34" s="97"/>
      <c r="H34" s="97"/>
      <c r="I34" s="97"/>
      <c r="J34" s="97"/>
      <c r="K34" s="245"/>
      <c r="L34" s="246"/>
    </row>
    <row r="35" spans="2:12" ht="102.75" customHeight="1" x14ac:dyDescent="0.25">
      <c r="B35" s="250"/>
      <c r="C35" s="25" t="s">
        <v>137</v>
      </c>
      <c r="D35" s="93">
        <v>22976.91</v>
      </c>
      <c r="E35" s="93">
        <v>10333.19</v>
      </c>
      <c r="F35" s="93"/>
      <c r="G35" s="93"/>
      <c r="H35" s="93"/>
      <c r="I35" s="93"/>
      <c r="J35" s="93"/>
      <c r="K35" s="245"/>
      <c r="L35" s="246"/>
    </row>
    <row r="36" spans="2:12" ht="48" customHeight="1" x14ac:dyDescent="0.25">
      <c r="B36" s="250"/>
      <c r="C36" s="25" t="s">
        <v>76</v>
      </c>
      <c r="D36" s="105">
        <f>IFERROR(D35*VLOOKUP(D31,'DATOS INICIALES'!$A$12:$B$43,2,0),"0")</f>
        <v>20875120134.66</v>
      </c>
      <c r="E36" s="105">
        <f>IFERROR(E35*VLOOKUP(E31,'DATOS INICIALES'!$A$12:$B$43,2,0),"0")</f>
        <v>6365245040</v>
      </c>
      <c r="F36" s="105" t="str">
        <f>IFERROR(F35*VLOOKUP(F31,'DATOS INICIALES'!$A$12:$B$43,2,0),"0")</f>
        <v>0</v>
      </c>
      <c r="G36" s="105" t="str">
        <f>IFERROR(G35*VLOOKUP(G31,'DATOS INICIALES'!$A$12:$B$43,2,0),"0")</f>
        <v>0</v>
      </c>
      <c r="H36" s="105" t="str">
        <f>IFERROR(H35*VLOOKUP(H31,'DATOS INICIALES'!$A$12:$B$43,2,0),"0")</f>
        <v>0</v>
      </c>
      <c r="I36" s="105" t="str">
        <f>IFERROR(I35*VLOOKUP(I31,'DATOS INICIALES'!$A$12:$B$43,2,0),"0")</f>
        <v>0</v>
      </c>
      <c r="J36" s="105" t="str">
        <f>IFERROR(J35*VLOOKUP(J31,'DATOS INICIALES'!$A$12:$B$43,2,0),"0")</f>
        <v>0</v>
      </c>
      <c r="K36" s="245"/>
      <c r="L36" s="246"/>
    </row>
    <row r="37" spans="2:12" ht="33.75" customHeight="1" x14ac:dyDescent="0.25">
      <c r="B37" s="250"/>
      <c r="C37" s="25" t="s">
        <v>138</v>
      </c>
      <c r="D37" s="94">
        <v>0.4</v>
      </c>
      <c r="E37" s="94">
        <v>0.5</v>
      </c>
      <c r="F37" s="94"/>
      <c r="G37" s="94"/>
      <c r="H37" s="94"/>
      <c r="I37" s="94"/>
      <c r="J37" s="94"/>
      <c r="K37" s="245"/>
      <c r="L37" s="246"/>
    </row>
    <row r="38" spans="2:12" ht="48.75" customHeight="1" x14ac:dyDescent="0.25">
      <c r="B38" s="250"/>
      <c r="C38" s="25" t="s">
        <v>144</v>
      </c>
      <c r="D38" s="105">
        <f t="shared" ref="D38:J38" si="3">IF(D24="","0",D37*D36)</f>
        <v>8350048053.8640003</v>
      </c>
      <c r="E38" s="105">
        <f t="shared" si="3"/>
        <v>3182622520</v>
      </c>
      <c r="F38" s="105" t="str">
        <f t="shared" si="3"/>
        <v>0</v>
      </c>
      <c r="G38" s="105" t="str">
        <f t="shared" si="3"/>
        <v>0</v>
      </c>
      <c r="H38" s="105" t="str">
        <f t="shared" si="3"/>
        <v>0</v>
      </c>
      <c r="I38" s="105" t="str">
        <f t="shared" si="3"/>
        <v>0</v>
      </c>
      <c r="J38" s="105" t="str">
        <f t="shared" si="3"/>
        <v>0</v>
      </c>
      <c r="K38" s="245"/>
      <c r="L38" s="246"/>
    </row>
    <row r="39" spans="2:12" ht="65.25" customHeight="1" x14ac:dyDescent="0.25">
      <c r="B39" s="250"/>
      <c r="C39" s="25" t="s">
        <v>139</v>
      </c>
      <c r="D39" s="106">
        <f t="shared" ref="D39:J39" si="4">IFERROR(D35*D37,"0")</f>
        <v>9190.764000000001</v>
      </c>
      <c r="E39" s="106">
        <f t="shared" si="4"/>
        <v>5166.5950000000003</v>
      </c>
      <c r="F39" s="106">
        <f t="shared" si="4"/>
        <v>0</v>
      </c>
      <c r="G39" s="106">
        <f t="shared" si="4"/>
        <v>0</v>
      </c>
      <c r="H39" s="106">
        <f t="shared" si="4"/>
        <v>0</v>
      </c>
      <c r="I39" s="106">
        <f t="shared" si="4"/>
        <v>0</v>
      </c>
      <c r="J39" s="106">
        <f t="shared" si="4"/>
        <v>0</v>
      </c>
      <c r="K39" s="245"/>
      <c r="L39" s="246"/>
    </row>
    <row r="40" spans="2:12" ht="65.25" customHeight="1" x14ac:dyDescent="0.25">
      <c r="B40" s="250"/>
      <c r="C40" s="25" t="s">
        <v>140</v>
      </c>
      <c r="D40" s="94"/>
      <c r="E40" s="94"/>
      <c r="F40" s="94"/>
      <c r="G40" s="94"/>
      <c r="H40" s="94"/>
      <c r="I40" s="94"/>
      <c r="J40" s="94"/>
      <c r="K40" s="245"/>
      <c r="L40" s="246"/>
    </row>
    <row r="41" spans="2:12" ht="65.25" customHeight="1" x14ac:dyDescent="0.25">
      <c r="B41" s="250"/>
      <c r="C41" s="25" t="s">
        <v>145</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5"/>
      <c r="L41" s="246"/>
    </row>
    <row r="42" spans="2:12" ht="65.25" customHeight="1" x14ac:dyDescent="0.25">
      <c r="B42" s="250"/>
      <c r="C42" s="25" t="s">
        <v>141</v>
      </c>
      <c r="D42" s="106">
        <f>IF(D25="",0,D35*D40)</f>
        <v>0</v>
      </c>
      <c r="E42" s="106">
        <f t="shared" ref="E42:J42" si="6">IF(E25="",0,E35*E40)</f>
        <v>0</v>
      </c>
      <c r="F42" s="106">
        <f t="shared" si="6"/>
        <v>0</v>
      </c>
      <c r="G42" s="106">
        <f t="shared" si="6"/>
        <v>0</v>
      </c>
      <c r="H42" s="106">
        <f t="shared" si="6"/>
        <v>0</v>
      </c>
      <c r="I42" s="106">
        <f t="shared" si="6"/>
        <v>0</v>
      </c>
      <c r="J42" s="106">
        <f t="shared" si="6"/>
        <v>0</v>
      </c>
      <c r="K42" s="245"/>
      <c r="L42" s="246"/>
    </row>
    <row r="43" spans="2:12" ht="65.25" customHeight="1" x14ac:dyDescent="0.25">
      <c r="B43" s="250"/>
      <c r="C43" s="25" t="s">
        <v>142</v>
      </c>
      <c r="D43" s="94"/>
      <c r="E43" s="94"/>
      <c r="F43" s="94"/>
      <c r="G43" s="94"/>
      <c r="H43" s="94"/>
      <c r="I43" s="94"/>
      <c r="J43" s="94"/>
      <c r="K43" s="245"/>
      <c r="L43" s="246"/>
    </row>
    <row r="44" spans="2:12" ht="65.25" customHeight="1" x14ac:dyDescent="0.25">
      <c r="B44" s="250"/>
      <c r="C44" s="25" t="s">
        <v>146</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5"/>
      <c r="L44" s="246"/>
    </row>
    <row r="45" spans="2:12" ht="65.25" customHeight="1" x14ac:dyDescent="0.25">
      <c r="B45" s="251"/>
      <c r="C45" s="25" t="s">
        <v>143</v>
      </c>
      <c r="D45" s="106">
        <f>IF(D26="",0,D35*D43)</f>
        <v>0</v>
      </c>
      <c r="E45" s="106">
        <f t="shared" ref="E45:J45" si="8">IF(E26="",0,E35*E43)</f>
        <v>0</v>
      </c>
      <c r="F45" s="106">
        <f t="shared" si="8"/>
        <v>0</v>
      </c>
      <c r="G45" s="106">
        <f t="shared" si="8"/>
        <v>0</v>
      </c>
      <c r="H45" s="106">
        <f t="shared" si="8"/>
        <v>0</v>
      </c>
      <c r="I45" s="106">
        <f t="shared" si="8"/>
        <v>0</v>
      </c>
      <c r="J45" s="106">
        <f t="shared" si="8"/>
        <v>0</v>
      </c>
      <c r="K45" s="245"/>
      <c r="L45" s="246"/>
    </row>
    <row r="46" spans="2:12" ht="39.75" customHeight="1" x14ac:dyDescent="0.25">
      <c r="B46" s="142" t="s">
        <v>57</v>
      </c>
      <c r="C46" s="29" t="s">
        <v>58</v>
      </c>
      <c r="D46" s="90" t="s">
        <v>14</v>
      </c>
      <c r="E46" s="90" t="s">
        <v>14</v>
      </c>
      <c r="F46" s="90"/>
      <c r="G46" s="90"/>
      <c r="H46" s="90"/>
      <c r="I46" s="90"/>
      <c r="J46" s="90"/>
      <c r="K46" s="245"/>
      <c r="L46" s="246"/>
    </row>
    <row r="47" spans="2:12" ht="24.75" customHeight="1" x14ac:dyDescent="0.25">
      <c r="B47" s="255" t="s">
        <v>36</v>
      </c>
      <c r="C47" s="28">
        <f>+'DATOS INICIALES'!D21</f>
        <v>72101500</v>
      </c>
      <c r="D47" s="96" t="s">
        <v>77</v>
      </c>
      <c r="E47" s="96" t="s">
        <v>79</v>
      </c>
      <c r="F47" s="96"/>
      <c r="G47" s="96"/>
      <c r="H47" s="96"/>
      <c r="I47" s="96"/>
      <c r="J47" s="97"/>
      <c r="K47" s="245"/>
      <c r="L47" s="246"/>
    </row>
    <row r="48" spans="2:12" ht="24.75" customHeight="1" x14ac:dyDescent="0.25">
      <c r="B48" s="256"/>
      <c r="C48" s="28">
        <f>+'DATOS INICIALES'!D22</f>
        <v>72102900</v>
      </c>
      <c r="D48" s="96" t="s">
        <v>79</v>
      </c>
      <c r="E48" s="96" t="s">
        <v>79</v>
      </c>
      <c r="F48" s="96"/>
      <c r="G48" s="96"/>
      <c r="H48" s="96"/>
      <c r="I48" s="96"/>
      <c r="J48" s="97"/>
      <c r="K48" s="245"/>
      <c r="L48" s="246"/>
    </row>
    <row r="49" spans="2:12" ht="24.75" customHeight="1" x14ac:dyDescent="0.25">
      <c r="B49" s="256"/>
      <c r="C49" s="28">
        <f>+'DATOS INICIALES'!D23</f>
        <v>72103300</v>
      </c>
      <c r="D49" s="96" t="s">
        <v>77</v>
      </c>
      <c r="E49" s="96" t="s">
        <v>79</v>
      </c>
      <c r="F49" s="96"/>
      <c r="G49" s="96"/>
      <c r="H49" s="96"/>
      <c r="I49" s="96"/>
      <c r="J49" s="97"/>
      <c r="K49" s="245"/>
      <c r="L49" s="246"/>
    </row>
    <row r="50" spans="2:12" ht="24.75" customHeight="1" x14ac:dyDescent="0.25">
      <c r="B50" s="256"/>
      <c r="C50" s="28">
        <f>+'DATOS INICIALES'!D24</f>
        <v>72141100</v>
      </c>
      <c r="D50" s="96" t="s">
        <v>79</v>
      </c>
      <c r="E50" s="96" t="s">
        <v>79</v>
      </c>
      <c r="F50" s="96"/>
      <c r="G50" s="96"/>
      <c r="H50" s="96"/>
      <c r="I50" s="96"/>
      <c r="J50" s="97"/>
      <c r="K50" s="245"/>
      <c r="L50" s="246"/>
    </row>
    <row r="51" spans="2:12" ht="24.75" customHeight="1" x14ac:dyDescent="0.25">
      <c r="B51" s="256"/>
      <c r="C51" s="28">
        <f>+'DATOS INICIALES'!D25</f>
        <v>72141500</v>
      </c>
      <c r="D51" s="96" t="s">
        <v>79</v>
      </c>
      <c r="E51" s="96" t="s">
        <v>79</v>
      </c>
      <c r="F51" s="96"/>
      <c r="G51" s="96"/>
      <c r="H51" s="96"/>
      <c r="I51" s="96"/>
      <c r="J51" s="97"/>
      <c r="K51" s="245"/>
      <c r="L51" s="246"/>
    </row>
    <row r="52" spans="2:12" ht="24.75" customHeight="1" x14ac:dyDescent="0.25">
      <c r="B52" s="256"/>
      <c r="C52" s="28">
        <f>+'DATOS INICIALES'!D26</f>
        <v>72153900</v>
      </c>
      <c r="D52" s="96" t="s">
        <v>77</v>
      </c>
      <c r="E52" s="96" t="s">
        <v>77</v>
      </c>
      <c r="F52" s="96"/>
      <c r="G52" s="96"/>
      <c r="H52" s="96"/>
      <c r="I52" s="96"/>
      <c r="J52" s="97"/>
      <c r="K52" s="245"/>
      <c r="L52" s="246"/>
    </row>
    <row r="53" spans="2:12" ht="24.75" customHeight="1" x14ac:dyDescent="0.25">
      <c r="B53" s="256"/>
      <c r="C53" s="28"/>
      <c r="D53" s="96"/>
      <c r="E53" s="96"/>
      <c r="F53" s="96"/>
      <c r="G53" s="96"/>
      <c r="H53" s="96"/>
      <c r="I53" s="96"/>
      <c r="J53" s="96"/>
      <c r="K53" s="245"/>
      <c r="L53" s="246"/>
    </row>
    <row r="54" spans="2:12" ht="60.75" customHeight="1" x14ac:dyDescent="0.25">
      <c r="B54" s="257"/>
      <c r="C54" s="15" t="s">
        <v>59</v>
      </c>
      <c r="D54" s="15" t="str">
        <f t="shared" ref="D54:J54" si="9">IF(D24="","N/A",IF(D47="SI","CUMPLE",IF(D48="SI","CUMPLE",IF(D49="SI","CUMPLE",IF(D50="SI","CUMPLE",IF(D51="SI","CUMPLE",IF(D52="SI","CUMPLE",IF(D53="SI","CUMPLE","NO CUMPLE"))))))))</f>
        <v>CUMPLE</v>
      </c>
      <c r="E54" s="15" t="str">
        <f t="shared" si="9"/>
        <v>CUMPLE</v>
      </c>
      <c r="F54" s="15" t="str">
        <f t="shared" si="9"/>
        <v>N/A</v>
      </c>
      <c r="G54" s="15" t="str">
        <f t="shared" si="9"/>
        <v>N/A</v>
      </c>
      <c r="H54" s="15" t="str">
        <f t="shared" si="9"/>
        <v>N/A</v>
      </c>
      <c r="I54" s="15" t="str">
        <f t="shared" si="9"/>
        <v>N/A</v>
      </c>
      <c r="J54" s="15" t="str">
        <f t="shared" si="9"/>
        <v>N/A</v>
      </c>
      <c r="K54" s="245"/>
      <c r="L54" s="246"/>
    </row>
    <row r="55" spans="2:12" ht="296.25" customHeight="1" x14ac:dyDescent="0.25">
      <c r="B55" s="258" t="s">
        <v>206</v>
      </c>
      <c r="C55" s="259"/>
      <c r="D55" s="90" t="s">
        <v>14</v>
      </c>
      <c r="E55" s="90" t="s">
        <v>14</v>
      </c>
      <c r="F55" s="90"/>
      <c r="G55" s="90"/>
      <c r="H55" s="90"/>
      <c r="I55" s="90"/>
      <c r="J55" s="90"/>
      <c r="K55" s="288"/>
      <c r="L55" s="289"/>
    </row>
    <row r="56" spans="2:12" ht="353.25" customHeight="1" x14ac:dyDescent="0.25">
      <c r="B56" s="258" t="s">
        <v>209</v>
      </c>
      <c r="C56" s="259"/>
      <c r="D56" s="90" t="s">
        <v>14</v>
      </c>
      <c r="E56" s="90" t="s">
        <v>14</v>
      </c>
      <c r="F56" s="90"/>
      <c r="G56" s="90"/>
      <c r="H56" s="90"/>
      <c r="I56" s="90"/>
      <c r="J56" s="90"/>
      <c r="K56" s="288"/>
      <c r="L56" s="289"/>
    </row>
    <row r="57" spans="2:12" ht="99" customHeight="1" x14ac:dyDescent="0.25">
      <c r="B57" s="252" t="s">
        <v>211</v>
      </c>
      <c r="C57" s="253"/>
      <c r="D57" s="90" t="s">
        <v>14</v>
      </c>
      <c r="E57" s="90" t="s">
        <v>14</v>
      </c>
      <c r="F57" s="90"/>
      <c r="G57" s="90"/>
      <c r="H57" s="90"/>
      <c r="I57" s="90"/>
      <c r="J57" s="90"/>
      <c r="K57" s="288"/>
      <c r="L57" s="289"/>
    </row>
    <row r="58" spans="2:12" ht="92.25" customHeight="1" x14ac:dyDescent="0.25">
      <c r="B58" s="252" t="s">
        <v>207</v>
      </c>
      <c r="C58" s="253"/>
      <c r="D58" s="90" t="s">
        <v>14</v>
      </c>
      <c r="E58" s="90" t="s">
        <v>14</v>
      </c>
      <c r="F58" s="90"/>
      <c r="G58" s="90"/>
      <c r="H58" s="90"/>
      <c r="I58" s="90"/>
      <c r="J58" s="90"/>
      <c r="K58" s="288"/>
      <c r="L58" s="289"/>
    </row>
    <row r="59" spans="2:12" ht="291.75" customHeight="1" x14ac:dyDescent="0.25">
      <c r="B59" s="252" t="s">
        <v>208</v>
      </c>
      <c r="C59" s="253"/>
      <c r="D59" s="90" t="s">
        <v>13</v>
      </c>
      <c r="E59" s="90" t="s">
        <v>13</v>
      </c>
      <c r="F59" s="90"/>
      <c r="G59" s="90"/>
      <c r="H59" s="90"/>
      <c r="I59" s="90"/>
      <c r="J59" s="90"/>
      <c r="K59" s="288"/>
      <c r="L59" s="289"/>
    </row>
    <row r="60" spans="2:12" ht="336" customHeight="1" x14ac:dyDescent="0.25">
      <c r="B60" s="180" t="s">
        <v>213</v>
      </c>
      <c r="C60" s="180"/>
      <c r="D60" s="90" t="s">
        <v>14</v>
      </c>
      <c r="E60" s="90" t="s">
        <v>14</v>
      </c>
      <c r="F60" s="90"/>
      <c r="G60" s="90"/>
      <c r="H60" s="90"/>
      <c r="I60" s="90"/>
      <c r="J60" s="90"/>
      <c r="K60" s="288"/>
      <c r="L60" s="289"/>
    </row>
    <row r="61" spans="2:12" ht="129.75" customHeight="1" x14ac:dyDescent="0.25">
      <c r="B61" s="233" t="s">
        <v>168</v>
      </c>
      <c r="C61" s="234"/>
      <c r="D61" s="90" t="s">
        <v>13</v>
      </c>
      <c r="E61" s="90" t="s">
        <v>13</v>
      </c>
      <c r="F61" s="90"/>
      <c r="G61" s="90"/>
      <c r="H61" s="90"/>
      <c r="I61" s="90"/>
      <c r="J61" s="90"/>
      <c r="K61" s="288"/>
      <c r="L61" s="289"/>
    </row>
    <row r="62" spans="2:12" ht="408.75" customHeight="1" x14ac:dyDescent="0.25">
      <c r="B62" s="254" t="s">
        <v>170</v>
      </c>
      <c r="C62" s="254"/>
      <c r="D62" s="90" t="s">
        <v>13</v>
      </c>
      <c r="E62" s="90" t="s">
        <v>13</v>
      </c>
      <c r="F62" s="90"/>
      <c r="G62" s="90"/>
      <c r="H62" s="90"/>
      <c r="I62" s="90"/>
      <c r="J62" s="90"/>
      <c r="K62" s="288"/>
      <c r="L62" s="289"/>
    </row>
    <row r="63" spans="2:12" ht="234.75" customHeight="1" x14ac:dyDescent="0.25">
      <c r="B63" s="180" t="s">
        <v>212</v>
      </c>
      <c r="C63" s="180"/>
      <c r="D63" s="90" t="s">
        <v>14</v>
      </c>
      <c r="E63" s="90" t="s">
        <v>14</v>
      </c>
      <c r="F63" s="90"/>
      <c r="G63" s="90"/>
      <c r="H63" s="90"/>
      <c r="I63" s="90"/>
      <c r="J63" s="90"/>
      <c r="K63" s="288"/>
      <c r="L63" s="289"/>
    </row>
    <row r="64" spans="2:12" ht="70.5" customHeight="1" x14ac:dyDescent="0.25">
      <c r="B64" s="260" t="s">
        <v>80</v>
      </c>
      <c r="C64" s="260"/>
      <c r="D64" s="15" t="str">
        <f>IF(D24="","N/A",IF(AND(D46="CUMPLE",D54="CUMPLE",D55="CUMPLE",D56="CUMPLE",D57="CUMPLE",D58="CUMPLE",OR(D59="CUMPLE",D59="N/A"),D60="CUMPLE",OR(D61="CUMPLE",D61="N/A"),D63="CUMPLE",OR(D62="CUMPLE",D62="N/A")),"CUMPLE","NO CUMPLE"))</f>
        <v>CUMPLE</v>
      </c>
      <c r="E64" s="15" t="str">
        <f>IF(E24="","N/A",IF(AND(E46="CUMPLE",E54="CUMPLE",E55="CUMPLE",E56="CUMPLE",E57="CUMPLE",E58="CUMPLE",OR(E59="CUMPLE",E59="N/A"),E60="CUMPLE",OR(E61="CUMPLE",E61="N/A"),E63="CUMPLE",OR(E62="CUMPLE",E62="N/A")),"CUMPLE","NO CUMPLE"))</f>
        <v>CUMPLE</v>
      </c>
      <c r="F64" s="15" t="str">
        <f t="shared" ref="F64:J64" si="10">IF(F24="","N/A",IF(AND(F46="CUMPLE",F54="CUMPLE",F55="CUMPLE",F56="CUMPLE",F57="CUMPLE",F58="CUMPLE",OR(F59="CUMPLE",F59="N/A"),F60="CUMPLE",OR(F61="CUMPLE",F61="N/A"),F63="CUMPLE",OR(F62="CUMPLE",F62="N/A")),"CUMPLE","NO CUMPLE"))</f>
        <v>N/A</v>
      </c>
      <c r="G64" s="15" t="str">
        <f t="shared" si="10"/>
        <v>N/A</v>
      </c>
      <c r="H64" s="15" t="str">
        <f t="shared" si="10"/>
        <v>N/A</v>
      </c>
      <c r="I64" s="15" t="str">
        <f t="shared" si="10"/>
        <v>N/A</v>
      </c>
      <c r="J64" s="15" t="str">
        <f t="shared" si="10"/>
        <v>N/A</v>
      </c>
      <c r="K64" s="165"/>
      <c r="L64" s="162"/>
    </row>
    <row r="65" spans="2:12" ht="81.75" customHeight="1" x14ac:dyDescent="0.25">
      <c r="B65" s="180" t="s">
        <v>177</v>
      </c>
      <c r="C65" s="180"/>
      <c r="D65" s="90" t="s">
        <v>14</v>
      </c>
      <c r="E65" s="90" t="s">
        <v>14</v>
      </c>
      <c r="F65" s="90"/>
      <c r="G65" s="90"/>
      <c r="H65" s="90"/>
      <c r="I65" s="90"/>
      <c r="J65" s="90"/>
      <c r="K65" s="288"/>
      <c r="L65" s="289"/>
    </row>
  </sheetData>
  <sheetProtection formatCells="0" formatColumns="0" formatRows="0"/>
  <mergeCells count="80">
    <mergeCell ref="B12:L12"/>
    <mergeCell ref="B2:L2"/>
    <mergeCell ref="B3:L3"/>
    <mergeCell ref="B4:L4"/>
    <mergeCell ref="B5:L5"/>
    <mergeCell ref="B7:I7"/>
    <mergeCell ref="J7:L7"/>
    <mergeCell ref="C8:I8"/>
    <mergeCell ref="C9:I9"/>
    <mergeCell ref="C10:I10"/>
    <mergeCell ref="C11:G11"/>
    <mergeCell ref="I11:L11"/>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K39:L39"/>
    <mergeCell ref="K40:L40"/>
    <mergeCell ref="K41:L41"/>
    <mergeCell ref="K42:L42"/>
    <mergeCell ref="K43:L43"/>
    <mergeCell ref="K44:L44"/>
    <mergeCell ref="K46:L46"/>
    <mergeCell ref="B47:B54"/>
    <mergeCell ref="K47:L47"/>
    <mergeCell ref="K48:L48"/>
    <mergeCell ref="K49:L49"/>
    <mergeCell ref="K50:L50"/>
    <mergeCell ref="K51:L51"/>
    <mergeCell ref="K52:L52"/>
    <mergeCell ref="K53:L53"/>
    <mergeCell ref="K54:L54"/>
    <mergeCell ref="B55:C55"/>
    <mergeCell ref="K55:L55"/>
    <mergeCell ref="B56:C56"/>
    <mergeCell ref="K56:L56"/>
    <mergeCell ref="B57:C57"/>
    <mergeCell ref="K57:L57"/>
    <mergeCell ref="B58:C58"/>
    <mergeCell ref="K58:L58"/>
    <mergeCell ref="B59:C59"/>
    <mergeCell ref="K59:L59"/>
    <mergeCell ref="B60:C60"/>
    <mergeCell ref="K60:L60"/>
    <mergeCell ref="B64:C64"/>
    <mergeCell ref="B65:C65"/>
    <mergeCell ref="K65:L65"/>
    <mergeCell ref="B61:C61"/>
    <mergeCell ref="K61:L61"/>
    <mergeCell ref="B62:C62"/>
    <mergeCell ref="K62:L62"/>
    <mergeCell ref="B63:C63"/>
    <mergeCell ref="K63:L63"/>
  </mergeCells>
  <conditionalFormatting sqref="D25:J35">
    <cfRule type="containsBlanks" dxfId="52" priority="13">
      <formula>LEN(TRIM(D25))=0</formula>
    </cfRule>
    <cfRule type="notContainsErrors" dxfId="51" priority="14">
      <formula>NOT(ISERROR(D25))</formula>
    </cfRule>
  </conditionalFormatting>
  <conditionalFormatting sqref="D34:J34 D24:K24 D37:J37 D40:J40 D43:J43 D46:J53 D55:J63 K64:L64 D65:K65">
    <cfRule type="containsBlanks" dxfId="50" priority="15">
      <formula>LEN(TRIM(D24))=0</formula>
    </cfRule>
  </conditionalFormatting>
  <conditionalFormatting sqref="D46:J53">
    <cfRule type="cellIs" dxfId="49" priority="11" operator="equal">
      <formula>"NO CUMPLE"</formula>
    </cfRule>
    <cfRule type="cellIs" dxfId="48" priority="12" operator="equal">
      <formula>"CUMPLE"</formula>
    </cfRule>
  </conditionalFormatting>
  <conditionalFormatting sqref="D54:J54">
    <cfRule type="cellIs" dxfId="47" priority="27" operator="equal">
      <formula>"""CUMPLE"""</formula>
    </cfRule>
    <cfRule type="cellIs" dxfId="46" priority="26" operator="equal">
      <formula>"NO CUMPLE"</formula>
    </cfRule>
    <cfRule type="cellIs" dxfId="45" priority="25" operator="equal">
      <formula>"CUMPLE"</formula>
    </cfRule>
    <cfRule type="cellIs" dxfId="44" priority="21" operator="equal">
      <formula>"N/A"</formula>
    </cfRule>
  </conditionalFormatting>
  <conditionalFormatting sqref="D55:J63">
    <cfRule type="cellIs" dxfId="43" priority="3" operator="equal">
      <formula>"NO CUMPLE"</formula>
    </cfRule>
    <cfRule type="cellIs" dxfId="42" priority="4" operator="equal">
      <formula>"CUMPLE"</formula>
    </cfRule>
  </conditionalFormatting>
  <conditionalFormatting sqref="D64:J64">
    <cfRule type="cellIs" dxfId="41" priority="19" operator="equal">
      <formula>"NO CUMPLE"</formula>
    </cfRule>
    <cfRule type="cellIs" dxfId="40" priority="20" operator="equal">
      <formula>"""CUMPLE"""</formula>
    </cfRule>
    <cfRule type="cellIs" dxfId="39" priority="17" operator="equal">
      <formula>"N/A"</formula>
    </cfRule>
    <cfRule type="cellIs" dxfId="38" priority="18" operator="equal">
      <formula>"CUMPLE"</formula>
    </cfRule>
  </conditionalFormatting>
  <conditionalFormatting sqref="D65:J65">
    <cfRule type="cellIs" dxfId="37" priority="9" operator="equal">
      <formula>"NO CUMPLE"</formula>
    </cfRule>
    <cfRule type="cellIs" dxfId="36" priority="10" operator="equal">
      <formula>"CUMPLE"</formula>
    </cfRule>
  </conditionalFormatting>
  <conditionalFormatting sqref="D24:K24 D34:J34 D37:J37 D40:J40 D43:J43 D46:J53 D55:J63 K64:L64 D65:K65">
    <cfRule type="notContainsErrors" dxfId="35" priority="16">
      <formula>NOT(ISERROR(D24))</formula>
    </cfRule>
  </conditionalFormatting>
  <conditionalFormatting sqref="F20:H20">
    <cfRule type="cellIs" dxfId="34" priority="31" operator="equal">
      <formula>"CUMPLE"</formula>
    </cfRule>
    <cfRule type="cellIs" dxfId="33" priority="32" operator="equal">
      <formula>"NO CUMPLE"</formula>
    </cfRule>
    <cfRule type="cellIs" dxfId="32" priority="33" operator="equal">
      <formula>"""CUMPLE"""</formula>
    </cfRule>
  </conditionalFormatting>
  <conditionalFormatting sqref="I11">
    <cfRule type="containsText" dxfId="31" priority="37" operator="containsText" text="NO CUMPLE">
      <formula>NOT(ISERROR(SEARCH("NO CUMPLE",I11)))</formula>
    </cfRule>
    <cfRule type="containsText" dxfId="30" priority="34" operator="containsText" text="INHABILITADO">
      <formula>NOT(ISERROR(SEARCH("INHABILITADO",I11)))</formula>
    </cfRule>
    <cfRule type="containsText" dxfId="29" priority="35" operator="containsText" text="HABILITADO">
      <formula>NOT(ISERROR(SEARCH("HABILITADO",I11)))</formula>
    </cfRule>
    <cfRule type="containsText" dxfId="28" priority="36" operator="containsText" text="HABILITADO">
      <formula>NOT(ISERROR(SEARCH("HABILITADO",I11)))</formula>
    </cfRule>
  </conditionalFormatting>
  <conditionalFormatting sqref="J20">
    <cfRule type="cellIs" dxfId="27" priority="8" operator="equal">
      <formula>"SI"</formula>
    </cfRule>
    <cfRule type="cellIs" dxfId="26" priority="7" operator="equal">
      <formula>"NO"</formula>
    </cfRule>
  </conditionalFormatting>
  <conditionalFormatting sqref="K19">
    <cfRule type="cellIs" dxfId="25" priority="22" operator="equal">
      <formula>"CUMPLE"</formula>
    </cfRule>
    <cfRule type="cellIs" dxfId="24" priority="23" operator="equal">
      <formula>"NO CUMPLE"</formula>
    </cfRule>
    <cfRule type="cellIs" dxfId="23" priority="24" operator="equal">
      <formula>"""CUMPLE"""</formula>
    </cfRule>
  </conditionalFormatting>
  <conditionalFormatting sqref="K25:K63">
    <cfRule type="notContainsErrors" dxfId="22" priority="2">
      <formula>NOT(ISERROR(K25))</formula>
    </cfRule>
    <cfRule type="containsBlanks" dxfId="21" priority="1">
      <formula>LEN(TRIM(K25))=0</formula>
    </cfRule>
  </conditionalFormatting>
  <conditionalFormatting sqref="L15">
    <cfRule type="cellIs" dxfId="20" priority="28" operator="equal">
      <formula>"CUMPLE"</formula>
    </cfRule>
    <cfRule type="cellIs" dxfId="19" priority="29" operator="equal">
      <formula>"NO CUMPLE"</formula>
    </cfRule>
    <cfRule type="cellIs" dxfId="18" priority="30" operator="equal">
      <formula>"""CUMPLE"""</formula>
    </cfRule>
  </conditionalFormatting>
  <conditionalFormatting sqref="L20">
    <cfRule type="cellIs" dxfId="17" priority="5" operator="equal">
      <formula>"NO"</formula>
    </cfRule>
    <cfRule type="cellIs" dxfId="16" priority="6" operator="equal">
      <formula>"SI"</formula>
    </cfRule>
  </conditionalFormatting>
  <dataValidations count="3">
    <dataValidation type="list" allowBlank="1" showInputMessage="1" showErrorMessage="1" sqref="D65:I65" xr:uid="{00000000-0002-0000-2400-000000000000}">
      <formula1>"CUMPLE,NO CUMPLE"</formula1>
    </dataValidation>
    <dataValidation type="list" allowBlank="1" showInputMessage="1" showErrorMessage="1" sqref="D24:J26" xr:uid="{00000000-0002-0000-2400-000001000000}">
      <formula1>$C$15:$C$19</formula1>
    </dataValidation>
    <dataValidation type="list" allowBlank="1" showInputMessage="1" showErrorMessage="1" sqref="L57:L64" xr:uid="{00000000-0002-0000-24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2400-000003000000}">
          <x14:formula1>
            <xm:f>'DATOS INICIALES'!$A$13:$A$43</xm:f>
          </x14:formula1>
          <xm:sqref>D31:I31</xm:sqref>
        </x14:dataValidation>
        <x14:dataValidation type="list" allowBlank="1" showInputMessage="1" showErrorMessage="1" xr:uid="{00000000-0002-0000-2400-000004000000}">
          <x14:formula1>
            <xm:f>'DATOS INICIALES'!$D$21:$D$25</xm:f>
          </x14:formula1>
          <xm:sqref>M47:M54</xm:sqref>
        </x14:dataValidation>
        <x14:dataValidation type="list" allowBlank="1" showInputMessage="1" showErrorMessage="1" xr:uid="{00000000-0002-0000-2400-000005000000}">
          <x14:formula1>
            <xm:f>'DATOS INICIALES'!$A$54:$A$59</xm:f>
          </x14:formula1>
          <xm:sqref>D23:I23</xm:sqref>
        </x14:dataValidation>
        <x14:dataValidation type="list" allowBlank="1" showInputMessage="1" showErrorMessage="1" xr:uid="{00000000-0002-0000-2400-000006000000}">
          <x14:formula1>
            <xm:f>'DATOS INICIALES'!$A$50:$A$52</xm:f>
          </x14:formula1>
          <xm:sqref>D55:I57 D46:J46 J55:J56 D58:J63</xm:sqref>
        </x14:dataValidation>
        <x14:dataValidation type="list" allowBlank="1" showInputMessage="1" showErrorMessage="1" xr:uid="{00000000-0002-0000-2400-000007000000}">
          <x14:formula1>
            <xm:f>'DATOS INICIALES'!$C$45:$C$46</xm:f>
          </x14:formula1>
          <xm:sqref>D47:I53 J47:J52</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59"/>
  <sheetViews>
    <sheetView view="pageBreakPreview" zoomScale="80" zoomScaleNormal="80" zoomScaleSheetLayoutView="80" workbookViewId="0">
      <pane ySplit="9" topLeftCell="A10" activePane="bottomLeft" state="frozenSplit"/>
      <selection activeCell="C15" sqref="C15"/>
      <selection pane="bottomLeft" activeCell="C5" sqref="C5:D5"/>
    </sheetView>
  </sheetViews>
  <sheetFormatPr baseColWidth="10" defaultColWidth="11.42578125" defaultRowHeight="15" x14ac:dyDescent="0.25"/>
  <cols>
    <col min="1" max="1" width="6.28515625" style="11" customWidth="1"/>
    <col min="2" max="2" width="46.7109375" customWidth="1"/>
    <col min="3" max="3" width="20.140625" style="12" customWidth="1"/>
    <col min="4" max="4" width="18.5703125" customWidth="1"/>
    <col min="5" max="5" width="21.5703125" customWidth="1"/>
    <col min="6" max="6" width="22.5703125" customWidth="1"/>
    <col min="7" max="7" width="21.5703125" customWidth="1"/>
    <col min="8" max="8" width="22" customWidth="1"/>
    <col min="9" max="9" width="28.140625" customWidth="1"/>
    <col min="11" max="11" width="11.42578125" customWidth="1"/>
  </cols>
  <sheetData>
    <row r="1" spans="1:9" x14ac:dyDescent="0.25">
      <c r="A1" s="332"/>
      <c r="B1" s="332"/>
      <c r="C1" s="332"/>
      <c r="D1" s="332"/>
      <c r="E1" s="332"/>
      <c r="F1" s="332"/>
      <c r="G1" s="332"/>
      <c r="H1" s="332"/>
      <c r="I1" s="332"/>
    </row>
    <row r="2" spans="1:9" ht="24.75" customHeight="1" x14ac:dyDescent="0.25">
      <c r="A2" s="331" t="s">
        <v>0</v>
      </c>
      <c r="B2" s="331"/>
      <c r="C2" s="331"/>
      <c r="D2" s="331"/>
      <c r="E2" s="331"/>
      <c r="F2" s="331"/>
      <c r="G2" s="331"/>
      <c r="H2" s="331"/>
      <c r="I2" s="331"/>
    </row>
    <row r="3" spans="1:9" ht="8.4499999999999993" customHeight="1" x14ac:dyDescent="0.25">
      <c r="A3" s="332"/>
      <c r="B3" s="332"/>
      <c r="C3" s="332"/>
      <c r="D3" s="332"/>
      <c r="E3" s="332"/>
      <c r="F3" s="332"/>
      <c r="G3" s="332"/>
      <c r="H3" s="332"/>
      <c r="I3" s="332"/>
    </row>
    <row r="4" spans="1:9" ht="73.5" customHeight="1" x14ac:dyDescent="0.25">
      <c r="A4" s="332"/>
      <c r="B4" s="333"/>
      <c r="C4" s="331" t="s">
        <v>25</v>
      </c>
      <c r="D4" s="331"/>
      <c r="E4" s="334"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F4" s="334"/>
      <c r="G4" s="334"/>
      <c r="H4" s="334"/>
      <c r="I4" s="334"/>
    </row>
    <row r="5" spans="1:9" ht="55.5" customHeight="1" x14ac:dyDescent="0.25">
      <c r="A5" s="332"/>
      <c r="B5" s="333"/>
      <c r="C5" s="331" t="s">
        <v>26</v>
      </c>
      <c r="D5" s="331"/>
      <c r="E5" s="336" t="str">
        <f>'DATOS INICIALES'!G4</f>
        <v>FDLK-LP-013-20234</v>
      </c>
      <c r="F5" s="337"/>
      <c r="G5" s="337"/>
      <c r="H5" s="338"/>
      <c r="I5" s="16">
        <f>'DATOS INICIALES'!C5</f>
        <v>2851556145</v>
      </c>
    </row>
    <row r="6" spans="1:9" ht="7.5" customHeight="1" x14ac:dyDescent="0.25">
      <c r="B6" s="335"/>
      <c r="C6" s="335"/>
      <c r="D6" s="335"/>
      <c r="E6" s="335"/>
      <c r="F6" s="335"/>
      <c r="G6" s="335"/>
      <c r="H6" s="335"/>
      <c r="I6" s="335"/>
    </row>
    <row r="7" spans="1:9" ht="21.75" customHeight="1" x14ac:dyDescent="0.25">
      <c r="A7" s="331" t="str">
        <f>CONCATENATE("RESUMEN DE EVALUACIÓN REQUISITOS HABILITANTES - ",'DATOS INICIALES'!G4)</f>
        <v>RESUMEN DE EVALUACIÓN REQUISITOS HABILITANTES - FDLK-LP-013-20234</v>
      </c>
      <c r="B7" s="331"/>
      <c r="C7" s="331"/>
      <c r="D7" s="331"/>
      <c r="E7" s="331"/>
      <c r="F7" s="331"/>
      <c r="G7" s="331"/>
      <c r="H7" s="331"/>
      <c r="I7" s="331"/>
    </row>
    <row r="8" spans="1:9" ht="8.25" customHeight="1" x14ac:dyDescent="0.25"/>
    <row r="9" spans="1:9" s="3" customFormat="1" ht="30" x14ac:dyDescent="0.25">
      <c r="A9" s="35" t="s">
        <v>81</v>
      </c>
      <c r="B9" s="35" t="s">
        <v>27</v>
      </c>
      <c r="C9" s="35" t="s">
        <v>51</v>
      </c>
      <c r="D9" s="35" t="s">
        <v>28</v>
      </c>
      <c r="E9" s="35" t="s">
        <v>29</v>
      </c>
      <c r="F9" s="35" t="s">
        <v>43</v>
      </c>
      <c r="G9" s="35" t="s">
        <v>44</v>
      </c>
      <c r="H9" s="35" t="s">
        <v>45</v>
      </c>
      <c r="I9" s="35" t="s">
        <v>30</v>
      </c>
    </row>
    <row r="10" spans="1:9" ht="6.75" customHeight="1" x14ac:dyDescent="0.25"/>
    <row r="11" spans="1:9" ht="23.25" customHeight="1" x14ac:dyDescent="0.25">
      <c r="A11" s="34">
        <v>1</v>
      </c>
      <c r="B11" s="14" t="str">
        <f>+PROPONENTES!B10</f>
        <v>CONSORCIO ARQING</v>
      </c>
      <c r="C11" s="34">
        <f>+PROPONENTES!M10</f>
        <v>2</v>
      </c>
      <c r="D11" s="149">
        <f>+PROPONENTES!N10</f>
        <v>1</v>
      </c>
      <c r="E11" s="15" t="s">
        <v>15</v>
      </c>
      <c r="F11" s="15" t="str">
        <f>+'1'!$I$11</f>
        <v>CUMPLE</v>
      </c>
      <c r="G11" s="15" t="s">
        <v>14</v>
      </c>
      <c r="H11" s="15" t="s">
        <v>14</v>
      </c>
      <c r="I11" s="67" t="str">
        <f>IF(AND(E11="",F11="",G11="",H11=""),"",IF(AND(E11="CUMPLE",F11="CUMPLE",G11="CUMPLE",H11="CUMPLE"),"HABILITADO","INHABILITADO"))</f>
        <v>INHABILITADO</v>
      </c>
    </row>
    <row r="12" spans="1:9" ht="23.25" customHeight="1" x14ac:dyDescent="0.25">
      <c r="A12" s="34">
        <v>2</v>
      </c>
      <c r="B12" s="14" t="str">
        <f>+PROPONENTES!B11</f>
        <v xml:space="preserve">CONSORCIO COMPLEJO DEPORTIVO CUBAGO	</v>
      </c>
      <c r="C12" s="34">
        <f>+PROPONENTES!M11</f>
        <v>2</v>
      </c>
      <c r="D12" s="149">
        <f>+PROPONENTES!N11</f>
        <v>1</v>
      </c>
      <c r="E12" s="15" t="s">
        <v>14</v>
      </c>
      <c r="F12" s="15" t="str">
        <f>+'2'!$I$11</f>
        <v>CUMPLE</v>
      </c>
      <c r="G12" s="15" t="s">
        <v>14</v>
      </c>
      <c r="H12" s="15" t="s">
        <v>14</v>
      </c>
      <c r="I12" s="67" t="str">
        <f t="shared" ref="I12:I43" si="0">IF(AND(E12="",F12="",G12="",H12=""),"",IF(AND(E12="CUMPLE",F12="CUMPLE",G12="CUMPLE",H12="CUMPLE"),"HABILITADO","INHABILITADO"))</f>
        <v>HABILITADO</v>
      </c>
    </row>
    <row r="13" spans="1:9" ht="23.25" customHeight="1" x14ac:dyDescent="0.25">
      <c r="A13" s="34">
        <v>3</v>
      </c>
      <c r="B13" s="14" t="str">
        <f>+PROPONENTES!B12</f>
        <v>CONSORCIO PARQUES KENNEDY 2024</v>
      </c>
      <c r="C13" s="34">
        <f>+PROPONENTES!M12</f>
        <v>2</v>
      </c>
      <c r="D13" s="149">
        <f>+PROPONENTES!N12</f>
        <v>1</v>
      </c>
      <c r="E13" s="15" t="s">
        <v>14</v>
      </c>
      <c r="F13" s="15" t="str">
        <f>+'3'!$I$11</f>
        <v>CUMPLE</v>
      </c>
      <c r="G13" s="15" t="s">
        <v>14</v>
      </c>
      <c r="H13" s="15" t="s">
        <v>14</v>
      </c>
      <c r="I13" s="67" t="str">
        <f t="shared" si="0"/>
        <v>HABILITADO</v>
      </c>
    </row>
    <row r="14" spans="1:9" ht="23.25" customHeight="1" x14ac:dyDescent="0.25">
      <c r="A14" s="34">
        <v>4</v>
      </c>
      <c r="B14" s="14" t="str">
        <f>+PROPONENTES!B13</f>
        <v>MLG INGENIERIA SAS</v>
      </c>
      <c r="C14" s="34">
        <f>+PROPONENTES!M13</f>
        <v>1</v>
      </c>
      <c r="D14" s="149">
        <f>+PROPONENTES!N13</f>
        <v>1</v>
      </c>
      <c r="E14" s="15" t="s">
        <v>14</v>
      </c>
      <c r="F14" s="15" t="str">
        <f>+'4'!$I$11</f>
        <v>CUMPLE</v>
      </c>
      <c r="G14" s="15" t="s">
        <v>14</v>
      </c>
      <c r="H14" s="15" t="s">
        <v>14</v>
      </c>
      <c r="I14" s="67" t="str">
        <f t="shared" si="0"/>
        <v>HABILITADO</v>
      </c>
    </row>
    <row r="15" spans="1:9" ht="23.25" customHeight="1" x14ac:dyDescent="0.25">
      <c r="A15" s="34">
        <v>5</v>
      </c>
      <c r="B15" s="14" t="str">
        <f>+PROPONENTES!B14</f>
        <v>CONSORCIO PARQUES KENNEDY DP 2024</v>
      </c>
      <c r="C15" s="34">
        <f>+PROPONENTES!M14</f>
        <v>2</v>
      </c>
      <c r="D15" s="149">
        <f>+PROPONENTES!N14</f>
        <v>1</v>
      </c>
      <c r="E15" s="15" t="s">
        <v>15</v>
      </c>
      <c r="F15" s="15" t="str">
        <f>+'5'!$I$11</f>
        <v>CUMPLE</v>
      </c>
      <c r="G15" s="15" t="s">
        <v>14</v>
      </c>
      <c r="H15" s="15" t="s">
        <v>14</v>
      </c>
      <c r="I15" s="67" t="str">
        <f t="shared" si="0"/>
        <v>INHABILITADO</v>
      </c>
    </row>
    <row r="16" spans="1:9" ht="23.25" customHeight="1" x14ac:dyDescent="0.25">
      <c r="A16" s="34">
        <v>6</v>
      </c>
      <c r="B16" s="14" t="str">
        <f>+PROPONENTES!B15</f>
        <v>CONSORCIO PARQUES KENNEDY 2024 - 1</v>
      </c>
      <c r="C16" s="34">
        <f>+PROPONENTES!M15</f>
        <v>2</v>
      </c>
      <c r="D16" s="149">
        <f>+PROPONENTES!N15</f>
        <v>1</v>
      </c>
      <c r="E16" s="15" t="s">
        <v>14</v>
      </c>
      <c r="F16" s="15" t="str">
        <f>+'6'!$I$11</f>
        <v>CUMPLE</v>
      </c>
      <c r="G16" s="15" t="s">
        <v>14</v>
      </c>
      <c r="H16" s="15" t="s">
        <v>14</v>
      </c>
      <c r="I16" s="67" t="str">
        <f t="shared" si="0"/>
        <v>HABILITADO</v>
      </c>
    </row>
    <row r="17" spans="1:9" ht="23.25" customHeight="1" x14ac:dyDescent="0.25">
      <c r="A17" s="34">
        <v>7</v>
      </c>
      <c r="B17" s="14" t="str">
        <f>+PROPONENTES!B16</f>
        <v>RETIN INGENIERIA S.A.S.</v>
      </c>
      <c r="C17" s="34">
        <f>+PROPONENTES!M16</f>
        <v>1</v>
      </c>
      <c r="D17" s="149">
        <f>+PROPONENTES!N16</f>
        <v>1</v>
      </c>
      <c r="E17" s="15" t="s">
        <v>14</v>
      </c>
      <c r="F17" s="15" t="str">
        <f>+'7'!$I$11</f>
        <v>CUMPLE</v>
      </c>
      <c r="G17" s="15" t="s">
        <v>14</v>
      </c>
      <c r="H17" s="15" t="s">
        <v>14</v>
      </c>
      <c r="I17" s="67" t="str">
        <f t="shared" si="0"/>
        <v>HABILITADO</v>
      </c>
    </row>
    <row r="18" spans="1:9" ht="23.25" customHeight="1" x14ac:dyDescent="0.25">
      <c r="A18" s="34">
        <v>8</v>
      </c>
      <c r="B18" s="14" t="str">
        <f>+PROPONENTES!B17</f>
        <v>UNION TEMPORAL PARQUES DJ13</v>
      </c>
      <c r="C18" s="34">
        <f>+PROPONENTES!M17</f>
        <v>2</v>
      </c>
      <c r="D18" s="149">
        <f>+PROPONENTES!N17</f>
        <v>1</v>
      </c>
      <c r="E18" s="15" t="s">
        <v>14</v>
      </c>
      <c r="F18" s="15" t="str">
        <f>+'8'!$I$11</f>
        <v>CUMPLE</v>
      </c>
      <c r="G18" s="15" t="s">
        <v>14</v>
      </c>
      <c r="H18" s="15" t="s">
        <v>14</v>
      </c>
      <c r="I18" s="67" t="str">
        <f t="shared" si="0"/>
        <v>HABILITADO</v>
      </c>
    </row>
    <row r="19" spans="1:9" ht="23.25" customHeight="1" x14ac:dyDescent="0.25">
      <c r="A19" s="34">
        <v>9</v>
      </c>
      <c r="B19" s="14" t="str">
        <f>+PROPONENTES!B18</f>
        <v xml:space="preserve">CONSORCIO PARQUES CHM 2024	</v>
      </c>
      <c r="C19" s="34">
        <f>+PROPONENTES!M18</f>
        <v>2</v>
      </c>
      <c r="D19" s="149">
        <f>+PROPONENTES!N18</f>
        <v>1</v>
      </c>
      <c r="E19" s="15" t="s">
        <v>14</v>
      </c>
      <c r="F19" s="15" t="str">
        <f>+'9'!$I$11</f>
        <v>CUMPLE</v>
      </c>
      <c r="G19" s="15" t="s">
        <v>14</v>
      </c>
      <c r="H19" s="15" t="s">
        <v>14</v>
      </c>
      <c r="I19" s="67" t="str">
        <f t="shared" si="0"/>
        <v>HABILITADO</v>
      </c>
    </row>
    <row r="20" spans="1:9" ht="23.25" customHeight="1" x14ac:dyDescent="0.25">
      <c r="A20" s="34">
        <v>10</v>
      </c>
      <c r="B20" s="14" t="str">
        <f>+PROPONENTES!B19</f>
        <v xml:space="preserve">CONSORCIO KENNEDY 013 2024	</v>
      </c>
      <c r="C20" s="34">
        <f>+PROPONENTES!M19</f>
        <v>2</v>
      </c>
      <c r="D20" s="149">
        <f>+PROPONENTES!N19</f>
        <v>1</v>
      </c>
      <c r="E20" s="15" t="s">
        <v>14</v>
      </c>
      <c r="F20" s="15" t="str">
        <f>+'10'!$I$11</f>
        <v>CUMPLE</v>
      </c>
      <c r="G20" s="15" t="s">
        <v>14</v>
      </c>
      <c r="H20" s="15" t="s">
        <v>14</v>
      </c>
      <c r="I20" s="67" t="str">
        <f t="shared" si="0"/>
        <v>HABILITADO</v>
      </c>
    </row>
    <row r="21" spans="1:9" ht="23.25" customHeight="1" x14ac:dyDescent="0.25">
      <c r="A21" s="34">
        <v>11</v>
      </c>
      <c r="B21" s="14" t="str">
        <f>+PROPONENTES!B20</f>
        <v>CONSORCIO PARQUES KD E&amp;E 2024</v>
      </c>
      <c r="C21" s="34">
        <f>+PROPONENTES!M20</f>
        <v>2</v>
      </c>
      <c r="D21" s="149">
        <f>+PROPONENTES!N20</f>
        <v>1</v>
      </c>
      <c r="E21" s="15" t="s">
        <v>14</v>
      </c>
      <c r="F21" s="15" t="str">
        <f>+'11'!$I$11</f>
        <v>CUMPLE</v>
      </c>
      <c r="G21" s="15" t="s">
        <v>14</v>
      </c>
      <c r="H21" s="15" t="s">
        <v>14</v>
      </c>
      <c r="I21" s="67" t="str">
        <f t="shared" si="0"/>
        <v>HABILITADO</v>
      </c>
    </row>
    <row r="22" spans="1:9" ht="23.25" customHeight="1" x14ac:dyDescent="0.25">
      <c r="A22" s="34">
        <v>12</v>
      </c>
      <c r="B22" s="14" t="str">
        <f>+PROPONENTES!B21</f>
        <v>CONSORCIO RC-B - FDLK-LP-013-2024</v>
      </c>
      <c r="C22" s="34">
        <f>+PROPONENTES!M21</f>
        <v>2</v>
      </c>
      <c r="D22" s="149">
        <f>+PROPONENTES!N21</f>
        <v>1</v>
      </c>
      <c r="E22" s="15" t="s">
        <v>14</v>
      </c>
      <c r="F22" s="15" t="str">
        <f>+'12'!$I$11</f>
        <v>CUMPLE</v>
      </c>
      <c r="G22" s="15" t="s">
        <v>14</v>
      </c>
      <c r="H22" s="15" t="s">
        <v>14</v>
      </c>
      <c r="I22" s="67" t="str">
        <f t="shared" si="0"/>
        <v>HABILITADO</v>
      </c>
    </row>
    <row r="23" spans="1:9" ht="23.25" customHeight="1" x14ac:dyDescent="0.25">
      <c r="A23" s="34">
        <v>13</v>
      </c>
      <c r="B23" s="14" t="str">
        <f>+PROPONENTES!B22</f>
        <v>CONSORCIO KENNEPARK BQ 2024</v>
      </c>
      <c r="C23" s="34">
        <f>+PROPONENTES!M22</f>
        <v>3</v>
      </c>
      <c r="D23" s="149">
        <f>+PROPONENTES!N22</f>
        <v>1</v>
      </c>
      <c r="E23" s="15" t="s">
        <v>14</v>
      </c>
      <c r="F23" s="15" t="str">
        <f>+'13'!$I$11</f>
        <v>CUMPLE</v>
      </c>
      <c r="G23" s="15" t="s">
        <v>14</v>
      </c>
      <c r="H23" s="15" t="s">
        <v>14</v>
      </c>
      <c r="I23" s="67" t="str">
        <f t="shared" si="0"/>
        <v>HABILITADO</v>
      </c>
    </row>
    <row r="24" spans="1:9" ht="23.25" customHeight="1" x14ac:dyDescent="0.25">
      <c r="A24" s="34">
        <v>14</v>
      </c>
      <c r="B24" s="14" t="str">
        <f>+PROPONENTES!B23</f>
        <v>CONSORCIO PARQUES ARM 2024</v>
      </c>
      <c r="C24" s="34">
        <f>+PROPONENTES!M23</f>
        <v>2</v>
      </c>
      <c r="D24" s="149">
        <f>+PROPONENTES!N23</f>
        <v>1</v>
      </c>
      <c r="E24" s="15" t="s">
        <v>14</v>
      </c>
      <c r="F24" s="15" t="str">
        <f>+'14'!$I$11</f>
        <v>CUMPLE</v>
      </c>
      <c r="G24" s="15" t="s">
        <v>14</v>
      </c>
      <c r="H24" s="15" t="s">
        <v>14</v>
      </c>
      <c r="I24" s="67" t="str">
        <f t="shared" si="0"/>
        <v>HABILITADO</v>
      </c>
    </row>
    <row r="25" spans="1:9" ht="23.25" customHeight="1" x14ac:dyDescent="0.25">
      <c r="A25" s="34">
        <v>15</v>
      </c>
      <c r="B25" s="14" t="str">
        <f>+PROPONENTES!B24</f>
        <v>CONSORCIO MANTENIMIENTO PARKS</v>
      </c>
      <c r="C25" s="34">
        <f>+PROPONENTES!M24</f>
        <v>2</v>
      </c>
      <c r="D25" s="149">
        <f>+PROPONENTES!N24</f>
        <v>1</v>
      </c>
      <c r="E25" s="15" t="s">
        <v>14</v>
      </c>
      <c r="F25" s="15" t="str">
        <f>+'15'!$I$11</f>
        <v>CUMPLE</v>
      </c>
      <c r="G25" s="15" t="s">
        <v>14</v>
      </c>
      <c r="H25" s="15" t="s">
        <v>14</v>
      </c>
      <c r="I25" s="67" t="str">
        <f t="shared" si="0"/>
        <v>HABILITADO</v>
      </c>
    </row>
    <row r="26" spans="1:9" ht="23.25" customHeight="1" x14ac:dyDescent="0.25">
      <c r="A26" s="34">
        <v>16</v>
      </c>
      <c r="B26" s="14" t="str">
        <f>+PROPONENTES!B25</f>
        <v>CONSORCIO SAN LORENZO</v>
      </c>
      <c r="C26" s="34">
        <f>+PROPONENTES!M25</f>
        <v>3</v>
      </c>
      <c r="D26" s="149">
        <f>+PROPONENTES!N25</f>
        <v>1</v>
      </c>
      <c r="E26" s="15" t="s">
        <v>14</v>
      </c>
      <c r="F26" s="15" t="str">
        <f>+'16'!$I$11</f>
        <v>CUMPLE</v>
      </c>
      <c r="G26" s="15" t="s">
        <v>14</v>
      </c>
      <c r="H26" s="15" t="s">
        <v>14</v>
      </c>
      <c r="I26" s="67" t="str">
        <f t="shared" si="0"/>
        <v>HABILITADO</v>
      </c>
    </row>
    <row r="27" spans="1:9" ht="23.25" customHeight="1" x14ac:dyDescent="0.25">
      <c r="A27" s="34">
        <v>17</v>
      </c>
      <c r="B27" s="14" t="str">
        <f>+PROPONENTES!B26</f>
        <v>CONSORCIO KENNEDY AVANZA</v>
      </c>
      <c r="C27" s="34">
        <f>+PROPONENTES!M26</f>
        <v>2</v>
      </c>
      <c r="D27" s="149">
        <f>+PROPONENTES!N26</f>
        <v>1</v>
      </c>
      <c r="E27" s="15" t="s">
        <v>15</v>
      </c>
      <c r="F27" s="15" t="str">
        <f>+'17'!$I$11</f>
        <v>CUMPLE</v>
      </c>
      <c r="G27" s="15" t="s">
        <v>14</v>
      </c>
      <c r="H27" s="15" t="s">
        <v>14</v>
      </c>
      <c r="I27" s="67" t="str">
        <f t="shared" si="0"/>
        <v>INHABILITADO</v>
      </c>
    </row>
    <row r="28" spans="1:9" ht="23.25" customHeight="1" x14ac:dyDescent="0.25">
      <c r="A28" s="34">
        <v>18</v>
      </c>
      <c r="B28" s="14" t="str">
        <f>+PROPONENTES!B27</f>
        <v>CONSORCIO MAB KENN PARQUES</v>
      </c>
      <c r="C28" s="34">
        <f>+PROPONENTES!M27</f>
        <v>2</v>
      </c>
      <c r="D28" s="149">
        <f>+PROPONENTES!N27</f>
        <v>1</v>
      </c>
      <c r="E28" s="15" t="s">
        <v>14</v>
      </c>
      <c r="F28" s="15" t="str">
        <f>+'18'!$I$11</f>
        <v>NO CUMPLE</v>
      </c>
      <c r="G28" s="15" t="s">
        <v>14</v>
      </c>
      <c r="H28" s="15" t="s">
        <v>14</v>
      </c>
      <c r="I28" s="67" t="str">
        <f t="shared" si="0"/>
        <v>INHABILITADO</v>
      </c>
    </row>
    <row r="29" spans="1:9" ht="23.25" customHeight="1" x14ac:dyDescent="0.25">
      <c r="A29" s="34">
        <v>19</v>
      </c>
      <c r="B29" s="14" t="str">
        <f>+PROPONENTES!B28</f>
        <v>PROMCIVILES S.A.S.</v>
      </c>
      <c r="C29" s="34">
        <f>+PROPONENTES!M28</f>
        <v>1</v>
      </c>
      <c r="D29" s="149">
        <f>+PROPONENTES!N28</f>
        <v>1</v>
      </c>
      <c r="E29" s="15" t="s">
        <v>14</v>
      </c>
      <c r="F29" s="15" t="str">
        <f>+'19'!$I$11</f>
        <v>CUMPLE</v>
      </c>
      <c r="G29" s="15" t="s">
        <v>14</v>
      </c>
      <c r="H29" s="15" t="s">
        <v>14</v>
      </c>
      <c r="I29" s="67" t="str">
        <f t="shared" si="0"/>
        <v>HABILITADO</v>
      </c>
    </row>
    <row r="30" spans="1:9" ht="23.25" customHeight="1" x14ac:dyDescent="0.25">
      <c r="A30" s="34">
        <v>20</v>
      </c>
      <c r="B30" s="14" t="str">
        <f>+PROPONENTES!B29</f>
        <v>UNION TEMPORAL PARQUES KENNEDY VE</v>
      </c>
      <c r="C30" s="34">
        <f>+PROPONENTES!M29</f>
        <v>2</v>
      </c>
      <c r="D30" s="149">
        <f>+PROPONENTES!N29</f>
        <v>1</v>
      </c>
      <c r="E30" s="15" t="s">
        <v>15</v>
      </c>
      <c r="F30" s="15" t="str">
        <f>+'20'!$I$11</f>
        <v>CUMPLE</v>
      </c>
      <c r="G30" s="15" t="s">
        <v>14</v>
      </c>
      <c r="H30" s="15" t="s">
        <v>14</v>
      </c>
      <c r="I30" s="67" t="str">
        <f t="shared" si="0"/>
        <v>INHABILITADO</v>
      </c>
    </row>
    <row r="31" spans="1:9" ht="23.25" customHeight="1" x14ac:dyDescent="0.25">
      <c r="A31" s="34">
        <v>21</v>
      </c>
      <c r="B31" s="14" t="str">
        <f>+PROPONENTES!B30</f>
        <v>CONSORCIO INCITECO IP XXI</v>
      </c>
      <c r="C31" s="34">
        <f>+PROPONENTES!M30</f>
        <v>2</v>
      </c>
      <c r="D31" s="149">
        <f>+PROPONENTES!N30</f>
        <v>1</v>
      </c>
      <c r="E31" s="15" t="s">
        <v>14</v>
      </c>
      <c r="F31" s="15" t="str">
        <f>+'21'!$I$11</f>
        <v>CUMPLE</v>
      </c>
      <c r="G31" s="15" t="s">
        <v>14</v>
      </c>
      <c r="H31" s="15" t="s">
        <v>14</v>
      </c>
      <c r="I31" s="67" t="str">
        <f t="shared" si="0"/>
        <v>HABILITADO</v>
      </c>
    </row>
    <row r="32" spans="1:9" ht="23.25" customHeight="1" x14ac:dyDescent="0.25">
      <c r="A32" s="34">
        <v>22</v>
      </c>
      <c r="B32" s="14" t="str">
        <f>+PROPONENTES!B31</f>
        <v>PROJECTING DESIGNING AND BUILDING LTDA</v>
      </c>
      <c r="C32" s="34">
        <f>+PROPONENTES!M31</f>
        <v>1</v>
      </c>
      <c r="D32" s="149">
        <f>+PROPONENTES!N31</f>
        <v>1</v>
      </c>
      <c r="E32" s="15" t="s">
        <v>14</v>
      </c>
      <c r="F32" s="15" t="str">
        <f>+'22'!$I$11</f>
        <v>CUMPLE</v>
      </c>
      <c r="G32" s="15" t="s">
        <v>14</v>
      </c>
      <c r="H32" s="15" t="s">
        <v>14</v>
      </c>
      <c r="I32" s="67" t="str">
        <f t="shared" si="0"/>
        <v>HABILITADO</v>
      </c>
    </row>
    <row r="33" spans="1:9" ht="23.25" customHeight="1" x14ac:dyDescent="0.25">
      <c r="A33" s="34">
        <v>23</v>
      </c>
      <c r="B33" s="14" t="str">
        <f>+PROPONENTES!B32</f>
        <v>UNIOBRAS SAS</v>
      </c>
      <c r="C33" s="34">
        <f>+PROPONENTES!M32</f>
        <v>1</v>
      </c>
      <c r="D33" s="149">
        <f>+PROPONENTES!N32</f>
        <v>1</v>
      </c>
      <c r="E33" s="15" t="s">
        <v>14</v>
      </c>
      <c r="F33" s="15" t="str">
        <f>+'23'!$I$11</f>
        <v>CUMPLE</v>
      </c>
      <c r="G33" s="15" t="s">
        <v>14</v>
      </c>
      <c r="H33" s="15" t="s">
        <v>14</v>
      </c>
      <c r="I33" s="67" t="str">
        <f t="shared" si="0"/>
        <v>HABILITADO</v>
      </c>
    </row>
    <row r="34" spans="1:9" ht="23.25" customHeight="1" x14ac:dyDescent="0.25">
      <c r="A34" s="34">
        <v>24</v>
      </c>
      <c r="B34" s="14" t="str">
        <f>+PROPONENTES!B33</f>
        <v>CONSORCIO T&amp;G PARQUES IV</v>
      </c>
      <c r="C34" s="34">
        <f>+PROPONENTES!M33</f>
        <v>2</v>
      </c>
      <c r="D34" s="149">
        <f>+PROPONENTES!N33</f>
        <v>1</v>
      </c>
      <c r="E34" s="15" t="s">
        <v>14</v>
      </c>
      <c r="F34" s="15" t="str">
        <f>+'24'!$I$11</f>
        <v>CUMPLE</v>
      </c>
      <c r="G34" s="15" t="s">
        <v>14</v>
      </c>
      <c r="H34" s="15" t="s">
        <v>14</v>
      </c>
      <c r="I34" s="67" t="str">
        <f t="shared" si="0"/>
        <v>HABILITADO</v>
      </c>
    </row>
    <row r="35" spans="1:9" ht="23.25" customHeight="1" x14ac:dyDescent="0.25">
      <c r="A35" s="34">
        <v>25</v>
      </c>
      <c r="B35" s="14" t="str">
        <f>+PROPONENTES!B34</f>
        <v>CONSORCIO JH KENNEDY</v>
      </c>
      <c r="C35" s="34">
        <f>+PROPONENTES!M34</f>
        <v>2</v>
      </c>
      <c r="D35" s="149">
        <f>+PROPONENTES!N34</f>
        <v>1</v>
      </c>
      <c r="E35" s="15" t="s">
        <v>14</v>
      </c>
      <c r="F35" s="15" t="str">
        <f>+'25'!$I$11</f>
        <v>CUMPLE</v>
      </c>
      <c r="G35" s="15" t="s">
        <v>14</v>
      </c>
      <c r="H35" s="15" t="s">
        <v>14</v>
      </c>
      <c r="I35" s="67" t="str">
        <f t="shared" si="0"/>
        <v>HABILITADO</v>
      </c>
    </row>
    <row r="36" spans="1:9" ht="23.25" customHeight="1" x14ac:dyDescent="0.25">
      <c r="A36" s="34">
        <v>26</v>
      </c>
      <c r="B36" s="14" t="str">
        <f>+PROPONENTES!B35</f>
        <v>CONSORCIO PARQUES KENNEDY</v>
      </c>
      <c r="C36" s="34">
        <f>+PROPONENTES!M35</f>
        <v>2</v>
      </c>
      <c r="D36" s="149">
        <f>+PROPONENTES!N35</f>
        <v>1</v>
      </c>
      <c r="E36" s="15" t="s">
        <v>15</v>
      </c>
      <c r="F36" s="15" t="str">
        <f>+'26'!$I$11</f>
        <v>CUMPLE</v>
      </c>
      <c r="G36" s="15" t="s">
        <v>14</v>
      </c>
      <c r="H36" s="15" t="s">
        <v>14</v>
      </c>
      <c r="I36" s="67" t="str">
        <f t="shared" si="0"/>
        <v>INHABILITADO</v>
      </c>
    </row>
    <row r="37" spans="1:9" ht="23.25" customHeight="1" x14ac:dyDescent="0.25">
      <c r="A37" s="34">
        <v>27</v>
      </c>
      <c r="B37" s="14" t="str">
        <f>+PROPONENTES!B36</f>
        <v>CONSORCIO CGC 2024</v>
      </c>
      <c r="C37" s="34">
        <f>+PROPONENTES!M36</f>
        <v>3</v>
      </c>
      <c r="D37" s="149">
        <f>+PROPONENTES!N36</f>
        <v>1</v>
      </c>
      <c r="E37" s="15" t="s">
        <v>14</v>
      </c>
      <c r="F37" s="15" t="str">
        <f>+'27'!$I$11</f>
        <v>CUMPLE</v>
      </c>
      <c r="G37" s="15" t="s">
        <v>14</v>
      </c>
      <c r="H37" s="15" t="s">
        <v>14</v>
      </c>
      <c r="I37" s="67" t="str">
        <f t="shared" si="0"/>
        <v>HABILITADO</v>
      </c>
    </row>
    <row r="38" spans="1:9" ht="23.25" customHeight="1" x14ac:dyDescent="0.25">
      <c r="A38" s="34">
        <v>28</v>
      </c>
      <c r="B38" s="14" t="str">
        <f>+PROPONENTES!B37</f>
        <v>CONSORCIO PARQUES KASAF 2025</v>
      </c>
      <c r="C38" s="34">
        <f>+PROPONENTES!M37</f>
        <v>2</v>
      </c>
      <c r="D38" s="149">
        <f>+PROPONENTES!N37</f>
        <v>1</v>
      </c>
      <c r="E38" s="15" t="s">
        <v>14</v>
      </c>
      <c r="F38" s="15" t="str">
        <f>+'28'!$I$11</f>
        <v>CUMPLE</v>
      </c>
      <c r="G38" s="15" t="s">
        <v>14</v>
      </c>
      <c r="H38" s="15" t="s">
        <v>14</v>
      </c>
      <c r="I38" s="67" t="str">
        <f t="shared" si="0"/>
        <v>HABILITADO</v>
      </c>
    </row>
    <row r="39" spans="1:9" ht="23.25" customHeight="1" x14ac:dyDescent="0.25">
      <c r="A39" s="34">
        <v>29</v>
      </c>
      <c r="B39" s="14" t="str">
        <f>+PROPONENTES!B38</f>
        <v xml:space="preserve">CONSORCIO PARQUES K. 24	</v>
      </c>
      <c r="C39" s="34">
        <f>+PROPONENTES!M38</f>
        <v>2</v>
      </c>
      <c r="D39" s="149">
        <f>+PROPONENTES!N38</f>
        <v>1</v>
      </c>
      <c r="E39" s="15" t="s">
        <v>15</v>
      </c>
      <c r="F39" s="15" t="str">
        <f>+'29'!$I$11</f>
        <v>CUMPLE</v>
      </c>
      <c r="G39" s="15" t="s">
        <v>14</v>
      </c>
      <c r="H39" s="15" t="s">
        <v>14</v>
      </c>
      <c r="I39" s="67" t="str">
        <f t="shared" si="0"/>
        <v>INHABILITADO</v>
      </c>
    </row>
    <row r="40" spans="1:9" ht="23.25" customHeight="1" x14ac:dyDescent="0.25">
      <c r="A40" s="34">
        <v>30</v>
      </c>
      <c r="B40" s="14" t="str">
        <f>+PROPONENTES!B39</f>
        <v>GERMAN RAMIREZ BARBOSA</v>
      </c>
      <c r="C40" s="34">
        <f>+PROPONENTES!M39</f>
        <v>1</v>
      </c>
      <c r="D40" s="149">
        <f>+PROPONENTES!N39</f>
        <v>1</v>
      </c>
      <c r="E40" s="15" t="s">
        <v>14</v>
      </c>
      <c r="F40" s="15" t="str">
        <f>+'30'!$I$11</f>
        <v>CUMPLE</v>
      </c>
      <c r="G40" s="15" t="s">
        <v>14</v>
      </c>
      <c r="H40" s="15" t="s">
        <v>14</v>
      </c>
      <c r="I40" s="67" t="str">
        <f t="shared" si="0"/>
        <v>HABILITADO</v>
      </c>
    </row>
    <row r="41" spans="1:9" ht="23.25" customHeight="1" x14ac:dyDescent="0.25">
      <c r="A41" s="34">
        <v>31</v>
      </c>
      <c r="B41" s="14" t="str">
        <f>+PROPONENTES!B40</f>
        <v>CONSTRUCOL SAS</v>
      </c>
      <c r="C41" s="34">
        <f>+PROPONENTES!M40</f>
        <v>1</v>
      </c>
      <c r="D41" s="149">
        <f>+PROPONENTES!N40</f>
        <v>1</v>
      </c>
      <c r="E41" s="15" t="s">
        <v>14</v>
      </c>
      <c r="F41" s="15" t="str">
        <f>+'31'!$I$11</f>
        <v>CUMPLE</v>
      </c>
      <c r="G41" s="15" t="s">
        <v>14</v>
      </c>
      <c r="H41" s="15" t="s">
        <v>14</v>
      </c>
      <c r="I41" s="67" t="str">
        <f t="shared" si="0"/>
        <v>HABILITADO</v>
      </c>
    </row>
    <row r="42" spans="1:9" ht="23.25" customHeight="1" x14ac:dyDescent="0.25">
      <c r="A42" s="34">
        <v>32</v>
      </c>
      <c r="B42" s="14" t="str">
        <f>+PROPONENTES!B41</f>
        <v>CONSORCIO DISTRITAL-5G</v>
      </c>
      <c r="C42" s="34">
        <f>+PROPONENTES!M41</f>
        <v>2</v>
      </c>
      <c r="D42" s="149">
        <f>+PROPONENTES!N41</f>
        <v>1</v>
      </c>
      <c r="E42" s="15" t="s">
        <v>14</v>
      </c>
      <c r="F42" s="15" t="str">
        <f>+'32'!$I$11</f>
        <v>CUMPLE</v>
      </c>
      <c r="G42" s="15" t="s">
        <v>14</v>
      </c>
      <c r="H42" s="15" t="s">
        <v>14</v>
      </c>
      <c r="I42" s="67" t="str">
        <f t="shared" si="0"/>
        <v>HABILITADO</v>
      </c>
    </row>
    <row r="43" spans="1:9" ht="23.25" customHeight="1" x14ac:dyDescent="0.25">
      <c r="A43" s="34">
        <v>33</v>
      </c>
      <c r="B43" s="14" t="str">
        <f>+PROPONENTES!B42</f>
        <v>CONSORCIO PARQUES VECINALES 24</v>
      </c>
      <c r="C43" s="34">
        <f>+PROPONENTES!M42</f>
        <v>3</v>
      </c>
      <c r="D43" s="149">
        <f>+PROPONENTES!N42</f>
        <v>1</v>
      </c>
      <c r="E43" s="15" t="s">
        <v>14</v>
      </c>
      <c r="F43" s="15" t="str">
        <f>+'33'!$I$11</f>
        <v>CUMPLE</v>
      </c>
      <c r="G43" s="15" t="s">
        <v>15</v>
      </c>
      <c r="H43" s="15" t="s">
        <v>14</v>
      </c>
      <c r="I43" s="67" t="str">
        <f t="shared" si="0"/>
        <v>INHABILITADO</v>
      </c>
    </row>
    <row r="44" spans="1:9" ht="23.25" customHeight="1" x14ac:dyDescent="0.25">
      <c r="B44" s="12"/>
      <c r="D44" s="19"/>
      <c r="E44" s="13"/>
      <c r="F44" s="13"/>
      <c r="G44" s="13"/>
      <c r="H44" s="13"/>
      <c r="I44" s="20"/>
    </row>
    <row r="45" spans="1:9" ht="6.75" customHeight="1" x14ac:dyDescent="0.25"/>
    <row r="46" spans="1:9" ht="54.75" customHeight="1" x14ac:dyDescent="0.25">
      <c r="B46" s="299" t="s">
        <v>178</v>
      </c>
      <c r="C46" s="330"/>
      <c r="D46" s="330"/>
      <c r="E46" s="88"/>
    </row>
    <row r="47" spans="1:9" ht="54.75" customHeight="1" x14ac:dyDescent="0.25">
      <c r="B47" s="299"/>
      <c r="C47" s="330"/>
      <c r="D47" s="330"/>
      <c r="E47" s="88"/>
    </row>
    <row r="48" spans="1:9" ht="54.75" customHeight="1" x14ac:dyDescent="0.25">
      <c r="B48" s="299"/>
      <c r="C48" s="330"/>
      <c r="D48" s="330"/>
      <c r="E48" s="88"/>
    </row>
    <row r="49" spans="2:5" ht="54.75" customHeight="1" x14ac:dyDescent="0.25">
      <c r="B49" s="299"/>
      <c r="C49" s="330"/>
      <c r="D49" s="330"/>
      <c r="E49" s="88"/>
    </row>
    <row r="50" spans="2:5" ht="54.75" customHeight="1" x14ac:dyDescent="0.25">
      <c r="B50" s="299"/>
      <c r="C50" s="330"/>
      <c r="D50" s="330"/>
      <c r="E50" s="88"/>
    </row>
    <row r="51" spans="2:5" ht="54.75" customHeight="1" x14ac:dyDescent="0.25">
      <c r="B51" s="299"/>
      <c r="C51" s="330"/>
      <c r="D51" s="330"/>
      <c r="E51" s="88"/>
    </row>
    <row r="52" spans="2:5" ht="54.75" customHeight="1" x14ac:dyDescent="0.25">
      <c r="B52" s="299"/>
      <c r="C52" s="330"/>
      <c r="D52" s="330"/>
      <c r="E52" s="88"/>
    </row>
    <row r="53" spans="2:5" ht="54.75" customHeight="1" x14ac:dyDescent="0.25">
      <c r="B53" s="299"/>
      <c r="C53" s="330"/>
      <c r="D53" s="330"/>
      <c r="E53" s="88"/>
    </row>
    <row r="54" spans="2:5" ht="54.75" customHeight="1" x14ac:dyDescent="0.25">
      <c r="B54" s="299"/>
      <c r="C54" s="330"/>
      <c r="D54" s="330"/>
      <c r="E54" s="88"/>
    </row>
    <row r="55" spans="2:5" ht="54.75" customHeight="1" x14ac:dyDescent="0.25">
      <c r="B55" s="299"/>
      <c r="C55" s="299"/>
      <c r="D55" s="299"/>
      <c r="E55" s="88"/>
    </row>
    <row r="56" spans="2:5" ht="54.75" customHeight="1" x14ac:dyDescent="0.25">
      <c r="B56" s="299"/>
      <c r="C56" s="299"/>
      <c r="D56" s="299"/>
      <c r="E56" s="88"/>
    </row>
    <row r="57" spans="2:5" ht="54.75" customHeight="1" x14ac:dyDescent="0.25">
      <c r="B57" s="299"/>
      <c r="C57" s="299"/>
      <c r="D57" s="299"/>
      <c r="E57" s="88"/>
    </row>
    <row r="58" spans="2:5" ht="54.75" customHeight="1" x14ac:dyDescent="0.25">
      <c r="B58" s="299"/>
      <c r="C58" s="330"/>
      <c r="D58" s="330"/>
      <c r="E58" s="88"/>
    </row>
    <row r="59" spans="2:5" ht="54.75" customHeight="1" x14ac:dyDescent="0.25">
      <c r="B59" s="299"/>
    </row>
  </sheetData>
  <mergeCells count="24">
    <mergeCell ref="A2:I2"/>
    <mergeCell ref="A4:B5"/>
    <mergeCell ref="A3:I3"/>
    <mergeCell ref="A1:I1"/>
    <mergeCell ref="A7:I7"/>
    <mergeCell ref="C5:D5"/>
    <mergeCell ref="C4:D4"/>
    <mergeCell ref="E4:I4"/>
    <mergeCell ref="B6:I6"/>
    <mergeCell ref="E5:H5"/>
    <mergeCell ref="C46:D46"/>
    <mergeCell ref="C47:D47"/>
    <mergeCell ref="C48:D48"/>
    <mergeCell ref="C49:D49"/>
    <mergeCell ref="B46:B59"/>
    <mergeCell ref="C50:D50"/>
    <mergeCell ref="C51:D51"/>
    <mergeCell ref="C52:D52"/>
    <mergeCell ref="C53:D53"/>
    <mergeCell ref="C54:D54"/>
    <mergeCell ref="C55:D55"/>
    <mergeCell ref="C56:D56"/>
    <mergeCell ref="C57:D57"/>
    <mergeCell ref="C58:D58"/>
  </mergeCells>
  <phoneticPr fontId="16" type="noConversion"/>
  <conditionalFormatting sqref="E11:H43">
    <cfRule type="cellIs" dxfId="15" priority="1" operator="equal">
      <formula>"CUMPLE"</formula>
    </cfRule>
    <cfRule type="cellIs" dxfId="14" priority="2" operator="equal">
      <formula>"NO CUMPLE"</formula>
    </cfRule>
    <cfRule type="cellIs" dxfId="13" priority="3" operator="equal">
      <formula>"""CUMPLE"""</formula>
    </cfRule>
  </conditionalFormatting>
  <conditionalFormatting sqref="E44:H44">
    <cfRule type="containsText" dxfId="12" priority="197" operator="containsText" text="NO CUMPLE">
      <formula>NOT(ISERROR(SEARCH("NO CUMPLE",E44)))</formula>
    </cfRule>
    <cfRule type="containsText" dxfId="11" priority="198" operator="containsText" text="CUMPLE">
      <formula>NOT(ISERROR(SEARCH("CUMPLE",E44)))</formula>
    </cfRule>
  </conditionalFormatting>
  <conditionalFormatting sqref="I11:I44">
    <cfRule type="containsText" dxfId="10" priority="187" operator="containsText" text="INHABILITADO">
      <formula>NOT(ISERROR(SEARCH("INHABILITADO",I11)))</formula>
    </cfRule>
    <cfRule type="containsText" dxfId="9" priority="188" operator="containsText" text="HABILITADO">
      <formula>NOT(ISERROR(SEARCH("HABILITADO",I11)))</formula>
    </cfRule>
  </conditionalFormatting>
  <pageMargins left="0.7" right="0.7" top="0.75" bottom="0.75" header="0.3" footer="0.3"/>
  <pageSetup scale="50" orientation="landscape" r:id="rId1"/>
  <rowBreaks count="1" manualBreakCount="1">
    <brk id="43" max="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500-000000000000}">
          <x14:formula1>
            <xm:f>'DATOS INICIALES'!$A$50:$A$51</xm:f>
          </x14:formula1>
          <xm:sqref>E11:E43 G11:H43</xm:sqref>
        </x14:dataValidation>
        <x14:dataValidation type="list" allowBlank="1" showInputMessage="1" showErrorMessage="1" xr:uid="{00000000-0002-0000-2500-000001000000}">
          <x14:formula1>
            <xm:f>'DATOS INICIALES'!$A$45:$A$46</xm:f>
          </x14:formula1>
          <xm:sqref>I11:I43</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G179"/>
  <sheetViews>
    <sheetView view="pageBreakPreview" zoomScale="55" zoomScaleNormal="70" zoomScaleSheetLayoutView="55" workbookViewId="0">
      <pane xSplit="4" ySplit="14" topLeftCell="E15" activePane="bottomRight" state="frozen"/>
      <selection pane="topRight" activeCell="E1" sqref="E1"/>
      <selection pane="bottomLeft" activeCell="A15" sqref="A15"/>
      <selection pane="bottomRight" activeCell="W161" sqref="W161"/>
    </sheetView>
  </sheetViews>
  <sheetFormatPr baseColWidth="10" defaultColWidth="11.42578125" defaultRowHeight="15" x14ac:dyDescent="0.25"/>
  <cols>
    <col min="1" max="1" width="4.140625" style="13" customWidth="1"/>
    <col min="2" max="2" width="22.42578125" style="13" customWidth="1"/>
    <col min="3" max="3" width="28" style="13" customWidth="1"/>
    <col min="4" max="4" width="7.85546875" style="38" customWidth="1"/>
    <col min="5" max="5" width="22.28515625" style="66" customWidth="1"/>
    <col min="6" max="6" width="23.140625" style="66" customWidth="1"/>
    <col min="7" max="7" width="21.28515625" style="13" customWidth="1"/>
    <col min="8" max="8" width="25.7109375" style="13" customWidth="1"/>
    <col min="9" max="9" width="21.85546875" style="13" customWidth="1"/>
    <col min="10" max="10" width="20.5703125" style="13" customWidth="1"/>
    <col min="11" max="11" width="18" style="13" customWidth="1"/>
    <col min="12" max="12" width="17.7109375" style="13" customWidth="1"/>
    <col min="13" max="14" width="16.42578125" style="13" hidden="1" customWidth="1"/>
    <col min="15" max="15" width="19" style="13" customWidth="1"/>
    <col min="16" max="16" width="15.42578125" style="13" customWidth="1"/>
    <col min="17" max="17" width="14.42578125" style="13" customWidth="1"/>
    <col min="18" max="18" width="36.42578125" style="13" customWidth="1"/>
    <col min="19" max="19" width="37.7109375" style="13" customWidth="1"/>
    <col min="20" max="20" width="22.140625" style="13" customWidth="1"/>
    <col min="21" max="21" width="26" style="13" customWidth="1"/>
    <col min="22" max="22" width="17" style="13" customWidth="1"/>
    <col min="23" max="25" width="23.28515625" style="13" customWidth="1"/>
    <col min="26" max="32" width="37" style="13" customWidth="1"/>
    <col min="33" max="33" width="65.140625" style="13" customWidth="1"/>
    <col min="34" max="16384" width="11.42578125" style="13"/>
  </cols>
  <sheetData>
    <row r="1" spans="1:33" x14ac:dyDescent="0.25">
      <c r="B1"/>
      <c r="C1"/>
      <c r="D1"/>
      <c r="E1"/>
      <c r="F1"/>
      <c r="G1"/>
      <c r="H1"/>
      <c r="I1"/>
      <c r="J1"/>
      <c r="K1"/>
      <c r="L1"/>
      <c r="M1"/>
      <c r="N1"/>
      <c r="O1"/>
      <c r="P1"/>
      <c r="Q1"/>
      <c r="R1"/>
      <c r="S1"/>
      <c r="T1"/>
    </row>
    <row r="2" spans="1:33" ht="18.75" x14ac:dyDescent="0.3">
      <c r="A2" s="221" t="s">
        <v>0</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row>
    <row r="3" spans="1:33" x14ac:dyDescent="0.25">
      <c r="A3" s="299"/>
      <c r="B3" s="299"/>
      <c r="C3" s="299"/>
      <c r="D3" s="299"/>
      <c r="E3" s="299"/>
      <c r="F3" s="299"/>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row>
    <row r="4" spans="1:33" ht="18.75" x14ac:dyDescent="0.3">
      <c r="A4" s="221" t="str">
        <f>'DATOS INICIALES'!G4</f>
        <v>FDLK-LP-013-20234</v>
      </c>
      <c r="B4" s="221"/>
      <c r="C4" s="221"/>
      <c r="D4" s="221"/>
      <c r="E4" s="221"/>
      <c r="F4" s="221"/>
      <c r="G4" s="221"/>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row>
    <row r="5" spans="1:33" x14ac:dyDescent="0.25">
      <c r="A5" s="299"/>
      <c r="B5" s="299"/>
      <c r="C5" s="299"/>
      <c r="D5" s="299"/>
      <c r="E5" s="299"/>
      <c r="F5" s="299"/>
      <c r="G5" s="299"/>
      <c r="H5" s="299"/>
      <c r="I5" s="299"/>
      <c r="J5" s="299"/>
      <c r="K5" s="299"/>
      <c r="L5" s="299"/>
      <c r="M5" s="299"/>
      <c r="N5" s="299"/>
      <c r="O5" s="299"/>
      <c r="P5" s="299"/>
      <c r="Q5" s="299"/>
      <c r="R5" s="299"/>
      <c r="S5" s="299"/>
      <c r="T5" s="299"/>
      <c r="U5" s="299"/>
      <c r="V5" s="299"/>
      <c r="W5" s="299"/>
      <c r="X5" s="299"/>
      <c r="Y5" s="299"/>
      <c r="Z5" s="299"/>
      <c r="AA5" s="299"/>
      <c r="AB5" s="299"/>
      <c r="AC5" s="299"/>
      <c r="AD5" s="299"/>
      <c r="AE5" s="299"/>
      <c r="AF5" s="299"/>
      <c r="AG5" s="299"/>
    </row>
    <row r="6" spans="1:33" x14ac:dyDescent="0.25">
      <c r="A6" s="307" t="s">
        <v>32</v>
      </c>
      <c r="B6" s="307"/>
      <c r="C6" s="64" t="s">
        <v>54</v>
      </c>
      <c r="D6" s="308" t="s">
        <v>70</v>
      </c>
      <c r="E6" s="308"/>
      <c r="F6" s="308"/>
      <c r="G6" s="308"/>
      <c r="H6" s="89">
        <v>45644</v>
      </c>
      <c r="I6" s="311"/>
      <c r="J6" s="311"/>
      <c r="K6" s="311"/>
      <c r="L6" s="311"/>
      <c r="M6" s="311"/>
      <c r="N6" s="311"/>
      <c r="O6" s="311"/>
      <c r="P6" s="311"/>
      <c r="Q6" s="311"/>
      <c r="R6" s="311"/>
      <c r="S6" s="311"/>
      <c r="T6" s="311"/>
      <c r="U6" s="311"/>
      <c r="V6" s="311"/>
      <c r="W6" s="311"/>
      <c r="X6" s="311"/>
      <c r="Y6" s="311"/>
      <c r="Z6" s="311"/>
      <c r="AA6" s="311"/>
      <c r="AB6" s="311"/>
      <c r="AC6" s="311"/>
      <c r="AD6" s="311"/>
      <c r="AE6" s="311"/>
      <c r="AF6" s="311"/>
      <c r="AG6" s="311"/>
    </row>
    <row r="7" spans="1:33" x14ac:dyDescent="0.25">
      <c r="A7" s="313" t="s">
        <v>89</v>
      </c>
      <c r="B7" s="313"/>
      <c r="C7" s="313"/>
      <c r="D7" s="313"/>
      <c r="E7" s="313"/>
      <c r="F7" s="313"/>
      <c r="G7" s="313"/>
      <c r="H7" s="313"/>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row>
    <row r="8" spans="1:33" ht="36" customHeight="1" x14ac:dyDescent="0.25">
      <c r="A8" s="309" t="s">
        <v>23</v>
      </c>
      <c r="B8" s="309"/>
      <c r="C8" s="320"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D8" s="320"/>
      <c r="E8" s="320"/>
      <c r="F8" s="320"/>
      <c r="G8" s="320"/>
      <c r="H8" s="320"/>
      <c r="I8" s="320"/>
      <c r="J8" s="320"/>
      <c r="K8" s="320"/>
      <c r="L8" s="320"/>
      <c r="M8" s="320"/>
      <c r="N8" s="320"/>
      <c r="O8" s="320"/>
      <c r="P8" s="320"/>
      <c r="Q8" s="320"/>
      <c r="R8" s="320"/>
      <c r="S8" s="320"/>
      <c r="T8" s="320"/>
      <c r="U8" s="320"/>
      <c r="V8" s="320"/>
      <c r="W8" s="320"/>
      <c r="X8" s="320"/>
      <c r="Y8" s="320"/>
      <c r="Z8" s="320"/>
      <c r="AA8" s="320"/>
      <c r="AB8" s="320"/>
      <c r="AC8" s="320"/>
      <c r="AD8" s="320"/>
      <c r="AE8" s="320"/>
      <c r="AF8" s="320"/>
      <c r="AG8" s="320"/>
    </row>
    <row r="9" spans="1:33" ht="40.5" customHeight="1" x14ac:dyDescent="0.25">
      <c r="A9" s="309" t="s">
        <v>68</v>
      </c>
      <c r="B9" s="309"/>
      <c r="C9" s="367">
        <f>+'DATOS INICIALES'!C5</f>
        <v>2851556145</v>
      </c>
      <c r="D9" s="367"/>
      <c r="E9" s="367"/>
      <c r="F9" s="372" t="s">
        <v>95</v>
      </c>
      <c r="G9" s="373"/>
      <c r="H9" s="120">
        <f>+'DATOS INICIALES'!G5</f>
        <v>7</v>
      </c>
      <c r="I9" s="361"/>
      <c r="J9" s="361"/>
      <c r="K9" s="361"/>
      <c r="L9" s="361"/>
      <c r="M9" s="361"/>
      <c r="N9" s="361"/>
      <c r="O9" s="361"/>
      <c r="P9" s="361"/>
      <c r="Q9" s="361"/>
      <c r="R9" s="361"/>
      <c r="S9" s="361"/>
      <c r="T9" s="361"/>
      <c r="U9" s="361"/>
      <c r="V9" s="361"/>
      <c r="W9" s="361"/>
      <c r="X9" s="361"/>
      <c r="Y9" s="361"/>
      <c r="Z9" s="361"/>
      <c r="AA9" s="361"/>
      <c r="AB9" s="361"/>
      <c r="AC9" s="361"/>
      <c r="AD9" s="361"/>
      <c r="AE9" s="361"/>
      <c r="AF9" s="361"/>
      <c r="AG9" s="361"/>
    </row>
    <row r="10" spans="1:33" ht="30" customHeight="1" x14ac:dyDescent="0.25">
      <c r="A10" s="309" t="s">
        <v>69</v>
      </c>
      <c r="B10" s="309"/>
      <c r="C10" s="316">
        <f>C9/'DATOS INICIALES'!B43</f>
        <v>2193.5047269230768</v>
      </c>
      <c r="D10" s="316"/>
      <c r="E10" s="316"/>
      <c r="F10" s="374" t="s">
        <v>96</v>
      </c>
      <c r="G10" s="375"/>
      <c r="H10" s="122">
        <v>0</v>
      </c>
      <c r="I10" s="362"/>
      <c r="J10" s="362"/>
      <c r="K10" s="362"/>
      <c r="L10" s="362"/>
      <c r="M10" s="362"/>
      <c r="N10" s="362"/>
      <c r="O10" s="362"/>
      <c r="P10" s="362"/>
      <c r="Q10" s="362"/>
      <c r="R10" s="362"/>
      <c r="S10" s="362"/>
      <c r="T10" s="362"/>
      <c r="U10" s="362"/>
      <c r="V10" s="362"/>
      <c r="W10" s="362"/>
      <c r="X10" s="362"/>
      <c r="Y10" s="362"/>
      <c r="Z10" s="362"/>
      <c r="AA10" s="362"/>
      <c r="AB10" s="362"/>
      <c r="AC10" s="362"/>
      <c r="AD10" s="362"/>
      <c r="AE10" s="362"/>
      <c r="AF10" s="362"/>
      <c r="AG10" s="362"/>
    </row>
    <row r="11" spans="1:33" ht="9" customHeight="1" thickBot="1" x14ac:dyDescent="0.3">
      <c r="E11" s="38"/>
      <c r="F11" s="38"/>
    </row>
    <row r="12" spans="1:33" ht="45.75" customHeight="1" thickBot="1" x14ac:dyDescent="0.3">
      <c r="A12" s="363" t="s">
        <v>179</v>
      </c>
      <c r="B12" s="364"/>
      <c r="C12" s="364"/>
      <c r="D12" s="364"/>
      <c r="E12" s="364"/>
      <c r="F12" s="364"/>
      <c r="G12" s="364"/>
      <c r="H12" s="364"/>
      <c r="I12" s="364"/>
      <c r="J12" s="364"/>
      <c r="K12" s="364"/>
      <c r="L12" s="364"/>
      <c r="M12" s="364"/>
      <c r="N12" s="364"/>
      <c r="O12" s="364"/>
      <c r="P12" s="364"/>
      <c r="Q12" s="364"/>
      <c r="R12" s="364"/>
      <c r="S12" s="364"/>
      <c r="T12" s="364"/>
      <c r="U12" s="364"/>
      <c r="V12" s="364"/>
      <c r="W12" s="365"/>
      <c r="X12" s="365"/>
      <c r="Y12" s="365"/>
      <c r="Z12" s="365"/>
      <c r="AA12" s="365"/>
      <c r="AB12" s="365"/>
      <c r="AC12" s="365"/>
      <c r="AD12" s="365"/>
      <c r="AE12" s="365"/>
      <c r="AF12" s="365"/>
      <c r="AG12" s="366"/>
    </row>
    <row r="13" spans="1:33" ht="18.75" customHeight="1" x14ac:dyDescent="0.25">
      <c r="A13" s="369" t="s">
        <v>81</v>
      </c>
      <c r="B13" s="357" t="s">
        <v>24</v>
      </c>
      <c r="C13" s="357" t="s">
        <v>61</v>
      </c>
      <c r="D13" s="357" t="s">
        <v>82</v>
      </c>
      <c r="E13" s="371" t="s">
        <v>112</v>
      </c>
      <c r="F13" s="371"/>
      <c r="G13" s="371"/>
      <c r="H13" s="371"/>
      <c r="I13" s="371"/>
      <c r="J13" s="371"/>
      <c r="K13" s="352" t="s">
        <v>113</v>
      </c>
      <c r="L13" s="353"/>
      <c r="M13" s="163"/>
      <c r="N13" s="163"/>
      <c r="O13" s="163"/>
      <c r="P13" s="163"/>
      <c r="Q13" s="163"/>
      <c r="R13" s="352" t="s">
        <v>180</v>
      </c>
      <c r="S13" s="353"/>
      <c r="T13" s="368" t="s">
        <v>119</v>
      </c>
      <c r="U13" s="368"/>
      <c r="V13" s="368"/>
      <c r="W13" s="352" t="s">
        <v>183</v>
      </c>
      <c r="X13" s="376"/>
      <c r="Y13" s="376"/>
      <c r="Z13" s="376"/>
      <c r="AA13" s="376"/>
      <c r="AB13" s="353"/>
      <c r="AC13" s="352" t="s">
        <v>190</v>
      </c>
      <c r="AD13" s="376"/>
      <c r="AE13" s="376"/>
      <c r="AF13" s="353"/>
      <c r="AG13" s="359" t="s">
        <v>74</v>
      </c>
    </row>
    <row r="14" spans="1:33" ht="123" customHeight="1" thickBot="1" x14ac:dyDescent="0.3">
      <c r="A14" s="370"/>
      <c r="B14" s="358"/>
      <c r="C14" s="358"/>
      <c r="D14" s="358"/>
      <c r="E14" s="147" t="s">
        <v>123</v>
      </c>
      <c r="F14" s="147" t="s">
        <v>111</v>
      </c>
      <c r="G14" s="147" t="s">
        <v>149</v>
      </c>
      <c r="H14" s="147" t="s">
        <v>109</v>
      </c>
      <c r="I14" s="147" t="s">
        <v>110</v>
      </c>
      <c r="J14" s="147" t="s">
        <v>130</v>
      </c>
      <c r="K14" s="147" t="s">
        <v>214</v>
      </c>
      <c r="L14" s="147" t="s">
        <v>215</v>
      </c>
      <c r="M14" s="147"/>
      <c r="N14" s="147"/>
      <c r="O14" s="147" t="s">
        <v>114</v>
      </c>
      <c r="P14" s="147" t="s">
        <v>116</v>
      </c>
      <c r="Q14" s="147" t="s">
        <v>115</v>
      </c>
      <c r="R14" s="147" t="s">
        <v>181</v>
      </c>
      <c r="S14" s="147" t="s">
        <v>182</v>
      </c>
      <c r="T14" s="147" t="s">
        <v>120</v>
      </c>
      <c r="U14" s="147" t="s">
        <v>121</v>
      </c>
      <c r="V14" s="147" t="s">
        <v>122</v>
      </c>
      <c r="W14" s="158" t="s">
        <v>184</v>
      </c>
      <c r="X14" s="158" t="s">
        <v>185</v>
      </c>
      <c r="Y14" s="158" t="s">
        <v>186</v>
      </c>
      <c r="Z14" s="158" t="s">
        <v>187</v>
      </c>
      <c r="AA14" s="158" t="s">
        <v>188</v>
      </c>
      <c r="AB14" s="158" t="s">
        <v>189</v>
      </c>
      <c r="AC14" s="158" t="s">
        <v>193</v>
      </c>
      <c r="AD14" s="158" t="s">
        <v>191</v>
      </c>
      <c r="AE14" s="158" t="s">
        <v>192</v>
      </c>
      <c r="AF14" s="158" t="s">
        <v>194</v>
      </c>
      <c r="AG14" s="360"/>
    </row>
    <row r="15" spans="1:33" ht="30" x14ac:dyDescent="0.25">
      <c r="A15" s="295">
        <v>1</v>
      </c>
      <c r="B15" s="298" t="str">
        <f>+PROPONENTES!B10</f>
        <v>CONSORCIO ARQING</v>
      </c>
      <c r="C15" s="44" t="str">
        <f>IF(VLOOKUP(B15,PROPONENTES!$B$10:$N$111,2,FALSE)="","",VLOOKUP(B15,PROPONENTES!$B$10:$N$111,2,FALSE))</f>
        <v>PROYECTOS DE INGENIERIA PBS SAS</v>
      </c>
      <c r="D15" s="45">
        <f>VLOOKUP(B15,PROPONENTES!$B$10:$N$111,3,FALSE)</f>
        <v>0.6</v>
      </c>
      <c r="E15" s="109"/>
      <c r="F15" s="109"/>
      <c r="G15" s="123">
        <f>+'1'!E15</f>
        <v>3222.2490000000003</v>
      </c>
      <c r="H15" s="124" t="str">
        <f>IF(C15="","",IF(G15&gt;'1'!$J$15*0.4,"SI","NO"))</f>
        <v>SI</v>
      </c>
      <c r="I15" s="44">
        <f>IF(C15="",0,IF(AND(E15="SI",H15="SI",F15="SI"),1,0))</f>
        <v>0</v>
      </c>
      <c r="J15" s="298">
        <f>IF((I15+I16+I17+I18+I19)&gt;=1,1,0)</f>
        <v>1</v>
      </c>
      <c r="K15" s="354" t="s">
        <v>14</v>
      </c>
      <c r="L15" s="346">
        <f>IF(K15="CUMPLE",10,0)</f>
        <v>10</v>
      </c>
      <c r="M15" s="354"/>
      <c r="N15" s="339">
        <f>IF(M15="CUMPLE",5,0)</f>
        <v>0</v>
      </c>
      <c r="O15" s="113" t="s">
        <v>118</v>
      </c>
      <c r="P15" s="44">
        <f t="shared" ref="P15:P78" si="0">IF(C15="","0",IF(O15="REPORTADO",1,0))</f>
        <v>0</v>
      </c>
      <c r="Q15" s="339">
        <f>+L15+N15+IF(SUM(P15:P19)&gt;=1,-1,0)</f>
        <v>10</v>
      </c>
      <c r="R15" s="354" t="s">
        <v>14</v>
      </c>
      <c r="S15" s="339">
        <f>IF(R15="CUMPLE",9,0)</f>
        <v>9</v>
      </c>
      <c r="T15" s="342" t="s">
        <v>14</v>
      </c>
      <c r="U15" s="111" t="s">
        <v>14</v>
      </c>
      <c r="V15" s="345">
        <f>IF(AND(T15="",U15="",U16="",U17="",U18="",U19=""),"",IF(AND(T15="CUMPLE",U15="",U16="",U17="",U18="",U19=""),"",IF(AND(T15="CUMPLE",OR(U15="CUMPLE",U15=""),OR(U16="CUMPLE",U16=""),OR(U17="CUMPLE",U17=""),OR(U18="CUMPLE",U18=""),OR(U19="CUMPLE",U19="")),20,0)))</f>
        <v>20</v>
      </c>
      <c r="W15" s="111" t="s">
        <v>14</v>
      </c>
      <c r="X15" s="111" t="s">
        <v>13</v>
      </c>
      <c r="Y15" s="111" t="s">
        <v>13</v>
      </c>
      <c r="Z15" s="111" t="s">
        <v>13</v>
      </c>
      <c r="AA15" s="168">
        <f>IF(C15="",0,IF(AND(OR(X15="CUMPLE",X15="N/A"),OR(Y15="CUMPLE",Y15="N/A"),OR(Z15="CUMPLE",Z15="N/A"),AND(W15="CUMPLE",D15&gt;=10%)),0.25,))</f>
        <v>0.25</v>
      </c>
      <c r="AB15" s="345">
        <f>IF((AA15+AA16+AA17+AA18+AA19)&gt;=0.25,0.25,0)</f>
        <v>0.25</v>
      </c>
      <c r="AC15" s="111" t="s">
        <v>14</v>
      </c>
      <c r="AD15" s="111" t="s">
        <v>14</v>
      </c>
      <c r="AE15" s="159">
        <f>IF(C15="",0,IF(AND(AC15="CUMPLE",AD15="CUMPLE",D15&gt;=10%),0.25,0))</f>
        <v>0.25</v>
      </c>
      <c r="AF15" s="346">
        <f>IF((AE15+AE16+AE17+AE18+AE19)&gt;=0.25,0.25,0)</f>
        <v>0.25</v>
      </c>
      <c r="AG15" s="349"/>
    </row>
    <row r="16" spans="1:33" x14ac:dyDescent="0.25">
      <c r="A16" s="296"/>
      <c r="B16" s="299"/>
      <c r="C16" s="24" t="str">
        <f>IF(VLOOKUP(B15,PROPONENTES!$B$10:$N$111,4,FALSE)="","",VLOOKUP(B15,PROPONENTES!$B$10:$N$111,4,FALSE))</f>
        <v xml:space="preserve">GUSTAVO PALACIOS RUBIANO </v>
      </c>
      <c r="D16" s="37">
        <f>VLOOKUP(B15,PROPONENTES!$B$10:$N$111,5,FALSE)</f>
        <v>0.4</v>
      </c>
      <c r="E16" s="114" t="s">
        <v>79</v>
      </c>
      <c r="F16" s="114" t="s">
        <v>79</v>
      </c>
      <c r="G16" s="125">
        <f>+'1'!E16</f>
        <v>3222.2490000000003</v>
      </c>
      <c r="H16" s="126" t="str">
        <f>IF(C16="","",IF(G16&gt;'1'!$J$15*0.4,"SI","NO"))</f>
        <v>SI</v>
      </c>
      <c r="I16" s="24">
        <f t="shared" ref="I16:I20" si="1">IF(C16="",0,IF(AND(E16="SI",H16="SI",F16="SI"),1,0))</f>
        <v>1</v>
      </c>
      <c r="J16" s="299"/>
      <c r="K16" s="355"/>
      <c r="L16" s="347"/>
      <c r="M16" s="355"/>
      <c r="N16" s="340"/>
      <c r="O16" s="115" t="s">
        <v>118</v>
      </c>
      <c r="P16" s="24">
        <f t="shared" si="0"/>
        <v>0</v>
      </c>
      <c r="Q16" s="340"/>
      <c r="R16" s="355"/>
      <c r="S16" s="340"/>
      <c r="T16" s="343"/>
      <c r="U16" s="116"/>
      <c r="V16" s="322"/>
      <c r="W16" s="116"/>
      <c r="X16" s="116"/>
      <c r="Y16" s="116"/>
      <c r="Z16" s="116"/>
      <c r="AA16" s="24">
        <f t="shared" ref="AA16:AA79" si="2">IF(C16="",0,IF(AND(OR(X16="CUMPLE",X16="N/A"),OR(Y16="CUMPLE",Y16="N/A"),OR(Z16="CUMPLE",Z16="N/A"),AND(W16="CUMPLE",D16&gt;=10%)),0.25,))</f>
        <v>0</v>
      </c>
      <c r="AB16" s="322"/>
      <c r="AC16" s="116"/>
      <c r="AD16" s="116"/>
      <c r="AE16" s="160">
        <f t="shared" ref="AE16:AE79" si="3">IF(C16="",0,IF(AND(AC16="CUMPLE",AD16="CUMPLE",D16&gt;=10%),0.25,0))</f>
        <v>0</v>
      </c>
      <c r="AF16" s="347"/>
      <c r="AG16" s="350"/>
    </row>
    <row r="17" spans="1:33" x14ac:dyDescent="0.25">
      <c r="A17" s="296"/>
      <c r="B17" s="299"/>
      <c r="C17" s="24" t="str">
        <f>IF(VLOOKUP(B15,PROPONENTES!$B$10:$N$111,6,FALSE)="","",VLOOKUP(B15,PROPONENTES!$B$10:$N$111,6,FALSE))</f>
        <v/>
      </c>
      <c r="D17" s="37">
        <f>VLOOKUP(B15,PROPONENTES!$B$10:$N$111,7,FALSE)</f>
        <v>0</v>
      </c>
      <c r="E17" s="114"/>
      <c r="F17" s="114"/>
      <c r="G17" s="125" t="str">
        <f>+'1'!E17</f>
        <v/>
      </c>
      <c r="H17" s="126" t="str">
        <f>IF(C17="","",IF(G17&gt;='1'!$J$15*0.4,"SI","NO"))</f>
        <v/>
      </c>
      <c r="I17" s="24">
        <f t="shared" si="1"/>
        <v>0</v>
      </c>
      <c r="J17" s="299"/>
      <c r="K17" s="355"/>
      <c r="L17" s="347"/>
      <c r="M17" s="355"/>
      <c r="N17" s="340"/>
      <c r="O17" s="115"/>
      <c r="P17" s="24" t="str">
        <f t="shared" si="0"/>
        <v>0</v>
      </c>
      <c r="Q17" s="340"/>
      <c r="R17" s="355"/>
      <c r="S17" s="340"/>
      <c r="T17" s="343"/>
      <c r="U17" s="116"/>
      <c r="V17" s="322"/>
      <c r="W17" s="116"/>
      <c r="X17" s="116"/>
      <c r="Y17" s="116"/>
      <c r="Z17" s="116"/>
      <c r="AA17" s="24">
        <f t="shared" si="2"/>
        <v>0</v>
      </c>
      <c r="AB17" s="322"/>
      <c r="AC17" s="116"/>
      <c r="AD17" s="116"/>
      <c r="AE17" s="160">
        <f t="shared" si="3"/>
        <v>0</v>
      </c>
      <c r="AF17" s="347"/>
      <c r="AG17" s="350"/>
    </row>
    <row r="18" spans="1:33" x14ac:dyDescent="0.25">
      <c r="A18" s="296"/>
      <c r="B18" s="299"/>
      <c r="C18" s="24" t="str">
        <f>IF(VLOOKUP(B15,PROPONENTES!$B$10:$N$111,8,FALSE)="","",VLOOKUP(B15,PROPONENTES!$B$10:$N$111,8,FALSE))</f>
        <v/>
      </c>
      <c r="D18" s="37">
        <f>VLOOKUP(B15,PROPONENTES!$B$10:$N$111,9,FALSE)</f>
        <v>0</v>
      </c>
      <c r="E18" s="114"/>
      <c r="F18" s="114"/>
      <c r="G18" s="125" t="str">
        <f>+'1'!E18</f>
        <v/>
      </c>
      <c r="H18" s="126" t="str">
        <f>IF(C18="","",IF(G18&gt;='1'!$J$15*0.4,"SI","NO"))</f>
        <v/>
      </c>
      <c r="I18" s="126">
        <f t="shared" si="1"/>
        <v>0</v>
      </c>
      <c r="J18" s="299"/>
      <c r="K18" s="355"/>
      <c r="L18" s="347"/>
      <c r="M18" s="355"/>
      <c r="N18" s="340"/>
      <c r="O18" s="114"/>
      <c r="P18" s="24" t="str">
        <f t="shared" si="0"/>
        <v>0</v>
      </c>
      <c r="Q18" s="340"/>
      <c r="R18" s="355"/>
      <c r="S18" s="340"/>
      <c r="T18" s="343"/>
      <c r="U18" s="116"/>
      <c r="V18" s="322"/>
      <c r="W18" s="116"/>
      <c r="X18" s="116"/>
      <c r="Y18" s="116"/>
      <c r="Z18" s="116"/>
      <c r="AA18" s="24">
        <f t="shared" si="2"/>
        <v>0</v>
      </c>
      <c r="AB18" s="322"/>
      <c r="AC18" s="116"/>
      <c r="AD18" s="116"/>
      <c r="AE18" s="160">
        <f t="shared" si="3"/>
        <v>0</v>
      </c>
      <c r="AF18" s="347"/>
      <c r="AG18" s="350"/>
    </row>
    <row r="19" spans="1:33" ht="15.75" thickBot="1" x14ac:dyDescent="0.3">
      <c r="A19" s="297"/>
      <c r="B19" s="300"/>
      <c r="C19" s="49" t="str">
        <f>IF(VLOOKUP(B15,PROPONENTES!$B$10:$N$111,10,FALSE)="","",VLOOKUP(B15,PROPONENTES!$B$10:$N$111,10,FALSE))</f>
        <v/>
      </c>
      <c r="D19" s="50">
        <f>VLOOKUP(B15,PROPONENTES!$B$10:$N$111,11,FALSE)</f>
        <v>0</v>
      </c>
      <c r="E19" s="118"/>
      <c r="F19" s="118"/>
      <c r="G19" s="127" t="str">
        <f>+'1'!E19</f>
        <v/>
      </c>
      <c r="H19" s="128" t="str">
        <f>IF(C19="","",IF(G19&gt;='1'!$J$15*0.4,"SI","NO"))</f>
        <v/>
      </c>
      <c r="I19" s="128">
        <f t="shared" si="1"/>
        <v>0</v>
      </c>
      <c r="J19" s="300"/>
      <c r="K19" s="356"/>
      <c r="L19" s="348"/>
      <c r="M19" s="356"/>
      <c r="N19" s="341"/>
      <c r="O19" s="118"/>
      <c r="P19" s="49" t="str">
        <f t="shared" si="0"/>
        <v>0</v>
      </c>
      <c r="Q19" s="341"/>
      <c r="R19" s="356"/>
      <c r="S19" s="341"/>
      <c r="T19" s="344"/>
      <c r="U19" s="148"/>
      <c r="V19" s="323"/>
      <c r="W19" s="148"/>
      <c r="X19" s="148"/>
      <c r="Y19" s="148"/>
      <c r="Z19" s="148"/>
      <c r="AA19" s="169">
        <f t="shared" si="2"/>
        <v>0</v>
      </c>
      <c r="AB19" s="323"/>
      <c r="AC19" s="148"/>
      <c r="AD19" s="148"/>
      <c r="AE19" s="161">
        <f t="shared" si="3"/>
        <v>0</v>
      </c>
      <c r="AF19" s="348"/>
      <c r="AG19" s="351"/>
    </row>
    <row r="20" spans="1:33" ht="30" x14ac:dyDescent="0.25">
      <c r="A20" s="295">
        <v>2</v>
      </c>
      <c r="B20" s="298" t="str">
        <f>+PROPONENTES!B11</f>
        <v xml:space="preserve">CONSORCIO COMPLEJO DEPORTIVO CUBAGO	</v>
      </c>
      <c r="C20" s="44" t="str">
        <f>IF(VLOOKUP(B20,PROPONENTES!$B$10:$N$111,2,FALSE)="","",VLOOKUP(B20,PROPONENTES!$B$10:$N$111,2,FALSE))</f>
        <v xml:space="preserve">AGORASPORT SA SUCURSAL COLOMBIA </v>
      </c>
      <c r="D20" s="45">
        <f>VLOOKUP(B20,PROPONENTES!$B$10:$N$111,3,FALSE)</f>
        <v>0.9</v>
      </c>
      <c r="E20" s="109" t="s">
        <v>79</v>
      </c>
      <c r="F20" s="109" t="s">
        <v>79</v>
      </c>
      <c r="G20" s="123">
        <f>+'2'!E15</f>
        <v>33218.383320866</v>
      </c>
      <c r="H20" s="124" t="str">
        <f>IF(C20="","",IF(G20&gt;'2'!$J$15*0.4,"SI","NO"))</f>
        <v>SI</v>
      </c>
      <c r="I20" s="44">
        <f t="shared" si="1"/>
        <v>1</v>
      </c>
      <c r="J20" s="298">
        <f t="shared" ref="J20" si="4">IF((I20+I21+I22+I23+I24)&gt;=1,1,0)</f>
        <v>1</v>
      </c>
      <c r="K20" s="354" t="s">
        <v>14</v>
      </c>
      <c r="L20" s="346">
        <f t="shared" ref="L20" si="5">IF(K20="CUMPLE",10,0)</f>
        <v>10</v>
      </c>
      <c r="M20" s="354"/>
      <c r="N20" s="339">
        <f t="shared" ref="N20" si="6">IF(M20="CUMPLE",5,0)</f>
        <v>0</v>
      </c>
      <c r="O20" s="113" t="s">
        <v>118</v>
      </c>
      <c r="P20" s="44">
        <f t="shared" si="0"/>
        <v>0</v>
      </c>
      <c r="Q20" s="339">
        <f t="shared" ref="Q20" si="7">+L20+N20+IF(SUM(P20:P24)&gt;=1,-1,0)</f>
        <v>10</v>
      </c>
      <c r="R20" s="354" t="s">
        <v>15</v>
      </c>
      <c r="S20" s="339">
        <f t="shared" ref="S20" si="8">IF(R20="CUMPLE",9,0)</f>
        <v>0</v>
      </c>
      <c r="T20" s="342" t="s">
        <v>14</v>
      </c>
      <c r="U20" s="111"/>
      <c r="V20" s="345">
        <f t="shared" ref="V20" si="9">IF(AND(T20="",U20="",U21="",U22="",U23="",U24=""),"",IF(AND(T20="CUMPLE",U20="",U21="",U22="",U23="",U24=""),"",IF(AND(T20="CUMPLE",OR(U20="CUMPLE",U20=""),OR(U21="CUMPLE",U21=""),OR(U22="CUMPLE",U22=""),OR(U23="CUMPLE",U23=""),OR(U24="CUMPLE",U24="")),20,0)))</f>
        <v>20</v>
      </c>
      <c r="W20" s="111" t="s">
        <v>14</v>
      </c>
      <c r="X20" s="111" t="s">
        <v>14</v>
      </c>
      <c r="Y20" s="111" t="s">
        <v>13</v>
      </c>
      <c r="Z20" s="111" t="s">
        <v>13</v>
      </c>
      <c r="AA20" s="168">
        <f t="shared" si="2"/>
        <v>0.25</v>
      </c>
      <c r="AB20" s="345">
        <f t="shared" ref="AB20" si="10">IF((AA20+AA21+AA22+AA23+AA24)&gt;=0.25,0.25,0)</f>
        <v>0.25</v>
      </c>
      <c r="AC20" s="111"/>
      <c r="AD20" s="111"/>
      <c r="AE20" s="159">
        <f t="shared" si="3"/>
        <v>0</v>
      </c>
      <c r="AF20" s="346">
        <f t="shared" ref="AF20" si="11">IF((AE20+AE21+AE22+AE23+AE24)&gt;=0.25,0.25,0)</f>
        <v>0.25</v>
      </c>
      <c r="AG20" s="349" t="s">
        <v>578</v>
      </c>
    </row>
    <row r="21" spans="1:33" ht="30" x14ac:dyDescent="0.25">
      <c r="A21" s="296"/>
      <c r="B21" s="299"/>
      <c r="C21" s="24" t="str">
        <f>IF(VLOOKUP(B20,PROPONENTES!$B$10:$N$111,4,FALSE)="","",VLOOKUP(B20,PROPONENTES!$B$10:$N$111,4,FALSE))</f>
        <v>CARLOS FERNANDO CUBIDES BONILLA</v>
      </c>
      <c r="D21" s="37">
        <f>VLOOKUP(B20,PROPONENTES!$B$10:$N$111,5,FALSE)</f>
        <v>0.1</v>
      </c>
      <c r="E21" s="114"/>
      <c r="F21" s="114"/>
      <c r="G21" s="125">
        <f>+'2'!E16</f>
        <v>0</v>
      </c>
      <c r="H21" s="126" t="str">
        <f>IF(C21="","",IF(G21&gt;'2'!$J$15*0.4,"SI","NO"))</f>
        <v>NO</v>
      </c>
      <c r="I21" s="24">
        <f t="shared" ref="I21:I49" si="12">IF(C21="",0,IF(AND(E21="SI",H21="SI",F21="SI"),1,0))</f>
        <v>0</v>
      </c>
      <c r="J21" s="299"/>
      <c r="K21" s="355"/>
      <c r="L21" s="347"/>
      <c r="M21" s="355"/>
      <c r="N21" s="340"/>
      <c r="O21" s="115" t="s">
        <v>118</v>
      </c>
      <c r="P21" s="24">
        <f t="shared" si="0"/>
        <v>0</v>
      </c>
      <c r="Q21" s="340"/>
      <c r="R21" s="355"/>
      <c r="S21" s="340"/>
      <c r="T21" s="343"/>
      <c r="U21" s="116" t="s">
        <v>14</v>
      </c>
      <c r="V21" s="322"/>
      <c r="W21" s="116"/>
      <c r="X21" s="116"/>
      <c r="Y21" s="116"/>
      <c r="Z21" s="116"/>
      <c r="AA21" s="24">
        <f t="shared" si="2"/>
        <v>0</v>
      </c>
      <c r="AB21" s="322"/>
      <c r="AC21" s="116" t="s">
        <v>14</v>
      </c>
      <c r="AD21" s="116" t="s">
        <v>14</v>
      </c>
      <c r="AE21" s="160">
        <f t="shared" si="3"/>
        <v>0.25</v>
      </c>
      <c r="AF21" s="347"/>
      <c r="AG21" s="350"/>
    </row>
    <row r="22" spans="1:33" x14ac:dyDescent="0.25">
      <c r="A22" s="296"/>
      <c r="B22" s="299"/>
      <c r="C22" s="24" t="str">
        <f>IF(VLOOKUP(B20,PROPONENTES!$B$10:$N$111,6,FALSE)="","",VLOOKUP(B20,PROPONENTES!$B$10:$N$111,6,FALSE))</f>
        <v/>
      </c>
      <c r="D22" s="37">
        <f>VLOOKUP(B20,PROPONENTES!$B$10:$N$111,7,FALSE)</f>
        <v>0</v>
      </c>
      <c r="E22" s="114"/>
      <c r="F22" s="114"/>
      <c r="G22" s="125" t="str">
        <f>+'2'!E17</f>
        <v/>
      </c>
      <c r="H22" s="126" t="str">
        <f>IF(C22="","",IF(G22&gt;='2'!$J$15*0.4,"SI","NO"))</f>
        <v/>
      </c>
      <c r="I22" s="24">
        <f t="shared" si="12"/>
        <v>0</v>
      </c>
      <c r="J22" s="299"/>
      <c r="K22" s="355"/>
      <c r="L22" s="347"/>
      <c r="M22" s="355"/>
      <c r="N22" s="340"/>
      <c r="O22" s="115"/>
      <c r="P22" s="24" t="str">
        <f t="shared" si="0"/>
        <v>0</v>
      </c>
      <c r="Q22" s="340"/>
      <c r="R22" s="355"/>
      <c r="S22" s="340"/>
      <c r="T22" s="343"/>
      <c r="U22" s="116"/>
      <c r="V22" s="322"/>
      <c r="W22" s="116"/>
      <c r="X22" s="116"/>
      <c r="Y22" s="116"/>
      <c r="Z22" s="116"/>
      <c r="AA22" s="24">
        <f t="shared" si="2"/>
        <v>0</v>
      </c>
      <c r="AB22" s="322"/>
      <c r="AC22" s="116"/>
      <c r="AD22" s="116"/>
      <c r="AE22" s="160">
        <f t="shared" si="3"/>
        <v>0</v>
      </c>
      <c r="AF22" s="347"/>
      <c r="AG22" s="350"/>
    </row>
    <row r="23" spans="1:33" x14ac:dyDescent="0.25">
      <c r="A23" s="296"/>
      <c r="B23" s="299"/>
      <c r="C23" s="24" t="str">
        <f>IF(VLOOKUP(B20,PROPONENTES!$B$10:$N$111,8,FALSE)="","",VLOOKUP(B20,PROPONENTES!$B$10:$N$111,8,FALSE))</f>
        <v/>
      </c>
      <c r="D23" s="37">
        <f>VLOOKUP(B20,PROPONENTES!$B$10:$N$111,9,FALSE)</f>
        <v>0</v>
      </c>
      <c r="E23" s="114"/>
      <c r="F23" s="114"/>
      <c r="G23" s="125" t="str">
        <f>+'2'!E18</f>
        <v/>
      </c>
      <c r="H23" s="126" t="str">
        <f>IF(C23="","",IF(G23&gt;='2'!$J$15*0.4,"SI","NO"))</f>
        <v/>
      </c>
      <c r="I23" s="126">
        <f t="shared" si="12"/>
        <v>0</v>
      </c>
      <c r="J23" s="299"/>
      <c r="K23" s="355"/>
      <c r="L23" s="347"/>
      <c r="M23" s="355"/>
      <c r="N23" s="340"/>
      <c r="O23" s="114"/>
      <c r="P23" s="24" t="str">
        <f t="shared" si="0"/>
        <v>0</v>
      </c>
      <c r="Q23" s="340"/>
      <c r="R23" s="355"/>
      <c r="S23" s="340"/>
      <c r="T23" s="343"/>
      <c r="U23" s="116"/>
      <c r="V23" s="322"/>
      <c r="W23" s="116"/>
      <c r="X23" s="116"/>
      <c r="Y23" s="116"/>
      <c r="Z23" s="116"/>
      <c r="AA23" s="24">
        <f t="shared" si="2"/>
        <v>0</v>
      </c>
      <c r="AB23" s="322"/>
      <c r="AC23" s="116"/>
      <c r="AD23" s="116"/>
      <c r="AE23" s="160">
        <f t="shared" si="3"/>
        <v>0</v>
      </c>
      <c r="AF23" s="347"/>
      <c r="AG23" s="350"/>
    </row>
    <row r="24" spans="1:33" ht="15.75" thickBot="1" x14ac:dyDescent="0.3">
      <c r="A24" s="297"/>
      <c r="B24" s="300"/>
      <c r="C24" s="49" t="str">
        <f>IF(VLOOKUP(B20,PROPONENTES!$B$10:$N$111,10,FALSE)="","",VLOOKUP(B20,PROPONENTES!$B$10:$N$111,10,FALSE))</f>
        <v/>
      </c>
      <c r="D24" s="50">
        <f>VLOOKUP(B20,PROPONENTES!$B$10:$N$111,11,FALSE)</f>
        <v>0</v>
      </c>
      <c r="E24" s="118"/>
      <c r="F24" s="118"/>
      <c r="G24" s="127" t="str">
        <f>+'2'!E19</f>
        <v/>
      </c>
      <c r="H24" s="128" t="str">
        <f>IF(C24="","",IF(G24&gt;='2'!$J$15*0.4,"SI","NO"))</f>
        <v/>
      </c>
      <c r="I24" s="128">
        <f t="shared" si="12"/>
        <v>0</v>
      </c>
      <c r="J24" s="300"/>
      <c r="K24" s="356"/>
      <c r="L24" s="348"/>
      <c r="M24" s="356"/>
      <c r="N24" s="341"/>
      <c r="O24" s="118"/>
      <c r="P24" s="49" t="str">
        <f t="shared" si="0"/>
        <v>0</v>
      </c>
      <c r="Q24" s="341"/>
      <c r="R24" s="356"/>
      <c r="S24" s="341"/>
      <c r="T24" s="344"/>
      <c r="U24" s="148"/>
      <c r="V24" s="323"/>
      <c r="W24" s="148"/>
      <c r="X24" s="148"/>
      <c r="Y24" s="148"/>
      <c r="Z24" s="148"/>
      <c r="AA24" s="169">
        <f t="shared" si="2"/>
        <v>0</v>
      </c>
      <c r="AB24" s="323"/>
      <c r="AC24" s="148"/>
      <c r="AD24" s="148"/>
      <c r="AE24" s="161">
        <f t="shared" si="3"/>
        <v>0</v>
      </c>
      <c r="AF24" s="348"/>
      <c r="AG24" s="351"/>
    </row>
    <row r="25" spans="1:33" x14ac:dyDescent="0.25">
      <c r="A25" s="295">
        <v>3</v>
      </c>
      <c r="B25" s="298" t="str">
        <f>+PROPONENTES!B12</f>
        <v>CONSORCIO PARQUES KENNEDY 2024</v>
      </c>
      <c r="C25" s="44" t="str">
        <f>IF(VLOOKUP(B25,PROPONENTES!$B$10:$N$111,2,FALSE)="","",VLOOKUP(B25,PROPONENTES!$B$10:$N$111,2,FALSE))</f>
        <v xml:space="preserve">Andina Juegos &amp; Parques SAS </v>
      </c>
      <c r="D25" s="45">
        <f>VLOOKUP(B25,PROPONENTES!$B$10:$N$111,3,FALSE)</f>
        <v>0.5</v>
      </c>
      <c r="E25" s="109"/>
      <c r="F25" s="109"/>
      <c r="G25" s="123">
        <f>+'3'!E15</f>
        <v>7667.16</v>
      </c>
      <c r="H25" s="124" t="str">
        <f>IF(C25="","",IF(G25&gt;'3'!$J$15*0.4,"SI","NO"))</f>
        <v>SI</v>
      </c>
      <c r="I25" s="44">
        <f t="shared" si="12"/>
        <v>0</v>
      </c>
      <c r="J25" s="298">
        <f t="shared" ref="J25" si="13">IF((I25+I26+I27+I28+I29)&gt;=1,1,0)</f>
        <v>1</v>
      </c>
      <c r="K25" s="354" t="s">
        <v>14</v>
      </c>
      <c r="L25" s="346">
        <f t="shared" ref="L25" si="14">IF(K25="CUMPLE",10,0)</f>
        <v>10</v>
      </c>
      <c r="M25" s="354"/>
      <c r="N25" s="339">
        <f t="shared" ref="N25" si="15">IF(M25="CUMPLE",5,0)</f>
        <v>0</v>
      </c>
      <c r="O25" s="113" t="s">
        <v>118</v>
      </c>
      <c r="P25" s="44">
        <f t="shared" si="0"/>
        <v>0</v>
      </c>
      <c r="Q25" s="339">
        <f t="shared" ref="Q25" si="16">+L25+N25+IF(SUM(P25:P29)&gt;=1,-1,0)</f>
        <v>10</v>
      </c>
      <c r="R25" s="354" t="s">
        <v>14</v>
      </c>
      <c r="S25" s="339">
        <f t="shared" ref="S25" si="17">IF(R25="CUMPLE",9,0)</f>
        <v>9</v>
      </c>
      <c r="T25" s="342" t="s">
        <v>14</v>
      </c>
      <c r="U25" s="111" t="s">
        <v>14</v>
      </c>
      <c r="V25" s="345">
        <f t="shared" ref="V25" si="18">IF(AND(T25="",U25="",U26="",U27="",U28="",U29=""),"",IF(AND(T25="CUMPLE",U25="",U26="",U27="",U28="",U29=""),"",IF(AND(T25="CUMPLE",OR(U25="CUMPLE",U25=""),OR(U26="CUMPLE",U26=""),OR(U27="CUMPLE",U27=""),OR(U28="CUMPLE",U28=""),OR(U29="CUMPLE",U29="")),20,0)))</f>
        <v>20</v>
      </c>
      <c r="W25" s="111" t="s">
        <v>14</v>
      </c>
      <c r="X25" s="111" t="s">
        <v>14</v>
      </c>
      <c r="Y25" s="111" t="s">
        <v>13</v>
      </c>
      <c r="Z25" s="111" t="s">
        <v>13</v>
      </c>
      <c r="AA25" s="168">
        <f t="shared" si="2"/>
        <v>0.25</v>
      </c>
      <c r="AB25" s="345">
        <f t="shared" ref="AB25" si="19">IF((AA25+AA26+AA27+AA28+AA29)&gt;=0.25,0.25,0)</f>
        <v>0.25</v>
      </c>
      <c r="AC25" s="111" t="s">
        <v>14</v>
      </c>
      <c r="AD25" s="111" t="s">
        <v>14</v>
      </c>
      <c r="AE25" s="159">
        <f t="shared" si="3"/>
        <v>0.25</v>
      </c>
      <c r="AF25" s="346">
        <f t="shared" ref="AF25" si="20">IF((AE25+AE26+AE27+AE28+AE29)&gt;=0.25,0.25,0)</f>
        <v>0.25</v>
      </c>
      <c r="AG25" s="349"/>
    </row>
    <row r="26" spans="1:33" x14ac:dyDescent="0.25">
      <c r="A26" s="296"/>
      <c r="B26" s="299"/>
      <c r="C26" s="24" t="str">
        <f>IF(VLOOKUP(B25,PROPONENTES!$B$10:$N$111,4,FALSE)="","",VLOOKUP(B25,PROPONENTES!$B$10:$N$111,4,FALSE))</f>
        <v xml:space="preserve">JESVAR MULTIPROYECTOS SAS </v>
      </c>
      <c r="D26" s="37">
        <f>VLOOKUP(B25,PROPONENTES!$B$10:$N$111,5,FALSE)</f>
        <v>0.5</v>
      </c>
      <c r="E26" s="114" t="s">
        <v>79</v>
      </c>
      <c r="F26" s="114" t="s">
        <v>79</v>
      </c>
      <c r="G26" s="125">
        <f>+'3'!E16</f>
        <v>1652.4099999999999</v>
      </c>
      <c r="H26" s="126" t="str">
        <f>IF(C26="","",IF(G26&gt;'3'!$J$15*0.4,"SI","NO"))</f>
        <v>SI</v>
      </c>
      <c r="I26" s="24">
        <f t="shared" si="12"/>
        <v>1</v>
      </c>
      <c r="J26" s="299"/>
      <c r="K26" s="355"/>
      <c r="L26" s="347"/>
      <c r="M26" s="355"/>
      <c r="N26" s="340"/>
      <c r="O26" s="115" t="s">
        <v>118</v>
      </c>
      <c r="P26" s="24">
        <f t="shared" si="0"/>
        <v>0</v>
      </c>
      <c r="Q26" s="340"/>
      <c r="R26" s="355"/>
      <c r="S26" s="340"/>
      <c r="T26" s="343"/>
      <c r="U26" s="116"/>
      <c r="V26" s="322"/>
      <c r="W26" s="116"/>
      <c r="X26" s="116"/>
      <c r="Y26" s="116"/>
      <c r="Z26" s="116"/>
      <c r="AA26" s="24">
        <f t="shared" si="2"/>
        <v>0</v>
      </c>
      <c r="AB26" s="322"/>
      <c r="AC26" s="116"/>
      <c r="AD26" s="116"/>
      <c r="AE26" s="160">
        <f t="shared" si="3"/>
        <v>0</v>
      </c>
      <c r="AF26" s="347"/>
      <c r="AG26" s="350"/>
    </row>
    <row r="27" spans="1:33" x14ac:dyDescent="0.25">
      <c r="A27" s="296"/>
      <c r="B27" s="299"/>
      <c r="C27" s="24" t="str">
        <f>IF(VLOOKUP(B25,PROPONENTES!$B$10:$N$111,6,FALSE)="","",VLOOKUP(B25,PROPONENTES!$B$10:$N$111,6,FALSE))</f>
        <v/>
      </c>
      <c r="D27" s="37">
        <f>VLOOKUP(B25,PROPONENTES!$B$10:$N$111,7,FALSE)</f>
        <v>0</v>
      </c>
      <c r="E27" s="114"/>
      <c r="F27" s="114"/>
      <c r="G27" s="125" t="str">
        <f>+'3'!E17</f>
        <v/>
      </c>
      <c r="H27" s="126" t="str">
        <f>IF(C27="","",IF(G27&gt;='3'!$J$15*0.4,"SI","NO"))</f>
        <v/>
      </c>
      <c r="I27" s="24">
        <f t="shared" si="12"/>
        <v>0</v>
      </c>
      <c r="J27" s="299"/>
      <c r="K27" s="355"/>
      <c r="L27" s="347"/>
      <c r="M27" s="355"/>
      <c r="N27" s="340"/>
      <c r="O27" s="115"/>
      <c r="P27" s="24" t="str">
        <f t="shared" si="0"/>
        <v>0</v>
      </c>
      <c r="Q27" s="340"/>
      <c r="R27" s="355"/>
      <c r="S27" s="340"/>
      <c r="T27" s="343"/>
      <c r="U27" s="116"/>
      <c r="V27" s="322"/>
      <c r="W27" s="116"/>
      <c r="X27" s="116"/>
      <c r="Y27" s="116"/>
      <c r="Z27" s="116"/>
      <c r="AA27" s="24">
        <f t="shared" si="2"/>
        <v>0</v>
      </c>
      <c r="AB27" s="322"/>
      <c r="AC27" s="116"/>
      <c r="AD27" s="116"/>
      <c r="AE27" s="160">
        <f t="shared" si="3"/>
        <v>0</v>
      </c>
      <c r="AF27" s="347"/>
      <c r="AG27" s="350"/>
    </row>
    <row r="28" spans="1:33" x14ac:dyDescent="0.25">
      <c r="A28" s="296"/>
      <c r="B28" s="299"/>
      <c r="C28" s="24" t="str">
        <f>IF(VLOOKUP(B25,PROPONENTES!$B$10:$N$111,8,FALSE)="","",VLOOKUP(B25,PROPONENTES!$B$10:$N$111,8,FALSE))</f>
        <v/>
      </c>
      <c r="D28" s="37">
        <f>VLOOKUP(B25,PROPONENTES!$B$10:$N$111,9,FALSE)</f>
        <v>0</v>
      </c>
      <c r="E28" s="114"/>
      <c r="F28" s="114"/>
      <c r="G28" s="125" t="str">
        <f>+'3'!E18</f>
        <v/>
      </c>
      <c r="H28" s="126" t="str">
        <f>IF(C28="","",IF(G28&gt;='3'!$J$15*0.4,"SI","NO"))</f>
        <v/>
      </c>
      <c r="I28" s="126">
        <f t="shared" si="12"/>
        <v>0</v>
      </c>
      <c r="J28" s="299"/>
      <c r="K28" s="355"/>
      <c r="L28" s="347"/>
      <c r="M28" s="355"/>
      <c r="N28" s="340"/>
      <c r="O28" s="114"/>
      <c r="P28" s="24" t="str">
        <f t="shared" si="0"/>
        <v>0</v>
      </c>
      <c r="Q28" s="340"/>
      <c r="R28" s="355"/>
      <c r="S28" s="340"/>
      <c r="T28" s="343"/>
      <c r="U28" s="116"/>
      <c r="V28" s="322"/>
      <c r="W28" s="116"/>
      <c r="X28" s="116"/>
      <c r="Y28" s="116"/>
      <c r="Z28" s="116"/>
      <c r="AA28" s="24">
        <f t="shared" si="2"/>
        <v>0</v>
      </c>
      <c r="AB28" s="322"/>
      <c r="AC28" s="116"/>
      <c r="AD28" s="116"/>
      <c r="AE28" s="160">
        <f t="shared" si="3"/>
        <v>0</v>
      </c>
      <c r="AF28" s="347"/>
      <c r="AG28" s="350"/>
    </row>
    <row r="29" spans="1:33" ht="15.75" thickBot="1" x14ac:dyDescent="0.3">
      <c r="A29" s="297"/>
      <c r="B29" s="300"/>
      <c r="C29" s="49" t="str">
        <f>IF(VLOOKUP(B25,PROPONENTES!$B$10:$N$111,10,FALSE)="","",VLOOKUP(B25,PROPONENTES!$B$10:$N$111,10,FALSE))</f>
        <v/>
      </c>
      <c r="D29" s="50">
        <f>VLOOKUP(B25,PROPONENTES!$B$10:$N$111,11,FALSE)</f>
        <v>0</v>
      </c>
      <c r="E29" s="118"/>
      <c r="F29" s="118"/>
      <c r="G29" s="127" t="str">
        <f>+'3'!E19</f>
        <v/>
      </c>
      <c r="H29" s="128" t="str">
        <f>IF(C29="","",IF(G29&gt;='3'!$J$15*0.4,"SI","NO"))</f>
        <v/>
      </c>
      <c r="I29" s="128">
        <f t="shared" si="12"/>
        <v>0</v>
      </c>
      <c r="J29" s="300"/>
      <c r="K29" s="356"/>
      <c r="L29" s="348"/>
      <c r="M29" s="356"/>
      <c r="N29" s="341"/>
      <c r="O29" s="118"/>
      <c r="P29" s="49" t="str">
        <f t="shared" si="0"/>
        <v>0</v>
      </c>
      <c r="Q29" s="341"/>
      <c r="R29" s="356"/>
      <c r="S29" s="341"/>
      <c r="T29" s="344"/>
      <c r="U29" s="148"/>
      <c r="V29" s="323"/>
      <c r="W29" s="148"/>
      <c r="X29" s="148"/>
      <c r="Y29" s="148"/>
      <c r="Z29" s="148"/>
      <c r="AA29" s="169">
        <f t="shared" si="2"/>
        <v>0</v>
      </c>
      <c r="AB29" s="323"/>
      <c r="AC29" s="148"/>
      <c r="AD29" s="148"/>
      <c r="AE29" s="161">
        <f t="shared" si="3"/>
        <v>0</v>
      </c>
      <c r="AF29" s="348"/>
      <c r="AG29" s="351"/>
    </row>
    <row r="30" spans="1:33" x14ac:dyDescent="0.25">
      <c r="A30" s="295">
        <v>4</v>
      </c>
      <c r="B30" s="298" t="str">
        <f>+PROPONENTES!B13</f>
        <v>MLG INGENIERIA SAS</v>
      </c>
      <c r="C30" s="44" t="str">
        <f>IF(VLOOKUP(B30,PROPONENTES!$B$10:$N$111,2,FALSE)="","",VLOOKUP(B30,PROPONENTES!$B$10:$N$111,2,FALSE))</f>
        <v>MLG INGENIERIA SAS</v>
      </c>
      <c r="D30" s="45">
        <f>VLOOKUP(B30,PROPONENTES!$B$10:$N$111,3,FALSE)</f>
        <v>1</v>
      </c>
      <c r="E30" s="109" t="s">
        <v>79</v>
      </c>
      <c r="F30" s="109" t="s">
        <v>79</v>
      </c>
      <c r="G30" s="123">
        <f>+'4'!E15</f>
        <v>2773.34</v>
      </c>
      <c r="H30" s="124" t="str">
        <f>IF(C30="","",IF(G30&gt;'4'!$J$15*0.4,"SI","NO"))</f>
        <v>SI</v>
      </c>
      <c r="I30" s="44">
        <f t="shared" si="12"/>
        <v>1</v>
      </c>
      <c r="J30" s="298">
        <f t="shared" ref="J30" si="21">IF((I30+I31+I32+I33+I34)&gt;=1,1,0)</f>
        <v>1</v>
      </c>
      <c r="K30" s="354" t="s">
        <v>14</v>
      </c>
      <c r="L30" s="346">
        <f t="shared" ref="L30" si="22">IF(K30="CUMPLE",10,0)</f>
        <v>10</v>
      </c>
      <c r="M30" s="354"/>
      <c r="N30" s="339">
        <f t="shared" ref="N30:N90" si="23">IF(M30="CUMPLE",5,0)</f>
        <v>0</v>
      </c>
      <c r="O30" s="113" t="s">
        <v>118</v>
      </c>
      <c r="P30" s="44">
        <f t="shared" si="0"/>
        <v>0</v>
      </c>
      <c r="Q30" s="339">
        <f t="shared" ref="Q30" si="24">+L30+N30+IF(SUM(P30:P34)&gt;=1,-1,0)</f>
        <v>10</v>
      </c>
      <c r="R30" s="354" t="s">
        <v>14</v>
      </c>
      <c r="S30" s="339">
        <f t="shared" ref="S30" si="25">IF(R30="CUMPLE",9,0)</f>
        <v>9</v>
      </c>
      <c r="T30" s="342" t="s">
        <v>14</v>
      </c>
      <c r="U30" s="111" t="s">
        <v>14</v>
      </c>
      <c r="V30" s="345">
        <f t="shared" ref="V30" si="26">IF(AND(T30="",U30="",U31="",U32="",U33="",U34=""),"",IF(AND(T30="CUMPLE",U30="",U31="",U32="",U33="",U34=""),"",IF(AND(T30="CUMPLE",OR(U30="CUMPLE",U30=""),OR(U31="CUMPLE",U31=""),OR(U32="CUMPLE",U32=""),OR(U33="CUMPLE",U33=""),OR(U34="CUMPLE",U34="")),20,0)))</f>
        <v>20</v>
      </c>
      <c r="W30" s="111" t="s">
        <v>14</v>
      </c>
      <c r="X30" s="111" t="s">
        <v>14</v>
      </c>
      <c r="Y30" s="111" t="s">
        <v>14</v>
      </c>
      <c r="Z30" s="111" t="s">
        <v>14</v>
      </c>
      <c r="AA30" s="168">
        <f t="shared" si="2"/>
        <v>0.25</v>
      </c>
      <c r="AB30" s="345">
        <f t="shared" ref="AB30" si="27">IF((AA30+AA31+AA32+AA33+AA34)&gt;=0.25,0.25,0)</f>
        <v>0.25</v>
      </c>
      <c r="AC30" s="111" t="s">
        <v>14</v>
      </c>
      <c r="AD30" s="111" t="s">
        <v>14</v>
      </c>
      <c r="AE30" s="159">
        <f t="shared" si="3"/>
        <v>0.25</v>
      </c>
      <c r="AF30" s="346">
        <f t="shared" ref="AF30" si="28">IF((AE30+AE31+AE32+AE33+AE34)&gt;=0.25,0.25,0)</f>
        <v>0.25</v>
      </c>
      <c r="AG30" s="349"/>
    </row>
    <row r="31" spans="1:33" x14ac:dyDescent="0.25">
      <c r="A31" s="296"/>
      <c r="B31" s="299"/>
      <c r="C31" s="24" t="str">
        <f>IF(VLOOKUP(B30,PROPONENTES!$B$10:$N$111,4,FALSE)="","",VLOOKUP(B30,PROPONENTES!$B$10:$N$111,4,FALSE))</f>
        <v/>
      </c>
      <c r="D31" s="37">
        <f>VLOOKUP(B30,PROPONENTES!$B$10:$N$111,5,FALSE)</f>
        <v>0</v>
      </c>
      <c r="E31" s="114"/>
      <c r="F31" s="114"/>
      <c r="G31" s="125" t="str">
        <f>+'4'!E16</f>
        <v/>
      </c>
      <c r="H31" s="126" t="str">
        <f>IF(C31="","",IF(G31&gt;='4'!$J$15*0.4,"SI","NO"))</f>
        <v/>
      </c>
      <c r="I31" s="24">
        <f t="shared" si="12"/>
        <v>0</v>
      </c>
      <c r="J31" s="299"/>
      <c r="K31" s="355"/>
      <c r="L31" s="347"/>
      <c r="M31" s="355"/>
      <c r="N31" s="340"/>
      <c r="O31" s="115"/>
      <c r="P31" s="24" t="str">
        <f t="shared" si="0"/>
        <v>0</v>
      </c>
      <c r="Q31" s="340"/>
      <c r="R31" s="355"/>
      <c r="S31" s="340"/>
      <c r="T31" s="343"/>
      <c r="U31" s="116"/>
      <c r="V31" s="322"/>
      <c r="W31" s="116"/>
      <c r="X31" s="116"/>
      <c r="Y31" s="116"/>
      <c r="Z31" s="116"/>
      <c r="AA31" s="24">
        <f t="shared" si="2"/>
        <v>0</v>
      </c>
      <c r="AB31" s="322"/>
      <c r="AC31" s="116"/>
      <c r="AD31" s="116"/>
      <c r="AE31" s="160">
        <f t="shared" si="3"/>
        <v>0</v>
      </c>
      <c r="AF31" s="347"/>
      <c r="AG31" s="350"/>
    </row>
    <row r="32" spans="1:33" x14ac:dyDescent="0.25">
      <c r="A32" s="296"/>
      <c r="B32" s="299"/>
      <c r="C32" s="24" t="str">
        <f>IF(VLOOKUP(B30,PROPONENTES!$B$10:$N$111,6,FALSE)="","",VLOOKUP(B30,PROPONENTES!$B$10:$N$111,6,FALSE))</f>
        <v/>
      </c>
      <c r="D32" s="37">
        <f>VLOOKUP(B30,PROPONENTES!$B$10:$N$111,7,FALSE)</f>
        <v>0</v>
      </c>
      <c r="E32" s="114"/>
      <c r="F32" s="114"/>
      <c r="G32" s="125" t="str">
        <f>+'4'!E17</f>
        <v/>
      </c>
      <c r="H32" s="126" t="str">
        <f>IF(C32="","",IF(G32&gt;='4'!$J$15*0.4,"SI","NO"))</f>
        <v/>
      </c>
      <c r="I32" s="24">
        <f t="shared" si="12"/>
        <v>0</v>
      </c>
      <c r="J32" s="299"/>
      <c r="K32" s="355"/>
      <c r="L32" s="347"/>
      <c r="M32" s="355"/>
      <c r="N32" s="340"/>
      <c r="O32" s="115"/>
      <c r="P32" s="24" t="str">
        <f t="shared" si="0"/>
        <v>0</v>
      </c>
      <c r="Q32" s="340"/>
      <c r="R32" s="355"/>
      <c r="S32" s="340"/>
      <c r="T32" s="343"/>
      <c r="U32" s="116"/>
      <c r="V32" s="322"/>
      <c r="W32" s="116"/>
      <c r="X32" s="116"/>
      <c r="Y32" s="116"/>
      <c r="Z32" s="116"/>
      <c r="AA32" s="24">
        <f t="shared" si="2"/>
        <v>0</v>
      </c>
      <c r="AB32" s="322"/>
      <c r="AC32" s="116"/>
      <c r="AD32" s="116"/>
      <c r="AE32" s="160">
        <f t="shared" si="3"/>
        <v>0</v>
      </c>
      <c r="AF32" s="347"/>
      <c r="AG32" s="350"/>
    </row>
    <row r="33" spans="1:33" x14ac:dyDescent="0.25">
      <c r="A33" s="296"/>
      <c r="B33" s="299"/>
      <c r="C33" s="24" t="str">
        <f>IF(VLOOKUP(B30,PROPONENTES!$B$10:$N$111,8,FALSE)="","",VLOOKUP(B30,PROPONENTES!$B$10:$N$111,8,FALSE))</f>
        <v/>
      </c>
      <c r="D33" s="37">
        <f>VLOOKUP(B30,PROPONENTES!$B$10:$N$111,9,FALSE)</f>
        <v>0</v>
      </c>
      <c r="E33" s="114"/>
      <c r="F33" s="114"/>
      <c r="G33" s="125" t="str">
        <f>+'4'!E18</f>
        <v/>
      </c>
      <c r="H33" s="126" t="str">
        <f>IF(C33="","",IF(G33&gt;='4'!$J$15*0.4,"SI","NO"))</f>
        <v/>
      </c>
      <c r="I33" s="126">
        <f t="shared" si="12"/>
        <v>0</v>
      </c>
      <c r="J33" s="299"/>
      <c r="K33" s="355"/>
      <c r="L33" s="347"/>
      <c r="M33" s="355"/>
      <c r="N33" s="340"/>
      <c r="O33" s="114"/>
      <c r="P33" s="24" t="str">
        <f t="shared" si="0"/>
        <v>0</v>
      </c>
      <c r="Q33" s="340"/>
      <c r="R33" s="355"/>
      <c r="S33" s="340"/>
      <c r="T33" s="343"/>
      <c r="U33" s="116"/>
      <c r="V33" s="322"/>
      <c r="W33" s="116"/>
      <c r="X33" s="116"/>
      <c r="Y33" s="116"/>
      <c r="Z33" s="116"/>
      <c r="AA33" s="24">
        <f t="shared" si="2"/>
        <v>0</v>
      </c>
      <c r="AB33" s="322"/>
      <c r="AC33" s="116"/>
      <c r="AD33" s="116"/>
      <c r="AE33" s="160">
        <f t="shared" si="3"/>
        <v>0</v>
      </c>
      <c r="AF33" s="347"/>
      <c r="AG33" s="350"/>
    </row>
    <row r="34" spans="1:33" ht="15.75" thickBot="1" x14ac:dyDescent="0.3">
      <c r="A34" s="297"/>
      <c r="B34" s="300"/>
      <c r="C34" s="49" t="str">
        <f>IF(VLOOKUP(B30,PROPONENTES!$B$10:$N$111,10,FALSE)="","",VLOOKUP(B30,PROPONENTES!$B$10:$N$111,10,FALSE))</f>
        <v/>
      </c>
      <c r="D34" s="50">
        <f>VLOOKUP(B30,PROPONENTES!$B$10:$N$111,11,FALSE)</f>
        <v>0</v>
      </c>
      <c r="E34" s="118"/>
      <c r="F34" s="118"/>
      <c r="G34" s="127" t="str">
        <f>+'4'!E19</f>
        <v/>
      </c>
      <c r="H34" s="128" t="str">
        <f>IF(C34="","",IF(G34&gt;='4'!$J$15*0.4,"SI","NO"))</f>
        <v/>
      </c>
      <c r="I34" s="128">
        <f t="shared" si="12"/>
        <v>0</v>
      </c>
      <c r="J34" s="300"/>
      <c r="K34" s="356"/>
      <c r="L34" s="348"/>
      <c r="M34" s="356"/>
      <c r="N34" s="341"/>
      <c r="O34" s="118"/>
      <c r="P34" s="49" t="str">
        <f t="shared" si="0"/>
        <v>0</v>
      </c>
      <c r="Q34" s="341"/>
      <c r="R34" s="356"/>
      <c r="S34" s="341"/>
      <c r="T34" s="344"/>
      <c r="U34" s="148"/>
      <c r="V34" s="323"/>
      <c r="W34" s="148"/>
      <c r="X34" s="148"/>
      <c r="Y34" s="148"/>
      <c r="Z34" s="148"/>
      <c r="AA34" s="169">
        <f t="shared" si="2"/>
        <v>0</v>
      </c>
      <c r="AB34" s="323"/>
      <c r="AC34" s="148"/>
      <c r="AD34" s="148"/>
      <c r="AE34" s="161">
        <f t="shared" si="3"/>
        <v>0</v>
      </c>
      <c r="AF34" s="348"/>
      <c r="AG34" s="351"/>
    </row>
    <row r="35" spans="1:33" ht="45" x14ac:dyDescent="0.25">
      <c r="A35" s="295">
        <v>5</v>
      </c>
      <c r="B35" s="298" t="str">
        <f>+PROPONENTES!B14</f>
        <v>CONSORCIO PARQUES KENNEDY DP 2024</v>
      </c>
      <c r="C35" s="44" t="str">
        <f>IF(VLOOKUP(B35,PROPONENTES!$B$10:$N$111,2,FALSE)="","",VLOOKUP(B35,PROPONENTES!$B$10:$N$111,2,FALSE))</f>
        <v xml:space="preserve">CONSULTORIA Y CONSTRUCCIONES DARLEV SAS </v>
      </c>
      <c r="D35" s="45">
        <f>VLOOKUP(B35,PROPONENTES!$B$10:$N$111,3,FALSE)</f>
        <v>0.9</v>
      </c>
      <c r="E35" s="109" t="s">
        <v>79</v>
      </c>
      <c r="F35" s="109" t="s">
        <v>79</v>
      </c>
      <c r="G35" s="123">
        <f>+'5'!E15</f>
        <v>1741.8372999999997</v>
      </c>
      <c r="H35" s="124" t="str">
        <f>IF(C35="","",IF(G35&gt;'5'!$J$15*0.4,"SI","NO"))</f>
        <v>SI</v>
      </c>
      <c r="I35" s="44">
        <f t="shared" si="12"/>
        <v>1</v>
      </c>
      <c r="J35" s="298">
        <f t="shared" ref="J35" si="29">IF((I35+I36+I37+I38+I39)&gt;=1,1,0)</f>
        <v>1</v>
      </c>
      <c r="K35" s="354" t="s">
        <v>14</v>
      </c>
      <c r="L35" s="346">
        <f t="shared" ref="L35" si="30">IF(K35="CUMPLE",10,0)</f>
        <v>10</v>
      </c>
      <c r="M35" s="354"/>
      <c r="N35" s="339">
        <f t="shared" si="23"/>
        <v>0</v>
      </c>
      <c r="O35" s="113" t="s">
        <v>118</v>
      </c>
      <c r="P35" s="44">
        <f t="shared" si="0"/>
        <v>0</v>
      </c>
      <c r="Q35" s="339">
        <f t="shared" ref="Q35" si="31">+L35+N35+IF(SUM(P35:P39)&gt;=1,-1,0)</f>
        <v>10</v>
      </c>
      <c r="R35" s="354" t="s">
        <v>14</v>
      </c>
      <c r="S35" s="339">
        <f t="shared" ref="S35" si="32">IF(R35="CUMPLE",9,0)</f>
        <v>9</v>
      </c>
      <c r="T35" s="342" t="s">
        <v>14</v>
      </c>
      <c r="U35" s="111" t="s">
        <v>14</v>
      </c>
      <c r="V35" s="345">
        <f t="shared" ref="V35" si="33">IF(AND(T35="",U35="",U36="",U37="",U38="",U39=""),"",IF(AND(T35="CUMPLE",U35="",U36="",U37="",U38="",U39=""),"",IF(AND(T35="CUMPLE",OR(U35="CUMPLE",U35=""),OR(U36="CUMPLE",U36=""),OR(U37="CUMPLE",U37=""),OR(U38="CUMPLE",U38=""),OR(U39="CUMPLE",U39="")),20,0)))</f>
        <v>20</v>
      </c>
      <c r="W35" s="111" t="s">
        <v>14</v>
      </c>
      <c r="X35" s="111" t="s">
        <v>13</v>
      </c>
      <c r="Y35" s="111" t="s">
        <v>13</v>
      </c>
      <c r="Z35" s="111" t="s">
        <v>13</v>
      </c>
      <c r="AA35" s="168">
        <f t="shared" si="2"/>
        <v>0.25</v>
      </c>
      <c r="AB35" s="345">
        <f t="shared" ref="AB35" si="34">IF((AA35+AA36+AA37+AA38+AA39)&gt;=0.25,0.25,0)</f>
        <v>0.25</v>
      </c>
      <c r="AC35" s="111" t="s">
        <v>14</v>
      </c>
      <c r="AD35" s="111" t="s">
        <v>14</v>
      </c>
      <c r="AE35" s="159">
        <f t="shared" si="3"/>
        <v>0.25</v>
      </c>
      <c r="AF35" s="346">
        <f t="shared" ref="AF35" si="35">IF((AE35+AE36+AE37+AE38+AE39)&gt;=0.25,0.25,0)</f>
        <v>0.25</v>
      </c>
      <c r="AG35" s="349"/>
    </row>
    <row r="36" spans="1:33" ht="30" x14ac:dyDescent="0.25">
      <c r="A36" s="296"/>
      <c r="B36" s="299"/>
      <c r="C36" s="24" t="str">
        <f>IF(VLOOKUP(B35,PROPONENTES!$B$10:$N$111,4,FALSE)="","",VLOOKUP(B35,PROPONENTES!$B$10:$N$111,4,FALSE))</f>
        <v xml:space="preserve">CONSTRUCTORA PC INGENIERIA SAS </v>
      </c>
      <c r="D36" s="37">
        <f>VLOOKUP(B35,PROPONENTES!$B$10:$N$111,5,FALSE)</f>
        <v>0.1</v>
      </c>
      <c r="E36" s="114"/>
      <c r="F36" s="114"/>
      <c r="G36" s="125">
        <f>+'5'!E16</f>
        <v>0</v>
      </c>
      <c r="H36" s="126" t="str">
        <f>IF(C36="","",IF(G36&gt;'5'!$J$15*0.4,"SI","NO"))</f>
        <v>NO</v>
      </c>
      <c r="I36" s="24">
        <f t="shared" si="12"/>
        <v>0</v>
      </c>
      <c r="J36" s="299"/>
      <c r="K36" s="355"/>
      <c r="L36" s="347"/>
      <c r="M36" s="355"/>
      <c r="N36" s="340"/>
      <c r="O36" s="115" t="s">
        <v>118</v>
      </c>
      <c r="P36" s="24">
        <f t="shared" si="0"/>
        <v>0</v>
      </c>
      <c r="Q36" s="340"/>
      <c r="R36" s="355"/>
      <c r="S36" s="340"/>
      <c r="T36" s="343"/>
      <c r="U36" s="116"/>
      <c r="V36" s="322"/>
      <c r="W36" s="116"/>
      <c r="X36" s="116"/>
      <c r="Y36" s="116"/>
      <c r="Z36" s="116"/>
      <c r="AA36" s="24">
        <f t="shared" si="2"/>
        <v>0</v>
      </c>
      <c r="AB36" s="322"/>
      <c r="AC36" s="116"/>
      <c r="AD36" s="116"/>
      <c r="AE36" s="160">
        <f t="shared" si="3"/>
        <v>0</v>
      </c>
      <c r="AF36" s="347"/>
      <c r="AG36" s="350"/>
    </row>
    <row r="37" spans="1:33" x14ac:dyDescent="0.25">
      <c r="A37" s="296"/>
      <c r="B37" s="299"/>
      <c r="C37" s="24" t="str">
        <f>IF(VLOOKUP(B35,PROPONENTES!$B$10:$N$111,6,FALSE)="","",VLOOKUP(B35,PROPONENTES!$B$10:$N$111,6,FALSE))</f>
        <v/>
      </c>
      <c r="D37" s="37">
        <f>VLOOKUP(B35,PROPONENTES!$B$10:$N$111,7,FALSE)</f>
        <v>0</v>
      </c>
      <c r="E37" s="114"/>
      <c r="F37" s="114"/>
      <c r="G37" s="125" t="str">
        <f>+'5'!E17</f>
        <v/>
      </c>
      <c r="H37" s="126" t="str">
        <f>IF(C37="","",IF(G37&gt;='5'!$J$15*0.4,"SI","NO"))</f>
        <v/>
      </c>
      <c r="I37" s="24">
        <f t="shared" si="12"/>
        <v>0</v>
      </c>
      <c r="J37" s="299"/>
      <c r="K37" s="355"/>
      <c r="L37" s="347"/>
      <c r="M37" s="355"/>
      <c r="N37" s="340"/>
      <c r="O37" s="115"/>
      <c r="P37" s="24" t="str">
        <f t="shared" si="0"/>
        <v>0</v>
      </c>
      <c r="Q37" s="340"/>
      <c r="R37" s="355"/>
      <c r="S37" s="340"/>
      <c r="T37" s="343"/>
      <c r="U37" s="116"/>
      <c r="V37" s="322"/>
      <c r="W37" s="116"/>
      <c r="X37" s="116"/>
      <c r="Y37" s="116"/>
      <c r="Z37" s="116"/>
      <c r="AA37" s="24">
        <f t="shared" si="2"/>
        <v>0</v>
      </c>
      <c r="AB37" s="322"/>
      <c r="AC37" s="116"/>
      <c r="AD37" s="116"/>
      <c r="AE37" s="160">
        <f t="shared" si="3"/>
        <v>0</v>
      </c>
      <c r="AF37" s="347"/>
      <c r="AG37" s="350"/>
    </row>
    <row r="38" spans="1:33" x14ac:dyDescent="0.25">
      <c r="A38" s="296"/>
      <c r="B38" s="299"/>
      <c r="C38" s="24" t="str">
        <f>IF(VLOOKUP(B35,PROPONENTES!$B$10:$N$111,8,FALSE)="","",VLOOKUP(B35,PROPONENTES!$B$10:$N$111,8,FALSE))</f>
        <v/>
      </c>
      <c r="D38" s="37">
        <f>VLOOKUP(B35,PROPONENTES!$B$10:$N$111,9,FALSE)</f>
        <v>0</v>
      </c>
      <c r="E38" s="114"/>
      <c r="F38" s="114"/>
      <c r="G38" s="125" t="str">
        <f>+'5'!E18</f>
        <v/>
      </c>
      <c r="H38" s="126" t="str">
        <f>IF(C38="","",IF(G38&gt;='5'!$J$15*0.4,"SI","NO"))</f>
        <v/>
      </c>
      <c r="I38" s="126">
        <f t="shared" si="12"/>
        <v>0</v>
      </c>
      <c r="J38" s="299"/>
      <c r="K38" s="355"/>
      <c r="L38" s="347"/>
      <c r="M38" s="355"/>
      <c r="N38" s="340"/>
      <c r="O38" s="114"/>
      <c r="P38" s="24" t="str">
        <f t="shared" si="0"/>
        <v>0</v>
      </c>
      <c r="Q38" s="340"/>
      <c r="R38" s="355"/>
      <c r="S38" s="340"/>
      <c r="T38" s="343"/>
      <c r="U38" s="116"/>
      <c r="V38" s="322"/>
      <c r="W38" s="116"/>
      <c r="X38" s="116"/>
      <c r="Y38" s="116"/>
      <c r="Z38" s="116"/>
      <c r="AA38" s="24">
        <f t="shared" si="2"/>
        <v>0</v>
      </c>
      <c r="AB38" s="322"/>
      <c r="AC38" s="116"/>
      <c r="AD38" s="116"/>
      <c r="AE38" s="160">
        <f t="shared" si="3"/>
        <v>0</v>
      </c>
      <c r="AF38" s="347"/>
      <c r="AG38" s="350"/>
    </row>
    <row r="39" spans="1:33" ht="15.75" thickBot="1" x14ac:dyDescent="0.3">
      <c r="A39" s="297"/>
      <c r="B39" s="300"/>
      <c r="C39" s="49" t="str">
        <f>IF(VLOOKUP(B35,PROPONENTES!$B$10:$N$111,10,FALSE)="","",VLOOKUP(B35,PROPONENTES!$B$10:$N$111,10,FALSE))</f>
        <v/>
      </c>
      <c r="D39" s="50">
        <f>VLOOKUP(B35,PROPONENTES!$B$10:$N$111,11,FALSE)</f>
        <v>0</v>
      </c>
      <c r="E39" s="118"/>
      <c r="F39" s="118"/>
      <c r="G39" s="127" t="str">
        <f>+'5'!E19</f>
        <v/>
      </c>
      <c r="H39" s="128" t="str">
        <f>IF(C39="","",IF(G39&gt;='5'!$J$15*0.4,"SI","NO"))</f>
        <v/>
      </c>
      <c r="I39" s="128">
        <f t="shared" si="12"/>
        <v>0</v>
      </c>
      <c r="J39" s="300"/>
      <c r="K39" s="356"/>
      <c r="L39" s="348"/>
      <c r="M39" s="356"/>
      <c r="N39" s="341"/>
      <c r="O39" s="118"/>
      <c r="P39" s="49" t="str">
        <f t="shared" si="0"/>
        <v>0</v>
      </c>
      <c r="Q39" s="341"/>
      <c r="R39" s="356"/>
      <c r="S39" s="341"/>
      <c r="T39" s="344"/>
      <c r="U39" s="148"/>
      <c r="V39" s="323"/>
      <c r="W39" s="148"/>
      <c r="X39" s="148"/>
      <c r="Y39" s="148"/>
      <c r="Z39" s="148"/>
      <c r="AA39" s="169">
        <f t="shared" si="2"/>
        <v>0</v>
      </c>
      <c r="AB39" s="323"/>
      <c r="AC39" s="148"/>
      <c r="AD39" s="148"/>
      <c r="AE39" s="161">
        <f t="shared" si="3"/>
        <v>0</v>
      </c>
      <c r="AF39" s="348"/>
      <c r="AG39" s="351"/>
    </row>
    <row r="40" spans="1:33" x14ac:dyDescent="0.25">
      <c r="A40" s="295">
        <v>6</v>
      </c>
      <c r="B40" s="298" t="str">
        <f>+PROPONENTES!B15</f>
        <v>CONSORCIO PARQUES KENNEDY 2024 - 1</v>
      </c>
      <c r="C40" s="44" t="str">
        <f>IF(VLOOKUP(B40,PROPONENTES!$B$10:$N$111,2,FALSE)="","",VLOOKUP(B40,PROPONENTES!$B$10:$N$111,2,FALSE))</f>
        <v>ICOD S.A.S</v>
      </c>
      <c r="D40" s="45">
        <f>VLOOKUP(B40,PROPONENTES!$B$10:$N$111,3,FALSE)</f>
        <v>0.95</v>
      </c>
      <c r="E40" s="109" t="s">
        <v>79</v>
      </c>
      <c r="F40" s="109" t="s">
        <v>79</v>
      </c>
      <c r="G40" s="123">
        <f>+'6'!E15</f>
        <v>2656.3920000000003</v>
      </c>
      <c r="H40" s="124" t="str">
        <f>IF(C40="","",IF(G40&gt;'6'!$J$15*0.4,"SI","NO"))</f>
        <v>SI</v>
      </c>
      <c r="I40" s="44">
        <f t="shared" si="12"/>
        <v>1</v>
      </c>
      <c r="J40" s="298">
        <f t="shared" ref="J40" si="36">IF((I40+I41+I42+I43+I44)&gt;=1,1,0)</f>
        <v>1</v>
      </c>
      <c r="K40" s="354" t="s">
        <v>14</v>
      </c>
      <c r="L40" s="346">
        <f t="shared" ref="L40" si="37">IF(K40="CUMPLE",10,0)</f>
        <v>10</v>
      </c>
      <c r="M40" s="354"/>
      <c r="N40" s="339">
        <f t="shared" si="23"/>
        <v>0</v>
      </c>
      <c r="O40" s="113" t="s">
        <v>118</v>
      </c>
      <c r="P40" s="44">
        <f t="shared" si="0"/>
        <v>0</v>
      </c>
      <c r="Q40" s="339">
        <f t="shared" ref="Q40" si="38">+L40+N40+IF(SUM(P40:P44)&gt;=1,-1,0)</f>
        <v>10</v>
      </c>
      <c r="R40" s="354" t="s">
        <v>14</v>
      </c>
      <c r="S40" s="339">
        <f t="shared" ref="S40" si="39">IF(R40="CUMPLE",9,0)</f>
        <v>9</v>
      </c>
      <c r="T40" s="342" t="s">
        <v>14</v>
      </c>
      <c r="U40" s="111" t="s">
        <v>14</v>
      </c>
      <c r="V40" s="345">
        <f t="shared" ref="V40" si="40">IF(AND(T40="",U40="",U41="",U42="",U43="",U44=""),"",IF(AND(T40="CUMPLE",U40="",U41="",U42="",U43="",U44=""),"",IF(AND(T40="CUMPLE",OR(U40="CUMPLE",U40=""),OR(U41="CUMPLE",U41=""),OR(U42="CUMPLE",U42=""),OR(U43="CUMPLE",U43=""),OR(U44="CUMPLE",U44="")),20,0)))</f>
        <v>20</v>
      </c>
      <c r="W40" s="111" t="s">
        <v>14</v>
      </c>
      <c r="X40" s="111" t="s">
        <v>13</v>
      </c>
      <c r="Y40" s="111" t="s">
        <v>13</v>
      </c>
      <c r="Z40" s="111" t="s">
        <v>13</v>
      </c>
      <c r="AA40" s="168">
        <f t="shared" si="2"/>
        <v>0.25</v>
      </c>
      <c r="AB40" s="345">
        <f t="shared" ref="AB40" si="41">IF((AA40+AA41+AA42+AA43+AA44)&gt;=0.25,0.25,0)</f>
        <v>0.25</v>
      </c>
      <c r="AC40" s="111" t="s">
        <v>14</v>
      </c>
      <c r="AD40" s="111" t="s">
        <v>14</v>
      </c>
      <c r="AE40" s="159">
        <f t="shared" si="3"/>
        <v>0.25</v>
      </c>
      <c r="AF40" s="346">
        <f t="shared" ref="AF40" si="42">IF((AE40+AE41+AE42+AE43+AE44)&gt;=0.25,0.25,0)</f>
        <v>0.25</v>
      </c>
      <c r="AG40" s="349"/>
    </row>
    <row r="41" spans="1:33" x14ac:dyDescent="0.25">
      <c r="A41" s="296"/>
      <c r="B41" s="299"/>
      <c r="C41" s="24" t="str">
        <f>IF(VLOOKUP(B40,PROPONENTES!$B$10:$N$111,4,FALSE)="","",VLOOKUP(B40,PROPONENTES!$B$10:$N$111,4,FALSE))</f>
        <v xml:space="preserve">ING CONSTRUCTORES GPS </v>
      </c>
      <c r="D41" s="37">
        <f>VLOOKUP(B40,PROPONENTES!$B$10:$N$111,5,FALSE)</f>
        <v>0.05</v>
      </c>
      <c r="E41" s="114" t="s">
        <v>77</v>
      </c>
      <c r="F41" s="114" t="s">
        <v>77</v>
      </c>
      <c r="G41" s="125">
        <f>+'6'!E16</f>
        <v>0</v>
      </c>
      <c r="H41" s="126" t="str">
        <f>IF(C41="","",IF(G41&gt;'6'!$J$15*0.4,"SI","NO"))</f>
        <v>NO</v>
      </c>
      <c r="I41" s="24">
        <f t="shared" si="12"/>
        <v>0</v>
      </c>
      <c r="J41" s="299"/>
      <c r="K41" s="355"/>
      <c r="L41" s="347"/>
      <c r="M41" s="355"/>
      <c r="N41" s="340"/>
      <c r="O41" s="115" t="s">
        <v>118</v>
      </c>
      <c r="P41" s="24">
        <f t="shared" si="0"/>
        <v>0</v>
      </c>
      <c r="Q41" s="340"/>
      <c r="R41" s="355"/>
      <c r="S41" s="340"/>
      <c r="T41" s="343"/>
      <c r="U41" s="116" t="s">
        <v>14</v>
      </c>
      <c r="V41" s="322"/>
      <c r="W41" s="116"/>
      <c r="X41" s="116"/>
      <c r="Y41" s="116"/>
      <c r="Z41" s="116"/>
      <c r="AA41" s="24">
        <f t="shared" si="2"/>
        <v>0</v>
      </c>
      <c r="AB41" s="322"/>
      <c r="AC41" s="116"/>
      <c r="AD41" s="116"/>
      <c r="AE41" s="160">
        <f t="shared" si="3"/>
        <v>0</v>
      </c>
      <c r="AF41" s="347"/>
      <c r="AG41" s="350"/>
    </row>
    <row r="42" spans="1:33" x14ac:dyDescent="0.25">
      <c r="A42" s="296"/>
      <c r="B42" s="299"/>
      <c r="C42" s="24" t="str">
        <f>IF(VLOOKUP(B40,PROPONENTES!$B$10:$N$111,6,FALSE)="","",VLOOKUP(B40,PROPONENTES!$B$10:$N$111,6,FALSE))</f>
        <v/>
      </c>
      <c r="D42" s="37">
        <f>VLOOKUP(B40,PROPONENTES!$B$10:$N$111,7,FALSE)</f>
        <v>0</v>
      </c>
      <c r="E42" s="114"/>
      <c r="F42" s="114"/>
      <c r="G42" s="125" t="str">
        <f>+'6'!E17</f>
        <v/>
      </c>
      <c r="H42" s="126" t="str">
        <f>IF(C42="","",IF(G42&gt;='6'!$J$15*0.4,"SI","NO"))</f>
        <v/>
      </c>
      <c r="I42" s="24">
        <f t="shared" si="12"/>
        <v>0</v>
      </c>
      <c r="J42" s="299"/>
      <c r="K42" s="355"/>
      <c r="L42" s="347"/>
      <c r="M42" s="355"/>
      <c r="N42" s="340"/>
      <c r="O42" s="115"/>
      <c r="P42" s="24" t="str">
        <f t="shared" si="0"/>
        <v>0</v>
      </c>
      <c r="Q42" s="340"/>
      <c r="R42" s="355"/>
      <c r="S42" s="340"/>
      <c r="T42" s="343"/>
      <c r="U42" s="116"/>
      <c r="V42" s="322"/>
      <c r="W42" s="116"/>
      <c r="X42" s="116"/>
      <c r="Y42" s="116"/>
      <c r="Z42" s="116"/>
      <c r="AA42" s="24">
        <f t="shared" si="2"/>
        <v>0</v>
      </c>
      <c r="AB42" s="322"/>
      <c r="AC42" s="116"/>
      <c r="AD42" s="116"/>
      <c r="AE42" s="160">
        <f t="shared" si="3"/>
        <v>0</v>
      </c>
      <c r="AF42" s="347"/>
      <c r="AG42" s="350"/>
    </row>
    <row r="43" spans="1:33" x14ac:dyDescent="0.25">
      <c r="A43" s="296"/>
      <c r="B43" s="299"/>
      <c r="C43" s="24" t="str">
        <f>IF(VLOOKUP(B40,PROPONENTES!$B$10:$N$111,8,FALSE)="","",VLOOKUP(B40,PROPONENTES!$B$10:$N$111,8,FALSE))</f>
        <v/>
      </c>
      <c r="D43" s="37">
        <f>VLOOKUP(B40,PROPONENTES!$B$10:$N$111,9,FALSE)</f>
        <v>0</v>
      </c>
      <c r="E43" s="114"/>
      <c r="F43" s="114"/>
      <c r="G43" s="125" t="str">
        <f>+'6'!E18</f>
        <v/>
      </c>
      <c r="H43" s="126" t="str">
        <f>IF(C43="","",IF(G43&gt;='6'!$J$15*0.4,"SI","NO"))</f>
        <v/>
      </c>
      <c r="I43" s="126">
        <f t="shared" si="12"/>
        <v>0</v>
      </c>
      <c r="J43" s="299"/>
      <c r="K43" s="355"/>
      <c r="L43" s="347"/>
      <c r="M43" s="355"/>
      <c r="N43" s="340"/>
      <c r="O43" s="114"/>
      <c r="P43" s="24" t="str">
        <f t="shared" si="0"/>
        <v>0</v>
      </c>
      <c r="Q43" s="340"/>
      <c r="R43" s="355"/>
      <c r="S43" s="340"/>
      <c r="T43" s="343"/>
      <c r="U43" s="116"/>
      <c r="V43" s="322"/>
      <c r="W43" s="116"/>
      <c r="X43" s="116"/>
      <c r="Y43" s="116"/>
      <c r="Z43" s="116"/>
      <c r="AA43" s="24">
        <f t="shared" si="2"/>
        <v>0</v>
      </c>
      <c r="AB43" s="322"/>
      <c r="AC43" s="116"/>
      <c r="AD43" s="116"/>
      <c r="AE43" s="160">
        <f t="shared" si="3"/>
        <v>0</v>
      </c>
      <c r="AF43" s="347"/>
      <c r="AG43" s="350"/>
    </row>
    <row r="44" spans="1:33" ht="15.75" thickBot="1" x14ac:dyDescent="0.3">
      <c r="A44" s="297"/>
      <c r="B44" s="300"/>
      <c r="C44" s="49" t="str">
        <f>IF(VLOOKUP(B40,PROPONENTES!$B$10:$N$111,10,FALSE)="","",VLOOKUP(B40,PROPONENTES!$B$10:$N$111,10,FALSE))</f>
        <v/>
      </c>
      <c r="D44" s="50">
        <f>VLOOKUP(B40,PROPONENTES!$B$10:$N$111,11,FALSE)</f>
        <v>0</v>
      </c>
      <c r="E44" s="118"/>
      <c r="F44" s="118"/>
      <c r="G44" s="127" t="str">
        <f>+'6'!E19</f>
        <v/>
      </c>
      <c r="H44" s="128" t="str">
        <f>IF(C44="","",IF(G44&gt;='6'!$J$15*0.4,"SI","NO"))</f>
        <v/>
      </c>
      <c r="I44" s="128">
        <f t="shared" si="12"/>
        <v>0</v>
      </c>
      <c r="J44" s="300"/>
      <c r="K44" s="356"/>
      <c r="L44" s="348"/>
      <c r="M44" s="356"/>
      <c r="N44" s="341"/>
      <c r="O44" s="118"/>
      <c r="P44" s="49" t="str">
        <f t="shared" si="0"/>
        <v>0</v>
      </c>
      <c r="Q44" s="341"/>
      <c r="R44" s="356"/>
      <c r="S44" s="341"/>
      <c r="T44" s="344"/>
      <c r="U44" s="148"/>
      <c r="V44" s="323"/>
      <c r="W44" s="148"/>
      <c r="X44" s="148"/>
      <c r="Y44" s="148"/>
      <c r="Z44" s="148"/>
      <c r="AA44" s="169">
        <f t="shared" si="2"/>
        <v>0</v>
      </c>
      <c r="AB44" s="323"/>
      <c r="AC44" s="148"/>
      <c r="AD44" s="148"/>
      <c r="AE44" s="161">
        <f t="shared" si="3"/>
        <v>0</v>
      </c>
      <c r="AF44" s="348"/>
      <c r="AG44" s="351"/>
    </row>
    <row r="45" spans="1:33" x14ac:dyDescent="0.25">
      <c r="A45" s="295">
        <v>7</v>
      </c>
      <c r="B45" s="298" t="str">
        <f>+PROPONENTES!B16</f>
        <v>RETIN INGENIERIA S.A.S.</v>
      </c>
      <c r="C45" s="44" t="str">
        <f>IF(VLOOKUP(B45,PROPONENTES!$B$10:$N$111,2,FALSE)="","",VLOOKUP(B45,PROPONENTES!$B$10:$N$111,2,FALSE))</f>
        <v>RETIN INGENIERIA S.A.S.</v>
      </c>
      <c r="D45" s="45">
        <f>VLOOKUP(B45,PROPONENTES!$B$10:$N$111,3,FALSE)</f>
        <v>1</v>
      </c>
      <c r="E45" s="109" t="s">
        <v>79</v>
      </c>
      <c r="F45" s="109" t="s">
        <v>79</v>
      </c>
      <c r="G45" s="123">
        <f>+'7'!E15</f>
        <v>6579.9800000000005</v>
      </c>
      <c r="H45" s="124" t="str">
        <f>IF(C45="","",IF(G45&gt;'7'!$J$15*0.4,"SI","NO"))</f>
        <v>SI</v>
      </c>
      <c r="I45" s="44">
        <f t="shared" si="12"/>
        <v>1</v>
      </c>
      <c r="J45" s="298">
        <f t="shared" ref="J45" si="43">IF((I45+I46+I47+I48+I49)&gt;=1,1,0)</f>
        <v>1</v>
      </c>
      <c r="K45" s="354" t="s">
        <v>14</v>
      </c>
      <c r="L45" s="346">
        <f t="shared" ref="L45" si="44">IF(K45="CUMPLE",10,0)</f>
        <v>10</v>
      </c>
      <c r="M45" s="354"/>
      <c r="N45" s="339">
        <f t="shared" si="23"/>
        <v>0</v>
      </c>
      <c r="O45" s="113" t="s">
        <v>118</v>
      </c>
      <c r="P45" s="44">
        <f t="shared" si="0"/>
        <v>0</v>
      </c>
      <c r="Q45" s="339">
        <f t="shared" ref="Q45" si="45">+L45+N45+IF(SUM(P45:P49)&gt;=1,-1,0)</f>
        <v>10</v>
      </c>
      <c r="R45" s="354" t="s">
        <v>14</v>
      </c>
      <c r="S45" s="339">
        <f t="shared" ref="S45" si="46">IF(R45="CUMPLE",9,0)</f>
        <v>9</v>
      </c>
      <c r="T45" s="342" t="s">
        <v>14</v>
      </c>
      <c r="U45" s="111" t="s">
        <v>14</v>
      </c>
      <c r="V45" s="345">
        <f t="shared" ref="V45" si="47">IF(AND(T45="",U45="",U46="",U47="",U48="",U49=""),"",IF(AND(T45="CUMPLE",U45="",U46="",U47="",U48="",U49=""),"",IF(AND(T45="CUMPLE",OR(U45="CUMPLE",U45=""),OR(U46="CUMPLE",U46=""),OR(U47="CUMPLE",U47=""),OR(U48="CUMPLE",U48=""),OR(U49="CUMPLE",U49="")),20,0)))</f>
        <v>20</v>
      </c>
      <c r="W45" s="111" t="s">
        <v>14</v>
      </c>
      <c r="X45" s="111" t="s">
        <v>14</v>
      </c>
      <c r="Y45" s="111" t="s">
        <v>14</v>
      </c>
      <c r="Z45" s="111" t="s">
        <v>14</v>
      </c>
      <c r="AA45" s="168">
        <f t="shared" si="2"/>
        <v>0.25</v>
      </c>
      <c r="AB45" s="345">
        <f t="shared" ref="AB45" si="48">IF((AA45+AA46+AA47+AA48+AA49)&gt;=0.25,0.25,0)</f>
        <v>0.25</v>
      </c>
      <c r="AC45" s="111" t="s">
        <v>14</v>
      </c>
      <c r="AD45" s="111" t="s">
        <v>14</v>
      </c>
      <c r="AE45" s="159">
        <f t="shared" si="3"/>
        <v>0.25</v>
      </c>
      <c r="AF45" s="346">
        <f t="shared" ref="AF45" si="49">IF((AE45+AE46+AE47+AE48+AE49)&gt;=0.25,0.25,0)</f>
        <v>0.25</v>
      </c>
      <c r="AG45" s="349"/>
    </row>
    <row r="46" spans="1:33" x14ac:dyDescent="0.25">
      <c r="A46" s="296"/>
      <c r="B46" s="299"/>
      <c r="C46" s="24" t="str">
        <f>IF(VLOOKUP(B45,PROPONENTES!$B$10:$N$111,4,FALSE)="","",VLOOKUP(B45,PROPONENTES!$B$10:$N$111,4,FALSE))</f>
        <v/>
      </c>
      <c r="D46" s="37">
        <f>VLOOKUP(B45,PROPONENTES!$B$10:$N$111,5,FALSE)</f>
        <v>0</v>
      </c>
      <c r="E46" s="114"/>
      <c r="F46" s="114"/>
      <c r="G46" s="125" t="str">
        <f>+'7'!E16</f>
        <v/>
      </c>
      <c r="H46" s="126" t="str">
        <f>IF(C46="","",IF(G46&gt;='7'!$J$15*0.4,"SI","NO"))</f>
        <v/>
      </c>
      <c r="I46" s="24">
        <f t="shared" si="12"/>
        <v>0</v>
      </c>
      <c r="J46" s="299"/>
      <c r="K46" s="355"/>
      <c r="L46" s="347"/>
      <c r="M46" s="355"/>
      <c r="N46" s="340"/>
      <c r="O46" s="115"/>
      <c r="P46" s="24" t="str">
        <f t="shared" si="0"/>
        <v>0</v>
      </c>
      <c r="Q46" s="340"/>
      <c r="R46" s="355"/>
      <c r="S46" s="340"/>
      <c r="T46" s="343"/>
      <c r="U46" s="116"/>
      <c r="V46" s="322"/>
      <c r="W46" s="116"/>
      <c r="X46" s="116"/>
      <c r="Y46" s="116"/>
      <c r="Z46" s="116"/>
      <c r="AA46" s="24">
        <f t="shared" si="2"/>
        <v>0</v>
      </c>
      <c r="AB46" s="322"/>
      <c r="AC46" s="116"/>
      <c r="AD46" s="116"/>
      <c r="AE46" s="160">
        <f t="shared" si="3"/>
        <v>0</v>
      </c>
      <c r="AF46" s="347"/>
      <c r="AG46" s="350"/>
    </row>
    <row r="47" spans="1:33" x14ac:dyDescent="0.25">
      <c r="A47" s="296"/>
      <c r="B47" s="299"/>
      <c r="C47" s="24" t="str">
        <f>IF(VLOOKUP(B45,PROPONENTES!$B$10:$N$111,6,FALSE)="","",VLOOKUP(B45,PROPONENTES!$B$10:$N$111,6,FALSE))</f>
        <v/>
      </c>
      <c r="D47" s="37">
        <f>VLOOKUP(B45,PROPONENTES!$B$10:$N$111,7,FALSE)</f>
        <v>0</v>
      </c>
      <c r="E47" s="114"/>
      <c r="F47" s="114"/>
      <c r="G47" s="125" t="str">
        <f>+'7'!E17</f>
        <v/>
      </c>
      <c r="H47" s="126" t="str">
        <f>IF(C47="","",IF(G47&gt;='7'!$J$15*0.4,"SI","NO"))</f>
        <v/>
      </c>
      <c r="I47" s="24">
        <f t="shared" si="12"/>
        <v>0</v>
      </c>
      <c r="J47" s="299"/>
      <c r="K47" s="355"/>
      <c r="L47" s="347"/>
      <c r="M47" s="355"/>
      <c r="N47" s="340"/>
      <c r="O47" s="115"/>
      <c r="P47" s="24" t="str">
        <f t="shared" si="0"/>
        <v>0</v>
      </c>
      <c r="Q47" s="340"/>
      <c r="R47" s="355"/>
      <c r="S47" s="340"/>
      <c r="T47" s="343"/>
      <c r="U47" s="116"/>
      <c r="V47" s="322"/>
      <c r="W47" s="116"/>
      <c r="X47" s="116"/>
      <c r="Y47" s="116"/>
      <c r="Z47" s="116"/>
      <c r="AA47" s="24">
        <f t="shared" si="2"/>
        <v>0</v>
      </c>
      <c r="AB47" s="322"/>
      <c r="AC47" s="116"/>
      <c r="AD47" s="116"/>
      <c r="AE47" s="160">
        <f t="shared" si="3"/>
        <v>0</v>
      </c>
      <c r="AF47" s="347"/>
      <c r="AG47" s="350"/>
    </row>
    <row r="48" spans="1:33" x14ac:dyDescent="0.25">
      <c r="A48" s="296"/>
      <c r="B48" s="299"/>
      <c r="C48" s="24" t="str">
        <f>IF(VLOOKUP(B45,PROPONENTES!$B$10:$N$111,8,FALSE)="","",VLOOKUP(B45,PROPONENTES!$B$10:$N$111,8,FALSE))</f>
        <v/>
      </c>
      <c r="D48" s="37">
        <f>VLOOKUP(B45,PROPONENTES!$B$10:$N$111,9,FALSE)</f>
        <v>0</v>
      </c>
      <c r="E48" s="114"/>
      <c r="F48" s="114"/>
      <c r="G48" s="125" t="str">
        <f>+'7'!E18</f>
        <v/>
      </c>
      <c r="H48" s="126" t="str">
        <f>IF(C48="","",IF(G48&gt;='7'!$J$15*0.4,"SI","NO"))</f>
        <v/>
      </c>
      <c r="I48" s="126">
        <f t="shared" si="12"/>
        <v>0</v>
      </c>
      <c r="J48" s="299"/>
      <c r="K48" s="355"/>
      <c r="L48" s="347"/>
      <c r="M48" s="355"/>
      <c r="N48" s="340"/>
      <c r="O48" s="114"/>
      <c r="P48" s="24" t="str">
        <f t="shared" si="0"/>
        <v>0</v>
      </c>
      <c r="Q48" s="340"/>
      <c r="R48" s="355"/>
      <c r="S48" s="340"/>
      <c r="T48" s="343"/>
      <c r="U48" s="116"/>
      <c r="V48" s="322"/>
      <c r="W48" s="116"/>
      <c r="X48" s="116"/>
      <c r="Y48" s="116"/>
      <c r="Z48" s="116"/>
      <c r="AA48" s="24">
        <f t="shared" si="2"/>
        <v>0</v>
      </c>
      <c r="AB48" s="322"/>
      <c r="AC48" s="116"/>
      <c r="AD48" s="116"/>
      <c r="AE48" s="160">
        <f t="shared" si="3"/>
        <v>0</v>
      </c>
      <c r="AF48" s="347"/>
      <c r="AG48" s="350"/>
    </row>
    <row r="49" spans="1:33" ht="15.75" thickBot="1" x14ac:dyDescent="0.3">
      <c r="A49" s="297"/>
      <c r="B49" s="300"/>
      <c r="C49" s="49" t="str">
        <f>IF(VLOOKUP(B45,PROPONENTES!$B$10:$N$111,10,FALSE)="","",VLOOKUP(B45,PROPONENTES!$B$10:$N$111,10,FALSE))</f>
        <v/>
      </c>
      <c r="D49" s="50">
        <f>VLOOKUP(B45,PROPONENTES!$B$10:$N$111,11,FALSE)</f>
        <v>0</v>
      </c>
      <c r="E49" s="118"/>
      <c r="F49" s="118"/>
      <c r="G49" s="127" t="str">
        <f>+'7'!E19</f>
        <v/>
      </c>
      <c r="H49" s="128" t="str">
        <f>IF(C49="","",IF(G49&gt;='7'!$J$15*0.4,"SI","NO"))</f>
        <v/>
      </c>
      <c r="I49" s="128">
        <f t="shared" si="12"/>
        <v>0</v>
      </c>
      <c r="J49" s="300"/>
      <c r="K49" s="356"/>
      <c r="L49" s="348"/>
      <c r="M49" s="356"/>
      <c r="N49" s="341"/>
      <c r="O49" s="118"/>
      <c r="P49" s="49" t="str">
        <f t="shared" si="0"/>
        <v>0</v>
      </c>
      <c r="Q49" s="341"/>
      <c r="R49" s="356"/>
      <c r="S49" s="341"/>
      <c r="T49" s="344"/>
      <c r="U49" s="148"/>
      <c r="V49" s="323"/>
      <c r="W49" s="148"/>
      <c r="X49" s="148"/>
      <c r="Y49" s="148"/>
      <c r="Z49" s="148"/>
      <c r="AA49" s="169">
        <f t="shared" si="2"/>
        <v>0</v>
      </c>
      <c r="AB49" s="323"/>
      <c r="AC49" s="148"/>
      <c r="AD49" s="148"/>
      <c r="AE49" s="161">
        <f t="shared" si="3"/>
        <v>0</v>
      </c>
      <c r="AF49" s="348"/>
      <c r="AG49" s="351"/>
    </row>
    <row r="50" spans="1:33" x14ac:dyDescent="0.25">
      <c r="A50" s="295">
        <v>8</v>
      </c>
      <c r="B50" s="298" t="str">
        <f>+PROPONENTES!B17</f>
        <v>UNION TEMPORAL PARQUES DJ13</v>
      </c>
      <c r="C50" s="44" t="str">
        <f>IF(VLOOKUP(B50,PROPONENTES!$B$10:$N$111,2,FALSE)="","",VLOOKUP(B50,PROPONENTES!$B$10:$N$111,2,FALSE))</f>
        <v>DVN CONSTRUCCIONES S.A.S.</v>
      </c>
      <c r="D50" s="45">
        <f>VLOOKUP(B50,PROPONENTES!$B$10:$N$111,3,FALSE)</f>
        <v>0.7</v>
      </c>
      <c r="E50" s="109" t="s">
        <v>77</v>
      </c>
      <c r="F50" s="109" t="s">
        <v>77</v>
      </c>
      <c r="G50" s="123">
        <f>+'8'!E15</f>
        <v>4953.2150000000001</v>
      </c>
      <c r="H50" s="124" t="str">
        <f>IF(C50="","",IF(G50&gt;'8'!$J$15*0.4,"SI","NO"))</f>
        <v>SI</v>
      </c>
      <c r="I50" s="44">
        <f>IF(C50="",0,IF(AND(E50="SI",H50="SI",F50="SI"),1,0))</f>
        <v>0</v>
      </c>
      <c r="J50" s="298">
        <f>IF((I50+I51+I52+I53+I54)&gt;=1,1,0)</f>
        <v>1</v>
      </c>
      <c r="K50" s="354" t="s">
        <v>14</v>
      </c>
      <c r="L50" s="346">
        <f t="shared" ref="L50" si="50">IF(K50="CUMPLE",10,0)</f>
        <v>10</v>
      </c>
      <c r="M50" s="354"/>
      <c r="N50" s="339">
        <f t="shared" si="23"/>
        <v>0</v>
      </c>
      <c r="O50" s="113" t="s">
        <v>118</v>
      </c>
      <c r="P50" s="44">
        <f t="shared" si="0"/>
        <v>0</v>
      </c>
      <c r="Q50" s="339">
        <f t="shared" ref="Q50" si="51">+L50+N50+IF(SUM(P50:P54)&gt;=1,-1,0)</f>
        <v>10</v>
      </c>
      <c r="R50" s="354" t="s">
        <v>14</v>
      </c>
      <c r="S50" s="339">
        <f t="shared" ref="S50" si="52">IF(R50="CUMPLE",9,0)</f>
        <v>9</v>
      </c>
      <c r="T50" s="342" t="s">
        <v>14</v>
      </c>
      <c r="U50" s="111" t="s">
        <v>14</v>
      </c>
      <c r="V50" s="345">
        <f t="shared" ref="V50" si="53">IF(AND(T50="",U50="",U51="",U52="",U53="",U54=""),"",IF(AND(T50="CUMPLE",U50="",U51="",U52="",U53="",U54=""),"",IF(AND(T50="CUMPLE",OR(U50="CUMPLE",U50=""),OR(U51="CUMPLE",U51=""),OR(U52="CUMPLE",U52=""),OR(U53="CUMPLE",U53=""),OR(U54="CUMPLE",U54="")),20,0)))</f>
        <v>20</v>
      </c>
      <c r="W50" s="111" t="s">
        <v>14</v>
      </c>
      <c r="X50" s="111" t="s">
        <v>13</v>
      </c>
      <c r="Y50" s="111" t="s">
        <v>13</v>
      </c>
      <c r="Z50" s="111" t="s">
        <v>13</v>
      </c>
      <c r="AA50" s="168">
        <f t="shared" si="2"/>
        <v>0.25</v>
      </c>
      <c r="AB50" s="345">
        <f t="shared" ref="AB50" si="54">IF((AA50+AA51+AA52+AA53+AA54)&gt;=0.25,0.25,0)</f>
        <v>0.25</v>
      </c>
      <c r="AC50" s="111" t="s">
        <v>14</v>
      </c>
      <c r="AD50" s="111" t="s">
        <v>14</v>
      </c>
      <c r="AE50" s="159">
        <f t="shared" si="3"/>
        <v>0.25</v>
      </c>
      <c r="AF50" s="346">
        <f t="shared" ref="AF50" si="55">IF((AE50+AE51+AE52+AE53+AE54)&gt;=0.25,0.25,0)</f>
        <v>0.25</v>
      </c>
      <c r="AG50" s="349"/>
    </row>
    <row r="51" spans="1:33" x14ac:dyDescent="0.25">
      <c r="A51" s="296"/>
      <c r="B51" s="299"/>
      <c r="C51" s="24" t="str">
        <f>IF(VLOOKUP(B50,PROPONENTES!$B$10:$N$111,4,FALSE)="","",VLOOKUP(B50,PROPONENTES!$B$10:$N$111,4,FALSE))</f>
        <v xml:space="preserve">JUAN CARLOS ROJAS ACERO </v>
      </c>
      <c r="D51" s="37">
        <f>VLOOKUP(B50,PROPONENTES!$B$10:$N$111,5,FALSE)</f>
        <v>0.3</v>
      </c>
      <c r="E51" s="114" t="s">
        <v>79</v>
      </c>
      <c r="F51" s="114" t="s">
        <v>79</v>
      </c>
      <c r="G51" s="125">
        <f>+'8'!E16</f>
        <v>4793.3720000000003</v>
      </c>
      <c r="H51" s="126" t="str">
        <f>IF(C51="","",IF(G51&gt;'8'!$J$15*0.4,"SI","NO"))</f>
        <v>SI</v>
      </c>
      <c r="I51" s="24">
        <f t="shared" ref="I51:I54" si="56">IF(C51="",0,IF(AND(E51="SI",H51="SI",F51="SI"),1,0))</f>
        <v>1</v>
      </c>
      <c r="J51" s="299"/>
      <c r="K51" s="355"/>
      <c r="L51" s="347"/>
      <c r="M51" s="355"/>
      <c r="N51" s="340"/>
      <c r="O51" s="115" t="s">
        <v>118</v>
      </c>
      <c r="P51" s="24">
        <f t="shared" si="0"/>
        <v>0</v>
      </c>
      <c r="Q51" s="340"/>
      <c r="R51" s="355"/>
      <c r="S51" s="340"/>
      <c r="T51" s="343"/>
      <c r="U51" s="116" t="s">
        <v>14</v>
      </c>
      <c r="V51" s="322"/>
      <c r="W51" s="116"/>
      <c r="X51" s="116"/>
      <c r="Y51" s="116"/>
      <c r="Z51" s="116"/>
      <c r="AA51" s="24">
        <f t="shared" si="2"/>
        <v>0</v>
      </c>
      <c r="AB51" s="322"/>
      <c r="AC51" s="116"/>
      <c r="AD51" s="116"/>
      <c r="AE51" s="160">
        <f t="shared" si="3"/>
        <v>0</v>
      </c>
      <c r="AF51" s="347"/>
      <c r="AG51" s="350"/>
    </row>
    <row r="52" spans="1:33" x14ac:dyDescent="0.25">
      <c r="A52" s="296"/>
      <c r="B52" s="299"/>
      <c r="C52" s="24" t="str">
        <f>IF(VLOOKUP(B50,PROPONENTES!$B$10:$N$111,6,FALSE)="","",VLOOKUP(B50,PROPONENTES!$B$10:$N$111,6,FALSE))</f>
        <v/>
      </c>
      <c r="D52" s="37">
        <f>VLOOKUP(B50,PROPONENTES!$B$10:$N$111,7,FALSE)</f>
        <v>0</v>
      </c>
      <c r="E52" s="114"/>
      <c r="F52" s="114"/>
      <c r="G52" s="125" t="str">
        <f>+'8'!E17</f>
        <v/>
      </c>
      <c r="H52" s="126" t="str">
        <f>IF(C52="","",IF(G52&gt;='8'!$J$15*0.4,"SI","NO"))</f>
        <v/>
      </c>
      <c r="I52" s="24">
        <f t="shared" si="56"/>
        <v>0</v>
      </c>
      <c r="J52" s="299"/>
      <c r="K52" s="355"/>
      <c r="L52" s="347"/>
      <c r="M52" s="355"/>
      <c r="N52" s="340"/>
      <c r="O52" s="115"/>
      <c r="P52" s="24" t="str">
        <f t="shared" si="0"/>
        <v>0</v>
      </c>
      <c r="Q52" s="340"/>
      <c r="R52" s="355"/>
      <c r="S52" s="340"/>
      <c r="T52" s="343"/>
      <c r="U52" s="116"/>
      <c r="V52" s="322"/>
      <c r="W52" s="116"/>
      <c r="X52" s="116"/>
      <c r="Y52" s="116"/>
      <c r="Z52" s="116"/>
      <c r="AA52" s="24">
        <f t="shared" si="2"/>
        <v>0</v>
      </c>
      <c r="AB52" s="322"/>
      <c r="AC52" s="116"/>
      <c r="AD52" s="116"/>
      <c r="AE52" s="160">
        <f t="shared" si="3"/>
        <v>0</v>
      </c>
      <c r="AF52" s="347"/>
      <c r="AG52" s="350"/>
    </row>
    <row r="53" spans="1:33" x14ac:dyDescent="0.25">
      <c r="A53" s="296"/>
      <c r="B53" s="299"/>
      <c r="C53" s="24" t="str">
        <f>IF(VLOOKUP(B50,PROPONENTES!$B$10:$N$111,8,FALSE)="","",VLOOKUP(B50,PROPONENTES!$B$10:$N$111,8,FALSE))</f>
        <v/>
      </c>
      <c r="D53" s="37">
        <f>VLOOKUP(B50,PROPONENTES!$B$10:$N$111,9,FALSE)</f>
        <v>0</v>
      </c>
      <c r="E53" s="114"/>
      <c r="F53" s="114"/>
      <c r="G53" s="125" t="str">
        <f>+'8'!E18</f>
        <v/>
      </c>
      <c r="H53" s="126" t="str">
        <f>IF(C53="","",IF(G53&gt;='8'!$J$15*0.4,"SI","NO"))</f>
        <v/>
      </c>
      <c r="I53" s="126">
        <f t="shared" si="56"/>
        <v>0</v>
      </c>
      <c r="J53" s="299"/>
      <c r="K53" s="355"/>
      <c r="L53" s="347"/>
      <c r="M53" s="355"/>
      <c r="N53" s="340"/>
      <c r="O53" s="114"/>
      <c r="P53" s="24" t="str">
        <f t="shared" si="0"/>
        <v>0</v>
      </c>
      <c r="Q53" s="340"/>
      <c r="R53" s="355"/>
      <c r="S53" s="340"/>
      <c r="T53" s="343"/>
      <c r="U53" s="116"/>
      <c r="V53" s="322"/>
      <c r="W53" s="116"/>
      <c r="X53" s="116"/>
      <c r="Y53" s="116"/>
      <c r="Z53" s="116"/>
      <c r="AA53" s="24">
        <f t="shared" si="2"/>
        <v>0</v>
      </c>
      <c r="AB53" s="322"/>
      <c r="AC53" s="116"/>
      <c r="AD53" s="116"/>
      <c r="AE53" s="160">
        <f t="shared" si="3"/>
        <v>0</v>
      </c>
      <c r="AF53" s="347"/>
      <c r="AG53" s="350"/>
    </row>
    <row r="54" spans="1:33" ht="15.75" thickBot="1" x14ac:dyDescent="0.3">
      <c r="A54" s="297"/>
      <c r="B54" s="300"/>
      <c r="C54" s="49" t="str">
        <f>IF(VLOOKUP(B50,PROPONENTES!$B$10:$N$111,10,FALSE)="","",VLOOKUP(B50,PROPONENTES!$B$10:$N$111,10,FALSE))</f>
        <v/>
      </c>
      <c r="D54" s="50">
        <f>VLOOKUP(B50,PROPONENTES!$B$10:$N$111,11,FALSE)</f>
        <v>0</v>
      </c>
      <c r="E54" s="118"/>
      <c r="F54" s="118"/>
      <c r="G54" s="127" t="str">
        <f>+'8'!E19</f>
        <v/>
      </c>
      <c r="H54" s="128" t="str">
        <f>IF(C54="","",IF(G54&gt;='8'!$J$15*0.4,"SI","NO"))</f>
        <v/>
      </c>
      <c r="I54" s="128">
        <f t="shared" si="56"/>
        <v>0</v>
      </c>
      <c r="J54" s="300"/>
      <c r="K54" s="356"/>
      <c r="L54" s="348"/>
      <c r="M54" s="356"/>
      <c r="N54" s="341"/>
      <c r="O54" s="118"/>
      <c r="P54" s="49" t="str">
        <f t="shared" si="0"/>
        <v>0</v>
      </c>
      <c r="Q54" s="341"/>
      <c r="R54" s="356"/>
      <c r="S54" s="341"/>
      <c r="T54" s="344"/>
      <c r="U54" s="148"/>
      <c r="V54" s="323"/>
      <c r="W54" s="148"/>
      <c r="X54" s="148"/>
      <c r="Y54" s="148"/>
      <c r="Z54" s="148"/>
      <c r="AA54" s="169">
        <f t="shared" si="2"/>
        <v>0</v>
      </c>
      <c r="AB54" s="323"/>
      <c r="AC54" s="148"/>
      <c r="AD54" s="148"/>
      <c r="AE54" s="161">
        <f t="shared" si="3"/>
        <v>0</v>
      </c>
      <c r="AF54" s="348"/>
      <c r="AG54" s="351"/>
    </row>
    <row r="55" spans="1:33" ht="45" x14ac:dyDescent="0.25">
      <c r="A55" s="295">
        <v>9</v>
      </c>
      <c r="B55" s="298" t="str">
        <f>+PROPONENTES!B18</f>
        <v xml:space="preserve">CONSORCIO PARQUES CHM 2024	</v>
      </c>
      <c r="C55" s="44" t="str">
        <f>IF(VLOOKUP(B55,PROPONENTES!$B$10:$N$111,2,FALSE)="","",VLOOKUP(B55,PROPONENTES!$B$10:$N$111,2,FALSE))</f>
        <v>ORGANIZACION LUIS FERNANDO ROMERO SANDOVAL INGENIEROS SAS</v>
      </c>
      <c r="D55" s="45">
        <f>VLOOKUP(B55,PROPONENTES!$B$10:$N$111,3,FALSE)</f>
        <v>0.9</v>
      </c>
      <c r="E55" s="109" t="s">
        <v>79</v>
      </c>
      <c r="F55" s="109" t="s">
        <v>79</v>
      </c>
      <c r="G55" s="123">
        <f>+'9'!E15</f>
        <v>34698.79</v>
      </c>
      <c r="H55" s="124" t="str">
        <f>IF(C55="","",IF(G55&gt;'9'!$J$15*0.4,"SI","NO"))</f>
        <v>SI</v>
      </c>
      <c r="I55" s="44">
        <f>IF(C55="",0,IF(AND(E55="SI",H55="SI",F55="SI"),1,0))</f>
        <v>1</v>
      </c>
      <c r="J55" s="298">
        <f>IF((I55+I56+I57+I58+I59)&gt;=1,1,0)</f>
        <v>1</v>
      </c>
      <c r="K55" s="354" t="s">
        <v>14</v>
      </c>
      <c r="L55" s="346">
        <f t="shared" ref="L55:L90" si="57">IF(K55="CUMPLE",10,0)</f>
        <v>10</v>
      </c>
      <c r="M55" s="354"/>
      <c r="N55" s="339">
        <f t="shared" si="23"/>
        <v>0</v>
      </c>
      <c r="O55" s="113" t="s">
        <v>118</v>
      </c>
      <c r="P55" s="44">
        <f t="shared" si="0"/>
        <v>0</v>
      </c>
      <c r="Q55" s="339">
        <f t="shared" ref="Q55" si="58">+L55+N55+IF(SUM(P55:P59)&gt;=1,-1,0)</f>
        <v>10</v>
      </c>
      <c r="R55" s="354" t="s">
        <v>14</v>
      </c>
      <c r="S55" s="339">
        <f t="shared" ref="S55" si="59">IF(R55="CUMPLE",9,0)</f>
        <v>9</v>
      </c>
      <c r="T55" s="342" t="s">
        <v>14</v>
      </c>
      <c r="U55" s="111" t="s">
        <v>14</v>
      </c>
      <c r="V55" s="345">
        <f t="shared" ref="V55" si="60">IF(AND(T55="",U55="",U56="",U57="",U58="",U59=""),"",IF(AND(T55="CUMPLE",U55="",U56="",U57="",U58="",U59=""),"",IF(AND(T55="CUMPLE",OR(U55="CUMPLE",U55=""),OR(U56="CUMPLE",U56=""),OR(U57="CUMPLE",U57=""),OR(U58="CUMPLE",U58=""),OR(U59="CUMPLE",U59="")),20,0)))</f>
        <v>20</v>
      </c>
      <c r="W55" s="111" t="s">
        <v>14</v>
      </c>
      <c r="X55" s="111" t="s">
        <v>14</v>
      </c>
      <c r="Y55" s="111" t="s">
        <v>14</v>
      </c>
      <c r="Z55" s="111" t="s">
        <v>14</v>
      </c>
      <c r="AA55" s="168">
        <f t="shared" si="2"/>
        <v>0.25</v>
      </c>
      <c r="AB55" s="345">
        <f t="shared" ref="AB55" si="61">IF((AA55+AA56+AA57+AA58+AA59)&gt;=0.25,0.25,0)</f>
        <v>0.25</v>
      </c>
      <c r="AC55" s="111" t="s">
        <v>14</v>
      </c>
      <c r="AD55" s="111" t="s">
        <v>14</v>
      </c>
      <c r="AE55" s="159">
        <f t="shared" si="3"/>
        <v>0.25</v>
      </c>
      <c r="AF55" s="346">
        <f t="shared" ref="AF55" si="62">IF((AE55+AE56+AE57+AE58+AE59)&gt;=0.25,0.25,0)</f>
        <v>0.25</v>
      </c>
      <c r="AG55" s="349"/>
    </row>
    <row r="56" spans="1:33" x14ac:dyDescent="0.25">
      <c r="A56" s="296"/>
      <c r="B56" s="299"/>
      <c r="C56" s="24" t="str">
        <f>IF(VLOOKUP(B55,PROPONENTES!$B$10:$N$111,4,FALSE)="","",VLOOKUP(B55,PROPONENTES!$B$10:$N$111,4,FALSE))</f>
        <v>CHM INGENIERÍA SAS</v>
      </c>
      <c r="D56" s="37">
        <f>VLOOKUP(B55,PROPONENTES!$B$10:$N$111,5,FALSE)</f>
        <v>0.1</v>
      </c>
      <c r="E56" s="114" t="s">
        <v>77</v>
      </c>
      <c r="F56" s="114" t="s">
        <v>77</v>
      </c>
      <c r="G56" s="125">
        <f>+'9'!E16</f>
        <v>0</v>
      </c>
      <c r="H56" s="126" t="str">
        <f>IF(C56="","",IF(G56&gt;'9'!$J$15*0.4,"SI","NO"))</f>
        <v>NO</v>
      </c>
      <c r="I56" s="24">
        <f t="shared" ref="I56:I59" si="63">IF(C56="",0,IF(AND(E56="SI",H56="SI",F56="SI"),1,0))</f>
        <v>0</v>
      </c>
      <c r="J56" s="299"/>
      <c r="K56" s="355"/>
      <c r="L56" s="347"/>
      <c r="M56" s="355"/>
      <c r="N56" s="340"/>
      <c r="O56" s="115" t="s">
        <v>118</v>
      </c>
      <c r="P56" s="24">
        <f t="shared" si="0"/>
        <v>0</v>
      </c>
      <c r="Q56" s="340"/>
      <c r="R56" s="355"/>
      <c r="S56" s="340"/>
      <c r="T56" s="343"/>
      <c r="U56" s="116" t="s">
        <v>14</v>
      </c>
      <c r="V56" s="322"/>
      <c r="W56" s="116"/>
      <c r="X56" s="116"/>
      <c r="Y56" s="116"/>
      <c r="Z56" s="116"/>
      <c r="AA56" s="24">
        <f t="shared" si="2"/>
        <v>0</v>
      </c>
      <c r="AB56" s="322"/>
      <c r="AC56" s="116"/>
      <c r="AD56" s="116"/>
      <c r="AE56" s="160">
        <f t="shared" si="3"/>
        <v>0</v>
      </c>
      <c r="AF56" s="347"/>
      <c r="AG56" s="350"/>
    </row>
    <row r="57" spans="1:33" x14ac:dyDescent="0.25">
      <c r="A57" s="296"/>
      <c r="B57" s="299"/>
      <c r="C57" s="24" t="str">
        <f>IF(VLOOKUP(B55,PROPONENTES!$B$10:$N$111,6,FALSE)="","",VLOOKUP(B55,PROPONENTES!$B$10:$N$111,6,FALSE))</f>
        <v/>
      </c>
      <c r="D57" s="37">
        <f>VLOOKUP(B55,PROPONENTES!$B$10:$N$111,7,FALSE)</f>
        <v>0</v>
      </c>
      <c r="E57" s="114"/>
      <c r="F57" s="114"/>
      <c r="G57" s="125" t="str">
        <f>+'9'!E17</f>
        <v/>
      </c>
      <c r="H57" s="126" t="str">
        <f>IF(C57="","",IF(G57&gt;='9'!$J$15*0.4,"SI","NO"))</f>
        <v/>
      </c>
      <c r="I57" s="24">
        <f t="shared" si="63"/>
        <v>0</v>
      </c>
      <c r="J57" s="299"/>
      <c r="K57" s="355"/>
      <c r="L57" s="347"/>
      <c r="M57" s="355"/>
      <c r="N57" s="340"/>
      <c r="O57" s="115"/>
      <c r="P57" s="24" t="str">
        <f t="shared" si="0"/>
        <v>0</v>
      </c>
      <c r="Q57" s="340"/>
      <c r="R57" s="355"/>
      <c r="S57" s="340"/>
      <c r="T57" s="343"/>
      <c r="U57" s="116"/>
      <c r="V57" s="322"/>
      <c r="W57" s="116"/>
      <c r="X57" s="116"/>
      <c r="Y57" s="116"/>
      <c r="Z57" s="116"/>
      <c r="AA57" s="24">
        <f t="shared" si="2"/>
        <v>0</v>
      </c>
      <c r="AB57" s="322"/>
      <c r="AC57" s="116"/>
      <c r="AD57" s="116"/>
      <c r="AE57" s="160">
        <f t="shared" si="3"/>
        <v>0</v>
      </c>
      <c r="AF57" s="347"/>
      <c r="AG57" s="350"/>
    </row>
    <row r="58" spans="1:33" x14ac:dyDescent="0.25">
      <c r="A58" s="296"/>
      <c r="B58" s="299"/>
      <c r="C58" s="24" t="str">
        <f>IF(VLOOKUP(B55,PROPONENTES!$B$10:$N$111,8,FALSE)="","",VLOOKUP(B55,PROPONENTES!$B$10:$N$111,8,FALSE))</f>
        <v/>
      </c>
      <c r="D58" s="37">
        <f>VLOOKUP(B55,PROPONENTES!$B$10:$N$111,9,FALSE)</f>
        <v>0</v>
      </c>
      <c r="E58" s="114"/>
      <c r="F58" s="114"/>
      <c r="G58" s="125" t="str">
        <f>+'9'!E18</f>
        <v/>
      </c>
      <c r="H58" s="126" t="str">
        <f>IF(C58="","",IF(G58&gt;='9'!$J$15*0.4,"SI","NO"))</f>
        <v/>
      </c>
      <c r="I58" s="126">
        <f t="shared" si="63"/>
        <v>0</v>
      </c>
      <c r="J58" s="299"/>
      <c r="K58" s="355"/>
      <c r="L58" s="347"/>
      <c r="M58" s="355"/>
      <c r="N58" s="340"/>
      <c r="O58" s="114"/>
      <c r="P58" s="24" t="str">
        <f t="shared" si="0"/>
        <v>0</v>
      </c>
      <c r="Q58" s="340"/>
      <c r="R58" s="355"/>
      <c r="S58" s="340"/>
      <c r="T58" s="343"/>
      <c r="U58" s="116"/>
      <c r="V58" s="322"/>
      <c r="W58" s="116"/>
      <c r="X58" s="116"/>
      <c r="Y58" s="116"/>
      <c r="Z58" s="116"/>
      <c r="AA58" s="24">
        <f t="shared" si="2"/>
        <v>0</v>
      </c>
      <c r="AB58" s="322"/>
      <c r="AC58" s="116"/>
      <c r="AD58" s="116"/>
      <c r="AE58" s="160">
        <f t="shared" si="3"/>
        <v>0</v>
      </c>
      <c r="AF58" s="347"/>
      <c r="AG58" s="350"/>
    </row>
    <row r="59" spans="1:33" ht="15.75" thickBot="1" x14ac:dyDescent="0.3">
      <c r="A59" s="297"/>
      <c r="B59" s="300"/>
      <c r="C59" s="49" t="str">
        <f>IF(VLOOKUP(B55,PROPONENTES!$B$10:$N$111,10,FALSE)="","",VLOOKUP(B55,PROPONENTES!$B$10:$N$111,10,FALSE))</f>
        <v/>
      </c>
      <c r="D59" s="50">
        <f>VLOOKUP(B55,PROPONENTES!$B$10:$N$111,11,FALSE)</f>
        <v>0</v>
      </c>
      <c r="E59" s="118"/>
      <c r="F59" s="118"/>
      <c r="G59" s="127" t="str">
        <f>+'9'!E19</f>
        <v/>
      </c>
      <c r="H59" s="128" t="str">
        <f>IF(C59="","",IF(G59&gt;='9'!$J$15*0.4,"SI","NO"))</f>
        <v/>
      </c>
      <c r="I59" s="128">
        <f t="shared" si="63"/>
        <v>0</v>
      </c>
      <c r="J59" s="300"/>
      <c r="K59" s="356"/>
      <c r="L59" s="348"/>
      <c r="M59" s="356"/>
      <c r="N59" s="341"/>
      <c r="O59" s="118"/>
      <c r="P59" s="49" t="str">
        <f t="shared" si="0"/>
        <v>0</v>
      </c>
      <c r="Q59" s="341"/>
      <c r="R59" s="356"/>
      <c r="S59" s="341"/>
      <c r="T59" s="344"/>
      <c r="U59" s="148"/>
      <c r="V59" s="323"/>
      <c r="W59" s="148"/>
      <c r="X59" s="148"/>
      <c r="Y59" s="148"/>
      <c r="Z59" s="148"/>
      <c r="AA59" s="169">
        <f t="shared" si="2"/>
        <v>0</v>
      </c>
      <c r="AB59" s="323"/>
      <c r="AC59" s="148"/>
      <c r="AD59" s="148"/>
      <c r="AE59" s="161">
        <f t="shared" si="3"/>
        <v>0</v>
      </c>
      <c r="AF59" s="348"/>
      <c r="AG59" s="351"/>
    </row>
    <row r="60" spans="1:33" x14ac:dyDescent="0.25">
      <c r="A60" s="295">
        <v>10</v>
      </c>
      <c r="B60" s="298" t="str">
        <f>+PROPONENTES!B19</f>
        <v xml:space="preserve">CONSORCIO KENNEDY 013 2024	</v>
      </c>
      <c r="C60" s="44" t="str">
        <f>IF(VLOOKUP(B60,PROPONENTES!$B$10:$N$111,2,FALSE)="","",VLOOKUP(B60,PROPONENTES!$B$10:$N$111,2,FALSE))</f>
        <v>CONSTRUCTORA VALHER</v>
      </c>
      <c r="D60" s="45">
        <f>VLOOKUP(B60,PROPONENTES!$B$10:$N$111,3,FALSE)</f>
        <v>0.9</v>
      </c>
      <c r="E60" s="109" t="s">
        <v>79</v>
      </c>
      <c r="F60" s="109" t="s">
        <v>79</v>
      </c>
      <c r="G60" s="123">
        <f>+'10'!E15</f>
        <v>12136.4755</v>
      </c>
      <c r="H60" s="124" t="str">
        <f>IF(C60="","",IF(G60&gt;'10'!$J$15*0.4,"SI","NO"))</f>
        <v>SI</v>
      </c>
      <c r="I60" s="44">
        <f>IF(C60="",0,IF(AND(E60="SI",H60="SI",F60="SI"),1,0))</f>
        <v>1</v>
      </c>
      <c r="J60" s="298">
        <f>IF((I60+I61+I62+I63+I64)&gt;=1,1,0)</f>
        <v>1</v>
      </c>
      <c r="K60" s="354" t="s">
        <v>14</v>
      </c>
      <c r="L60" s="346">
        <f t="shared" ref="L60:L95" si="64">IF(K60="CUMPLE",10,0)</f>
        <v>10</v>
      </c>
      <c r="M60" s="354"/>
      <c r="N60" s="339">
        <f t="shared" si="23"/>
        <v>0</v>
      </c>
      <c r="O60" s="113" t="s">
        <v>118</v>
      </c>
      <c r="P60" s="44">
        <f t="shared" si="0"/>
        <v>0</v>
      </c>
      <c r="Q60" s="339">
        <f t="shared" ref="Q60" si="65">+L60+N60+IF(SUM(P60:P64)&gt;=1,-1,0)</f>
        <v>10</v>
      </c>
      <c r="R60" s="354" t="s">
        <v>14</v>
      </c>
      <c r="S60" s="339">
        <f t="shared" ref="S60" si="66">IF(R60="CUMPLE",9,0)</f>
        <v>9</v>
      </c>
      <c r="T60" s="342" t="s">
        <v>14</v>
      </c>
      <c r="U60" s="111" t="s">
        <v>14</v>
      </c>
      <c r="V60" s="345">
        <f t="shared" ref="V60" si="67">IF(AND(T60="",U60="",U61="",U62="",U63="",U64=""),"",IF(AND(T60="CUMPLE",U60="",U61="",U62="",U63="",U64=""),"",IF(AND(T60="CUMPLE",OR(U60="CUMPLE",U60=""),OR(U61="CUMPLE",U61=""),OR(U62="CUMPLE",U62=""),OR(U63="CUMPLE",U63=""),OR(U64="CUMPLE",U64="")),20,0)))</f>
        <v>20</v>
      </c>
      <c r="W60" s="116" t="s">
        <v>13</v>
      </c>
      <c r="X60" s="116" t="s">
        <v>13</v>
      </c>
      <c r="Y60" s="116" t="s">
        <v>13</v>
      </c>
      <c r="Z60" s="116" t="s">
        <v>13</v>
      </c>
      <c r="AA60" s="168">
        <f t="shared" si="2"/>
        <v>0</v>
      </c>
      <c r="AB60" s="345">
        <f t="shared" ref="AB60" si="68">IF((AA60+AA61+AA62+AA63+AA64)&gt;=0.25,0.25,0)</f>
        <v>0.25</v>
      </c>
      <c r="AC60" s="111" t="s">
        <v>14</v>
      </c>
      <c r="AD60" s="111" t="s">
        <v>14</v>
      </c>
      <c r="AE60" s="159">
        <f t="shared" si="3"/>
        <v>0.25</v>
      </c>
      <c r="AF60" s="346">
        <f t="shared" ref="AF60" si="69">IF((AE60+AE61+AE62+AE63+AE64)&gt;=0.25,0.25,0)</f>
        <v>0.25</v>
      </c>
      <c r="AG60" s="349"/>
    </row>
    <row r="61" spans="1:33" ht="30" x14ac:dyDescent="0.25">
      <c r="A61" s="296"/>
      <c r="B61" s="299"/>
      <c r="C61" s="24" t="str">
        <f>IF(VLOOKUP(B60,PROPONENTES!$B$10:$N$111,4,FALSE)="","",VLOOKUP(B60,PROPONENTES!$B$10:$N$111,4,FALSE))</f>
        <v xml:space="preserve">MAGDA HEYNNER UMAÑA TORRES </v>
      </c>
      <c r="D61" s="37">
        <f>VLOOKUP(B60,PROPONENTES!$B$10:$N$111,5,FALSE)</f>
        <v>0.1</v>
      </c>
      <c r="E61" s="114" t="s">
        <v>77</v>
      </c>
      <c r="F61" s="114" t="s">
        <v>77</v>
      </c>
      <c r="G61" s="125">
        <f>+'10'!E16</f>
        <v>721.44650000000001</v>
      </c>
      <c r="H61" s="126" t="str">
        <f>IF(C61="","",IF(G61&gt;'10'!$J$15*0.4,"SI","NO"))</f>
        <v>SI</v>
      </c>
      <c r="I61" s="24">
        <f t="shared" ref="I61:I64" si="70">IF(C61="",0,IF(AND(E61="SI",H61="SI",F61="SI"),1,0))</f>
        <v>0</v>
      </c>
      <c r="J61" s="299"/>
      <c r="K61" s="355"/>
      <c r="L61" s="347"/>
      <c r="M61" s="355"/>
      <c r="N61" s="340"/>
      <c r="O61" s="115" t="s">
        <v>118</v>
      </c>
      <c r="P61" s="24">
        <f t="shared" si="0"/>
        <v>0</v>
      </c>
      <c r="Q61" s="340"/>
      <c r="R61" s="355"/>
      <c r="S61" s="340"/>
      <c r="T61" s="343"/>
      <c r="U61" s="116" t="s">
        <v>14</v>
      </c>
      <c r="V61" s="322"/>
      <c r="W61" s="116" t="s">
        <v>14</v>
      </c>
      <c r="X61" s="116" t="s">
        <v>13</v>
      </c>
      <c r="Y61" s="116" t="s">
        <v>13</v>
      </c>
      <c r="Z61" s="116" t="s">
        <v>13</v>
      </c>
      <c r="AA61" s="24">
        <f t="shared" si="2"/>
        <v>0.25</v>
      </c>
      <c r="AB61" s="322"/>
      <c r="AC61" s="116" t="s">
        <v>14</v>
      </c>
      <c r="AD61" s="116" t="s">
        <v>14</v>
      </c>
      <c r="AE61" s="160">
        <f t="shared" si="3"/>
        <v>0.25</v>
      </c>
      <c r="AF61" s="347"/>
      <c r="AG61" s="350"/>
    </row>
    <row r="62" spans="1:33" x14ac:dyDescent="0.25">
      <c r="A62" s="296"/>
      <c r="B62" s="299"/>
      <c r="C62" s="24" t="str">
        <f>IF(VLOOKUP(B60,PROPONENTES!$B$10:$N$111,6,FALSE)="","",VLOOKUP(B60,PROPONENTES!$B$10:$N$111,6,FALSE))</f>
        <v/>
      </c>
      <c r="D62" s="37">
        <f>VLOOKUP(B60,PROPONENTES!$B$10:$N$111,7,FALSE)</f>
        <v>0</v>
      </c>
      <c r="E62" s="114"/>
      <c r="F62" s="114"/>
      <c r="G62" s="125" t="str">
        <f>+'10'!E17</f>
        <v/>
      </c>
      <c r="H62" s="126" t="str">
        <f>IF(C62="","",IF(G62&gt;='10'!$J$15*0.4,"SI","NO"))</f>
        <v/>
      </c>
      <c r="I62" s="24">
        <f t="shared" si="70"/>
        <v>0</v>
      </c>
      <c r="J62" s="299"/>
      <c r="K62" s="355"/>
      <c r="L62" s="347"/>
      <c r="M62" s="355"/>
      <c r="N62" s="340"/>
      <c r="O62" s="115"/>
      <c r="P62" s="24" t="str">
        <f t="shared" si="0"/>
        <v>0</v>
      </c>
      <c r="Q62" s="340"/>
      <c r="R62" s="355"/>
      <c r="S62" s="340"/>
      <c r="T62" s="343"/>
      <c r="U62" s="116"/>
      <c r="V62" s="322"/>
      <c r="W62" s="116"/>
      <c r="X62" s="116"/>
      <c r="Y62" s="116"/>
      <c r="Z62" s="116"/>
      <c r="AA62" s="24">
        <f t="shared" si="2"/>
        <v>0</v>
      </c>
      <c r="AB62" s="322"/>
      <c r="AC62" s="116"/>
      <c r="AD62" s="116"/>
      <c r="AE62" s="160">
        <f t="shared" si="3"/>
        <v>0</v>
      </c>
      <c r="AF62" s="347"/>
      <c r="AG62" s="350"/>
    </row>
    <row r="63" spans="1:33" x14ac:dyDescent="0.25">
      <c r="A63" s="296"/>
      <c r="B63" s="299"/>
      <c r="C63" s="24" t="str">
        <f>IF(VLOOKUP(B60,PROPONENTES!$B$10:$N$111,8,FALSE)="","",VLOOKUP(B60,PROPONENTES!$B$10:$N$111,8,FALSE))</f>
        <v/>
      </c>
      <c r="D63" s="37">
        <f>VLOOKUP(B60,PROPONENTES!$B$10:$N$111,9,FALSE)</f>
        <v>0</v>
      </c>
      <c r="E63" s="114"/>
      <c r="F63" s="114"/>
      <c r="G63" s="125" t="str">
        <f>+'10'!E18</f>
        <v/>
      </c>
      <c r="H63" s="126" t="str">
        <f>IF(C63="","",IF(G63&gt;='10'!$J$15*0.4,"SI","NO"))</f>
        <v/>
      </c>
      <c r="I63" s="126">
        <f t="shared" si="70"/>
        <v>0</v>
      </c>
      <c r="J63" s="299"/>
      <c r="K63" s="355"/>
      <c r="L63" s="347"/>
      <c r="M63" s="355"/>
      <c r="N63" s="340"/>
      <c r="O63" s="114"/>
      <c r="P63" s="24" t="str">
        <f t="shared" si="0"/>
        <v>0</v>
      </c>
      <c r="Q63" s="340"/>
      <c r="R63" s="355"/>
      <c r="S63" s="340"/>
      <c r="T63" s="343"/>
      <c r="U63" s="116"/>
      <c r="V63" s="322"/>
      <c r="W63" s="116"/>
      <c r="X63" s="116"/>
      <c r="Y63" s="116"/>
      <c r="Z63" s="116"/>
      <c r="AA63" s="24">
        <f t="shared" si="2"/>
        <v>0</v>
      </c>
      <c r="AB63" s="322"/>
      <c r="AC63" s="116"/>
      <c r="AD63" s="116"/>
      <c r="AE63" s="160">
        <f t="shared" si="3"/>
        <v>0</v>
      </c>
      <c r="AF63" s="347"/>
      <c r="AG63" s="350"/>
    </row>
    <row r="64" spans="1:33" ht="15.75" thickBot="1" x14ac:dyDescent="0.3">
      <c r="A64" s="297"/>
      <c r="B64" s="300"/>
      <c r="C64" s="49" t="str">
        <f>IF(VLOOKUP(B60,PROPONENTES!$B$10:$N$111,10,FALSE)="","",VLOOKUP(B60,PROPONENTES!$B$10:$N$111,10,FALSE))</f>
        <v/>
      </c>
      <c r="D64" s="50">
        <f>VLOOKUP(B60,PROPONENTES!$B$10:$N$111,11,FALSE)</f>
        <v>0</v>
      </c>
      <c r="E64" s="118"/>
      <c r="F64" s="118"/>
      <c r="G64" s="127" t="str">
        <f>+'10'!E19</f>
        <v/>
      </c>
      <c r="H64" s="128" t="str">
        <f>IF(C64="","",IF(G64&gt;='10'!$J$15*0.4,"SI","NO"))</f>
        <v/>
      </c>
      <c r="I64" s="128">
        <f t="shared" si="70"/>
        <v>0</v>
      </c>
      <c r="J64" s="300"/>
      <c r="K64" s="356"/>
      <c r="L64" s="348"/>
      <c r="M64" s="356"/>
      <c r="N64" s="341"/>
      <c r="O64" s="118"/>
      <c r="P64" s="49" t="str">
        <f t="shared" si="0"/>
        <v>0</v>
      </c>
      <c r="Q64" s="341"/>
      <c r="R64" s="356"/>
      <c r="S64" s="341"/>
      <c r="T64" s="344"/>
      <c r="U64" s="148"/>
      <c r="V64" s="323"/>
      <c r="W64" s="148"/>
      <c r="X64" s="148"/>
      <c r="Y64" s="148"/>
      <c r="Z64" s="148"/>
      <c r="AA64" s="169">
        <f t="shared" si="2"/>
        <v>0</v>
      </c>
      <c r="AB64" s="323"/>
      <c r="AC64" s="148"/>
      <c r="AD64" s="148"/>
      <c r="AE64" s="161">
        <f t="shared" si="3"/>
        <v>0</v>
      </c>
      <c r="AF64" s="348"/>
      <c r="AG64" s="351"/>
    </row>
    <row r="65" spans="1:33" x14ac:dyDescent="0.25">
      <c r="A65" s="295">
        <v>11</v>
      </c>
      <c r="B65" s="298" t="str">
        <f>+PROPONENTES!B20</f>
        <v>CONSORCIO PARQUES KD E&amp;E 2024</v>
      </c>
      <c r="C65" s="44" t="str">
        <f>IF(VLOOKUP(B65,PROPONENTES!$B$10:$N$111,2,FALSE)="","",VLOOKUP(B65,PROPONENTES!$B$10:$N$111,2,FALSE))</f>
        <v>EDC INGENIERIA SAS</v>
      </c>
      <c r="D65" s="45">
        <f>VLOOKUP(B65,PROPONENTES!$B$10:$N$111,3,FALSE)</f>
        <v>0.5</v>
      </c>
      <c r="E65" s="109" t="s">
        <v>79</v>
      </c>
      <c r="F65" s="109" t="s">
        <v>79</v>
      </c>
      <c r="G65" s="123">
        <f>+'11'!E15</f>
        <v>4790.6625000000004</v>
      </c>
      <c r="H65" s="124" t="str">
        <f>IF(C65="","",IF(G65&gt;'11'!$J$15*0.4,"SI","NO"))</f>
        <v>SI</v>
      </c>
      <c r="I65" s="44">
        <f>IF(C65="",0,IF(AND(E65="SI",H65="SI",F65="SI"),1,0))</f>
        <v>1</v>
      </c>
      <c r="J65" s="298">
        <f>IF((I65+I66+I67+I68+I69)&gt;=1,1,0)</f>
        <v>1</v>
      </c>
      <c r="K65" s="354" t="s">
        <v>14</v>
      </c>
      <c r="L65" s="346">
        <f t="shared" ref="L65:L100" si="71">IF(K65="CUMPLE",10,0)</f>
        <v>10</v>
      </c>
      <c r="M65" s="354"/>
      <c r="N65" s="339">
        <f t="shared" si="23"/>
        <v>0</v>
      </c>
      <c r="O65" s="113" t="s">
        <v>118</v>
      </c>
      <c r="P65" s="44">
        <f t="shared" si="0"/>
        <v>0</v>
      </c>
      <c r="Q65" s="339">
        <f t="shared" ref="Q65" si="72">+L65+N65+IF(SUM(P65:P69)&gt;=1,-1,0)</f>
        <v>10</v>
      </c>
      <c r="R65" s="354" t="s">
        <v>14</v>
      </c>
      <c r="S65" s="339">
        <f t="shared" ref="S65" si="73">IF(R65="CUMPLE",9,0)</f>
        <v>9</v>
      </c>
      <c r="T65" s="342" t="s">
        <v>14</v>
      </c>
      <c r="U65" s="111" t="s">
        <v>14</v>
      </c>
      <c r="V65" s="345">
        <f t="shared" ref="V65" si="74">IF(AND(T65="",U65="",U66="",U67="",U68="",U69=""),"",IF(AND(T65="CUMPLE",U65="",U66="",U67="",U68="",U69=""),"",IF(AND(T65="CUMPLE",OR(U65="CUMPLE",U65=""),OR(U66="CUMPLE",U66=""),OR(U67="CUMPLE",U67=""),OR(U68="CUMPLE",U68=""),OR(U69="CUMPLE",U69="")),20,0)))</f>
        <v>20</v>
      </c>
      <c r="W65" s="111" t="s">
        <v>13</v>
      </c>
      <c r="X65" s="111" t="s">
        <v>13</v>
      </c>
      <c r="Y65" s="111" t="s">
        <v>13</v>
      </c>
      <c r="Z65" s="111" t="s">
        <v>13</v>
      </c>
      <c r="AA65" s="168">
        <f t="shared" si="2"/>
        <v>0</v>
      </c>
      <c r="AB65" s="345">
        <f t="shared" ref="AB65" si="75">IF((AA65+AA66+AA67+AA68+AA69)&gt;=0.25,0.25,0)</f>
        <v>0.25</v>
      </c>
      <c r="AC65" s="111" t="s">
        <v>14</v>
      </c>
      <c r="AD65" s="111" t="s">
        <v>14</v>
      </c>
      <c r="AE65" s="159">
        <f t="shared" si="3"/>
        <v>0.25</v>
      </c>
      <c r="AF65" s="346">
        <f t="shared" ref="AF65" si="76">IF((AE65+AE66+AE67+AE68+AE69)&gt;=0.25,0.25,0)</f>
        <v>0.25</v>
      </c>
      <c r="AG65" s="349"/>
    </row>
    <row r="66" spans="1:33" x14ac:dyDescent="0.25">
      <c r="A66" s="296"/>
      <c r="B66" s="299"/>
      <c r="C66" s="24" t="str">
        <f>IF(VLOOKUP(B65,PROPONENTES!$B$10:$N$111,4,FALSE)="","",VLOOKUP(B65,PROPONENTES!$B$10:$N$111,4,FALSE))</f>
        <v>ESTUDIOS E INGENIERIA SAS</v>
      </c>
      <c r="D66" s="37">
        <f>VLOOKUP(B65,PROPONENTES!$B$10:$N$111,5,FALSE)</f>
        <v>0.5</v>
      </c>
      <c r="E66" s="114" t="s">
        <v>79</v>
      </c>
      <c r="F66" s="114" t="s">
        <v>79</v>
      </c>
      <c r="G66" s="125">
        <f>+'11'!E16</f>
        <v>9067.8235000000004</v>
      </c>
      <c r="H66" s="126" t="str">
        <f>IF(C66="","",IF(G66&gt;'11'!$J$15*0.4,"SI","NO"))</f>
        <v>SI</v>
      </c>
      <c r="I66" s="24">
        <f t="shared" ref="I66:I69" si="77">IF(C66="",0,IF(AND(E66="SI",H66="SI",F66="SI"),1,0))</f>
        <v>1</v>
      </c>
      <c r="J66" s="299"/>
      <c r="K66" s="355"/>
      <c r="L66" s="347"/>
      <c r="M66" s="355"/>
      <c r="N66" s="340"/>
      <c r="O66" s="115" t="s">
        <v>118</v>
      </c>
      <c r="P66" s="24">
        <f t="shared" si="0"/>
        <v>0</v>
      </c>
      <c r="Q66" s="340"/>
      <c r="R66" s="355"/>
      <c r="S66" s="340"/>
      <c r="T66" s="343"/>
      <c r="U66" s="116" t="s">
        <v>14</v>
      </c>
      <c r="V66" s="322"/>
      <c r="W66" s="116" t="s">
        <v>14</v>
      </c>
      <c r="X66" s="116" t="s">
        <v>14</v>
      </c>
      <c r="Y66" s="116" t="s">
        <v>14</v>
      </c>
      <c r="Z66" s="116" t="s">
        <v>14</v>
      </c>
      <c r="AA66" s="24">
        <f t="shared" si="2"/>
        <v>0.25</v>
      </c>
      <c r="AB66" s="322"/>
      <c r="AC66" s="116" t="s">
        <v>14</v>
      </c>
      <c r="AD66" s="116" t="s">
        <v>14</v>
      </c>
      <c r="AE66" s="160">
        <f t="shared" si="3"/>
        <v>0.25</v>
      </c>
      <c r="AF66" s="347"/>
      <c r="AG66" s="350"/>
    </row>
    <row r="67" spans="1:33" x14ac:dyDescent="0.25">
      <c r="A67" s="296"/>
      <c r="B67" s="299"/>
      <c r="C67" s="24" t="str">
        <f>IF(VLOOKUP(B65,PROPONENTES!$B$10:$N$111,6,FALSE)="","",VLOOKUP(B65,PROPONENTES!$B$10:$N$111,6,FALSE))</f>
        <v/>
      </c>
      <c r="D67" s="37">
        <f>VLOOKUP(B65,PROPONENTES!$B$10:$N$111,7,FALSE)</f>
        <v>0</v>
      </c>
      <c r="E67" s="114"/>
      <c r="F67" s="114"/>
      <c r="G67" s="125" t="str">
        <f>+'11'!E17</f>
        <v/>
      </c>
      <c r="H67" s="126" t="str">
        <f>IF(C67="","",IF(G67&gt;='11'!$J$15*0.4,"SI","NO"))</f>
        <v/>
      </c>
      <c r="I67" s="24">
        <f t="shared" si="77"/>
        <v>0</v>
      </c>
      <c r="J67" s="299"/>
      <c r="K67" s="355"/>
      <c r="L67" s="347"/>
      <c r="M67" s="355"/>
      <c r="N67" s="340"/>
      <c r="O67" s="115"/>
      <c r="P67" s="24" t="str">
        <f t="shared" si="0"/>
        <v>0</v>
      </c>
      <c r="Q67" s="340"/>
      <c r="R67" s="355"/>
      <c r="S67" s="340"/>
      <c r="T67" s="343"/>
      <c r="U67" s="116"/>
      <c r="V67" s="322"/>
      <c r="W67" s="116"/>
      <c r="X67" s="116"/>
      <c r="Y67" s="116"/>
      <c r="Z67" s="116"/>
      <c r="AA67" s="24">
        <f t="shared" si="2"/>
        <v>0</v>
      </c>
      <c r="AB67" s="322"/>
      <c r="AC67" s="116"/>
      <c r="AD67" s="116"/>
      <c r="AE67" s="160">
        <f t="shared" si="3"/>
        <v>0</v>
      </c>
      <c r="AF67" s="347"/>
      <c r="AG67" s="350"/>
    </row>
    <row r="68" spans="1:33" x14ac:dyDescent="0.25">
      <c r="A68" s="296"/>
      <c r="B68" s="299"/>
      <c r="C68" s="24" t="str">
        <f>IF(VLOOKUP(B65,PROPONENTES!$B$10:$N$111,8,FALSE)="","",VLOOKUP(B65,PROPONENTES!$B$10:$N$111,8,FALSE))</f>
        <v/>
      </c>
      <c r="D68" s="37">
        <f>VLOOKUP(B65,PROPONENTES!$B$10:$N$111,9,FALSE)</f>
        <v>0</v>
      </c>
      <c r="E68" s="114"/>
      <c r="F68" s="114"/>
      <c r="G68" s="125" t="str">
        <f>+'11'!E18</f>
        <v/>
      </c>
      <c r="H68" s="126" t="str">
        <f>IF(C68="","",IF(G68&gt;='11'!$J$15*0.4,"SI","NO"))</f>
        <v/>
      </c>
      <c r="I68" s="126">
        <f t="shared" si="77"/>
        <v>0</v>
      </c>
      <c r="J68" s="299"/>
      <c r="K68" s="355"/>
      <c r="L68" s="347"/>
      <c r="M68" s="355"/>
      <c r="N68" s="340"/>
      <c r="O68" s="114"/>
      <c r="P68" s="24" t="str">
        <f t="shared" si="0"/>
        <v>0</v>
      </c>
      <c r="Q68" s="340"/>
      <c r="R68" s="355"/>
      <c r="S68" s="340"/>
      <c r="T68" s="343"/>
      <c r="U68" s="116"/>
      <c r="V68" s="322"/>
      <c r="W68" s="116"/>
      <c r="X68" s="116"/>
      <c r="Y68" s="116"/>
      <c r="Z68" s="116"/>
      <c r="AA68" s="24">
        <f t="shared" si="2"/>
        <v>0</v>
      </c>
      <c r="AB68" s="322"/>
      <c r="AC68" s="116"/>
      <c r="AD68" s="116"/>
      <c r="AE68" s="160">
        <f t="shared" si="3"/>
        <v>0</v>
      </c>
      <c r="AF68" s="347"/>
      <c r="AG68" s="350"/>
    </row>
    <row r="69" spans="1:33" ht="15.75" thickBot="1" x14ac:dyDescent="0.3">
      <c r="A69" s="297"/>
      <c r="B69" s="300"/>
      <c r="C69" s="49" t="str">
        <f>IF(VLOOKUP(B65,PROPONENTES!$B$10:$N$111,10,FALSE)="","",VLOOKUP(B65,PROPONENTES!$B$10:$N$111,10,FALSE))</f>
        <v/>
      </c>
      <c r="D69" s="50">
        <f>VLOOKUP(B65,PROPONENTES!$B$10:$N$111,11,FALSE)</f>
        <v>0</v>
      </c>
      <c r="E69" s="118"/>
      <c r="F69" s="118"/>
      <c r="G69" s="127" t="str">
        <f>+'11'!E19</f>
        <v/>
      </c>
      <c r="H69" s="128" t="str">
        <f>IF(C69="","",IF(G69&gt;='11'!$J$15*0.4,"SI","NO"))</f>
        <v/>
      </c>
      <c r="I69" s="128">
        <f t="shared" si="77"/>
        <v>0</v>
      </c>
      <c r="J69" s="300"/>
      <c r="K69" s="356"/>
      <c r="L69" s="348"/>
      <c r="M69" s="356"/>
      <c r="N69" s="341"/>
      <c r="O69" s="118"/>
      <c r="P69" s="49" t="str">
        <f t="shared" si="0"/>
        <v>0</v>
      </c>
      <c r="Q69" s="341"/>
      <c r="R69" s="356"/>
      <c r="S69" s="341"/>
      <c r="T69" s="344"/>
      <c r="U69" s="148"/>
      <c r="V69" s="323"/>
      <c r="W69" s="148"/>
      <c r="X69" s="148"/>
      <c r="Y69" s="148"/>
      <c r="Z69" s="148"/>
      <c r="AA69" s="169">
        <f t="shared" si="2"/>
        <v>0</v>
      </c>
      <c r="AB69" s="323"/>
      <c r="AC69" s="148"/>
      <c r="AD69" s="148"/>
      <c r="AE69" s="161">
        <f t="shared" si="3"/>
        <v>0</v>
      </c>
      <c r="AF69" s="348"/>
      <c r="AG69" s="351"/>
    </row>
    <row r="70" spans="1:33" x14ac:dyDescent="0.25">
      <c r="A70" s="295">
        <v>12</v>
      </c>
      <c r="B70" s="298" t="str">
        <f>+PROPONENTES!B21</f>
        <v>CONSORCIO RC-B - FDLK-LP-013-2024</v>
      </c>
      <c r="C70" s="44" t="str">
        <f>IF(VLOOKUP(B70,PROPONENTES!$B$10:$N$111,2,FALSE)="","",VLOOKUP(B70,PROPONENTES!$B$10:$N$111,2,FALSE))</f>
        <v>RC ARQUITECTOS SAS</v>
      </c>
      <c r="D70" s="45">
        <f>VLOOKUP(B70,PROPONENTES!$B$10:$N$111,3,FALSE)</f>
        <v>0.9</v>
      </c>
      <c r="E70" s="109" t="s">
        <v>79</v>
      </c>
      <c r="F70" s="109" t="s">
        <v>79</v>
      </c>
      <c r="G70" s="123">
        <f>+'12'!E15</f>
        <v>2314.1064999999999</v>
      </c>
      <c r="H70" s="124" t="str">
        <f>IF(C70="","",IF(G70&gt;'12'!$J$15*0.4,"SI","NO"))</f>
        <v>SI</v>
      </c>
      <c r="I70" s="44">
        <f>IF(C70="",0,IF(AND(E70="SI",H70="SI",F70="SI"),1,0))</f>
        <v>1</v>
      </c>
      <c r="J70" s="298">
        <f>IF((I70+I71+I72+I73+I74)&gt;=1,1,0)</f>
        <v>1</v>
      </c>
      <c r="K70" s="354" t="s">
        <v>14</v>
      </c>
      <c r="L70" s="346">
        <f t="shared" ref="L70:L105" si="78">IF(K70="CUMPLE",10,0)</f>
        <v>10</v>
      </c>
      <c r="M70" s="354"/>
      <c r="N70" s="339">
        <f t="shared" si="23"/>
        <v>0</v>
      </c>
      <c r="O70" s="113" t="s">
        <v>118</v>
      </c>
      <c r="P70" s="44">
        <f t="shared" si="0"/>
        <v>0</v>
      </c>
      <c r="Q70" s="339">
        <f t="shared" ref="Q70" si="79">+L70+N70+IF(SUM(P70:P74)&gt;=1,-1,0)</f>
        <v>10</v>
      </c>
      <c r="R70" s="354" t="s">
        <v>14</v>
      </c>
      <c r="S70" s="339">
        <f t="shared" ref="S70" si="80">IF(R70="CUMPLE",9,0)</f>
        <v>9</v>
      </c>
      <c r="T70" s="342" t="s">
        <v>14</v>
      </c>
      <c r="U70" s="111" t="s">
        <v>14</v>
      </c>
      <c r="V70" s="345">
        <f t="shared" ref="V70" si="81">IF(AND(T70="",U70="",U71="",U72="",U73="",U74=""),"",IF(AND(T70="CUMPLE",U70="",U71="",U72="",U73="",U74=""),"",IF(AND(T70="CUMPLE",OR(U70="CUMPLE",U70=""),OR(U71="CUMPLE",U71=""),OR(U72="CUMPLE",U72=""),OR(U73="CUMPLE",U73=""),OR(U74="CUMPLE",U74="")),20,0)))</f>
        <v>20</v>
      </c>
      <c r="W70" s="111" t="s">
        <v>13</v>
      </c>
      <c r="X70" s="111" t="s">
        <v>13</v>
      </c>
      <c r="Y70" s="111" t="s">
        <v>13</v>
      </c>
      <c r="Z70" s="111" t="s">
        <v>13</v>
      </c>
      <c r="AA70" s="168">
        <f t="shared" si="2"/>
        <v>0</v>
      </c>
      <c r="AB70" s="345">
        <f t="shared" ref="AB70" si="82">IF((AA70+AA71+AA72+AA73+AA74)&gt;=0.25,0.25,0)</f>
        <v>0.25</v>
      </c>
      <c r="AC70" s="111" t="s">
        <v>14</v>
      </c>
      <c r="AD70" s="111" t="s">
        <v>14</v>
      </c>
      <c r="AE70" s="159">
        <f t="shared" si="3"/>
        <v>0.25</v>
      </c>
      <c r="AF70" s="346">
        <f t="shared" ref="AF70" si="83">IF((AE70+AE71+AE72+AE73+AE74)&gt;=0.25,0.25,0)</f>
        <v>0.25</v>
      </c>
      <c r="AG70" s="349"/>
    </row>
    <row r="71" spans="1:33" x14ac:dyDescent="0.25">
      <c r="A71" s="296"/>
      <c r="B71" s="299"/>
      <c r="C71" s="24" t="str">
        <f>IF(VLOOKUP(B70,PROPONENTES!$B$10:$N$111,4,FALSE)="","",VLOOKUP(B70,PROPONENTES!$B$10:$N$111,4,FALSE))</f>
        <v xml:space="preserve">BUSINES GROUP CG SAS </v>
      </c>
      <c r="D71" s="37">
        <f>VLOOKUP(B70,PROPONENTES!$B$10:$N$111,5,FALSE)</f>
        <v>0.1</v>
      </c>
      <c r="E71" s="114" t="s">
        <v>77</v>
      </c>
      <c r="F71" s="114" t="s">
        <v>77</v>
      </c>
      <c r="G71" s="125">
        <f>+'12'!E16</f>
        <v>0</v>
      </c>
      <c r="H71" s="126" t="str">
        <f>IF(C71="","",IF(G71&gt;'12'!$J$15*0.4,"SI","NO"))</f>
        <v>NO</v>
      </c>
      <c r="I71" s="24">
        <f t="shared" ref="I71:I74" si="84">IF(C71="",0,IF(AND(E71="SI",H71="SI",F71="SI"),1,0))</f>
        <v>0</v>
      </c>
      <c r="J71" s="299"/>
      <c r="K71" s="355"/>
      <c r="L71" s="347"/>
      <c r="M71" s="355"/>
      <c r="N71" s="340"/>
      <c r="O71" s="115" t="s">
        <v>118</v>
      </c>
      <c r="P71" s="24">
        <f t="shared" si="0"/>
        <v>0</v>
      </c>
      <c r="Q71" s="340"/>
      <c r="R71" s="355"/>
      <c r="S71" s="340"/>
      <c r="T71" s="343"/>
      <c r="U71" s="116" t="s">
        <v>14</v>
      </c>
      <c r="V71" s="322"/>
      <c r="W71" s="116" t="s">
        <v>14</v>
      </c>
      <c r="X71" s="116" t="s">
        <v>14</v>
      </c>
      <c r="Y71" s="116" t="s">
        <v>14</v>
      </c>
      <c r="Z71" s="116" t="s">
        <v>14</v>
      </c>
      <c r="AA71" s="24">
        <f t="shared" si="2"/>
        <v>0.25</v>
      </c>
      <c r="AB71" s="322"/>
      <c r="AC71" s="116" t="s">
        <v>14</v>
      </c>
      <c r="AD71" s="116" t="s">
        <v>14</v>
      </c>
      <c r="AE71" s="160">
        <f t="shared" si="3"/>
        <v>0.25</v>
      </c>
      <c r="AF71" s="347"/>
      <c r="AG71" s="350"/>
    </row>
    <row r="72" spans="1:33" x14ac:dyDescent="0.25">
      <c r="A72" s="296"/>
      <c r="B72" s="299"/>
      <c r="C72" s="24" t="str">
        <f>IF(VLOOKUP(B70,PROPONENTES!$B$10:$N$111,6,FALSE)="","",VLOOKUP(B70,PROPONENTES!$B$10:$N$111,6,FALSE))</f>
        <v/>
      </c>
      <c r="D72" s="37">
        <f>VLOOKUP(B70,PROPONENTES!$B$10:$N$111,7,FALSE)</f>
        <v>0</v>
      </c>
      <c r="E72" s="114"/>
      <c r="F72" s="114"/>
      <c r="G72" s="125" t="str">
        <f>+'12'!E17</f>
        <v/>
      </c>
      <c r="H72" s="126" t="str">
        <f>IF(C72="","",IF(G72&gt;='12'!$J$15*0.4,"SI","NO"))</f>
        <v/>
      </c>
      <c r="I72" s="24">
        <f t="shared" si="84"/>
        <v>0</v>
      </c>
      <c r="J72" s="299"/>
      <c r="K72" s="355"/>
      <c r="L72" s="347"/>
      <c r="M72" s="355"/>
      <c r="N72" s="340"/>
      <c r="O72" s="115"/>
      <c r="P72" s="24" t="str">
        <f t="shared" si="0"/>
        <v>0</v>
      </c>
      <c r="Q72" s="340"/>
      <c r="R72" s="355"/>
      <c r="S72" s="340"/>
      <c r="T72" s="343"/>
      <c r="U72" s="116"/>
      <c r="V72" s="322"/>
      <c r="W72" s="116"/>
      <c r="X72" s="116"/>
      <c r="Y72" s="116"/>
      <c r="Z72" s="116"/>
      <c r="AA72" s="24">
        <f t="shared" si="2"/>
        <v>0</v>
      </c>
      <c r="AB72" s="322"/>
      <c r="AC72" s="116"/>
      <c r="AD72" s="116"/>
      <c r="AE72" s="160">
        <f t="shared" si="3"/>
        <v>0</v>
      </c>
      <c r="AF72" s="347"/>
      <c r="AG72" s="350"/>
    </row>
    <row r="73" spans="1:33" x14ac:dyDescent="0.25">
      <c r="A73" s="296"/>
      <c r="B73" s="299"/>
      <c r="C73" s="24" t="str">
        <f>IF(VLOOKUP(B70,PROPONENTES!$B$10:$N$111,8,FALSE)="","",VLOOKUP(B70,PROPONENTES!$B$10:$N$111,8,FALSE))</f>
        <v/>
      </c>
      <c r="D73" s="37">
        <f>VLOOKUP(B70,PROPONENTES!$B$10:$N$111,9,FALSE)</f>
        <v>0</v>
      </c>
      <c r="E73" s="114"/>
      <c r="F73" s="114"/>
      <c r="G73" s="125" t="str">
        <f>+'12'!E18</f>
        <v/>
      </c>
      <c r="H73" s="126" t="str">
        <f>IF(C73="","",IF(G73&gt;='12'!$J$15*0.4,"SI","NO"))</f>
        <v/>
      </c>
      <c r="I73" s="126">
        <f t="shared" si="84"/>
        <v>0</v>
      </c>
      <c r="J73" s="299"/>
      <c r="K73" s="355"/>
      <c r="L73" s="347"/>
      <c r="M73" s="355"/>
      <c r="N73" s="340"/>
      <c r="O73" s="114"/>
      <c r="P73" s="24" t="str">
        <f t="shared" si="0"/>
        <v>0</v>
      </c>
      <c r="Q73" s="340"/>
      <c r="R73" s="355"/>
      <c r="S73" s="340"/>
      <c r="T73" s="343"/>
      <c r="U73" s="116"/>
      <c r="V73" s="322"/>
      <c r="W73" s="116"/>
      <c r="X73" s="116"/>
      <c r="Y73" s="116"/>
      <c r="Z73" s="116"/>
      <c r="AA73" s="24">
        <f t="shared" si="2"/>
        <v>0</v>
      </c>
      <c r="AB73" s="322"/>
      <c r="AC73" s="116"/>
      <c r="AD73" s="116"/>
      <c r="AE73" s="160">
        <f t="shared" si="3"/>
        <v>0</v>
      </c>
      <c r="AF73" s="347"/>
      <c r="AG73" s="350"/>
    </row>
    <row r="74" spans="1:33" ht="15.75" thickBot="1" x14ac:dyDescent="0.3">
      <c r="A74" s="297"/>
      <c r="B74" s="300"/>
      <c r="C74" s="49" t="str">
        <f>IF(VLOOKUP(B70,PROPONENTES!$B$10:$N$111,10,FALSE)="","",VLOOKUP(B70,PROPONENTES!$B$10:$N$111,10,FALSE))</f>
        <v/>
      </c>
      <c r="D74" s="50">
        <f>VLOOKUP(B70,PROPONENTES!$B$10:$N$111,11,FALSE)</f>
        <v>0</v>
      </c>
      <c r="E74" s="118"/>
      <c r="F74" s="118"/>
      <c r="G74" s="127" t="str">
        <f>+'12'!E19</f>
        <v/>
      </c>
      <c r="H74" s="128" t="str">
        <f>IF(C74="","",IF(G74&gt;='12'!$J$15*0.4,"SI","NO"))</f>
        <v/>
      </c>
      <c r="I74" s="128">
        <f t="shared" si="84"/>
        <v>0</v>
      </c>
      <c r="J74" s="300"/>
      <c r="K74" s="356"/>
      <c r="L74" s="348"/>
      <c r="M74" s="356"/>
      <c r="N74" s="341"/>
      <c r="O74" s="118"/>
      <c r="P74" s="49" t="str">
        <f t="shared" si="0"/>
        <v>0</v>
      </c>
      <c r="Q74" s="341"/>
      <c r="R74" s="356"/>
      <c r="S74" s="341"/>
      <c r="T74" s="344"/>
      <c r="U74" s="148"/>
      <c r="V74" s="323"/>
      <c r="W74" s="148"/>
      <c r="X74" s="148"/>
      <c r="Y74" s="148"/>
      <c r="Z74" s="148"/>
      <c r="AA74" s="169">
        <f t="shared" si="2"/>
        <v>0</v>
      </c>
      <c r="AB74" s="323"/>
      <c r="AC74" s="148"/>
      <c r="AD74" s="148"/>
      <c r="AE74" s="161">
        <f t="shared" si="3"/>
        <v>0</v>
      </c>
      <c r="AF74" s="348"/>
      <c r="AG74" s="351"/>
    </row>
    <row r="75" spans="1:33" x14ac:dyDescent="0.25">
      <c r="A75" s="295">
        <v>13</v>
      </c>
      <c r="B75" s="298" t="str">
        <f>+PROPONENTES!B22</f>
        <v>CONSORCIO KENNEPARK BQ 2024</v>
      </c>
      <c r="C75" s="44" t="str">
        <f>IF(VLOOKUP(B75,PROPONENTES!$B$10:$N$111,2,FALSE)="","",VLOOKUP(B75,PROPONENTES!$B$10:$N$111,2,FALSE))</f>
        <v xml:space="preserve">BRAYCON INGENIERIA SAS </v>
      </c>
      <c r="D75" s="45">
        <f>VLOOKUP(B75,PROPONENTES!$B$10:$N$111,3,FALSE)</f>
        <v>0.45</v>
      </c>
      <c r="E75" s="109" t="s">
        <v>77</v>
      </c>
      <c r="F75" s="109" t="s">
        <v>77</v>
      </c>
      <c r="G75" s="123">
        <f>+'13'!E15</f>
        <v>1445.6814999999999</v>
      </c>
      <c r="H75" s="124" t="str">
        <f>IF(C75="","",IF(G75&gt;'13'!$J$15*0.4,"SI","NO"))</f>
        <v>SI</v>
      </c>
      <c r="I75" s="44">
        <f>IF(C75="",0,IF(AND(E75="SI",H75="SI",F75="SI"),1,0))</f>
        <v>0</v>
      </c>
      <c r="J75" s="298">
        <f>IF((I75+I76+I77+I78+I79)&gt;=1,1,0)</f>
        <v>1</v>
      </c>
      <c r="K75" s="354" t="s">
        <v>14</v>
      </c>
      <c r="L75" s="346">
        <f t="shared" ref="L75:L110" si="85">IF(K75="CUMPLE",10,0)</f>
        <v>10</v>
      </c>
      <c r="M75" s="354"/>
      <c r="N75" s="339">
        <f t="shared" si="23"/>
        <v>0</v>
      </c>
      <c r="O75" s="113" t="s">
        <v>118</v>
      </c>
      <c r="P75" s="44">
        <f t="shared" si="0"/>
        <v>0</v>
      </c>
      <c r="Q75" s="339">
        <f t="shared" ref="Q75" si="86">+L75+N75+IF(SUM(P75:P79)&gt;=1,-1,0)</f>
        <v>10</v>
      </c>
      <c r="R75" s="354" t="s">
        <v>14</v>
      </c>
      <c r="S75" s="339">
        <f t="shared" ref="S75" si="87">IF(R75="CUMPLE",9,0)</f>
        <v>9</v>
      </c>
      <c r="T75" s="342" t="s">
        <v>14</v>
      </c>
      <c r="U75" s="111" t="s">
        <v>14</v>
      </c>
      <c r="V75" s="345">
        <f t="shared" ref="V75" si="88">IF(AND(T75="",U75="",U76="",U77="",U78="",U79=""),"",IF(AND(T75="CUMPLE",U75="",U76="",U77="",U78="",U79=""),"",IF(AND(T75="CUMPLE",OR(U75="CUMPLE",U75=""),OR(U76="CUMPLE",U76=""),OR(U77="CUMPLE",U77=""),OR(U78="CUMPLE",U78=""),OR(U79="CUMPLE",U79="")),20,0)))</f>
        <v>20</v>
      </c>
      <c r="W75" s="111" t="s">
        <v>14</v>
      </c>
      <c r="X75" s="116" t="s">
        <v>13</v>
      </c>
      <c r="Y75" s="116" t="s">
        <v>13</v>
      </c>
      <c r="Z75" s="116" t="s">
        <v>13</v>
      </c>
      <c r="AA75" s="168">
        <f t="shared" si="2"/>
        <v>0.25</v>
      </c>
      <c r="AB75" s="345">
        <f t="shared" ref="AB75" si="89">IF((AA75+AA76+AA77+AA78+AA79)&gt;=0.25,0.25,0)</f>
        <v>0.25</v>
      </c>
      <c r="AC75" s="111" t="s">
        <v>14</v>
      </c>
      <c r="AD75" s="111" t="s">
        <v>14</v>
      </c>
      <c r="AE75" s="159">
        <f t="shared" si="3"/>
        <v>0.25</v>
      </c>
      <c r="AF75" s="346">
        <f t="shared" ref="AF75" si="90">IF((AE75+AE76+AE77+AE78+AE79)&gt;=0.25,0.25,0)</f>
        <v>0.25</v>
      </c>
      <c r="AG75" s="349"/>
    </row>
    <row r="76" spans="1:33" ht="30" x14ac:dyDescent="0.25">
      <c r="A76" s="296"/>
      <c r="B76" s="299"/>
      <c r="C76" s="24" t="str">
        <f>IF(VLOOKUP(B75,PROPONENTES!$B$10:$N$111,4,FALSE)="","",VLOOKUP(B75,PROPONENTES!$B$10:$N$111,4,FALSE))</f>
        <v xml:space="preserve">CARLOS ARTURO ARANGO 
SALAZAR </v>
      </c>
      <c r="D76" s="37">
        <f>VLOOKUP(B75,PROPONENTES!$B$10:$N$111,5,FALSE)</f>
        <v>0.05</v>
      </c>
      <c r="E76" s="114" t="s">
        <v>77</v>
      </c>
      <c r="F76" s="114" t="s">
        <v>79</v>
      </c>
      <c r="G76" s="125">
        <f>+'13'!E16</f>
        <v>4500.6549999999997</v>
      </c>
      <c r="H76" s="126" t="str">
        <f>IF(C76="","",IF(G76&gt;'13'!$J$15*0.4,"SI","NO"))</f>
        <v>SI</v>
      </c>
      <c r="I76" s="24">
        <f t="shared" ref="I76:I79" si="91">IF(C76="",0,IF(AND(E76="SI",H76="SI",F76="SI"),1,0))</f>
        <v>0</v>
      </c>
      <c r="J76" s="299"/>
      <c r="K76" s="355"/>
      <c r="L76" s="347"/>
      <c r="M76" s="355"/>
      <c r="N76" s="340"/>
      <c r="O76" s="115" t="s">
        <v>118</v>
      </c>
      <c r="P76" s="24">
        <f t="shared" si="0"/>
        <v>0</v>
      </c>
      <c r="Q76" s="340"/>
      <c r="R76" s="355"/>
      <c r="S76" s="340"/>
      <c r="T76" s="343"/>
      <c r="U76" s="116" t="s">
        <v>14</v>
      </c>
      <c r="V76" s="322"/>
      <c r="W76" s="116" t="s">
        <v>13</v>
      </c>
      <c r="X76" s="116" t="s">
        <v>13</v>
      </c>
      <c r="Y76" s="116" t="s">
        <v>13</v>
      </c>
      <c r="Z76" s="116" t="s">
        <v>13</v>
      </c>
      <c r="AA76" s="24">
        <f t="shared" si="2"/>
        <v>0</v>
      </c>
      <c r="AB76" s="322"/>
      <c r="AC76" s="116" t="s">
        <v>14</v>
      </c>
      <c r="AD76" s="116" t="s">
        <v>14</v>
      </c>
      <c r="AE76" s="160">
        <f t="shared" si="3"/>
        <v>0</v>
      </c>
      <c r="AF76" s="347"/>
      <c r="AG76" s="350"/>
    </row>
    <row r="77" spans="1:33" x14ac:dyDescent="0.25">
      <c r="A77" s="296"/>
      <c r="B77" s="299"/>
      <c r="C77" s="24" t="str">
        <f>IF(VLOOKUP(B75,PROPONENTES!$B$10:$N$111,6,FALSE)="","",VLOOKUP(B75,PROPONENTES!$B$10:$N$111,6,FALSE))</f>
        <v xml:space="preserve">DQ INVERSIONES SAS </v>
      </c>
      <c r="D77" s="37">
        <f>VLOOKUP(B75,PROPONENTES!$B$10:$N$111,7,FALSE)</f>
        <v>0.5</v>
      </c>
      <c r="E77" s="114" t="s">
        <v>79</v>
      </c>
      <c r="F77" s="114" t="s">
        <v>79</v>
      </c>
      <c r="G77" s="125">
        <f>+'13'!E17</f>
        <v>10460.316999999999</v>
      </c>
      <c r="H77" s="126" t="str">
        <f>IF(C77="","",IF(G77&gt;'13'!$J$15*0.4,"SI","NO"))</f>
        <v>SI</v>
      </c>
      <c r="I77" s="24">
        <f t="shared" si="91"/>
        <v>1</v>
      </c>
      <c r="J77" s="299"/>
      <c r="K77" s="355"/>
      <c r="L77" s="347"/>
      <c r="M77" s="355"/>
      <c r="N77" s="340"/>
      <c r="O77" s="115" t="s">
        <v>118</v>
      </c>
      <c r="P77" s="24">
        <f t="shared" si="0"/>
        <v>0</v>
      </c>
      <c r="Q77" s="340"/>
      <c r="R77" s="355"/>
      <c r="S77" s="340"/>
      <c r="T77" s="343"/>
      <c r="U77" s="116" t="s">
        <v>14</v>
      </c>
      <c r="V77" s="322"/>
      <c r="W77" s="116" t="s">
        <v>14</v>
      </c>
      <c r="X77" s="116" t="s">
        <v>13</v>
      </c>
      <c r="Y77" s="116" t="s">
        <v>13</v>
      </c>
      <c r="Z77" s="116" t="s">
        <v>13</v>
      </c>
      <c r="AA77" s="24">
        <f t="shared" si="2"/>
        <v>0.25</v>
      </c>
      <c r="AB77" s="322"/>
      <c r="AC77" s="116" t="s">
        <v>14</v>
      </c>
      <c r="AD77" s="116" t="s">
        <v>14</v>
      </c>
      <c r="AE77" s="160">
        <f t="shared" si="3"/>
        <v>0.25</v>
      </c>
      <c r="AF77" s="347"/>
      <c r="AG77" s="350"/>
    </row>
    <row r="78" spans="1:33" x14ac:dyDescent="0.25">
      <c r="A78" s="296"/>
      <c r="B78" s="299"/>
      <c r="C78" s="24" t="str">
        <f>IF(VLOOKUP(B75,PROPONENTES!$B$10:$N$111,8,FALSE)="","",VLOOKUP(B75,PROPONENTES!$B$10:$N$111,8,FALSE))</f>
        <v/>
      </c>
      <c r="D78" s="37">
        <f>VLOOKUP(B75,PROPONENTES!$B$10:$N$111,9,FALSE)</f>
        <v>0</v>
      </c>
      <c r="E78" s="114"/>
      <c r="F78" s="114"/>
      <c r="G78" s="125" t="str">
        <f>+'13'!E18</f>
        <v/>
      </c>
      <c r="H78" s="126" t="str">
        <f>IF(C78="","",IF(G78&gt;='13'!$J$15*0.4,"SI","NO"))</f>
        <v/>
      </c>
      <c r="I78" s="126">
        <f t="shared" si="91"/>
        <v>0</v>
      </c>
      <c r="J78" s="299"/>
      <c r="K78" s="355"/>
      <c r="L78" s="347"/>
      <c r="M78" s="355"/>
      <c r="N78" s="340"/>
      <c r="O78" s="114"/>
      <c r="P78" s="24" t="str">
        <f t="shared" si="0"/>
        <v>0</v>
      </c>
      <c r="Q78" s="340"/>
      <c r="R78" s="355"/>
      <c r="S78" s="340"/>
      <c r="T78" s="343"/>
      <c r="U78" s="116"/>
      <c r="V78" s="322"/>
      <c r="W78" s="116"/>
      <c r="X78" s="116"/>
      <c r="Y78" s="116"/>
      <c r="Z78" s="116"/>
      <c r="AA78" s="24">
        <f t="shared" si="2"/>
        <v>0</v>
      </c>
      <c r="AB78" s="322"/>
      <c r="AC78" s="116"/>
      <c r="AD78" s="116"/>
      <c r="AE78" s="160">
        <f t="shared" si="3"/>
        <v>0</v>
      </c>
      <c r="AF78" s="347"/>
      <c r="AG78" s="350"/>
    </row>
    <row r="79" spans="1:33" ht="15.75" thickBot="1" x14ac:dyDescent="0.3">
      <c r="A79" s="297"/>
      <c r="B79" s="300"/>
      <c r="C79" s="49" t="str">
        <f>IF(VLOOKUP(B75,PROPONENTES!$B$10:$N$111,10,FALSE)="","",VLOOKUP(B75,PROPONENTES!$B$10:$N$111,10,FALSE))</f>
        <v/>
      </c>
      <c r="D79" s="50">
        <f>VLOOKUP(B75,PROPONENTES!$B$10:$N$111,11,FALSE)</f>
        <v>0</v>
      </c>
      <c r="E79" s="118"/>
      <c r="F79" s="118"/>
      <c r="G79" s="127" t="str">
        <f>+'13'!E19</f>
        <v/>
      </c>
      <c r="H79" s="128" t="str">
        <f>IF(C79="","",IF(G79&gt;='13'!$J$15*0.4,"SI","NO"))</f>
        <v/>
      </c>
      <c r="I79" s="128">
        <f t="shared" si="91"/>
        <v>0</v>
      </c>
      <c r="J79" s="300"/>
      <c r="K79" s="356"/>
      <c r="L79" s="348"/>
      <c r="M79" s="356"/>
      <c r="N79" s="341"/>
      <c r="O79" s="118"/>
      <c r="P79" s="49" t="str">
        <f t="shared" ref="P79:P142" si="92">IF(C79="","0",IF(O79="REPORTADO",1,0))</f>
        <v>0</v>
      </c>
      <c r="Q79" s="341"/>
      <c r="R79" s="356"/>
      <c r="S79" s="341"/>
      <c r="T79" s="344"/>
      <c r="U79" s="148"/>
      <c r="V79" s="323"/>
      <c r="W79" s="148"/>
      <c r="X79" s="148"/>
      <c r="Y79" s="148"/>
      <c r="Z79" s="148"/>
      <c r="AA79" s="169">
        <f t="shared" si="2"/>
        <v>0</v>
      </c>
      <c r="AB79" s="323"/>
      <c r="AC79" s="148"/>
      <c r="AD79" s="148"/>
      <c r="AE79" s="161">
        <f t="shared" si="3"/>
        <v>0</v>
      </c>
      <c r="AF79" s="348"/>
      <c r="AG79" s="351"/>
    </row>
    <row r="80" spans="1:33" ht="30" x14ac:dyDescent="0.25">
      <c r="A80" s="295">
        <v>14</v>
      </c>
      <c r="B80" s="298" t="str">
        <f>+PROPONENTES!B23</f>
        <v>CONSORCIO PARQUES ARM 2024</v>
      </c>
      <c r="C80" s="44" t="str">
        <f>IF(VLOOKUP(B80,PROPONENTES!$B$10:$N$111,2,FALSE)="","",VLOOKUP(B80,PROPONENTES!$B$10:$N$111,2,FALSE))</f>
        <v xml:space="preserve">ARM CONSULTORIA Y CONSTRUCCIONES S.A.S. </v>
      </c>
      <c r="D80" s="45">
        <f>VLOOKUP(B80,PROPONENTES!$B$10:$N$111,3,FALSE)</f>
        <v>0.1</v>
      </c>
      <c r="E80" s="109" t="s">
        <v>77</v>
      </c>
      <c r="F80" s="109" t="s">
        <v>77</v>
      </c>
      <c r="G80" s="123">
        <f>+'14'!E15</f>
        <v>0</v>
      </c>
      <c r="H80" s="124" t="str">
        <f>IF(C80="","",IF(G80&gt;'14'!$J$15*0.4,"SI","NO"))</f>
        <v>NO</v>
      </c>
      <c r="I80" s="44">
        <f>IF(C80="",0,IF(AND(E80="SI",H80="SI",F80="SI"),1,0))</f>
        <v>0</v>
      </c>
      <c r="J80" s="298">
        <f>IF((I80+I81+I82+I83+I84)&gt;=1,1,0)</f>
        <v>1</v>
      </c>
      <c r="K80" s="354" t="s">
        <v>14</v>
      </c>
      <c r="L80" s="346">
        <f t="shared" ref="L80:L115" si="93">IF(K80="CUMPLE",10,0)</f>
        <v>10</v>
      </c>
      <c r="M80" s="354"/>
      <c r="N80" s="339">
        <f t="shared" si="23"/>
        <v>0</v>
      </c>
      <c r="O80" s="113" t="s">
        <v>118</v>
      </c>
      <c r="P80" s="44">
        <f t="shared" si="92"/>
        <v>0</v>
      </c>
      <c r="Q80" s="339">
        <f t="shared" ref="Q80" si="94">+L80+N80+IF(SUM(P80:P84)&gt;=1,-1,0)</f>
        <v>10</v>
      </c>
      <c r="R80" s="354" t="s">
        <v>14</v>
      </c>
      <c r="S80" s="339">
        <f t="shared" ref="S80" si="95">IF(R80="CUMPLE",9,0)</f>
        <v>9</v>
      </c>
      <c r="T80" s="342" t="s">
        <v>14</v>
      </c>
      <c r="U80" s="111" t="s">
        <v>14</v>
      </c>
      <c r="V80" s="345">
        <f t="shared" ref="V80" si="96">IF(AND(T80="",U80="",U81="",U82="",U83="",U84=""),"",IF(AND(T80="CUMPLE",U80="",U81="",U82="",U83="",U84=""),"",IF(AND(T80="CUMPLE",OR(U80="CUMPLE",U80=""),OR(U81="CUMPLE",U81=""),OR(U82="CUMPLE",U82=""),OR(U83="CUMPLE",U83=""),OR(U84="CUMPLE",U84="")),20,0)))</f>
        <v>20</v>
      </c>
      <c r="W80" s="111" t="s">
        <v>14</v>
      </c>
      <c r="X80" s="111" t="s">
        <v>14</v>
      </c>
      <c r="Y80" s="111" t="s">
        <v>13</v>
      </c>
      <c r="Z80" s="111" t="s">
        <v>13</v>
      </c>
      <c r="AA80" s="168">
        <f t="shared" ref="AA80:AA143" si="97">IF(C80="",0,IF(AND(OR(X80="CUMPLE",X80="N/A"),OR(Y80="CUMPLE",Y80="N/A"),OR(Z80="CUMPLE",Z80="N/A"),AND(W80="CUMPLE",D80&gt;=10%)),0.25,))</f>
        <v>0.25</v>
      </c>
      <c r="AB80" s="345">
        <f t="shared" ref="AB80" si="98">IF((AA80+AA81+AA82+AA83+AA84)&gt;=0.25,0.25,0)</f>
        <v>0.25</v>
      </c>
      <c r="AC80" s="111" t="s">
        <v>14</v>
      </c>
      <c r="AD80" s="111" t="s">
        <v>14</v>
      </c>
      <c r="AE80" s="159">
        <f t="shared" ref="AE80:AE129" si="99">IF(C80="",0,IF(AND(AC80="CUMPLE",AD80="CUMPLE",D80&gt;=10%),0.25,0))</f>
        <v>0.25</v>
      </c>
      <c r="AF80" s="346">
        <f t="shared" ref="AF80" si="100">IF((AE80+AE81+AE82+AE83+AE84)&gt;=0.25,0.25,0)</f>
        <v>0.25</v>
      </c>
      <c r="AG80" s="349"/>
    </row>
    <row r="81" spans="1:33" x14ac:dyDescent="0.25">
      <c r="A81" s="296"/>
      <c r="B81" s="299"/>
      <c r="C81" s="24" t="str">
        <f>IF(VLOOKUP(B80,PROPONENTES!$B$10:$N$111,4,FALSE)="","",VLOOKUP(B80,PROPONENTES!$B$10:$N$111,4,FALSE))</f>
        <v xml:space="preserve">PROYECTOS - CR S.A.S BIC </v>
      </c>
      <c r="D81" s="37">
        <f>VLOOKUP(B80,PROPONENTES!$B$10:$N$111,5,FALSE)</f>
        <v>0.9</v>
      </c>
      <c r="E81" s="114" t="s">
        <v>79</v>
      </c>
      <c r="F81" s="114" t="s">
        <v>79</v>
      </c>
      <c r="G81" s="125">
        <f>+'14'!E16</f>
        <v>2629.8199999999997</v>
      </c>
      <c r="H81" s="126" t="str">
        <f>IF(C81="","",IF(G81&gt;'14'!$J$15*0.4,"SI","NO"))</f>
        <v>SI</v>
      </c>
      <c r="I81" s="24">
        <f t="shared" ref="I81:I84" si="101">IF(C81="",0,IF(AND(E81="SI",H81="SI",F81="SI"),1,0))</f>
        <v>1</v>
      </c>
      <c r="J81" s="299"/>
      <c r="K81" s="355"/>
      <c r="L81" s="347"/>
      <c r="M81" s="355"/>
      <c r="N81" s="340"/>
      <c r="O81" s="115" t="s">
        <v>118</v>
      </c>
      <c r="P81" s="24">
        <f t="shared" si="92"/>
        <v>0</v>
      </c>
      <c r="Q81" s="340"/>
      <c r="R81" s="355"/>
      <c r="S81" s="340"/>
      <c r="T81" s="343"/>
      <c r="U81" s="116" t="s">
        <v>14</v>
      </c>
      <c r="V81" s="322"/>
      <c r="W81" s="116" t="s">
        <v>13</v>
      </c>
      <c r="X81" s="116" t="s">
        <v>13</v>
      </c>
      <c r="Y81" s="116" t="s">
        <v>13</v>
      </c>
      <c r="Z81" s="116" t="s">
        <v>13</v>
      </c>
      <c r="AA81" s="24">
        <f t="shared" si="97"/>
        <v>0</v>
      </c>
      <c r="AB81" s="322"/>
      <c r="AC81" s="116" t="s">
        <v>14</v>
      </c>
      <c r="AD81" s="116" t="s">
        <v>14</v>
      </c>
      <c r="AE81" s="160">
        <f t="shared" si="99"/>
        <v>0.25</v>
      </c>
      <c r="AF81" s="347"/>
      <c r="AG81" s="350"/>
    </row>
    <row r="82" spans="1:33" x14ac:dyDescent="0.25">
      <c r="A82" s="296"/>
      <c r="B82" s="299"/>
      <c r="C82" s="24" t="str">
        <f>IF(VLOOKUP(B80,PROPONENTES!$B$10:$N$111,6,FALSE)="","",VLOOKUP(B80,PROPONENTES!$B$10:$N$111,6,FALSE))</f>
        <v/>
      </c>
      <c r="D82" s="37">
        <f>VLOOKUP(B80,PROPONENTES!$B$10:$N$111,7,FALSE)</f>
        <v>0</v>
      </c>
      <c r="E82" s="114"/>
      <c r="F82" s="114"/>
      <c r="G82" s="125" t="str">
        <f>+'14'!E17</f>
        <v/>
      </c>
      <c r="H82" s="126" t="str">
        <f>IF(C82="","",IF(G82&gt;='14'!$J$15*0.4,"SI","NO"))</f>
        <v/>
      </c>
      <c r="I82" s="24">
        <f t="shared" si="101"/>
        <v>0</v>
      </c>
      <c r="J82" s="299"/>
      <c r="K82" s="355"/>
      <c r="L82" s="347"/>
      <c r="M82" s="355"/>
      <c r="N82" s="340"/>
      <c r="O82" s="115"/>
      <c r="P82" s="24" t="str">
        <f t="shared" si="92"/>
        <v>0</v>
      </c>
      <c r="Q82" s="340"/>
      <c r="R82" s="355"/>
      <c r="S82" s="340"/>
      <c r="T82" s="343"/>
      <c r="U82" s="116"/>
      <c r="V82" s="322"/>
      <c r="W82" s="116"/>
      <c r="X82" s="116"/>
      <c r="Y82" s="116"/>
      <c r="Z82" s="116"/>
      <c r="AA82" s="24">
        <f t="shared" si="97"/>
        <v>0</v>
      </c>
      <c r="AB82" s="322"/>
      <c r="AC82" s="116"/>
      <c r="AD82" s="116"/>
      <c r="AE82" s="160">
        <f t="shared" si="99"/>
        <v>0</v>
      </c>
      <c r="AF82" s="347"/>
      <c r="AG82" s="350"/>
    </row>
    <row r="83" spans="1:33" x14ac:dyDescent="0.25">
      <c r="A83" s="296"/>
      <c r="B83" s="299"/>
      <c r="C83" s="24" t="str">
        <f>IF(VLOOKUP(B80,PROPONENTES!$B$10:$N$111,8,FALSE)="","",VLOOKUP(B80,PROPONENTES!$B$10:$N$111,8,FALSE))</f>
        <v/>
      </c>
      <c r="D83" s="37">
        <f>VLOOKUP(B80,PROPONENTES!$B$10:$N$111,9,FALSE)</f>
        <v>0</v>
      </c>
      <c r="E83" s="114"/>
      <c r="F83" s="114"/>
      <c r="G83" s="125" t="str">
        <f>+'14'!E18</f>
        <v/>
      </c>
      <c r="H83" s="126" t="str">
        <f>IF(C83="","",IF(G83&gt;='14'!$J$15*0.4,"SI","NO"))</f>
        <v/>
      </c>
      <c r="I83" s="126">
        <f t="shared" si="101"/>
        <v>0</v>
      </c>
      <c r="J83" s="299"/>
      <c r="K83" s="355"/>
      <c r="L83" s="347"/>
      <c r="M83" s="355"/>
      <c r="N83" s="340"/>
      <c r="O83" s="114"/>
      <c r="P83" s="24" t="str">
        <f t="shared" si="92"/>
        <v>0</v>
      </c>
      <c r="Q83" s="340"/>
      <c r="R83" s="355"/>
      <c r="S83" s="340"/>
      <c r="T83" s="343"/>
      <c r="U83" s="116"/>
      <c r="V83" s="322"/>
      <c r="W83" s="116"/>
      <c r="X83" s="116"/>
      <c r="Y83" s="116"/>
      <c r="Z83" s="116"/>
      <c r="AA83" s="24">
        <f t="shared" si="97"/>
        <v>0</v>
      </c>
      <c r="AB83" s="322"/>
      <c r="AC83" s="116"/>
      <c r="AD83" s="116"/>
      <c r="AE83" s="160">
        <f t="shared" si="99"/>
        <v>0</v>
      </c>
      <c r="AF83" s="347"/>
      <c r="AG83" s="350"/>
    </row>
    <row r="84" spans="1:33" ht="15.75" thickBot="1" x14ac:dyDescent="0.3">
      <c r="A84" s="297"/>
      <c r="B84" s="300"/>
      <c r="C84" s="49" t="str">
        <f>IF(VLOOKUP(B80,PROPONENTES!$B$10:$N$111,10,FALSE)="","",VLOOKUP(B80,PROPONENTES!$B$10:$N$111,10,FALSE))</f>
        <v/>
      </c>
      <c r="D84" s="50">
        <f>VLOOKUP(B80,PROPONENTES!$B$10:$N$111,11,FALSE)</f>
        <v>0</v>
      </c>
      <c r="E84" s="118"/>
      <c r="F84" s="118"/>
      <c r="G84" s="127" t="str">
        <f>+'14'!E19</f>
        <v/>
      </c>
      <c r="H84" s="128" t="str">
        <f>IF(C84="","",IF(G84&gt;='14'!$J$15*0.4,"SI","NO"))</f>
        <v/>
      </c>
      <c r="I84" s="128">
        <f t="shared" si="101"/>
        <v>0</v>
      </c>
      <c r="J84" s="300"/>
      <c r="K84" s="356"/>
      <c r="L84" s="348"/>
      <c r="M84" s="356"/>
      <c r="N84" s="341"/>
      <c r="O84" s="118"/>
      <c r="P84" s="49" t="str">
        <f t="shared" si="92"/>
        <v>0</v>
      </c>
      <c r="Q84" s="341"/>
      <c r="R84" s="356"/>
      <c r="S84" s="341"/>
      <c r="T84" s="344"/>
      <c r="U84" s="148"/>
      <c r="V84" s="323"/>
      <c r="W84" s="148"/>
      <c r="X84" s="148"/>
      <c r="Y84" s="148"/>
      <c r="Z84" s="148"/>
      <c r="AA84" s="169">
        <f t="shared" si="97"/>
        <v>0</v>
      </c>
      <c r="AB84" s="323"/>
      <c r="AC84" s="148"/>
      <c r="AD84" s="148"/>
      <c r="AE84" s="161">
        <f t="shared" si="99"/>
        <v>0</v>
      </c>
      <c r="AF84" s="348"/>
      <c r="AG84" s="351"/>
    </row>
    <row r="85" spans="1:33" x14ac:dyDescent="0.25">
      <c r="A85" s="295">
        <v>15</v>
      </c>
      <c r="B85" s="298" t="str">
        <f>+PROPONENTES!B24</f>
        <v>CONSORCIO MANTENIMIENTO PARKS</v>
      </c>
      <c r="C85" s="44" t="str">
        <f>IF(VLOOKUP(B85,PROPONENTES!$B$10:$N$111,2,FALSE)="","",VLOOKUP(B85,PROPONENTES!$B$10:$N$111,2,FALSE))</f>
        <v>DISTRIBUCIONES PBB S.A.S</v>
      </c>
      <c r="D85" s="45">
        <f>VLOOKUP(B85,PROPONENTES!$B$10:$N$111,3,FALSE)</f>
        <v>0.1</v>
      </c>
      <c r="E85" s="109" t="s">
        <v>77</v>
      </c>
      <c r="F85" s="109" t="s">
        <v>77</v>
      </c>
      <c r="G85" s="123">
        <f>+'15'!E15</f>
        <v>0</v>
      </c>
      <c r="H85" s="124" t="str">
        <f>IF(C85="","",IF(G85&gt;'15'!$J$15*0.4,"SI","NO"))</f>
        <v>NO</v>
      </c>
      <c r="I85" s="44">
        <f>IF(C85="",0,IF(AND(E85="SI",H85="SI",F85="SI"),1,0))</f>
        <v>0</v>
      </c>
      <c r="J85" s="298">
        <f>IF((I85+I86+I87+I88+I89)&gt;=1,1,0)</f>
        <v>1</v>
      </c>
      <c r="K85" s="354" t="s">
        <v>14</v>
      </c>
      <c r="L85" s="346">
        <f t="shared" ref="L85" si="102">IF(K85="CUMPLE",10,0)</f>
        <v>10</v>
      </c>
      <c r="M85" s="354"/>
      <c r="N85" s="339">
        <f t="shared" si="23"/>
        <v>0</v>
      </c>
      <c r="O85" s="113" t="s">
        <v>118</v>
      </c>
      <c r="P85" s="44">
        <f t="shared" si="92"/>
        <v>0</v>
      </c>
      <c r="Q85" s="339">
        <f t="shared" ref="Q85" si="103">+L85+N85+IF(SUM(P85:P89)&gt;=1,-1,0)</f>
        <v>10</v>
      </c>
      <c r="R85" s="354" t="s">
        <v>14</v>
      </c>
      <c r="S85" s="339">
        <f t="shared" ref="S85" si="104">IF(R85="CUMPLE",9,0)</f>
        <v>9</v>
      </c>
      <c r="T85" s="342" t="s">
        <v>14</v>
      </c>
      <c r="U85" s="111" t="s">
        <v>14</v>
      </c>
      <c r="V85" s="345">
        <f t="shared" ref="V85" si="105">IF(AND(T85="",U85="",U86="",U87="",U88="",U89=""),"",IF(AND(T85="CUMPLE",U85="",U86="",U87="",U88="",U89=""),"",IF(AND(T85="CUMPLE",OR(U85="CUMPLE",U85=""),OR(U86="CUMPLE",U86=""),OR(U87="CUMPLE",U87=""),OR(U88="CUMPLE",U88=""),OR(U89="CUMPLE",U89="")),20,0)))</f>
        <v>20</v>
      </c>
      <c r="W85" s="111" t="s">
        <v>13</v>
      </c>
      <c r="X85" s="111" t="s">
        <v>13</v>
      </c>
      <c r="Y85" s="111" t="s">
        <v>13</v>
      </c>
      <c r="Z85" s="111" t="s">
        <v>13</v>
      </c>
      <c r="AA85" s="168">
        <f t="shared" si="97"/>
        <v>0</v>
      </c>
      <c r="AB85" s="345">
        <f t="shared" ref="AB85" si="106">IF((AA85+AA86+AA87+AA88+AA89)&gt;=0.25,0.25,0)</f>
        <v>0.25</v>
      </c>
      <c r="AC85" s="111" t="s">
        <v>14</v>
      </c>
      <c r="AD85" s="111" t="s">
        <v>14</v>
      </c>
      <c r="AE85" s="159">
        <f t="shared" si="99"/>
        <v>0.25</v>
      </c>
      <c r="AF85" s="346">
        <f t="shared" ref="AF85" si="107">IF((AE85+AE86+AE87+AE88+AE89)&gt;=0.25,0.25,0)</f>
        <v>0.25</v>
      </c>
      <c r="AG85" s="349"/>
    </row>
    <row r="86" spans="1:33" x14ac:dyDescent="0.25">
      <c r="A86" s="296"/>
      <c r="B86" s="299"/>
      <c r="C86" s="24" t="str">
        <f>IF(VLOOKUP(B85,PROPONENTES!$B$10:$N$111,4,FALSE)="","",VLOOKUP(B85,PROPONENTES!$B$10:$N$111,4,FALSE))</f>
        <v>LYD PROYECTOS S.A.S</v>
      </c>
      <c r="D86" s="37">
        <f>VLOOKUP(B85,PROPONENTES!$B$10:$N$111,5,FALSE)</f>
        <v>0.9</v>
      </c>
      <c r="E86" s="114" t="s">
        <v>79</v>
      </c>
      <c r="F86" s="114" t="s">
        <v>79</v>
      </c>
      <c r="G86" s="125">
        <f>+'15'!E16</f>
        <v>3071.17</v>
      </c>
      <c r="H86" s="126" t="str">
        <f>IF(C86="","",IF(G86&gt;'15'!$J$15*0.4,"SI","NO"))</f>
        <v>SI</v>
      </c>
      <c r="I86" s="24">
        <f t="shared" ref="I86:I89" si="108">IF(C86="",0,IF(AND(E86="SI",H86="SI",F86="SI"),1,0))</f>
        <v>1</v>
      </c>
      <c r="J86" s="299"/>
      <c r="K86" s="355"/>
      <c r="L86" s="347"/>
      <c r="M86" s="355"/>
      <c r="N86" s="340"/>
      <c r="O86" s="115" t="s">
        <v>118</v>
      </c>
      <c r="P86" s="24">
        <f t="shared" si="92"/>
        <v>0</v>
      </c>
      <c r="Q86" s="340"/>
      <c r="R86" s="355"/>
      <c r="S86" s="340"/>
      <c r="T86" s="343"/>
      <c r="U86" s="116" t="s">
        <v>14</v>
      </c>
      <c r="V86" s="322"/>
      <c r="W86" s="116" t="s">
        <v>14</v>
      </c>
      <c r="X86" s="116" t="s">
        <v>13</v>
      </c>
      <c r="Y86" s="116" t="s">
        <v>13</v>
      </c>
      <c r="Z86" s="116" t="s">
        <v>13</v>
      </c>
      <c r="AA86" s="24">
        <f t="shared" si="97"/>
        <v>0.25</v>
      </c>
      <c r="AB86" s="322"/>
      <c r="AC86" s="116" t="s">
        <v>14</v>
      </c>
      <c r="AD86" s="116" t="s">
        <v>14</v>
      </c>
      <c r="AE86" s="160">
        <f t="shared" si="99"/>
        <v>0.25</v>
      </c>
      <c r="AF86" s="347"/>
      <c r="AG86" s="350"/>
    </row>
    <row r="87" spans="1:33" x14ac:dyDescent="0.25">
      <c r="A87" s="296"/>
      <c r="B87" s="299"/>
      <c r="C87" s="24" t="str">
        <f>IF(VLOOKUP(B85,PROPONENTES!$B$10:$N$111,6,FALSE)="","",VLOOKUP(B85,PROPONENTES!$B$10:$N$111,6,FALSE))</f>
        <v/>
      </c>
      <c r="D87" s="37">
        <f>VLOOKUP(B85,PROPONENTES!$B$10:$N$111,7,FALSE)</f>
        <v>0</v>
      </c>
      <c r="E87" s="114"/>
      <c r="F87" s="114"/>
      <c r="G87" s="125" t="str">
        <f>+'15'!E17</f>
        <v/>
      </c>
      <c r="H87" s="126" t="str">
        <f>IF(C87="","",IF(G87&gt;='15'!$J$15*0.4,"SI","NO"))</f>
        <v/>
      </c>
      <c r="I87" s="24">
        <f t="shared" si="108"/>
        <v>0</v>
      </c>
      <c r="J87" s="299"/>
      <c r="K87" s="355"/>
      <c r="L87" s="347"/>
      <c r="M87" s="355"/>
      <c r="N87" s="340"/>
      <c r="O87" s="115"/>
      <c r="P87" s="24" t="str">
        <f t="shared" si="92"/>
        <v>0</v>
      </c>
      <c r="Q87" s="340"/>
      <c r="R87" s="355"/>
      <c r="S87" s="340"/>
      <c r="T87" s="343"/>
      <c r="U87" s="116"/>
      <c r="V87" s="322"/>
      <c r="W87" s="116"/>
      <c r="X87" s="116"/>
      <c r="Y87" s="116"/>
      <c r="Z87" s="116"/>
      <c r="AA87" s="24">
        <f t="shared" si="97"/>
        <v>0</v>
      </c>
      <c r="AB87" s="322"/>
      <c r="AC87" s="116"/>
      <c r="AD87" s="116"/>
      <c r="AE87" s="160">
        <f t="shared" si="99"/>
        <v>0</v>
      </c>
      <c r="AF87" s="347"/>
      <c r="AG87" s="350"/>
    </row>
    <row r="88" spans="1:33" x14ac:dyDescent="0.25">
      <c r="A88" s="296"/>
      <c r="B88" s="299"/>
      <c r="C88" s="24" t="str">
        <f>IF(VLOOKUP(B85,PROPONENTES!$B$10:$N$111,8,FALSE)="","",VLOOKUP(B85,PROPONENTES!$B$10:$N$111,8,FALSE))</f>
        <v/>
      </c>
      <c r="D88" s="37">
        <f>VLOOKUP(B85,PROPONENTES!$B$10:$N$111,9,FALSE)</f>
        <v>0</v>
      </c>
      <c r="E88" s="114"/>
      <c r="F88" s="114"/>
      <c r="G88" s="125" t="str">
        <f>+'15'!E18</f>
        <v/>
      </c>
      <c r="H88" s="126" t="str">
        <f>IF(C88="","",IF(G88&gt;='15'!$J$15*0.4,"SI","NO"))</f>
        <v/>
      </c>
      <c r="I88" s="126">
        <f t="shared" si="108"/>
        <v>0</v>
      </c>
      <c r="J88" s="299"/>
      <c r="K88" s="355"/>
      <c r="L88" s="347"/>
      <c r="M88" s="355"/>
      <c r="N88" s="340"/>
      <c r="O88" s="114"/>
      <c r="P88" s="24" t="str">
        <f t="shared" si="92"/>
        <v>0</v>
      </c>
      <c r="Q88" s="340"/>
      <c r="R88" s="355"/>
      <c r="S88" s="340"/>
      <c r="T88" s="343"/>
      <c r="U88" s="116"/>
      <c r="V88" s="322"/>
      <c r="W88" s="116"/>
      <c r="X88" s="116"/>
      <c r="Y88" s="116"/>
      <c r="Z88" s="116"/>
      <c r="AA88" s="24">
        <f t="shared" si="97"/>
        <v>0</v>
      </c>
      <c r="AB88" s="322"/>
      <c r="AC88" s="116"/>
      <c r="AD88" s="116"/>
      <c r="AE88" s="160">
        <f t="shared" si="99"/>
        <v>0</v>
      </c>
      <c r="AF88" s="347"/>
      <c r="AG88" s="350"/>
    </row>
    <row r="89" spans="1:33" ht="15.75" thickBot="1" x14ac:dyDescent="0.3">
      <c r="A89" s="297"/>
      <c r="B89" s="300"/>
      <c r="C89" s="49" t="str">
        <f>IF(VLOOKUP(B85,PROPONENTES!$B$10:$N$111,10,FALSE)="","",VLOOKUP(B85,PROPONENTES!$B$10:$N$111,10,FALSE))</f>
        <v/>
      </c>
      <c r="D89" s="50">
        <f>VLOOKUP(B85,PROPONENTES!$B$10:$N$111,11,FALSE)</f>
        <v>0</v>
      </c>
      <c r="E89" s="118"/>
      <c r="F89" s="118"/>
      <c r="G89" s="127" t="str">
        <f>+'15'!E19</f>
        <v/>
      </c>
      <c r="H89" s="128" t="str">
        <f>IF(C89="","",IF(G89&gt;='15'!$J$15*0.4,"SI","NO"))</f>
        <v/>
      </c>
      <c r="I89" s="128">
        <f t="shared" si="108"/>
        <v>0</v>
      </c>
      <c r="J89" s="300"/>
      <c r="K89" s="356"/>
      <c r="L89" s="348"/>
      <c r="M89" s="356"/>
      <c r="N89" s="341"/>
      <c r="O89" s="118"/>
      <c r="P89" s="49" t="str">
        <f t="shared" si="92"/>
        <v>0</v>
      </c>
      <c r="Q89" s="341"/>
      <c r="R89" s="356"/>
      <c r="S89" s="341"/>
      <c r="T89" s="344"/>
      <c r="U89" s="148"/>
      <c r="V89" s="323"/>
      <c r="W89" s="148"/>
      <c r="X89" s="148"/>
      <c r="Y89" s="148"/>
      <c r="Z89" s="148"/>
      <c r="AA89" s="169">
        <f t="shared" si="97"/>
        <v>0</v>
      </c>
      <c r="AB89" s="323"/>
      <c r="AC89" s="148"/>
      <c r="AD89" s="148"/>
      <c r="AE89" s="161">
        <f t="shared" si="99"/>
        <v>0</v>
      </c>
      <c r="AF89" s="348"/>
      <c r="AG89" s="351"/>
    </row>
    <row r="90" spans="1:33" ht="30" x14ac:dyDescent="0.25">
      <c r="A90" s="295">
        <v>16</v>
      </c>
      <c r="B90" s="298" t="str">
        <f>+PROPONENTES!B25</f>
        <v>CONSORCIO SAN LORENZO</v>
      </c>
      <c r="C90" s="44" t="str">
        <f>IF(VLOOKUP(B90,PROPONENTES!$B$10:$N$111,2,FALSE)="","",VLOOKUP(B90,PROPONENTES!$B$10:$N$111,2,FALSE))</f>
        <v xml:space="preserve">VÍCTOR RAÚL NEIRA DELVASTO </v>
      </c>
      <c r="D90" s="45">
        <f>VLOOKUP(B90,PROPONENTES!$B$10:$N$111,3,FALSE)</f>
        <v>0.45</v>
      </c>
      <c r="E90" s="109" t="s">
        <v>79</v>
      </c>
      <c r="F90" s="109" t="s">
        <v>79</v>
      </c>
      <c r="G90" s="123">
        <f>+'16'!E15</f>
        <v>5074.8450000000003</v>
      </c>
      <c r="H90" s="124" t="str">
        <f>IF(C90="","",IF(G90&gt;'16'!$J$15*0.4,"SI","NO"))</f>
        <v>SI</v>
      </c>
      <c r="I90" s="44">
        <f>IF(C90="",0,IF(AND(E90="SI",H90="SI",F90="SI"),1,0))</f>
        <v>1</v>
      </c>
      <c r="J90" s="298">
        <f>IF((I90+I91+I92+I93+I94)&gt;=1,1,0)</f>
        <v>1</v>
      </c>
      <c r="K90" s="354" t="s">
        <v>14</v>
      </c>
      <c r="L90" s="346">
        <f t="shared" si="57"/>
        <v>10</v>
      </c>
      <c r="M90" s="354"/>
      <c r="N90" s="339">
        <f t="shared" si="23"/>
        <v>0</v>
      </c>
      <c r="O90" s="113" t="s">
        <v>118</v>
      </c>
      <c r="P90" s="44">
        <f t="shared" si="92"/>
        <v>0</v>
      </c>
      <c r="Q90" s="339">
        <f t="shared" ref="Q90" si="109">+L90+N90+IF(SUM(P90:P94)&gt;=1,-1,0)</f>
        <v>10</v>
      </c>
      <c r="R90" s="354" t="s">
        <v>14</v>
      </c>
      <c r="S90" s="339">
        <f t="shared" ref="S90" si="110">IF(R90="CUMPLE",9,0)</f>
        <v>9</v>
      </c>
      <c r="T90" s="342" t="s">
        <v>14</v>
      </c>
      <c r="U90" s="111" t="s">
        <v>14</v>
      </c>
      <c r="V90" s="345">
        <f t="shared" ref="V90" si="111">IF(AND(T90="",U90="",U91="",U92="",U93="",U94=""),"",IF(AND(T90="CUMPLE",U90="",U91="",U92="",U93="",U94=""),"",IF(AND(T90="CUMPLE",OR(U90="CUMPLE",U90=""),OR(U91="CUMPLE",U91=""),OR(U92="CUMPLE",U92=""),OR(U93="CUMPLE",U93=""),OR(U94="CUMPLE",U94="")),20,0)))</f>
        <v>20</v>
      </c>
      <c r="W90" s="111" t="s">
        <v>13</v>
      </c>
      <c r="X90" s="111" t="s">
        <v>13</v>
      </c>
      <c r="Y90" s="111" t="s">
        <v>13</v>
      </c>
      <c r="Z90" s="111" t="s">
        <v>13</v>
      </c>
      <c r="AA90" s="168">
        <f t="shared" si="97"/>
        <v>0</v>
      </c>
      <c r="AB90" s="345">
        <f t="shared" ref="AB90" si="112">IF((AA90+AA91+AA92+AA93+AA94)&gt;=0.25,0.25,0)</f>
        <v>0.25</v>
      </c>
      <c r="AC90" s="111" t="s">
        <v>14</v>
      </c>
      <c r="AD90" s="111" t="s">
        <v>14</v>
      </c>
      <c r="AE90" s="159">
        <f t="shared" si="99"/>
        <v>0.25</v>
      </c>
      <c r="AF90" s="346">
        <f t="shared" ref="AF90" si="113">IF((AE90+AE91+AE92+AE93+AE94)&gt;=0.25,0.25,0)</f>
        <v>0.25</v>
      </c>
      <c r="AG90" s="349"/>
    </row>
    <row r="91" spans="1:33" x14ac:dyDescent="0.25">
      <c r="A91" s="296"/>
      <c r="B91" s="299"/>
      <c r="C91" s="24" t="str">
        <f>IF(VLOOKUP(B90,PROPONENTES!$B$10:$N$111,4,FALSE)="","",VLOOKUP(B90,PROPONENTES!$B$10:$N$111,4,FALSE))</f>
        <v xml:space="preserve">Hernando Sandoval Guzman </v>
      </c>
      <c r="D91" s="37">
        <f>VLOOKUP(B90,PROPONENTES!$B$10:$N$111,5,FALSE)</f>
        <v>0.1</v>
      </c>
      <c r="E91" s="114" t="s">
        <v>77</v>
      </c>
      <c r="F91" s="114" t="s">
        <v>77</v>
      </c>
      <c r="G91" s="125">
        <f>+'16'!E16</f>
        <v>0</v>
      </c>
      <c r="H91" s="126" t="str">
        <f>IF(C91="","",IF(G91&gt;'16'!$J$15*0.4,"SI","NO"))</f>
        <v>NO</v>
      </c>
      <c r="I91" s="24">
        <f t="shared" ref="I91:I94" si="114">IF(C91="",0,IF(AND(E91="SI",H91="SI",F91="SI"),1,0))</f>
        <v>0</v>
      </c>
      <c r="J91" s="299"/>
      <c r="K91" s="355"/>
      <c r="L91" s="347"/>
      <c r="M91" s="355"/>
      <c r="N91" s="340"/>
      <c r="O91" s="115" t="s">
        <v>118</v>
      </c>
      <c r="P91" s="24">
        <f t="shared" si="92"/>
        <v>0</v>
      </c>
      <c r="Q91" s="340"/>
      <c r="R91" s="355"/>
      <c r="S91" s="340"/>
      <c r="T91" s="343"/>
      <c r="U91" s="116" t="s">
        <v>14</v>
      </c>
      <c r="V91" s="322"/>
      <c r="W91" s="116" t="s">
        <v>13</v>
      </c>
      <c r="X91" s="116" t="s">
        <v>13</v>
      </c>
      <c r="Y91" s="116" t="s">
        <v>13</v>
      </c>
      <c r="Z91" s="116" t="s">
        <v>13</v>
      </c>
      <c r="AA91" s="24">
        <f t="shared" si="97"/>
        <v>0</v>
      </c>
      <c r="AB91" s="322"/>
      <c r="AC91" s="116" t="s">
        <v>14</v>
      </c>
      <c r="AD91" s="116" t="s">
        <v>14</v>
      </c>
      <c r="AE91" s="160">
        <f t="shared" si="99"/>
        <v>0.25</v>
      </c>
      <c r="AF91" s="347"/>
      <c r="AG91" s="350"/>
    </row>
    <row r="92" spans="1:33" x14ac:dyDescent="0.25">
      <c r="A92" s="296"/>
      <c r="B92" s="299"/>
      <c r="C92" s="24" t="str">
        <f>IF(VLOOKUP(B90,PROPONENTES!$B$10:$N$111,6,FALSE)="","",VLOOKUP(B90,PROPONENTES!$B$10:$N$111,6,FALSE))</f>
        <v>HN INGENIERIA SAS</v>
      </c>
      <c r="D92" s="37">
        <f>VLOOKUP(B90,PROPONENTES!$B$10:$N$111,7,FALSE)</f>
        <v>0.45</v>
      </c>
      <c r="E92" s="114" t="s">
        <v>77</v>
      </c>
      <c r="F92" s="114" t="s">
        <v>77</v>
      </c>
      <c r="G92" s="125">
        <f>+'16'!E17</f>
        <v>5053.4049999999997</v>
      </c>
      <c r="H92" s="126" t="str">
        <f>IF(C92="","",IF(G92&gt;'16'!$J$15*0.4,"SI","NO"))</f>
        <v>SI</v>
      </c>
      <c r="I92" s="24">
        <f t="shared" si="114"/>
        <v>0</v>
      </c>
      <c r="J92" s="299"/>
      <c r="K92" s="355"/>
      <c r="L92" s="347"/>
      <c r="M92" s="355"/>
      <c r="N92" s="340"/>
      <c r="O92" s="115" t="s">
        <v>118</v>
      </c>
      <c r="P92" s="24">
        <f t="shared" si="92"/>
        <v>0</v>
      </c>
      <c r="Q92" s="340"/>
      <c r="R92" s="355"/>
      <c r="S92" s="340"/>
      <c r="T92" s="343"/>
      <c r="U92" s="116" t="s">
        <v>14</v>
      </c>
      <c r="V92" s="322"/>
      <c r="W92" s="116" t="s">
        <v>14</v>
      </c>
      <c r="X92" s="116" t="s">
        <v>14</v>
      </c>
      <c r="Y92" s="116" t="s">
        <v>14</v>
      </c>
      <c r="Z92" s="116" t="s">
        <v>14</v>
      </c>
      <c r="AA92" s="24">
        <f t="shared" si="97"/>
        <v>0.25</v>
      </c>
      <c r="AB92" s="322"/>
      <c r="AC92" s="116" t="s">
        <v>14</v>
      </c>
      <c r="AD92" s="116" t="s">
        <v>14</v>
      </c>
      <c r="AE92" s="160">
        <f t="shared" si="99"/>
        <v>0.25</v>
      </c>
      <c r="AF92" s="347"/>
      <c r="AG92" s="350"/>
    </row>
    <row r="93" spans="1:33" x14ac:dyDescent="0.25">
      <c r="A93" s="296"/>
      <c r="B93" s="299"/>
      <c r="C93" s="24" t="str">
        <f>IF(VLOOKUP(B90,PROPONENTES!$B$10:$N$111,8,FALSE)="","",VLOOKUP(B90,PROPONENTES!$B$10:$N$111,8,FALSE))</f>
        <v/>
      </c>
      <c r="D93" s="37">
        <f>VLOOKUP(B90,PROPONENTES!$B$10:$N$111,9,FALSE)</f>
        <v>0</v>
      </c>
      <c r="E93" s="114"/>
      <c r="F93" s="114"/>
      <c r="G93" s="125" t="str">
        <f>+'16'!E18</f>
        <v/>
      </c>
      <c r="H93" s="126" t="str">
        <f>IF(C93="","",IF(G93&gt;='16'!$J$15*0.4,"SI","NO"))</f>
        <v/>
      </c>
      <c r="I93" s="126">
        <f t="shared" si="114"/>
        <v>0</v>
      </c>
      <c r="J93" s="299"/>
      <c r="K93" s="355"/>
      <c r="L93" s="347"/>
      <c r="M93" s="355"/>
      <c r="N93" s="340"/>
      <c r="O93" s="114"/>
      <c r="P93" s="24" t="str">
        <f t="shared" si="92"/>
        <v>0</v>
      </c>
      <c r="Q93" s="340"/>
      <c r="R93" s="355"/>
      <c r="S93" s="340"/>
      <c r="T93" s="343"/>
      <c r="U93" s="116"/>
      <c r="V93" s="322"/>
      <c r="W93" s="116"/>
      <c r="X93" s="116"/>
      <c r="Y93" s="116"/>
      <c r="Z93" s="116"/>
      <c r="AA93" s="24">
        <f t="shared" si="97"/>
        <v>0</v>
      </c>
      <c r="AB93" s="322"/>
      <c r="AC93" s="116"/>
      <c r="AD93" s="116"/>
      <c r="AE93" s="160">
        <f t="shared" si="99"/>
        <v>0</v>
      </c>
      <c r="AF93" s="347"/>
      <c r="AG93" s="350"/>
    </row>
    <row r="94" spans="1:33" ht="15.75" thickBot="1" x14ac:dyDescent="0.3">
      <c r="A94" s="297"/>
      <c r="B94" s="300"/>
      <c r="C94" s="49" t="str">
        <f>IF(VLOOKUP(B90,PROPONENTES!$B$10:$N$111,10,FALSE)="","",VLOOKUP(B90,PROPONENTES!$B$10:$N$111,10,FALSE))</f>
        <v/>
      </c>
      <c r="D94" s="50">
        <f>VLOOKUP(B90,PROPONENTES!$B$10:$N$111,11,FALSE)</f>
        <v>0</v>
      </c>
      <c r="E94" s="118"/>
      <c r="F94" s="118"/>
      <c r="G94" s="127" t="str">
        <f>+'16'!E19</f>
        <v/>
      </c>
      <c r="H94" s="128" t="str">
        <f>IF(C94="","",IF(G94&gt;='16'!$J$15*0.4,"SI","NO"))</f>
        <v/>
      </c>
      <c r="I94" s="128">
        <f t="shared" si="114"/>
        <v>0</v>
      </c>
      <c r="J94" s="300"/>
      <c r="K94" s="356"/>
      <c r="L94" s="348"/>
      <c r="M94" s="356"/>
      <c r="N94" s="341"/>
      <c r="O94" s="118"/>
      <c r="P94" s="49" t="str">
        <f t="shared" si="92"/>
        <v>0</v>
      </c>
      <c r="Q94" s="341"/>
      <c r="R94" s="356"/>
      <c r="S94" s="341"/>
      <c r="T94" s="344"/>
      <c r="U94" s="148"/>
      <c r="V94" s="323"/>
      <c r="W94" s="148"/>
      <c r="X94" s="148"/>
      <c r="Y94" s="148"/>
      <c r="Z94" s="148"/>
      <c r="AA94" s="169">
        <f t="shared" si="97"/>
        <v>0</v>
      </c>
      <c r="AB94" s="323"/>
      <c r="AC94" s="148"/>
      <c r="AD94" s="148"/>
      <c r="AE94" s="161">
        <f t="shared" si="99"/>
        <v>0</v>
      </c>
      <c r="AF94" s="348"/>
      <c r="AG94" s="351"/>
    </row>
    <row r="95" spans="1:33" ht="30" x14ac:dyDescent="0.25">
      <c r="A95" s="295">
        <v>17</v>
      </c>
      <c r="B95" s="298" t="str">
        <f>+PROPONENTES!B26</f>
        <v>CONSORCIO KENNEDY AVANZA</v>
      </c>
      <c r="C95" s="44" t="str">
        <f>IF(VLOOKUP(B95,PROPONENTES!$B$10:$N$111,2,FALSE)="","",VLOOKUP(B95,PROPONENTES!$B$10:$N$111,2,FALSE))</f>
        <v xml:space="preserve">DOBLECRUZ INGENIERIA Y ARQUITECTURA S.A.S </v>
      </c>
      <c r="D95" s="45">
        <f>VLOOKUP(B95,PROPONENTES!$B$10:$N$111,3,FALSE)</f>
        <v>0.1</v>
      </c>
      <c r="E95" s="109" t="s">
        <v>77</v>
      </c>
      <c r="F95" s="109" t="s">
        <v>77</v>
      </c>
      <c r="G95" s="123">
        <f>+'17'!E15</f>
        <v>0</v>
      </c>
      <c r="H95" s="124" t="str">
        <f>IF(C95="","",IF(G95&gt;'17'!$J$15*0.4,"SI","NO"))</f>
        <v>NO</v>
      </c>
      <c r="I95" s="44">
        <f>IF(C95="",0,IF(AND(E95="SI",H95="SI",F95="SI"),1,0))</f>
        <v>0</v>
      </c>
      <c r="J95" s="298">
        <f>IF((I95+I96+I97+I98+I99)&gt;=1,1,0)</f>
        <v>1</v>
      </c>
      <c r="K95" s="354" t="s">
        <v>14</v>
      </c>
      <c r="L95" s="346">
        <f t="shared" si="64"/>
        <v>10</v>
      </c>
      <c r="M95" s="354"/>
      <c r="N95" s="339">
        <f t="shared" ref="N95:N125" si="115">IF(M95="CUMPLE",5,0)</f>
        <v>0</v>
      </c>
      <c r="O95" s="113" t="s">
        <v>118</v>
      </c>
      <c r="P95" s="44">
        <f t="shared" si="92"/>
        <v>0</v>
      </c>
      <c r="Q95" s="339">
        <f t="shared" ref="Q95" si="116">+L95+N95+IF(SUM(P95:P99)&gt;=1,-1,0)</f>
        <v>10</v>
      </c>
      <c r="R95" s="354" t="s">
        <v>14</v>
      </c>
      <c r="S95" s="339">
        <f t="shared" ref="S95" si="117">IF(R95="CUMPLE",9,0)</f>
        <v>9</v>
      </c>
      <c r="T95" s="342" t="s">
        <v>14</v>
      </c>
      <c r="U95" s="111" t="s">
        <v>14</v>
      </c>
      <c r="V95" s="345">
        <f t="shared" ref="V95" si="118">IF(AND(T95="",U95="",U96="",U97="",U98="",U99=""),"",IF(AND(T95="CUMPLE",U95="",U96="",U97="",U98="",U99=""),"",IF(AND(T95="CUMPLE",OR(U95="CUMPLE",U95=""),OR(U96="CUMPLE",U96=""),OR(U97="CUMPLE",U97=""),OR(U98="CUMPLE",U98=""),OR(U99="CUMPLE",U99="")),20,0)))</f>
        <v>20</v>
      </c>
      <c r="W95" s="111" t="s">
        <v>13</v>
      </c>
      <c r="X95" s="111" t="s">
        <v>13</v>
      </c>
      <c r="Y95" s="111" t="s">
        <v>13</v>
      </c>
      <c r="Z95" s="111" t="s">
        <v>13</v>
      </c>
      <c r="AA95" s="168">
        <f t="shared" si="97"/>
        <v>0</v>
      </c>
      <c r="AB95" s="345">
        <f t="shared" ref="AB95" si="119">IF((AA95+AA96+AA97+AA98+AA99)&gt;=0.25,0.25,0)</f>
        <v>0.25</v>
      </c>
      <c r="AC95" s="111" t="s">
        <v>14</v>
      </c>
      <c r="AD95" s="111" t="s">
        <v>14</v>
      </c>
      <c r="AE95" s="159">
        <f t="shared" si="99"/>
        <v>0.25</v>
      </c>
      <c r="AF95" s="346">
        <f t="shared" ref="AF95" si="120">IF((AE95+AE96+AE97+AE98+AE99)&gt;=0.25,0.25,0)</f>
        <v>0.25</v>
      </c>
      <c r="AG95" s="349"/>
    </row>
    <row r="96" spans="1:33" ht="30" x14ac:dyDescent="0.25">
      <c r="A96" s="296"/>
      <c r="B96" s="299"/>
      <c r="C96" s="24" t="str">
        <f>IF(VLOOKUP(B95,PROPONENTES!$B$10:$N$111,4,FALSE)="","",VLOOKUP(B95,PROPONENTES!$B$10:$N$111,4,FALSE))</f>
        <v>M&amp;M INGENIEROS ASOCIADOS SAS</v>
      </c>
      <c r="D96" s="37">
        <f>VLOOKUP(B95,PROPONENTES!$B$10:$N$111,5,FALSE)</f>
        <v>0.9</v>
      </c>
      <c r="E96" s="114" t="s">
        <v>79</v>
      </c>
      <c r="F96" s="114" t="s">
        <v>79</v>
      </c>
      <c r="G96" s="125">
        <f>+'17'!E16</f>
        <v>3447.4537999999998</v>
      </c>
      <c r="H96" s="126" t="str">
        <f>IF(C96="","",IF(G96&gt;'17'!$J$15*0.4,"SI","NO"))</f>
        <v>SI</v>
      </c>
      <c r="I96" s="24">
        <f t="shared" ref="I96:I99" si="121">IF(C96="",0,IF(AND(E96="SI",H96="SI",F96="SI"),1,0))</f>
        <v>1</v>
      </c>
      <c r="J96" s="299"/>
      <c r="K96" s="355"/>
      <c r="L96" s="347"/>
      <c r="M96" s="355"/>
      <c r="N96" s="340"/>
      <c r="O96" s="115" t="s">
        <v>118</v>
      </c>
      <c r="P96" s="24">
        <f t="shared" si="92"/>
        <v>0</v>
      </c>
      <c r="Q96" s="340"/>
      <c r="R96" s="355"/>
      <c r="S96" s="340"/>
      <c r="T96" s="343"/>
      <c r="U96" s="116" t="s">
        <v>14</v>
      </c>
      <c r="V96" s="322"/>
      <c r="W96" s="116" t="s">
        <v>14</v>
      </c>
      <c r="X96" s="116" t="s">
        <v>13</v>
      </c>
      <c r="Y96" s="116" t="s">
        <v>13</v>
      </c>
      <c r="Z96" s="116" t="s">
        <v>13</v>
      </c>
      <c r="AA96" s="24">
        <f t="shared" si="97"/>
        <v>0.25</v>
      </c>
      <c r="AB96" s="322"/>
      <c r="AC96" s="116" t="s">
        <v>14</v>
      </c>
      <c r="AD96" s="116" t="s">
        <v>14</v>
      </c>
      <c r="AE96" s="160">
        <f t="shared" si="99"/>
        <v>0.25</v>
      </c>
      <c r="AF96" s="347"/>
      <c r="AG96" s="350"/>
    </row>
    <row r="97" spans="1:33" x14ac:dyDescent="0.25">
      <c r="A97" s="296"/>
      <c r="B97" s="299"/>
      <c r="C97" s="24" t="str">
        <f>IF(VLOOKUP(B95,PROPONENTES!$B$10:$N$111,6,FALSE)="","",VLOOKUP(B95,PROPONENTES!$B$10:$N$111,6,FALSE))</f>
        <v/>
      </c>
      <c r="D97" s="37">
        <f>VLOOKUP(B95,PROPONENTES!$B$10:$N$111,7,FALSE)</f>
        <v>0</v>
      </c>
      <c r="E97" s="114"/>
      <c r="F97" s="114"/>
      <c r="G97" s="125" t="str">
        <f>+'17'!E17</f>
        <v/>
      </c>
      <c r="H97" s="126" t="str">
        <f>IF(C97="","",IF(G97&gt;='17'!$J$15*0.4,"SI","NO"))</f>
        <v/>
      </c>
      <c r="I97" s="24">
        <f t="shared" si="121"/>
        <v>0</v>
      </c>
      <c r="J97" s="299"/>
      <c r="K97" s="355"/>
      <c r="L97" s="347"/>
      <c r="M97" s="355"/>
      <c r="N97" s="340"/>
      <c r="O97" s="115"/>
      <c r="P97" s="24" t="str">
        <f t="shared" si="92"/>
        <v>0</v>
      </c>
      <c r="Q97" s="340"/>
      <c r="R97" s="355"/>
      <c r="S97" s="340"/>
      <c r="T97" s="343"/>
      <c r="U97" s="116"/>
      <c r="V97" s="322"/>
      <c r="W97" s="116"/>
      <c r="X97" s="116"/>
      <c r="Y97" s="116"/>
      <c r="Z97" s="116"/>
      <c r="AA97" s="24">
        <f t="shared" si="97"/>
        <v>0</v>
      </c>
      <c r="AB97" s="322"/>
      <c r="AC97" s="116"/>
      <c r="AD97" s="116"/>
      <c r="AE97" s="160">
        <f t="shared" si="99"/>
        <v>0</v>
      </c>
      <c r="AF97" s="347"/>
      <c r="AG97" s="350"/>
    </row>
    <row r="98" spans="1:33" x14ac:dyDescent="0.25">
      <c r="A98" s="296"/>
      <c r="B98" s="299"/>
      <c r="C98" s="24" t="str">
        <f>IF(VLOOKUP(B95,PROPONENTES!$B$10:$N$111,8,FALSE)="","",VLOOKUP(B95,PROPONENTES!$B$10:$N$111,8,FALSE))</f>
        <v/>
      </c>
      <c r="D98" s="37">
        <f>VLOOKUP(B95,PROPONENTES!$B$10:$N$111,9,FALSE)</f>
        <v>0</v>
      </c>
      <c r="E98" s="114"/>
      <c r="F98" s="114"/>
      <c r="G98" s="125" t="str">
        <f>+'17'!E18</f>
        <v/>
      </c>
      <c r="H98" s="126" t="str">
        <f>IF(C98="","",IF(G98&gt;='17'!$J$15*0.4,"SI","NO"))</f>
        <v/>
      </c>
      <c r="I98" s="126">
        <f t="shared" si="121"/>
        <v>0</v>
      </c>
      <c r="J98" s="299"/>
      <c r="K98" s="355"/>
      <c r="L98" s="347"/>
      <c r="M98" s="355"/>
      <c r="N98" s="340"/>
      <c r="O98" s="114"/>
      <c r="P98" s="24" t="str">
        <f t="shared" si="92"/>
        <v>0</v>
      </c>
      <c r="Q98" s="340"/>
      <c r="R98" s="355"/>
      <c r="S98" s="340"/>
      <c r="T98" s="343"/>
      <c r="U98" s="116"/>
      <c r="V98" s="322"/>
      <c r="W98" s="116"/>
      <c r="X98" s="116"/>
      <c r="Y98" s="116"/>
      <c r="Z98" s="116"/>
      <c r="AA98" s="24">
        <f t="shared" si="97"/>
        <v>0</v>
      </c>
      <c r="AB98" s="322"/>
      <c r="AC98" s="116"/>
      <c r="AD98" s="116"/>
      <c r="AE98" s="160">
        <f t="shared" si="99"/>
        <v>0</v>
      </c>
      <c r="AF98" s="347"/>
      <c r="AG98" s="350"/>
    </row>
    <row r="99" spans="1:33" ht="15.75" thickBot="1" x14ac:dyDescent="0.3">
      <c r="A99" s="297"/>
      <c r="B99" s="300"/>
      <c r="C99" s="49" t="str">
        <f>IF(VLOOKUP(B95,PROPONENTES!$B$10:$N$111,10,FALSE)="","",VLOOKUP(B95,PROPONENTES!$B$10:$N$111,10,FALSE))</f>
        <v/>
      </c>
      <c r="D99" s="50">
        <f>VLOOKUP(B95,PROPONENTES!$B$10:$N$111,11,FALSE)</f>
        <v>0</v>
      </c>
      <c r="E99" s="118"/>
      <c r="F99" s="118"/>
      <c r="G99" s="127" t="str">
        <f>+'17'!E19</f>
        <v/>
      </c>
      <c r="H99" s="128" t="str">
        <f>IF(C99="","",IF(G99&gt;='17'!$J$15*0.4,"SI","NO"))</f>
        <v/>
      </c>
      <c r="I99" s="128">
        <f t="shared" si="121"/>
        <v>0</v>
      </c>
      <c r="J99" s="300"/>
      <c r="K99" s="356"/>
      <c r="L99" s="348"/>
      <c r="M99" s="356"/>
      <c r="N99" s="341"/>
      <c r="O99" s="118"/>
      <c r="P99" s="49" t="str">
        <f t="shared" si="92"/>
        <v>0</v>
      </c>
      <c r="Q99" s="341"/>
      <c r="R99" s="356"/>
      <c r="S99" s="341"/>
      <c r="T99" s="344"/>
      <c r="U99" s="148"/>
      <c r="V99" s="323"/>
      <c r="W99" s="148"/>
      <c r="X99" s="148"/>
      <c r="Y99" s="148"/>
      <c r="Z99" s="148"/>
      <c r="AA99" s="169">
        <f t="shared" si="97"/>
        <v>0</v>
      </c>
      <c r="AB99" s="323"/>
      <c r="AC99" s="148"/>
      <c r="AD99" s="148"/>
      <c r="AE99" s="161">
        <f t="shared" si="99"/>
        <v>0</v>
      </c>
      <c r="AF99" s="348"/>
      <c r="AG99" s="351"/>
    </row>
    <row r="100" spans="1:33" x14ac:dyDescent="0.25">
      <c r="A100" s="295">
        <v>18</v>
      </c>
      <c r="B100" s="298" t="str">
        <f>+PROPONENTES!B27</f>
        <v>CONSORCIO MAB KENN PARQUES</v>
      </c>
      <c r="C100" s="44" t="str">
        <f>IF(VLOOKUP(B100,PROPONENTES!$B$10:$N$111,2,FALSE)="","",VLOOKUP(B100,PROPONENTES!$B$10:$N$111,2,FALSE))</f>
        <v xml:space="preserve">EDILBERTO MATEUS ALVAREZ </v>
      </c>
      <c r="D100" s="45">
        <f>VLOOKUP(B100,PROPONENTES!$B$10:$N$111,3,FALSE)</f>
        <v>0.1</v>
      </c>
      <c r="E100" s="109" t="s">
        <v>79</v>
      </c>
      <c r="F100" s="109" t="s">
        <v>79</v>
      </c>
      <c r="G100" s="123">
        <f>+'18'!E15</f>
        <v>775.19320000000005</v>
      </c>
      <c r="H100" s="124" t="str">
        <f>IF(C100="","",IF(G100&gt;'18'!$J$15*0.4,"SI","NO"))</f>
        <v>SI</v>
      </c>
      <c r="I100" s="44">
        <f>IF(C100="",0,IF(AND(E100="SI",H100="SI",F100="SI"),1,0))</f>
        <v>1</v>
      </c>
      <c r="J100" s="298">
        <f>IF((I100+I101+I102+I103+I104)&gt;=1,1,0)</f>
        <v>1</v>
      </c>
      <c r="K100" s="354" t="s">
        <v>14</v>
      </c>
      <c r="L100" s="346">
        <f t="shared" si="71"/>
        <v>10</v>
      </c>
      <c r="M100" s="354"/>
      <c r="N100" s="339">
        <f t="shared" si="115"/>
        <v>0</v>
      </c>
      <c r="O100" s="113" t="s">
        <v>118</v>
      </c>
      <c r="P100" s="44">
        <f t="shared" si="92"/>
        <v>0</v>
      </c>
      <c r="Q100" s="339">
        <f t="shared" ref="Q100" si="122">+L100+N100+IF(SUM(P100:P104)&gt;=1,-1,0)</f>
        <v>10</v>
      </c>
      <c r="R100" s="354" t="s">
        <v>14</v>
      </c>
      <c r="S100" s="339">
        <f t="shared" ref="S100" si="123">IF(R100="CUMPLE",9,0)</f>
        <v>9</v>
      </c>
      <c r="T100" s="342" t="s">
        <v>14</v>
      </c>
      <c r="U100" s="111" t="s">
        <v>14</v>
      </c>
      <c r="V100" s="345">
        <f t="shared" ref="V100" si="124">IF(AND(T100="",U100="",U101="",U102="",U103="",U104=""),"",IF(AND(T100="CUMPLE",U100="",U101="",U102="",U103="",U104=""),"",IF(AND(T100="CUMPLE",OR(U100="CUMPLE",U100=""),OR(U101="CUMPLE",U101=""),OR(U102="CUMPLE",U102=""),OR(U103="CUMPLE",U103=""),OR(U104="CUMPLE",U104="")),20,0)))</f>
        <v>20</v>
      </c>
      <c r="W100" s="111" t="s">
        <v>13</v>
      </c>
      <c r="X100" s="111" t="s">
        <v>13</v>
      </c>
      <c r="Y100" s="111" t="s">
        <v>13</v>
      </c>
      <c r="Z100" s="111" t="s">
        <v>13</v>
      </c>
      <c r="AA100" s="168">
        <f t="shared" si="97"/>
        <v>0</v>
      </c>
      <c r="AB100" s="345">
        <f t="shared" ref="AB100" si="125">IF((AA100+AA101+AA102+AA103+AA104)&gt;=0.25,0.25,0)</f>
        <v>0.25</v>
      </c>
      <c r="AC100" s="111" t="s">
        <v>14</v>
      </c>
      <c r="AD100" s="111" t="s">
        <v>14</v>
      </c>
      <c r="AE100" s="159">
        <f t="shared" si="99"/>
        <v>0.25</v>
      </c>
      <c r="AF100" s="346">
        <f t="shared" ref="AF100" si="126">IF((AE100+AE101+AE102+AE103+AE104)&gt;=0.25,0.25,0)</f>
        <v>0.25</v>
      </c>
      <c r="AG100" s="349"/>
    </row>
    <row r="101" spans="1:33" x14ac:dyDescent="0.25">
      <c r="A101" s="296"/>
      <c r="B101" s="299"/>
      <c r="C101" s="24" t="str">
        <f>IF(VLOOKUP(B100,PROPONENTES!$B$10:$N$111,4,FALSE)="","",VLOOKUP(B100,PROPONENTES!$B$10:$N$111,4,FALSE))</f>
        <v>GRUPO MABRIL SAS</v>
      </c>
      <c r="D101" s="37">
        <f>VLOOKUP(B100,PROPONENTES!$B$10:$N$111,5,FALSE)</f>
        <v>0.9</v>
      </c>
      <c r="E101" s="114" t="s">
        <v>77</v>
      </c>
      <c r="F101" s="114" t="s">
        <v>77</v>
      </c>
      <c r="G101" s="125">
        <f>+'18'!E16</f>
        <v>0</v>
      </c>
      <c r="H101" s="126" t="str">
        <f>IF(C101="","",IF(G101&gt;'18'!$J$15*0.4,"SI","NO"))</f>
        <v>NO</v>
      </c>
      <c r="I101" s="24">
        <f t="shared" ref="I101:I104" si="127">IF(C101="",0,IF(AND(E101="SI",H101="SI",F101="SI"),1,0))</f>
        <v>0</v>
      </c>
      <c r="J101" s="299"/>
      <c r="K101" s="355"/>
      <c r="L101" s="347"/>
      <c r="M101" s="355"/>
      <c r="N101" s="340"/>
      <c r="O101" s="115" t="s">
        <v>118</v>
      </c>
      <c r="P101" s="24">
        <f t="shared" si="92"/>
        <v>0</v>
      </c>
      <c r="Q101" s="340"/>
      <c r="R101" s="355"/>
      <c r="S101" s="340"/>
      <c r="T101" s="343"/>
      <c r="U101" s="116" t="s">
        <v>14</v>
      </c>
      <c r="V101" s="322"/>
      <c r="W101" s="116" t="s">
        <v>14</v>
      </c>
      <c r="X101" s="116" t="s">
        <v>14</v>
      </c>
      <c r="Y101" s="116" t="s">
        <v>14</v>
      </c>
      <c r="Z101" s="116" t="s">
        <v>14</v>
      </c>
      <c r="AA101" s="24">
        <f t="shared" si="97"/>
        <v>0.25</v>
      </c>
      <c r="AB101" s="322"/>
      <c r="AC101" s="116" t="s">
        <v>14</v>
      </c>
      <c r="AD101" s="116" t="s">
        <v>14</v>
      </c>
      <c r="AE101" s="160">
        <f t="shared" si="99"/>
        <v>0.25</v>
      </c>
      <c r="AF101" s="347"/>
      <c r="AG101" s="350"/>
    </row>
    <row r="102" spans="1:33" x14ac:dyDescent="0.25">
      <c r="A102" s="296"/>
      <c r="B102" s="299"/>
      <c r="C102" s="24" t="str">
        <f>IF(VLOOKUP(B100,PROPONENTES!$B$10:$N$111,6,FALSE)="","",VLOOKUP(B100,PROPONENTES!$B$10:$N$111,6,FALSE))</f>
        <v/>
      </c>
      <c r="D102" s="37">
        <f>VLOOKUP(B100,PROPONENTES!$B$10:$N$111,7,FALSE)</f>
        <v>0</v>
      </c>
      <c r="E102" s="114"/>
      <c r="F102" s="114"/>
      <c r="G102" s="125" t="str">
        <f>+'18'!E17</f>
        <v/>
      </c>
      <c r="H102" s="126" t="str">
        <f>IF(C102="","",IF(G102&gt;='18'!$J$15*0.4,"SI","NO"))</f>
        <v/>
      </c>
      <c r="I102" s="24">
        <f t="shared" si="127"/>
        <v>0</v>
      </c>
      <c r="J102" s="299"/>
      <c r="K102" s="355"/>
      <c r="L102" s="347"/>
      <c r="M102" s="355"/>
      <c r="N102" s="340"/>
      <c r="O102" s="115"/>
      <c r="P102" s="24" t="str">
        <f t="shared" si="92"/>
        <v>0</v>
      </c>
      <c r="Q102" s="340"/>
      <c r="R102" s="355"/>
      <c r="S102" s="340"/>
      <c r="T102" s="343"/>
      <c r="U102" s="116"/>
      <c r="V102" s="322"/>
      <c r="W102" s="116"/>
      <c r="X102" s="116"/>
      <c r="Y102" s="116"/>
      <c r="Z102" s="116"/>
      <c r="AA102" s="24">
        <f t="shared" si="97"/>
        <v>0</v>
      </c>
      <c r="AB102" s="322"/>
      <c r="AC102" s="116"/>
      <c r="AD102" s="116"/>
      <c r="AE102" s="160">
        <f t="shared" si="99"/>
        <v>0</v>
      </c>
      <c r="AF102" s="347"/>
      <c r="AG102" s="350"/>
    </row>
    <row r="103" spans="1:33" x14ac:dyDescent="0.25">
      <c r="A103" s="296"/>
      <c r="B103" s="299"/>
      <c r="C103" s="24" t="str">
        <f>IF(VLOOKUP(B100,PROPONENTES!$B$10:$N$111,8,FALSE)="","",VLOOKUP(B100,PROPONENTES!$B$10:$N$111,8,FALSE))</f>
        <v/>
      </c>
      <c r="D103" s="37">
        <f>VLOOKUP(B100,PROPONENTES!$B$10:$N$111,9,FALSE)</f>
        <v>0</v>
      </c>
      <c r="E103" s="114"/>
      <c r="F103" s="114"/>
      <c r="G103" s="125" t="str">
        <f>+'18'!E18</f>
        <v/>
      </c>
      <c r="H103" s="126" t="str">
        <f>IF(C103="","",IF(G103&gt;='18'!$J$15*0.4,"SI","NO"))</f>
        <v/>
      </c>
      <c r="I103" s="126">
        <f t="shared" si="127"/>
        <v>0</v>
      </c>
      <c r="J103" s="299"/>
      <c r="K103" s="355"/>
      <c r="L103" s="347"/>
      <c r="M103" s="355"/>
      <c r="N103" s="340"/>
      <c r="O103" s="114"/>
      <c r="P103" s="24" t="str">
        <f t="shared" si="92"/>
        <v>0</v>
      </c>
      <c r="Q103" s="340"/>
      <c r="R103" s="355"/>
      <c r="S103" s="340"/>
      <c r="T103" s="343"/>
      <c r="U103" s="116"/>
      <c r="V103" s="322"/>
      <c r="W103" s="116"/>
      <c r="X103" s="116"/>
      <c r="Y103" s="116"/>
      <c r="Z103" s="116"/>
      <c r="AA103" s="24">
        <f t="shared" si="97"/>
        <v>0</v>
      </c>
      <c r="AB103" s="322"/>
      <c r="AC103" s="116"/>
      <c r="AD103" s="116"/>
      <c r="AE103" s="160">
        <f t="shared" si="99"/>
        <v>0</v>
      </c>
      <c r="AF103" s="347"/>
      <c r="AG103" s="350"/>
    </row>
    <row r="104" spans="1:33" ht="15.75" thickBot="1" x14ac:dyDescent="0.3">
      <c r="A104" s="297"/>
      <c r="B104" s="300"/>
      <c r="C104" s="49" t="str">
        <f>IF(VLOOKUP(B100,PROPONENTES!$B$10:$N$111,10,FALSE)="","",VLOOKUP(B100,PROPONENTES!$B$10:$N$111,10,FALSE))</f>
        <v/>
      </c>
      <c r="D104" s="50">
        <f>VLOOKUP(B100,PROPONENTES!$B$10:$N$111,11,FALSE)</f>
        <v>0</v>
      </c>
      <c r="E104" s="118"/>
      <c r="F104" s="118"/>
      <c r="G104" s="127" t="str">
        <f>+'18'!E19</f>
        <v/>
      </c>
      <c r="H104" s="128" t="str">
        <f>IF(C104="","",IF(G104&gt;='18'!$J$15*0.4,"SI","NO"))</f>
        <v/>
      </c>
      <c r="I104" s="128">
        <f t="shared" si="127"/>
        <v>0</v>
      </c>
      <c r="J104" s="300"/>
      <c r="K104" s="356"/>
      <c r="L104" s="348"/>
      <c r="M104" s="356"/>
      <c r="N104" s="341"/>
      <c r="O104" s="118"/>
      <c r="P104" s="49" t="str">
        <f t="shared" si="92"/>
        <v>0</v>
      </c>
      <c r="Q104" s="341"/>
      <c r="R104" s="356"/>
      <c r="S104" s="341"/>
      <c r="T104" s="344"/>
      <c r="U104" s="148"/>
      <c r="V104" s="323"/>
      <c r="W104" s="148"/>
      <c r="X104" s="148"/>
      <c r="Y104" s="148"/>
      <c r="Z104" s="148"/>
      <c r="AA104" s="169">
        <f t="shared" si="97"/>
        <v>0</v>
      </c>
      <c r="AB104" s="323"/>
      <c r="AC104" s="148"/>
      <c r="AD104" s="148"/>
      <c r="AE104" s="161">
        <f t="shared" si="99"/>
        <v>0</v>
      </c>
      <c r="AF104" s="348"/>
      <c r="AG104" s="351"/>
    </row>
    <row r="105" spans="1:33" x14ac:dyDescent="0.25">
      <c r="A105" s="295">
        <v>19</v>
      </c>
      <c r="B105" s="298" t="str">
        <f>+PROPONENTES!B28</f>
        <v>PROMCIVILES S.A.S.</v>
      </c>
      <c r="C105" s="44" t="str">
        <f>IF(VLOOKUP(B105,PROPONENTES!$B$10:$N$111,2,FALSE)="","",VLOOKUP(B105,PROPONENTES!$B$10:$N$111,2,FALSE))</f>
        <v>PROMCIVILES S.A.S.</v>
      </c>
      <c r="D105" s="45">
        <f>VLOOKUP(B105,PROPONENTES!$B$10:$N$111,3,FALSE)</f>
        <v>1</v>
      </c>
      <c r="E105" s="109" t="s">
        <v>79</v>
      </c>
      <c r="F105" s="109" t="s">
        <v>79</v>
      </c>
      <c r="G105" s="123">
        <f>+'19'!E15</f>
        <v>40019.574999999997</v>
      </c>
      <c r="H105" s="124" t="str">
        <f>IF(C105="","",IF(G105&gt;'19'!$J$15*0.4,"SI","NO"))</f>
        <v>SI</v>
      </c>
      <c r="I105" s="44">
        <f>IF(C105="",0,IF(AND(E105="SI",H105="SI",F105="SI"),1,0))</f>
        <v>1</v>
      </c>
      <c r="J105" s="298">
        <f>IF((I105+I106+I107+I108+I109)&gt;=1,1,0)</f>
        <v>1</v>
      </c>
      <c r="K105" s="354" t="s">
        <v>14</v>
      </c>
      <c r="L105" s="346">
        <f t="shared" si="78"/>
        <v>10</v>
      </c>
      <c r="M105" s="354"/>
      <c r="N105" s="339">
        <f t="shared" si="115"/>
        <v>0</v>
      </c>
      <c r="O105" s="113" t="s">
        <v>118</v>
      </c>
      <c r="P105" s="44">
        <f t="shared" si="92"/>
        <v>0</v>
      </c>
      <c r="Q105" s="339">
        <f t="shared" ref="Q105" si="128">+L105+N105+IF(SUM(P105:P109)&gt;=1,-1,0)</f>
        <v>10</v>
      </c>
      <c r="R105" s="354" t="s">
        <v>14</v>
      </c>
      <c r="S105" s="339">
        <f t="shared" ref="S105" si="129">IF(R105="CUMPLE",9,0)</f>
        <v>9</v>
      </c>
      <c r="T105" s="342" t="s">
        <v>14</v>
      </c>
      <c r="U105" s="111" t="s">
        <v>14</v>
      </c>
      <c r="V105" s="345">
        <f t="shared" ref="V105" si="130">IF(AND(T105="",U105="",U106="",U107="",U108="",U109=""),"",IF(AND(T105="CUMPLE",U105="",U106="",U107="",U108="",U109=""),"",IF(AND(T105="CUMPLE",OR(U105="CUMPLE",U105=""),OR(U106="CUMPLE",U106=""),OR(U107="CUMPLE",U107=""),OR(U108="CUMPLE",U108=""),OR(U109="CUMPLE",U109="")),20,0)))</f>
        <v>20</v>
      </c>
      <c r="W105" s="111" t="s">
        <v>14</v>
      </c>
      <c r="X105" s="111" t="s">
        <v>14</v>
      </c>
      <c r="Y105" s="111" t="s">
        <v>14</v>
      </c>
      <c r="Z105" s="111" t="s">
        <v>14</v>
      </c>
      <c r="AA105" s="168">
        <f t="shared" si="97"/>
        <v>0.25</v>
      </c>
      <c r="AB105" s="345">
        <f t="shared" ref="AB105" si="131">IF((AA105+AA106+AA107+AA108+AA109)&gt;=0.25,0.25,0)</f>
        <v>0.25</v>
      </c>
      <c r="AC105" s="111" t="s">
        <v>14</v>
      </c>
      <c r="AD105" s="111" t="s">
        <v>14</v>
      </c>
      <c r="AE105" s="159">
        <f t="shared" si="99"/>
        <v>0.25</v>
      </c>
      <c r="AF105" s="346">
        <f t="shared" ref="AF105" si="132">IF((AE105+AE106+AE107+AE108+AE109)&gt;=0.25,0.25,0)</f>
        <v>0.25</v>
      </c>
      <c r="AG105" s="349"/>
    </row>
    <row r="106" spans="1:33" x14ac:dyDescent="0.25">
      <c r="A106" s="296"/>
      <c r="B106" s="299"/>
      <c r="C106" s="24" t="str">
        <f>IF(VLOOKUP(B105,PROPONENTES!$B$10:$N$111,4,FALSE)="","",VLOOKUP(B105,PROPONENTES!$B$10:$N$111,4,FALSE))</f>
        <v/>
      </c>
      <c r="D106" s="37">
        <f>VLOOKUP(B105,PROPONENTES!$B$10:$N$111,5,FALSE)</f>
        <v>0</v>
      </c>
      <c r="E106" s="114"/>
      <c r="F106" s="114"/>
      <c r="G106" s="125" t="str">
        <f>+'19'!E16</f>
        <v/>
      </c>
      <c r="H106" s="126" t="str">
        <f>IF(C106="","",IF(G106&gt;='19'!$J$15*0.4,"SI","NO"))</f>
        <v/>
      </c>
      <c r="I106" s="24">
        <f t="shared" ref="I106:I109" si="133">IF(C106="",0,IF(AND(E106="SI",H106="SI",F106="SI"),1,0))</f>
        <v>0</v>
      </c>
      <c r="J106" s="299"/>
      <c r="K106" s="355"/>
      <c r="L106" s="347"/>
      <c r="M106" s="355"/>
      <c r="N106" s="340"/>
      <c r="O106" s="115"/>
      <c r="P106" s="24" t="str">
        <f t="shared" si="92"/>
        <v>0</v>
      </c>
      <c r="Q106" s="340"/>
      <c r="R106" s="355"/>
      <c r="S106" s="340"/>
      <c r="T106" s="343"/>
      <c r="U106" s="116"/>
      <c r="V106" s="322"/>
      <c r="W106" s="116"/>
      <c r="X106" s="116"/>
      <c r="Y106" s="116"/>
      <c r="Z106" s="116"/>
      <c r="AA106" s="24">
        <f t="shared" si="97"/>
        <v>0</v>
      </c>
      <c r="AB106" s="322"/>
      <c r="AC106" s="116"/>
      <c r="AD106" s="116"/>
      <c r="AE106" s="160">
        <f t="shared" si="99"/>
        <v>0</v>
      </c>
      <c r="AF106" s="347"/>
      <c r="AG106" s="350"/>
    </row>
    <row r="107" spans="1:33" x14ac:dyDescent="0.25">
      <c r="A107" s="296"/>
      <c r="B107" s="299"/>
      <c r="C107" s="24" t="str">
        <f>IF(VLOOKUP(B105,PROPONENTES!$B$10:$N$111,6,FALSE)="","",VLOOKUP(B105,PROPONENTES!$B$10:$N$111,6,FALSE))</f>
        <v/>
      </c>
      <c r="D107" s="37">
        <f>VLOOKUP(B105,PROPONENTES!$B$10:$N$111,7,FALSE)</f>
        <v>0</v>
      </c>
      <c r="E107" s="114"/>
      <c r="F107" s="114"/>
      <c r="G107" s="125" t="str">
        <f>+'19'!E17</f>
        <v/>
      </c>
      <c r="H107" s="126" t="str">
        <f>IF(C107="","",IF(G107&gt;='19'!$J$15*0.4,"SI","NO"))</f>
        <v/>
      </c>
      <c r="I107" s="24">
        <f t="shared" si="133"/>
        <v>0</v>
      </c>
      <c r="J107" s="299"/>
      <c r="K107" s="355"/>
      <c r="L107" s="347"/>
      <c r="M107" s="355"/>
      <c r="N107" s="340"/>
      <c r="O107" s="115"/>
      <c r="P107" s="24" t="str">
        <f t="shared" si="92"/>
        <v>0</v>
      </c>
      <c r="Q107" s="340"/>
      <c r="R107" s="355"/>
      <c r="S107" s="340"/>
      <c r="T107" s="343"/>
      <c r="U107" s="116"/>
      <c r="V107" s="322"/>
      <c r="W107" s="116"/>
      <c r="X107" s="116"/>
      <c r="Y107" s="116"/>
      <c r="Z107" s="116"/>
      <c r="AA107" s="24">
        <f t="shared" si="97"/>
        <v>0</v>
      </c>
      <c r="AB107" s="322"/>
      <c r="AC107" s="116"/>
      <c r="AD107" s="116"/>
      <c r="AE107" s="160">
        <f t="shared" si="99"/>
        <v>0</v>
      </c>
      <c r="AF107" s="347"/>
      <c r="AG107" s="350"/>
    </row>
    <row r="108" spans="1:33" x14ac:dyDescent="0.25">
      <c r="A108" s="296"/>
      <c r="B108" s="299"/>
      <c r="C108" s="24" t="str">
        <f>IF(VLOOKUP(B105,PROPONENTES!$B$10:$N$111,8,FALSE)="","",VLOOKUP(B105,PROPONENTES!$B$10:$N$111,8,FALSE))</f>
        <v/>
      </c>
      <c r="D108" s="37">
        <f>VLOOKUP(B105,PROPONENTES!$B$10:$N$111,9,FALSE)</f>
        <v>0</v>
      </c>
      <c r="E108" s="114"/>
      <c r="F108" s="114"/>
      <c r="G108" s="125" t="str">
        <f>+'19'!E18</f>
        <v/>
      </c>
      <c r="H108" s="126" t="str">
        <f>IF(C108="","",IF(G108&gt;='19'!$J$15*0.4,"SI","NO"))</f>
        <v/>
      </c>
      <c r="I108" s="126">
        <f t="shared" si="133"/>
        <v>0</v>
      </c>
      <c r="J108" s="299"/>
      <c r="K108" s="355"/>
      <c r="L108" s="347"/>
      <c r="M108" s="355"/>
      <c r="N108" s="340"/>
      <c r="O108" s="114"/>
      <c r="P108" s="24" t="str">
        <f t="shared" si="92"/>
        <v>0</v>
      </c>
      <c r="Q108" s="340"/>
      <c r="R108" s="355"/>
      <c r="S108" s="340"/>
      <c r="T108" s="343"/>
      <c r="U108" s="116"/>
      <c r="V108" s="322"/>
      <c r="W108" s="116"/>
      <c r="X108" s="116"/>
      <c r="Y108" s="116"/>
      <c r="Z108" s="116"/>
      <c r="AA108" s="24">
        <f t="shared" si="97"/>
        <v>0</v>
      </c>
      <c r="AB108" s="322"/>
      <c r="AC108" s="116"/>
      <c r="AD108" s="116"/>
      <c r="AE108" s="160">
        <f t="shared" si="99"/>
        <v>0</v>
      </c>
      <c r="AF108" s="347"/>
      <c r="AG108" s="350"/>
    </row>
    <row r="109" spans="1:33" ht="15.75" thickBot="1" x14ac:dyDescent="0.3">
      <c r="A109" s="297"/>
      <c r="B109" s="300"/>
      <c r="C109" s="49" t="str">
        <f>IF(VLOOKUP(B105,PROPONENTES!$B$10:$N$111,10,FALSE)="","",VLOOKUP(B105,PROPONENTES!$B$10:$N$111,10,FALSE))</f>
        <v/>
      </c>
      <c r="D109" s="50">
        <f>VLOOKUP(B105,PROPONENTES!$B$10:$N$111,11,FALSE)</f>
        <v>0</v>
      </c>
      <c r="E109" s="118"/>
      <c r="F109" s="118"/>
      <c r="G109" s="127" t="str">
        <f>+'19'!E19</f>
        <v/>
      </c>
      <c r="H109" s="128" t="str">
        <f>IF(C109="","",IF(G109&gt;='19'!$J$15*0.4,"SI","NO"))</f>
        <v/>
      </c>
      <c r="I109" s="128">
        <f t="shared" si="133"/>
        <v>0</v>
      </c>
      <c r="J109" s="300"/>
      <c r="K109" s="356"/>
      <c r="L109" s="348"/>
      <c r="M109" s="356"/>
      <c r="N109" s="341"/>
      <c r="O109" s="118"/>
      <c r="P109" s="49" t="str">
        <f t="shared" si="92"/>
        <v>0</v>
      </c>
      <c r="Q109" s="341"/>
      <c r="R109" s="356"/>
      <c r="S109" s="341"/>
      <c r="T109" s="344"/>
      <c r="U109" s="148"/>
      <c r="V109" s="323"/>
      <c r="W109" s="148"/>
      <c r="X109" s="148"/>
      <c r="Y109" s="148"/>
      <c r="Z109" s="148"/>
      <c r="AA109" s="169">
        <f t="shared" si="97"/>
        <v>0</v>
      </c>
      <c r="AB109" s="323"/>
      <c r="AC109" s="148"/>
      <c r="AD109" s="148"/>
      <c r="AE109" s="161">
        <f t="shared" si="99"/>
        <v>0</v>
      </c>
      <c r="AF109" s="348"/>
      <c r="AG109" s="351"/>
    </row>
    <row r="110" spans="1:33" x14ac:dyDescent="0.25">
      <c r="A110" s="295">
        <v>20</v>
      </c>
      <c r="B110" s="298" t="str">
        <f>+PROPONENTES!B29</f>
        <v>UNION TEMPORAL PARQUES KENNEDY VE</v>
      </c>
      <c r="C110" s="44" t="str">
        <f>IF(VLOOKUP(B110,PROPONENTES!$B$10:$N$111,2,FALSE)="","",VLOOKUP(B110,PROPONENTES!$B$10:$N$111,2,FALSE))</f>
        <v xml:space="preserve">VIAL SOLUTIONS S.A.S. </v>
      </c>
      <c r="D110" s="45">
        <f>VLOOKUP(B110,PROPONENTES!$B$10:$N$111,3,FALSE)</f>
        <v>0.1</v>
      </c>
      <c r="E110" s="109" t="s">
        <v>77</v>
      </c>
      <c r="F110" s="109" t="s">
        <v>77</v>
      </c>
      <c r="G110" s="123">
        <f>+'20'!E15</f>
        <v>0</v>
      </c>
      <c r="H110" s="124" t="str">
        <f>IF(C110="","",IF(G110&gt;'20'!$J$15*0.4,"SI","NO"))</f>
        <v>NO</v>
      </c>
      <c r="I110" s="44">
        <f>IF(C110="",0,IF(AND(E110="SI",H110="SI",F110="SI"),1,0))</f>
        <v>0</v>
      </c>
      <c r="J110" s="298">
        <f>IF((I110+I111+I112+I113+I114)&gt;=1,1,0)</f>
        <v>1</v>
      </c>
      <c r="K110" s="354" t="s">
        <v>14</v>
      </c>
      <c r="L110" s="346">
        <f t="shared" si="85"/>
        <v>10</v>
      </c>
      <c r="M110" s="354"/>
      <c r="N110" s="339">
        <f t="shared" si="115"/>
        <v>0</v>
      </c>
      <c r="O110" s="113" t="s">
        <v>118</v>
      </c>
      <c r="P110" s="44">
        <f t="shared" si="92"/>
        <v>0</v>
      </c>
      <c r="Q110" s="339">
        <f t="shared" ref="Q110" si="134">+L110+N110+IF(SUM(P110:P114)&gt;=1,-1,0)</f>
        <v>10</v>
      </c>
      <c r="R110" s="354" t="s">
        <v>14</v>
      </c>
      <c r="S110" s="339">
        <f t="shared" ref="S110" si="135">IF(R110="CUMPLE",9,0)</f>
        <v>9</v>
      </c>
      <c r="T110" s="342" t="s">
        <v>14</v>
      </c>
      <c r="U110" s="111" t="s">
        <v>14</v>
      </c>
      <c r="V110" s="345">
        <f t="shared" ref="V110" si="136">IF(AND(T110="",U110="",U111="",U112="",U113="",U114=""),"",IF(AND(T110="CUMPLE",U110="",U111="",U112="",U113="",U114=""),"",IF(AND(T110="CUMPLE",OR(U110="CUMPLE",U110=""),OR(U111="CUMPLE",U111=""),OR(U112="CUMPLE",U112=""),OR(U113="CUMPLE",U113=""),OR(U114="CUMPLE",U114="")),20,0)))</f>
        <v>20</v>
      </c>
      <c r="W110" s="111"/>
      <c r="X110" s="111"/>
      <c r="Y110" s="111"/>
      <c r="Z110" s="111"/>
      <c r="AA110" s="168">
        <f t="shared" si="97"/>
        <v>0</v>
      </c>
      <c r="AB110" s="345">
        <f t="shared" ref="AB110" si="137">IF((AA110+AA111+AA112+AA113+AA114)&gt;=0.25,0.25,0)</f>
        <v>0.25</v>
      </c>
      <c r="AC110" s="111" t="s">
        <v>14</v>
      </c>
      <c r="AD110" s="111" t="s">
        <v>14</v>
      </c>
      <c r="AE110" s="159">
        <f t="shared" si="99"/>
        <v>0.25</v>
      </c>
      <c r="AF110" s="346">
        <f t="shared" ref="AF110" si="138">IF((AE110+AE111+AE112+AE113+AE114)&gt;=0.25,0.25,0)</f>
        <v>0.25</v>
      </c>
      <c r="AG110" s="349"/>
    </row>
    <row r="111" spans="1:33" x14ac:dyDescent="0.25">
      <c r="A111" s="296"/>
      <c r="B111" s="299"/>
      <c r="C111" s="24" t="str">
        <f>IF(VLOOKUP(B110,PROPONENTES!$B$10:$N$111,4,FALSE)="","",VLOOKUP(B110,PROPONENTES!$B$10:$N$111,4,FALSE))</f>
        <v>EICON SAS</v>
      </c>
      <c r="D111" s="37">
        <f>VLOOKUP(B110,PROPONENTES!$B$10:$N$111,5,FALSE)</f>
        <v>0.9</v>
      </c>
      <c r="E111" s="114" t="s">
        <v>79</v>
      </c>
      <c r="F111" s="114" t="s">
        <v>79</v>
      </c>
      <c r="G111" s="125">
        <f>+'20'!E16</f>
        <v>2226.5594999999998</v>
      </c>
      <c r="H111" s="126" t="str">
        <f>IF(C111="","",IF(G111&gt;'20'!$J$15*0.4,"SI","NO"))</f>
        <v>SI</v>
      </c>
      <c r="I111" s="24">
        <f t="shared" ref="I111:I114" si="139">IF(C111="",0,IF(AND(E111="SI",H111="SI",F111="SI"),1,0))</f>
        <v>1</v>
      </c>
      <c r="J111" s="299"/>
      <c r="K111" s="355"/>
      <c r="L111" s="347"/>
      <c r="M111" s="355"/>
      <c r="N111" s="340"/>
      <c r="O111" s="115" t="s">
        <v>118</v>
      </c>
      <c r="P111" s="24">
        <f t="shared" si="92"/>
        <v>0</v>
      </c>
      <c r="Q111" s="340"/>
      <c r="R111" s="355"/>
      <c r="S111" s="340"/>
      <c r="T111" s="343"/>
      <c r="U111" s="116" t="s">
        <v>14</v>
      </c>
      <c r="V111" s="322"/>
      <c r="W111" s="116" t="s">
        <v>14</v>
      </c>
      <c r="X111" s="116" t="s">
        <v>14</v>
      </c>
      <c r="Y111" s="116" t="s">
        <v>14</v>
      </c>
      <c r="Z111" s="116" t="s">
        <v>14</v>
      </c>
      <c r="AA111" s="24">
        <f t="shared" si="97"/>
        <v>0.25</v>
      </c>
      <c r="AB111" s="322"/>
      <c r="AC111" s="116" t="s">
        <v>14</v>
      </c>
      <c r="AD111" s="116" t="s">
        <v>14</v>
      </c>
      <c r="AE111" s="160">
        <f t="shared" si="99"/>
        <v>0.25</v>
      </c>
      <c r="AF111" s="347"/>
      <c r="AG111" s="350"/>
    </row>
    <row r="112" spans="1:33" x14ac:dyDescent="0.25">
      <c r="A112" s="296"/>
      <c r="B112" s="299"/>
      <c r="C112" s="24" t="str">
        <f>IF(VLOOKUP(B110,PROPONENTES!$B$10:$N$111,6,FALSE)="","",VLOOKUP(B110,PROPONENTES!$B$10:$N$111,6,FALSE))</f>
        <v/>
      </c>
      <c r="D112" s="37">
        <f>VLOOKUP(B110,PROPONENTES!$B$10:$N$111,7,FALSE)</f>
        <v>0</v>
      </c>
      <c r="E112" s="114"/>
      <c r="F112" s="114"/>
      <c r="G112" s="125" t="str">
        <f>+'20'!E17</f>
        <v/>
      </c>
      <c r="H112" s="126" t="str">
        <f>IF(C112="","",IF(G112&gt;='20'!$J$15*0.4,"SI","NO"))</f>
        <v/>
      </c>
      <c r="I112" s="24">
        <f t="shared" si="139"/>
        <v>0</v>
      </c>
      <c r="J112" s="299"/>
      <c r="K112" s="355"/>
      <c r="L112" s="347"/>
      <c r="M112" s="355"/>
      <c r="N112" s="340"/>
      <c r="O112" s="115"/>
      <c r="P112" s="24" t="str">
        <f t="shared" si="92"/>
        <v>0</v>
      </c>
      <c r="Q112" s="340"/>
      <c r="R112" s="355"/>
      <c r="S112" s="340"/>
      <c r="T112" s="343"/>
      <c r="U112" s="116"/>
      <c r="V112" s="322"/>
      <c r="W112" s="116"/>
      <c r="X112" s="116"/>
      <c r="Y112" s="116"/>
      <c r="Z112" s="116"/>
      <c r="AA112" s="24">
        <f t="shared" si="97"/>
        <v>0</v>
      </c>
      <c r="AB112" s="322"/>
      <c r="AC112" s="116"/>
      <c r="AD112" s="116"/>
      <c r="AE112" s="160">
        <f t="shared" si="99"/>
        <v>0</v>
      </c>
      <c r="AF112" s="347"/>
      <c r="AG112" s="350"/>
    </row>
    <row r="113" spans="1:33" x14ac:dyDescent="0.25">
      <c r="A113" s="296"/>
      <c r="B113" s="299"/>
      <c r="C113" s="24" t="str">
        <f>IF(VLOOKUP(B110,PROPONENTES!$B$10:$N$111,8,FALSE)="","",VLOOKUP(B110,PROPONENTES!$B$10:$N$111,8,FALSE))</f>
        <v/>
      </c>
      <c r="D113" s="37">
        <f>VLOOKUP(B110,PROPONENTES!$B$10:$N$111,9,FALSE)</f>
        <v>0</v>
      </c>
      <c r="E113" s="114"/>
      <c r="F113" s="114"/>
      <c r="G113" s="125" t="str">
        <f>+'20'!E18</f>
        <v/>
      </c>
      <c r="H113" s="126" t="str">
        <f>IF(C113="","",IF(G113&gt;='20'!$J$15*0.4,"SI","NO"))</f>
        <v/>
      </c>
      <c r="I113" s="126">
        <f t="shared" si="139"/>
        <v>0</v>
      </c>
      <c r="J113" s="299"/>
      <c r="K113" s="355"/>
      <c r="L113" s="347"/>
      <c r="M113" s="355"/>
      <c r="N113" s="340"/>
      <c r="O113" s="114"/>
      <c r="P113" s="24" t="str">
        <f t="shared" si="92"/>
        <v>0</v>
      </c>
      <c r="Q113" s="340"/>
      <c r="R113" s="355"/>
      <c r="S113" s="340"/>
      <c r="T113" s="343"/>
      <c r="U113" s="116"/>
      <c r="V113" s="322"/>
      <c r="W113" s="116"/>
      <c r="X113" s="116"/>
      <c r="Y113" s="116"/>
      <c r="Z113" s="116"/>
      <c r="AA113" s="24">
        <f t="shared" si="97"/>
        <v>0</v>
      </c>
      <c r="AB113" s="322"/>
      <c r="AC113" s="116"/>
      <c r="AD113" s="116"/>
      <c r="AE113" s="160">
        <f t="shared" si="99"/>
        <v>0</v>
      </c>
      <c r="AF113" s="347"/>
      <c r="AG113" s="350"/>
    </row>
    <row r="114" spans="1:33" ht="15.75" thickBot="1" x14ac:dyDescent="0.3">
      <c r="A114" s="297"/>
      <c r="B114" s="300"/>
      <c r="C114" s="49" t="str">
        <f>IF(VLOOKUP(B110,PROPONENTES!$B$10:$N$111,10,FALSE)="","",VLOOKUP(B110,PROPONENTES!$B$10:$N$111,10,FALSE))</f>
        <v/>
      </c>
      <c r="D114" s="50">
        <f>VLOOKUP(B110,PROPONENTES!$B$10:$N$111,11,FALSE)</f>
        <v>0</v>
      </c>
      <c r="E114" s="118"/>
      <c r="F114" s="118"/>
      <c r="G114" s="127" t="str">
        <f>+'20'!E19</f>
        <v/>
      </c>
      <c r="H114" s="128" t="str">
        <f>IF(C114="","",IF(G114&gt;='20'!$J$15*0.4,"SI","NO"))</f>
        <v/>
      </c>
      <c r="I114" s="128">
        <f t="shared" si="139"/>
        <v>0</v>
      </c>
      <c r="J114" s="300"/>
      <c r="K114" s="356"/>
      <c r="L114" s="348"/>
      <c r="M114" s="356"/>
      <c r="N114" s="341"/>
      <c r="O114" s="118"/>
      <c r="P114" s="49" t="str">
        <f t="shared" si="92"/>
        <v>0</v>
      </c>
      <c r="Q114" s="341"/>
      <c r="R114" s="356"/>
      <c r="S114" s="341"/>
      <c r="T114" s="344"/>
      <c r="U114" s="148"/>
      <c r="V114" s="323"/>
      <c r="W114" s="148"/>
      <c r="X114" s="148"/>
      <c r="Y114" s="148"/>
      <c r="Z114" s="148"/>
      <c r="AA114" s="169">
        <f t="shared" si="97"/>
        <v>0</v>
      </c>
      <c r="AB114" s="323"/>
      <c r="AC114" s="148"/>
      <c r="AD114" s="148"/>
      <c r="AE114" s="161">
        <f t="shared" si="99"/>
        <v>0</v>
      </c>
      <c r="AF114" s="348"/>
      <c r="AG114" s="351"/>
    </row>
    <row r="115" spans="1:33" x14ac:dyDescent="0.25">
      <c r="A115" s="295">
        <v>21</v>
      </c>
      <c r="B115" s="298" t="str">
        <f>+PROPONENTES!B30</f>
        <v>CONSORCIO INCITECO IP XXI</v>
      </c>
      <c r="C115" s="44" t="str">
        <f>IF(VLOOKUP(B115,PROPONENTES!$B$10:$N$117,2,FALSE)="","",VLOOKUP(B115,PROPONENTES!$B$10:$N$117,2,FALSE))</f>
        <v>INCITECO S.A.S.</v>
      </c>
      <c r="D115" s="45">
        <f>VLOOKUP(B115,PROPONENTES!$B$10:$N$117,3,FALSE)</f>
        <v>0.9</v>
      </c>
      <c r="E115" s="109" t="s">
        <v>79</v>
      </c>
      <c r="F115" s="109" t="s">
        <v>79</v>
      </c>
      <c r="G115" s="123">
        <f>+'21'!E15</f>
        <v>68746.395999999993</v>
      </c>
      <c r="H115" s="124" t="str">
        <f>IF(C115="","",IF(G115&gt;'21'!$J$15*0.4,"SI","NO"))</f>
        <v>SI</v>
      </c>
      <c r="I115" s="44">
        <f>IF(C115="",0,IF(AND(E115="SI",H115="SI",F115="SI"),1,0))</f>
        <v>1</v>
      </c>
      <c r="J115" s="298">
        <f>IF((I115+I116+I117+I118+I119)&gt;=1,1,0)</f>
        <v>1</v>
      </c>
      <c r="K115" s="354" t="s">
        <v>14</v>
      </c>
      <c r="L115" s="346">
        <f t="shared" si="93"/>
        <v>10</v>
      </c>
      <c r="M115" s="354"/>
      <c r="N115" s="339">
        <f t="shared" si="115"/>
        <v>0</v>
      </c>
      <c r="O115" s="113" t="s">
        <v>118</v>
      </c>
      <c r="P115" s="44">
        <f t="shared" si="92"/>
        <v>0</v>
      </c>
      <c r="Q115" s="339">
        <f t="shared" ref="Q115" si="140">+L115+N115+IF(SUM(P115:P119)&gt;=1,-1,0)</f>
        <v>10</v>
      </c>
      <c r="R115" s="354" t="s">
        <v>14</v>
      </c>
      <c r="S115" s="339">
        <f t="shared" ref="S115" si="141">IF(R115="CUMPLE",9,0)</f>
        <v>9</v>
      </c>
      <c r="T115" s="342" t="s">
        <v>14</v>
      </c>
      <c r="U115" s="111" t="s">
        <v>14</v>
      </c>
      <c r="V115" s="345">
        <f t="shared" ref="V115" si="142">IF(AND(T115="",U115="",U116="",U117="",U118="",U119=""),"",IF(AND(T115="CUMPLE",U115="",U116="",U117="",U118="",U119=""),"",IF(AND(T115="CUMPLE",OR(U115="CUMPLE",U115=""),OR(U116="CUMPLE",U116=""),OR(U117="CUMPLE",U117=""),OR(U118="CUMPLE",U118=""),OR(U119="CUMPLE",U119="")),20,0)))</f>
        <v>20</v>
      </c>
      <c r="W115" s="111" t="s">
        <v>14</v>
      </c>
      <c r="X115" s="111" t="s">
        <v>14</v>
      </c>
      <c r="Y115" s="111" t="s">
        <v>14</v>
      </c>
      <c r="Z115" s="111" t="s">
        <v>14</v>
      </c>
      <c r="AA115" s="168">
        <f t="shared" si="97"/>
        <v>0.25</v>
      </c>
      <c r="AB115" s="345">
        <f t="shared" ref="AB115" si="143">IF((AA115+AA116+AA117+AA118+AA119)&gt;=0.25,0.25,0)</f>
        <v>0.25</v>
      </c>
      <c r="AC115" s="111" t="s">
        <v>13</v>
      </c>
      <c r="AD115" s="111" t="s">
        <v>13</v>
      </c>
      <c r="AE115" s="159">
        <f t="shared" si="99"/>
        <v>0</v>
      </c>
      <c r="AF115" s="346">
        <f t="shared" ref="AF115" si="144">IF((AE115+AE116+AE117+AE118+AE119)&gt;=0.25,0.25,0)</f>
        <v>0.25</v>
      </c>
      <c r="AG115" s="349"/>
    </row>
    <row r="116" spans="1:33" x14ac:dyDescent="0.25">
      <c r="A116" s="296"/>
      <c r="B116" s="299"/>
      <c r="C116" s="24" t="str">
        <f>IF(VLOOKUP(B115,PROPONENTES!$B$10:$N$117,4,FALSE)="","",VLOOKUP(B115,PROPONENTES!$B$10:$N$117,4,FALSE))</f>
        <v>INGENIEROS PROYECTAR SAS</v>
      </c>
      <c r="D116" s="37">
        <f>VLOOKUP(B115,PROPONENTES!$B$10:$N$117,5,FALSE)</f>
        <v>0.1</v>
      </c>
      <c r="E116" s="114" t="s">
        <v>77</v>
      </c>
      <c r="F116" s="114" t="s">
        <v>77</v>
      </c>
      <c r="G116" s="125">
        <f>+'21'!E16</f>
        <v>0</v>
      </c>
      <c r="H116" s="126" t="str">
        <f>IF(C116="","",IF(G116&gt;'21'!$J$15*0.4,"SI","NO"))</f>
        <v>NO</v>
      </c>
      <c r="I116" s="24">
        <f t="shared" ref="I116:I120" si="145">IF(C116="",0,IF(AND(E116="SI",H116="SI",F116="SI"),1,0))</f>
        <v>0</v>
      </c>
      <c r="J116" s="299"/>
      <c r="K116" s="355"/>
      <c r="L116" s="347"/>
      <c r="M116" s="355"/>
      <c r="N116" s="340"/>
      <c r="O116" s="115" t="s">
        <v>118</v>
      </c>
      <c r="P116" s="24">
        <f t="shared" si="92"/>
        <v>0</v>
      </c>
      <c r="Q116" s="340"/>
      <c r="R116" s="355"/>
      <c r="S116" s="340"/>
      <c r="T116" s="343"/>
      <c r="U116" s="116" t="s">
        <v>14</v>
      </c>
      <c r="V116" s="322"/>
      <c r="W116" s="116" t="s">
        <v>13</v>
      </c>
      <c r="X116" s="116" t="s">
        <v>13</v>
      </c>
      <c r="Y116" s="116" t="s">
        <v>13</v>
      </c>
      <c r="Z116" s="116" t="s">
        <v>13</v>
      </c>
      <c r="AA116" s="24">
        <f t="shared" si="97"/>
        <v>0</v>
      </c>
      <c r="AB116" s="322"/>
      <c r="AC116" s="116" t="s">
        <v>14</v>
      </c>
      <c r="AD116" s="116" t="s">
        <v>14</v>
      </c>
      <c r="AE116" s="160">
        <f t="shared" si="99"/>
        <v>0.25</v>
      </c>
      <c r="AF116" s="347"/>
      <c r="AG116" s="350"/>
    </row>
    <row r="117" spans="1:33" x14ac:dyDescent="0.25">
      <c r="A117" s="296"/>
      <c r="B117" s="299"/>
      <c r="C117" s="24" t="str">
        <f>IF(VLOOKUP(B115,PROPONENTES!$B$10:$N$117,6,FALSE)="","",VLOOKUP(B115,PROPONENTES!$B$10:$N$117,6,FALSE))</f>
        <v/>
      </c>
      <c r="D117" s="37">
        <f>VLOOKUP(B115,PROPONENTES!$B$10:$N$117,7,FALSE)</f>
        <v>0</v>
      </c>
      <c r="E117" s="114"/>
      <c r="F117" s="114"/>
      <c r="G117" s="125" t="str">
        <f>+'21'!E17</f>
        <v/>
      </c>
      <c r="H117" s="126" t="str">
        <f>IF(C117="","",IF(G117&gt;='21'!$J$15*0.4,"SI","NO"))</f>
        <v/>
      </c>
      <c r="I117" s="24">
        <f t="shared" si="145"/>
        <v>0</v>
      </c>
      <c r="J117" s="299"/>
      <c r="K117" s="355"/>
      <c r="L117" s="347"/>
      <c r="M117" s="355"/>
      <c r="N117" s="340"/>
      <c r="O117" s="115"/>
      <c r="P117" s="24" t="str">
        <f t="shared" si="92"/>
        <v>0</v>
      </c>
      <c r="Q117" s="340"/>
      <c r="R117" s="355"/>
      <c r="S117" s="340"/>
      <c r="T117" s="343"/>
      <c r="U117" s="116"/>
      <c r="V117" s="322"/>
      <c r="W117" s="116"/>
      <c r="X117" s="116"/>
      <c r="Y117" s="116"/>
      <c r="Z117" s="116"/>
      <c r="AA117" s="24">
        <f t="shared" si="97"/>
        <v>0</v>
      </c>
      <c r="AB117" s="322"/>
      <c r="AC117" s="116"/>
      <c r="AD117" s="116"/>
      <c r="AE117" s="160">
        <f t="shared" si="99"/>
        <v>0</v>
      </c>
      <c r="AF117" s="347"/>
      <c r="AG117" s="350"/>
    </row>
    <row r="118" spans="1:33" x14ac:dyDescent="0.25">
      <c r="A118" s="296"/>
      <c r="B118" s="299"/>
      <c r="C118" s="24" t="str">
        <f>IF(VLOOKUP(B115,PROPONENTES!$B$10:$N$117,8,FALSE)="","",VLOOKUP(B115,PROPONENTES!$B$10:$N$117,8,FALSE))</f>
        <v/>
      </c>
      <c r="D118" s="37">
        <f>VLOOKUP(B115,PROPONENTES!$B$10:$N$117,9,FALSE)</f>
        <v>0</v>
      </c>
      <c r="E118" s="114"/>
      <c r="F118" s="114"/>
      <c r="G118" s="125" t="str">
        <f>+'21'!E18</f>
        <v/>
      </c>
      <c r="H118" s="126" t="str">
        <f>IF(C118="","",IF(G118&gt;='21'!$J$15*0.4,"SI","NO"))</f>
        <v/>
      </c>
      <c r="I118" s="126">
        <f t="shared" si="145"/>
        <v>0</v>
      </c>
      <c r="J118" s="299"/>
      <c r="K118" s="355"/>
      <c r="L118" s="347"/>
      <c r="M118" s="355"/>
      <c r="N118" s="340"/>
      <c r="O118" s="114"/>
      <c r="P118" s="24" t="str">
        <f t="shared" si="92"/>
        <v>0</v>
      </c>
      <c r="Q118" s="340"/>
      <c r="R118" s="355"/>
      <c r="S118" s="340"/>
      <c r="T118" s="343"/>
      <c r="U118" s="116"/>
      <c r="V118" s="322"/>
      <c r="W118" s="116"/>
      <c r="X118" s="116"/>
      <c r="Y118" s="116"/>
      <c r="Z118" s="116"/>
      <c r="AA118" s="24">
        <f t="shared" si="97"/>
        <v>0</v>
      </c>
      <c r="AB118" s="322"/>
      <c r="AC118" s="116"/>
      <c r="AD118" s="116"/>
      <c r="AE118" s="160">
        <f t="shared" si="99"/>
        <v>0</v>
      </c>
      <c r="AF118" s="347"/>
      <c r="AG118" s="350"/>
    </row>
    <row r="119" spans="1:33" ht="15.75" thickBot="1" x14ac:dyDescent="0.3">
      <c r="A119" s="297"/>
      <c r="B119" s="300"/>
      <c r="C119" s="49" t="str">
        <f>IF(VLOOKUP(B115,PROPONENTES!$B$10:$N$117,10,FALSE)="","",VLOOKUP(B115,PROPONENTES!$B$10:$N$117,10,FALSE))</f>
        <v/>
      </c>
      <c r="D119" s="50">
        <f>VLOOKUP(B115,PROPONENTES!$B$10:$N$117,11,FALSE)</f>
        <v>0</v>
      </c>
      <c r="E119" s="118"/>
      <c r="F119" s="118"/>
      <c r="G119" s="127" t="str">
        <f>+'21'!E19</f>
        <v/>
      </c>
      <c r="H119" s="128" t="str">
        <f>IF(C119="","",IF(G119&gt;='21'!$J$15*0.4,"SI","NO"))</f>
        <v/>
      </c>
      <c r="I119" s="128">
        <f t="shared" si="145"/>
        <v>0</v>
      </c>
      <c r="J119" s="300"/>
      <c r="K119" s="356"/>
      <c r="L119" s="348"/>
      <c r="M119" s="356"/>
      <c r="N119" s="341"/>
      <c r="O119" s="118"/>
      <c r="P119" s="49" t="str">
        <f t="shared" si="92"/>
        <v>0</v>
      </c>
      <c r="Q119" s="341"/>
      <c r="R119" s="356"/>
      <c r="S119" s="341"/>
      <c r="T119" s="344"/>
      <c r="U119" s="148"/>
      <c r="V119" s="323"/>
      <c r="W119" s="148"/>
      <c r="X119" s="148"/>
      <c r="Y119" s="148"/>
      <c r="Z119" s="148"/>
      <c r="AA119" s="169">
        <f t="shared" si="97"/>
        <v>0</v>
      </c>
      <c r="AB119" s="323"/>
      <c r="AC119" s="148"/>
      <c r="AD119" s="148"/>
      <c r="AE119" s="161">
        <f t="shared" si="99"/>
        <v>0</v>
      </c>
      <c r="AF119" s="348"/>
      <c r="AG119" s="351"/>
    </row>
    <row r="120" spans="1:33" ht="30" x14ac:dyDescent="0.25">
      <c r="A120" s="295">
        <v>22</v>
      </c>
      <c r="B120" s="298" t="str">
        <f>+PROPONENTES!B31</f>
        <v>PROJECTING DESIGNING AND BUILDING LTDA</v>
      </c>
      <c r="C120" s="44" t="str">
        <f>IF(VLOOKUP(B120,PROPONENTES!$B$10:$N$117,2,FALSE)="","",VLOOKUP(B120,PROPONENTES!$B$10:$N$117,2,FALSE))</f>
        <v>PROJECTING DESIGNING AND BUILDING LTDA</v>
      </c>
      <c r="D120" s="45">
        <f>VLOOKUP(B120,PROPONENTES!$B$10:$N$117,3,FALSE)</f>
        <v>1</v>
      </c>
      <c r="E120" s="109" t="s">
        <v>79</v>
      </c>
      <c r="F120" s="109" t="s">
        <v>79</v>
      </c>
      <c r="G120" s="123">
        <f>+'22'!E15</f>
        <v>3879.9700000000003</v>
      </c>
      <c r="H120" s="124" t="str">
        <f>IF(C120="","",IF(G120&gt;'22'!$J$15*0.4,"SI","NO"))</f>
        <v>SI</v>
      </c>
      <c r="I120" s="44">
        <f t="shared" si="145"/>
        <v>1</v>
      </c>
      <c r="J120" s="298">
        <f t="shared" ref="J120" si="146">IF((I120+I121+I122+I123+I124)&gt;=1,1,0)</f>
        <v>1</v>
      </c>
      <c r="K120" s="354" t="s">
        <v>14</v>
      </c>
      <c r="L120" s="346">
        <f t="shared" ref="L120" si="147">IF(K120="CUMPLE",10,0)</f>
        <v>10</v>
      </c>
      <c r="M120" s="354"/>
      <c r="N120" s="339">
        <f t="shared" si="115"/>
        <v>0</v>
      </c>
      <c r="O120" s="113" t="s">
        <v>118</v>
      </c>
      <c r="P120" s="44">
        <f t="shared" si="92"/>
        <v>0</v>
      </c>
      <c r="Q120" s="339">
        <f t="shared" ref="Q120" si="148">+L120+N120+IF(SUM(P120:P124)&gt;=1,-1,0)</f>
        <v>10</v>
      </c>
      <c r="R120" s="354" t="s">
        <v>14</v>
      </c>
      <c r="S120" s="339">
        <f t="shared" ref="S120" si="149">IF(R120="CUMPLE",9,0)</f>
        <v>9</v>
      </c>
      <c r="T120" s="342" t="s">
        <v>14</v>
      </c>
      <c r="U120" s="111" t="s">
        <v>14</v>
      </c>
      <c r="V120" s="345">
        <f t="shared" ref="V120" si="150">IF(AND(T120="",U120="",U121="",U122="",U123="",U124=""),"",IF(AND(T120="CUMPLE",U120="",U121="",U122="",U123="",U124=""),"",IF(AND(T120="CUMPLE",OR(U120="CUMPLE",U120=""),OR(U121="CUMPLE",U121=""),OR(U122="CUMPLE",U122=""),OR(U123="CUMPLE",U123=""),OR(U124="CUMPLE",U124="")),20,0)))</f>
        <v>20</v>
      </c>
      <c r="W120" s="111" t="s">
        <v>14</v>
      </c>
      <c r="X120" s="111" t="s">
        <v>14</v>
      </c>
      <c r="Y120" s="111" t="s">
        <v>14</v>
      </c>
      <c r="Z120" s="111" t="s">
        <v>14</v>
      </c>
      <c r="AA120" s="168">
        <f t="shared" si="97"/>
        <v>0.25</v>
      </c>
      <c r="AB120" s="345">
        <f t="shared" ref="AB120" si="151">IF((AA120+AA121+AA122+AA123+AA124)&gt;=0.25,0.25,0)</f>
        <v>0.25</v>
      </c>
      <c r="AC120" s="111" t="s">
        <v>14</v>
      </c>
      <c r="AD120" s="111" t="s">
        <v>14</v>
      </c>
      <c r="AE120" s="159">
        <f t="shared" si="99"/>
        <v>0.25</v>
      </c>
      <c r="AF120" s="346">
        <f t="shared" ref="AF120" si="152">IF((AE120+AE121+AE122+AE123+AE124)&gt;=0.25,0.25,0)</f>
        <v>0.25</v>
      </c>
      <c r="AG120" s="349"/>
    </row>
    <row r="121" spans="1:33" x14ac:dyDescent="0.25">
      <c r="A121" s="296"/>
      <c r="B121" s="299"/>
      <c r="C121" s="24" t="str">
        <f>IF(VLOOKUP(B120,PROPONENTES!$B$10:$N$117,4,FALSE)="","",VLOOKUP(B120,PROPONENTES!$B$10:$N$117,4,FALSE))</f>
        <v/>
      </c>
      <c r="D121" s="37">
        <f>VLOOKUP(B120,PROPONENTES!$B$10:$N$117,5,FALSE)</f>
        <v>0</v>
      </c>
      <c r="E121" s="114"/>
      <c r="F121" s="114"/>
      <c r="G121" s="125" t="str">
        <f>+'22'!E16</f>
        <v/>
      </c>
      <c r="H121" s="126" t="str">
        <f>IF(C121="","",IF(G121&gt;='22'!$J$15*0.4,"SI","NO"))</f>
        <v/>
      </c>
      <c r="I121" s="24">
        <f t="shared" ref="I121:I129" si="153">IF(C121="",0,IF(AND(E121="SI",H121="SI",F121="SI"),1,0))</f>
        <v>0</v>
      </c>
      <c r="J121" s="299"/>
      <c r="K121" s="355"/>
      <c r="L121" s="347"/>
      <c r="M121" s="355"/>
      <c r="N121" s="340"/>
      <c r="O121" s="115"/>
      <c r="P121" s="24" t="str">
        <f t="shared" si="92"/>
        <v>0</v>
      </c>
      <c r="Q121" s="340"/>
      <c r="R121" s="355"/>
      <c r="S121" s="340"/>
      <c r="T121" s="343"/>
      <c r="U121" s="116"/>
      <c r="V121" s="322"/>
      <c r="W121" s="116"/>
      <c r="X121" s="116"/>
      <c r="Y121" s="116"/>
      <c r="Z121" s="116"/>
      <c r="AA121" s="24">
        <f t="shared" si="97"/>
        <v>0</v>
      </c>
      <c r="AB121" s="322"/>
      <c r="AC121" s="116"/>
      <c r="AD121" s="116"/>
      <c r="AE121" s="160">
        <f t="shared" si="99"/>
        <v>0</v>
      </c>
      <c r="AF121" s="347"/>
      <c r="AG121" s="350"/>
    </row>
    <row r="122" spans="1:33" x14ac:dyDescent="0.25">
      <c r="A122" s="296"/>
      <c r="B122" s="299"/>
      <c r="C122" s="24" t="str">
        <f>IF(VLOOKUP(B120,PROPONENTES!$B$10:$N$117,6,FALSE)="","",VLOOKUP(B120,PROPONENTES!$B$10:$N$117,6,FALSE))</f>
        <v/>
      </c>
      <c r="D122" s="37">
        <f>VLOOKUP(B120,PROPONENTES!$B$10:$N$117,7,FALSE)</f>
        <v>0</v>
      </c>
      <c r="E122" s="114"/>
      <c r="F122" s="114"/>
      <c r="G122" s="125" t="str">
        <f>+'22'!E17</f>
        <v/>
      </c>
      <c r="H122" s="126" t="str">
        <f>IF(C122="","",IF(G122&gt;='22'!$J$15*0.4,"SI","NO"))</f>
        <v/>
      </c>
      <c r="I122" s="24">
        <f t="shared" si="153"/>
        <v>0</v>
      </c>
      <c r="J122" s="299"/>
      <c r="K122" s="355"/>
      <c r="L122" s="347"/>
      <c r="M122" s="355"/>
      <c r="N122" s="340"/>
      <c r="O122" s="115"/>
      <c r="P122" s="24" t="str">
        <f t="shared" si="92"/>
        <v>0</v>
      </c>
      <c r="Q122" s="340"/>
      <c r="R122" s="355"/>
      <c r="S122" s="340"/>
      <c r="T122" s="343"/>
      <c r="U122" s="116"/>
      <c r="V122" s="322"/>
      <c r="W122" s="116"/>
      <c r="X122" s="116"/>
      <c r="Y122" s="116"/>
      <c r="Z122" s="116"/>
      <c r="AA122" s="24">
        <f t="shared" si="97"/>
        <v>0</v>
      </c>
      <c r="AB122" s="322"/>
      <c r="AC122" s="116"/>
      <c r="AD122" s="116"/>
      <c r="AE122" s="160">
        <f t="shared" si="99"/>
        <v>0</v>
      </c>
      <c r="AF122" s="347"/>
      <c r="AG122" s="350"/>
    </row>
    <row r="123" spans="1:33" x14ac:dyDescent="0.25">
      <c r="A123" s="296"/>
      <c r="B123" s="299"/>
      <c r="C123" s="24" t="str">
        <f>IF(VLOOKUP(B120,PROPONENTES!$B$10:$N$117,8,FALSE)="","",VLOOKUP(B120,PROPONENTES!$B$10:$N$117,8,FALSE))</f>
        <v/>
      </c>
      <c r="D123" s="37">
        <f>VLOOKUP(B120,PROPONENTES!$B$10:$N$117,9,FALSE)</f>
        <v>0</v>
      </c>
      <c r="E123" s="114"/>
      <c r="F123" s="114"/>
      <c r="G123" s="125" t="str">
        <f>+'22'!E18</f>
        <v/>
      </c>
      <c r="H123" s="126" t="str">
        <f>IF(C123="","",IF(G123&gt;='22'!$J$15*0.4,"SI","NO"))</f>
        <v/>
      </c>
      <c r="I123" s="126">
        <f t="shared" si="153"/>
        <v>0</v>
      </c>
      <c r="J123" s="299"/>
      <c r="K123" s="355"/>
      <c r="L123" s="347"/>
      <c r="M123" s="355"/>
      <c r="N123" s="340"/>
      <c r="O123" s="114"/>
      <c r="P123" s="24" t="str">
        <f t="shared" si="92"/>
        <v>0</v>
      </c>
      <c r="Q123" s="340"/>
      <c r="R123" s="355"/>
      <c r="S123" s="340"/>
      <c r="T123" s="343"/>
      <c r="U123" s="116"/>
      <c r="V123" s="322"/>
      <c r="W123" s="116"/>
      <c r="X123" s="116"/>
      <c r="Y123" s="116"/>
      <c r="Z123" s="116"/>
      <c r="AA123" s="24">
        <f t="shared" si="97"/>
        <v>0</v>
      </c>
      <c r="AB123" s="322"/>
      <c r="AC123" s="116"/>
      <c r="AD123" s="116"/>
      <c r="AE123" s="160">
        <f t="shared" si="99"/>
        <v>0</v>
      </c>
      <c r="AF123" s="347"/>
      <c r="AG123" s="350"/>
    </row>
    <row r="124" spans="1:33" ht="15.75" thickBot="1" x14ac:dyDescent="0.3">
      <c r="A124" s="297"/>
      <c r="B124" s="300"/>
      <c r="C124" s="49" t="str">
        <f>IF(VLOOKUP(B120,PROPONENTES!$B$10:$N$117,10,FALSE)="","",VLOOKUP(B120,PROPONENTES!$B$10:$N$117,10,FALSE))</f>
        <v/>
      </c>
      <c r="D124" s="50">
        <f>VLOOKUP(B120,PROPONENTES!$B$10:$N$117,11,FALSE)</f>
        <v>0</v>
      </c>
      <c r="E124" s="118"/>
      <c r="F124" s="118"/>
      <c r="G124" s="127" t="str">
        <f>+'22'!E19</f>
        <v/>
      </c>
      <c r="H124" s="128" t="str">
        <f>IF(C124="","",IF(G124&gt;='22'!$J$15*0.4,"SI","NO"))</f>
        <v/>
      </c>
      <c r="I124" s="128">
        <f t="shared" si="153"/>
        <v>0</v>
      </c>
      <c r="J124" s="300"/>
      <c r="K124" s="356"/>
      <c r="L124" s="348"/>
      <c r="M124" s="356"/>
      <c r="N124" s="341"/>
      <c r="O124" s="118"/>
      <c r="P124" s="49" t="str">
        <f t="shared" si="92"/>
        <v>0</v>
      </c>
      <c r="Q124" s="341"/>
      <c r="R124" s="356"/>
      <c r="S124" s="341"/>
      <c r="T124" s="344"/>
      <c r="U124" s="148"/>
      <c r="V124" s="323"/>
      <c r="W124" s="148"/>
      <c r="X124" s="148"/>
      <c r="Y124" s="148"/>
      <c r="Z124" s="148"/>
      <c r="AA124" s="169">
        <f t="shared" si="97"/>
        <v>0</v>
      </c>
      <c r="AB124" s="323"/>
      <c r="AC124" s="148"/>
      <c r="AD124" s="148"/>
      <c r="AE124" s="161">
        <f t="shared" si="99"/>
        <v>0</v>
      </c>
      <c r="AF124" s="348"/>
      <c r="AG124" s="351"/>
    </row>
    <row r="125" spans="1:33" x14ac:dyDescent="0.25">
      <c r="A125" s="295">
        <v>23</v>
      </c>
      <c r="B125" s="298" t="str">
        <f>+PROPONENTES!B32</f>
        <v>UNIOBRAS SAS</v>
      </c>
      <c r="C125" s="44" t="str">
        <f>IF(VLOOKUP(B125,PROPONENTES!$B$10:$N$117,2,FALSE)="","",VLOOKUP(B125,PROPONENTES!$B$10:$N$117,2,FALSE))</f>
        <v>UNIOBRAS SAS</v>
      </c>
      <c r="D125" s="45">
        <f>VLOOKUP(B125,PROPONENTES!$B$10:$N$117,3,FALSE)</f>
        <v>1</v>
      </c>
      <c r="E125" s="109" t="s">
        <v>79</v>
      </c>
      <c r="F125" s="109" t="s">
        <v>79</v>
      </c>
      <c r="G125" s="123">
        <f>+'23'!E15</f>
        <v>10608.758399999999</v>
      </c>
      <c r="H125" s="124" t="str">
        <f>IF(C125="","",IF(G125&gt;'23'!$J$15*0.4,"SI","NO"))</f>
        <v>SI</v>
      </c>
      <c r="I125" s="44">
        <f t="shared" si="153"/>
        <v>1</v>
      </c>
      <c r="J125" s="298">
        <f t="shared" ref="J125" si="154">IF((I125+I126+I127+I128+I129)&gt;=1,1,0)</f>
        <v>1</v>
      </c>
      <c r="K125" s="354" t="s">
        <v>14</v>
      </c>
      <c r="L125" s="346">
        <f t="shared" ref="L125" si="155">IF(K125="CUMPLE",10,0)</f>
        <v>10</v>
      </c>
      <c r="M125" s="354"/>
      <c r="N125" s="339">
        <f t="shared" si="115"/>
        <v>0</v>
      </c>
      <c r="O125" s="113" t="s">
        <v>118</v>
      </c>
      <c r="P125" s="44">
        <f t="shared" si="92"/>
        <v>0</v>
      </c>
      <c r="Q125" s="339">
        <f t="shared" ref="Q125" si="156">+L125+N125+IF(SUM(P125:P129)&gt;=1,-1,0)</f>
        <v>10</v>
      </c>
      <c r="R125" s="354" t="s">
        <v>14</v>
      </c>
      <c r="S125" s="339">
        <f t="shared" ref="S125" si="157">IF(R125="CUMPLE",9,0)</f>
        <v>9</v>
      </c>
      <c r="T125" s="342" t="s">
        <v>14</v>
      </c>
      <c r="U125" s="111" t="s">
        <v>14</v>
      </c>
      <c r="V125" s="345">
        <f t="shared" ref="V125" si="158">IF(AND(T125="",U125="",U126="",U127="",U128="",U129=""),"",IF(AND(T125="CUMPLE",U125="",U126="",U127="",U128="",U129=""),"",IF(AND(T125="CUMPLE",OR(U125="CUMPLE",U125=""),OR(U126="CUMPLE",U126=""),OR(U127="CUMPLE",U127=""),OR(U128="CUMPLE",U128=""),OR(U129="CUMPLE",U129="")),20,0)))</f>
        <v>20</v>
      </c>
      <c r="W125" s="111" t="s">
        <v>14</v>
      </c>
      <c r="X125" s="111" t="s">
        <v>14</v>
      </c>
      <c r="Y125" s="111" t="s">
        <v>14</v>
      </c>
      <c r="Z125" s="111" t="s">
        <v>14</v>
      </c>
      <c r="AA125" s="168">
        <f t="shared" si="97"/>
        <v>0.25</v>
      </c>
      <c r="AB125" s="345">
        <f t="shared" ref="AB125" si="159">IF((AA125+AA126+AA127+AA128+AA129)&gt;=0.25,0.25,0)</f>
        <v>0.25</v>
      </c>
      <c r="AC125" s="111" t="s">
        <v>14</v>
      </c>
      <c r="AD125" s="111" t="s">
        <v>14</v>
      </c>
      <c r="AE125" s="159">
        <f t="shared" si="99"/>
        <v>0.25</v>
      </c>
      <c r="AF125" s="346">
        <f t="shared" ref="AF125" si="160">IF((AE125+AE126+AE127+AE128+AE129)&gt;=0.25,0.25,0)</f>
        <v>0.25</v>
      </c>
      <c r="AG125" s="349"/>
    </row>
    <row r="126" spans="1:33" x14ac:dyDescent="0.25">
      <c r="A126" s="296"/>
      <c r="B126" s="299"/>
      <c r="C126" s="24" t="str">
        <f>IF(VLOOKUP(B125,PROPONENTES!$B$10:$N$117,4,FALSE)="","",VLOOKUP(B125,PROPONENTES!$B$10:$N$117,4,FALSE))</f>
        <v/>
      </c>
      <c r="D126" s="37">
        <f>VLOOKUP(B125,PROPONENTES!$B$10:$N$117,5,FALSE)</f>
        <v>0</v>
      </c>
      <c r="E126" s="114"/>
      <c r="F126" s="114"/>
      <c r="G126" s="125" t="str">
        <f>+'23'!E16</f>
        <v/>
      </c>
      <c r="H126" s="126" t="str">
        <f>IF(C126="","",IF(G126&gt;='23'!$J$15*0.4,"SI","NO"))</f>
        <v/>
      </c>
      <c r="I126" s="24">
        <f t="shared" si="153"/>
        <v>0</v>
      </c>
      <c r="J126" s="299"/>
      <c r="K126" s="355"/>
      <c r="L126" s="347"/>
      <c r="M126" s="355"/>
      <c r="N126" s="340"/>
      <c r="O126" s="115"/>
      <c r="P126" s="24" t="str">
        <f t="shared" si="92"/>
        <v>0</v>
      </c>
      <c r="Q126" s="340"/>
      <c r="R126" s="355"/>
      <c r="S126" s="340"/>
      <c r="T126" s="343"/>
      <c r="U126" s="116"/>
      <c r="V126" s="322"/>
      <c r="W126" s="116"/>
      <c r="X126" s="116"/>
      <c r="Y126" s="116"/>
      <c r="Z126" s="116"/>
      <c r="AA126" s="24">
        <f t="shared" si="97"/>
        <v>0</v>
      </c>
      <c r="AB126" s="322"/>
      <c r="AC126" s="116"/>
      <c r="AD126" s="116"/>
      <c r="AE126" s="160">
        <f t="shared" si="99"/>
        <v>0</v>
      </c>
      <c r="AF126" s="347"/>
      <c r="AG126" s="350"/>
    </row>
    <row r="127" spans="1:33" x14ac:dyDescent="0.25">
      <c r="A127" s="296"/>
      <c r="B127" s="299"/>
      <c r="C127" s="24" t="str">
        <f>IF(VLOOKUP(B125,PROPONENTES!$B$10:$N$117,6,FALSE)="","",VLOOKUP(B125,PROPONENTES!$B$10:$N$117,6,FALSE))</f>
        <v/>
      </c>
      <c r="D127" s="37">
        <f>VLOOKUP(B125,PROPONENTES!$B$10:$N$117,7,FALSE)</f>
        <v>0</v>
      </c>
      <c r="E127" s="114"/>
      <c r="F127" s="114"/>
      <c r="G127" s="125" t="str">
        <f>+'23'!E17</f>
        <v/>
      </c>
      <c r="H127" s="126" t="str">
        <f>IF(C127="","",IF(G127&gt;='23'!$J$15*0.4,"SI","NO"))</f>
        <v/>
      </c>
      <c r="I127" s="24">
        <f t="shared" si="153"/>
        <v>0</v>
      </c>
      <c r="J127" s="299"/>
      <c r="K127" s="355"/>
      <c r="L127" s="347"/>
      <c r="M127" s="355"/>
      <c r="N127" s="340"/>
      <c r="O127" s="115"/>
      <c r="P127" s="24" t="str">
        <f t="shared" si="92"/>
        <v>0</v>
      </c>
      <c r="Q127" s="340"/>
      <c r="R127" s="355"/>
      <c r="S127" s="340"/>
      <c r="T127" s="343"/>
      <c r="U127" s="116"/>
      <c r="V127" s="322"/>
      <c r="W127" s="116"/>
      <c r="X127" s="116"/>
      <c r="Y127" s="116"/>
      <c r="Z127" s="116"/>
      <c r="AA127" s="24">
        <f t="shared" si="97"/>
        <v>0</v>
      </c>
      <c r="AB127" s="322"/>
      <c r="AC127" s="116"/>
      <c r="AD127" s="116"/>
      <c r="AE127" s="160">
        <f t="shared" si="99"/>
        <v>0</v>
      </c>
      <c r="AF127" s="347"/>
      <c r="AG127" s="350"/>
    </row>
    <row r="128" spans="1:33" x14ac:dyDescent="0.25">
      <c r="A128" s="296"/>
      <c r="B128" s="299"/>
      <c r="C128" s="24" t="str">
        <f>IF(VLOOKUP(B125,PROPONENTES!$B$10:$N$117,8,FALSE)="","",VLOOKUP(B125,PROPONENTES!$B$10:$N$117,8,FALSE))</f>
        <v/>
      </c>
      <c r="D128" s="37">
        <f>VLOOKUP(B125,PROPONENTES!$B$10:$N$117,9,FALSE)</f>
        <v>0</v>
      </c>
      <c r="E128" s="114"/>
      <c r="F128" s="114"/>
      <c r="G128" s="125" t="str">
        <f>+'23'!E18</f>
        <v/>
      </c>
      <c r="H128" s="126" t="str">
        <f>IF(C128="","",IF(G128&gt;='23'!$J$15*0.4,"SI","NO"))</f>
        <v/>
      </c>
      <c r="I128" s="126">
        <f t="shared" si="153"/>
        <v>0</v>
      </c>
      <c r="J128" s="299"/>
      <c r="K128" s="355"/>
      <c r="L128" s="347"/>
      <c r="M128" s="355"/>
      <c r="N128" s="340"/>
      <c r="O128" s="114"/>
      <c r="P128" s="24" t="str">
        <f t="shared" si="92"/>
        <v>0</v>
      </c>
      <c r="Q128" s="340"/>
      <c r="R128" s="355"/>
      <c r="S128" s="340"/>
      <c r="T128" s="343"/>
      <c r="U128" s="116"/>
      <c r="V128" s="322"/>
      <c r="W128" s="116"/>
      <c r="X128" s="116"/>
      <c r="Y128" s="116"/>
      <c r="Z128" s="116"/>
      <c r="AA128" s="24">
        <f t="shared" si="97"/>
        <v>0</v>
      </c>
      <c r="AB128" s="322"/>
      <c r="AC128" s="116"/>
      <c r="AD128" s="116"/>
      <c r="AE128" s="160">
        <f t="shared" si="99"/>
        <v>0</v>
      </c>
      <c r="AF128" s="347"/>
      <c r="AG128" s="350"/>
    </row>
    <row r="129" spans="1:33" ht="15.75" thickBot="1" x14ac:dyDescent="0.3">
      <c r="A129" s="297"/>
      <c r="B129" s="300"/>
      <c r="C129" s="49" t="str">
        <f>IF(VLOOKUP(B125,PROPONENTES!$B$10:$N$117,10,FALSE)="","",VLOOKUP(B125,PROPONENTES!$B$10:$N$117,10,FALSE))</f>
        <v/>
      </c>
      <c r="D129" s="50">
        <f>VLOOKUP(B125,PROPONENTES!$B$10:$N$117,11,FALSE)</f>
        <v>0</v>
      </c>
      <c r="E129" s="118"/>
      <c r="F129" s="118"/>
      <c r="G129" s="127" t="str">
        <f>+'23'!E19</f>
        <v/>
      </c>
      <c r="H129" s="128" t="str">
        <f>IF(C129="","",IF(G129&gt;='23'!$J$15*0.4,"SI","NO"))</f>
        <v/>
      </c>
      <c r="I129" s="128">
        <f t="shared" si="153"/>
        <v>0</v>
      </c>
      <c r="J129" s="300"/>
      <c r="K129" s="356"/>
      <c r="L129" s="348"/>
      <c r="M129" s="356"/>
      <c r="N129" s="341"/>
      <c r="O129" s="118"/>
      <c r="P129" s="49" t="str">
        <f t="shared" si="92"/>
        <v>0</v>
      </c>
      <c r="Q129" s="341"/>
      <c r="R129" s="356"/>
      <c r="S129" s="341"/>
      <c r="T129" s="344"/>
      <c r="U129" s="148"/>
      <c r="V129" s="323"/>
      <c r="W129" s="148"/>
      <c r="X129" s="148"/>
      <c r="Y129" s="148"/>
      <c r="Z129" s="148"/>
      <c r="AA129" s="169">
        <f t="shared" si="97"/>
        <v>0</v>
      </c>
      <c r="AB129" s="323"/>
      <c r="AC129" s="148"/>
      <c r="AD129" s="148"/>
      <c r="AE129" s="161">
        <f t="shared" si="99"/>
        <v>0</v>
      </c>
      <c r="AF129" s="348"/>
      <c r="AG129" s="351"/>
    </row>
    <row r="130" spans="1:33" ht="33" customHeight="1" x14ac:dyDescent="0.25">
      <c r="A130" s="295">
        <v>24</v>
      </c>
      <c r="B130" s="298" t="str">
        <f>+PROPONENTES!B33</f>
        <v>CONSORCIO T&amp;G PARQUES IV</v>
      </c>
      <c r="C130" s="44" t="str">
        <f>IF(VLOOKUP(B130,PROPONENTES!$B$10:$N$117,2,FALSE)="","",VLOOKUP(B130,PROPONENTES!$B$10:$N$117,2,FALSE))</f>
        <v xml:space="preserve">TCONSTRUYE INGENIERIA SAS </v>
      </c>
      <c r="D130" s="45">
        <f>VLOOKUP(B130,PROPONENTES!$B$10:$N$117,3,FALSE)</f>
        <v>0.9</v>
      </c>
      <c r="E130" s="109" t="s">
        <v>79</v>
      </c>
      <c r="F130" s="109" t="s">
        <v>79</v>
      </c>
      <c r="G130" s="123">
        <f>+'24'!E15</f>
        <v>2688.8450000000003</v>
      </c>
      <c r="H130" s="124" t="str">
        <f>IF(C130="","",IF(G130&gt;'24'!$J$15*0.4,"SI","NO"))</f>
        <v>SI</v>
      </c>
      <c r="I130" s="44">
        <f t="shared" ref="I130:I179" si="161">IF(C130="",0,IF(AND(E130="SI",H130="SI",F130="SI"),1,0))</f>
        <v>1</v>
      </c>
      <c r="J130" s="298">
        <f t="shared" ref="J130" si="162">IF((I130+I131+I132+I133+I134)&gt;=1,1,0)</f>
        <v>1</v>
      </c>
      <c r="K130" s="354" t="s">
        <v>14</v>
      </c>
      <c r="L130" s="346">
        <f t="shared" ref="L130" si="163">IF(K130="CUMPLE",10,0)</f>
        <v>10</v>
      </c>
      <c r="M130" s="354"/>
      <c r="N130" s="339">
        <f t="shared" ref="N130" si="164">IF(M130="CUMPLE",5,0)</f>
        <v>0</v>
      </c>
      <c r="O130" s="113" t="s">
        <v>118</v>
      </c>
      <c r="P130" s="44">
        <f>IF(C130="","0",IF(O130="REPORTADO",1,0))</f>
        <v>0</v>
      </c>
      <c r="Q130" s="339">
        <f t="shared" ref="Q130" si="165">+L130+N130+IF(SUM(P130:P134)&gt;=1,-1,0)</f>
        <v>10</v>
      </c>
      <c r="R130" s="354" t="s">
        <v>14</v>
      </c>
      <c r="S130" s="339">
        <f t="shared" ref="S130" si="166">IF(R130="CUMPLE",9,0)</f>
        <v>9</v>
      </c>
      <c r="T130" s="342" t="s">
        <v>14</v>
      </c>
      <c r="U130" s="111" t="s">
        <v>14</v>
      </c>
      <c r="V130" s="345">
        <f t="shared" ref="V130" si="167">IF(AND(T130="",U130="",U131="",U132="",U133="",U134=""),"",IF(AND(T130="CUMPLE",U130="",U131="",U132="",U133="",U134=""),"",IF(AND(T130="CUMPLE",OR(U130="CUMPLE",U130=""),OR(U131="CUMPLE",U131=""),OR(U132="CUMPLE",U132=""),OR(U133="CUMPLE",U133=""),OR(U134="CUMPLE",U134="")),20,0)))</f>
        <v>20</v>
      </c>
      <c r="W130" s="111" t="s">
        <v>14</v>
      </c>
      <c r="X130" s="111" t="s">
        <v>13</v>
      </c>
      <c r="Y130" s="111" t="s">
        <v>13</v>
      </c>
      <c r="Z130" s="111" t="s">
        <v>13</v>
      </c>
      <c r="AA130" s="168">
        <f t="shared" si="97"/>
        <v>0.25</v>
      </c>
      <c r="AB130" s="345">
        <f t="shared" ref="AB130" si="168">IF((AA130+AA131+AA132+AA133+AA134)&gt;=0.25,0.25,0)</f>
        <v>0.25</v>
      </c>
      <c r="AC130" s="111" t="s">
        <v>14</v>
      </c>
      <c r="AD130" s="111" t="s">
        <v>14</v>
      </c>
      <c r="AE130" s="159">
        <f t="shared" ref="AE130:AE179" si="169">IF(C130="",0,IF(AND(AC130="CUMPLE",AD130="CUMPLE",D130&gt;=10%),0.25,0))</f>
        <v>0.25</v>
      </c>
      <c r="AF130" s="346">
        <f t="shared" ref="AF130" si="170">IF((AE130+AE131+AE132+AE133+AE134)&gt;=0.25,0.25,0)</f>
        <v>0.25</v>
      </c>
      <c r="AG130" s="349"/>
    </row>
    <row r="131" spans="1:33" x14ac:dyDescent="0.25">
      <c r="A131" s="296"/>
      <c r="B131" s="299"/>
      <c r="C131" s="24" t="str">
        <f>IF(VLOOKUP(B130,PROPONENTES!$B$10:$N$117,4,FALSE)="","",VLOOKUP(B130,PROPONENTES!$B$10:$N$117,4,FALSE))</f>
        <v>GYMCOL SAS</v>
      </c>
      <c r="D131" s="37">
        <f>VLOOKUP(B130,PROPONENTES!$B$10:$N$117,5,FALSE)</f>
        <v>0.1</v>
      </c>
      <c r="E131" s="114"/>
      <c r="F131" s="114"/>
      <c r="G131" s="125">
        <f>+'24'!E16</f>
        <v>0</v>
      </c>
      <c r="H131" s="126" t="str">
        <f>IF(C131="","",IF(G131&gt;'24'!$J$15*0.4,"SI","NO"))</f>
        <v>NO</v>
      </c>
      <c r="I131" s="24">
        <f t="shared" si="161"/>
        <v>0</v>
      </c>
      <c r="J131" s="299"/>
      <c r="K131" s="355"/>
      <c r="L131" s="347"/>
      <c r="M131" s="355"/>
      <c r="N131" s="340"/>
      <c r="O131" s="115" t="s">
        <v>118</v>
      </c>
      <c r="P131" s="24">
        <f>IF(C131="","0",IF(O131="REPORTADO",1,0))</f>
        <v>0</v>
      </c>
      <c r="Q131" s="340"/>
      <c r="R131" s="355"/>
      <c r="S131" s="340"/>
      <c r="T131" s="343"/>
      <c r="U131" s="116"/>
      <c r="V131" s="322"/>
      <c r="W131" s="116"/>
      <c r="X131" s="116"/>
      <c r="Y131" s="116"/>
      <c r="Z131" s="116"/>
      <c r="AA131" s="24">
        <f t="shared" si="97"/>
        <v>0</v>
      </c>
      <c r="AB131" s="322"/>
      <c r="AC131" s="116" t="s">
        <v>14</v>
      </c>
      <c r="AD131" s="116" t="s">
        <v>14</v>
      </c>
      <c r="AE131" s="160">
        <f t="shared" si="169"/>
        <v>0.25</v>
      </c>
      <c r="AF131" s="347"/>
      <c r="AG131" s="350"/>
    </row>
    <row r="132" spans="1:33" x14ac:dyDescent="0.25">
      <c r="A132" s="296"/>
      <c r="B132" s="299"/>
      <c r="C132" s="24" t="str">
        <f>IF(VLOOKUP(B130,PROPONENTES!$B$10:$N$117,6,FALSE)="","",VLOOKUP(B130,PROPONENTES!$B$10:$N$117,6,FALSE))</f>
        <v/>
      </c>
      <c r="D132" s="37">
        <f>VLOOKUP(B130,PROPONENTES!$B$10:$N$117,7,FALSE)</f>
        <v>0</v>
      </c>
      <c r="E132" s="114"/>
      <c r="F132" s="114"/>
      <c r="G132" s="125" t="str">
        <f>+'24'!E17</f>
        <v/>
      </c>
      <c r="H132" s="126" t="str">
        <f>IF(C132="","",IF(G132&gt;='24'!$J$15*0.4,"SI","NO"))</f>
        <v/>
      </c>
      <c r="I132" s="24">
        <f t="shared" si="161"/>
        <v>0</v>
      </c>
      <c r="J132" s="299"/>
      <c r="K132" s="355"/>
      <c r="L132" s="347"/>
      <c r="M132" s="355"/>
      <c r="N132" s="340"/>
      <c r="O132" s="115"/>
      <c r="P132" s="24" t="str">
        <f t="shared" si="92"/>
        <v>0</v>
      </c>
      <c r="Q132" s="340"/>
      <c r="R132" s="355"/>
      <c r="S132" s="340"/>
      <c r="T132" s="343"/>
      <c r="U132" s="116"/>
      <c r="V132" s="322"/>
      <c r="W132" s="116"/>
      <c r="X132" s="116"/>
      <c r="Y132" s="116"/>
      <c r="Z132" s="116"/>
      <c r="AA132" s="24">
        <f t="shared" si="97"/>
        <v>0</v>
      </c>
      <c r="AB132" s="322"/>
      <c r="AC132" s="116"/>
      <c r="AD132" s="116"/>
      <c r="AE132" s="160">
        <f t="shared" si="169"/>
        <v>0</v>
      </c>
      <c r="AF132" s="347"/>
      <c r="AG132" s="350"/>
    </row>
    <row r="133" spans="1:33" x14ac:dyDescent="0.25">
      <c r="A133" s="296"/>
      <c r="B133" s="299"/>
      <c r="C133" s="24" t="str">
        <f>IF(VLOOKUP(B130,PROPONENTES!$B$10:$N$117,8,FALSE)="","",VLOOKUP(B130,PROPONENTES!$B$10:$N$117,8,FALSE))</f>
        <v/>
      </c>
      <c r="D133" s="37">
        <f>VLOOKUP(B130,PROPONENTES!$B$10:$N$117,9,FALSE)</f>
        <v>0</v>
      </c>
      <c r="E133" s="114"/>
      <c r="F133" s="114"/>
      <c r="G133" s="125" t="str">
        <f>+'24'!E18</f>
        <v/>
      </c>
      <c r="H133" s="126" t="str">
        <f>IF(C133="","",IF(G133&gt;='24'!$J$15*0.4,"SI","NO"))</f>
        <v/>
      </c>
      <c r="I133" s="126">
        <f t="shared" si="161"/>
        <v>0</v>
      </c>
      <c r="J133" s="299"/>
      <c r="K133" s="355"/>
      <c r="L133" s="347"/>
      <c r="M133" s="355"/>
      <c r="N133" s="340"/>
      <c r="O133" s="114"/>
      <c r="P133" s="24" t="str">
        <f t="shared" si="92"/>
        <v>0</v>
      </c>
      <c r="Q133" s="340"/>
      <c r="R133" s="355"/>
      <c r="S133" s="340"/>
      <c r="T133" s="343"/>
      <c r="U133" s="116"/>
      <c r="V133" s="322"/>
      <c r="W133" s="116"/>
      <c r="X133" s="116"/>
      <c r="Y133" s="116"/>
      <c r="Z133" s="116"/>
      <c r="AA133" s="24">
        <f t="shared" si="97"/>
        <v>0</v>
      </c>
      <c r="AB133" s="322"/>
      <c r="AC133" s="116"/>
      <c r="AD133" s="116"/>
      <c r="AE133" s="160">
        <f t="shared" si="169"/>
        <v>0</v>
      </c>
      <c r="AF133" s="347"/>
      <c r="AG133" s="350"/>
    </row>
    <row r="134" spans="1:33" ht="15.75" thickBot="1" x14ac:dyDescent="0.3">
      <c r="A134" s="297"/>
      <c r="B134" s="300"/>
      <c r="C134" s="49" t="str">
        <f>IF(VLOOKUP(B130,PROPONENTES!$B$10:$N$117,10,FALSE)="","",VLOOKUP(B130,PROPONENTES!$B$10:$N$117,10,FALSE))</f>
        <v/>
      </c>
      <c r="D134" s="50">
        <f>VLOOKUP(B130,PROPONENTES!$B$10:$N$117,11,FALSE)</f>
        <v>0</v>
      </c>
      <c r="E134" s="118"/>
      <c r="F134" s="118"/>
      <c r="G134" s="127" t="str">
        <f>+'24'!E19</f>
        <v/>
      </c>
      <c r="H134" s="128" t="str">
        <f>IF(C134="","",IF(G134&gt;='24'!$J$15*0.4,"SI","NO"))</f>
        <v/>
      </c>
      <c r="I134" s="128">
        <f t="shared" si="161"/>
        <v>0</v>
      </c>
      <c r="J134" s="300"/>
      <c r="K134" s="356"/>
      <c r="L134" s="348"/>
      <c r="M134" s="356"/>
      <c r="N134" s="341"/>
      <c r="O134" s="118"/>
      <c r="P134" s="49" t="str">
        <f t="shared" si="92"/>
        <v>0</v>
      </c>
      <c r="Q134" s="341"/>
      <c r="R134" s="356"/>
      <c r="S134" s="341"/>
      <c r="T134" s="344"/>
      <c r="U134" s="148"/>
      <c r="V134" s="323"/>
      <c r="W134" s="148"/>
      <c r="X134" s="148"/>
      <c r="Y134" s="148"/>
      <c r="Z134" s="148"/>
      <c r="AA134" s="169">
        <f t="shared" si="97"/>
        <v>0</v>
      </c>
      <c r="AB134" s="323"/>
      <c r="AC134" s="148"/>
      <c r="AD134" s="148"/>
      <c r="AE134" s="161">
        <f t="shared" si="169"/>
        <v>0</v>
      </c>
      <c r="AF134" s="348"/>
      <c r="AG134" s="351"/>
    </row>
    <row r="135" spans="1:33" x14ac:dyDescent="0.25">
      <c r="A135" s="295">
        <v>25</v>
      </c>
      <c r="B135" s="298" t="str">
        <f>+PROPONENTES!B34</f>
        <v>CONSORCIO JH KENNEDY</v>
      </c>
      <c r="C135" s="44" t="str">
        <f>IF(VLOOKUP(B135,PROPONENTES!$B$10:$N$117,2,FALSE)="","",VLOOKUP(B135,PROPONENTES!$B$10:$N$117,2,FALSE))</f>
        <v xml:space="preserve">HMR INGENIERIA S.A.S. </v>
      </c>
      <c r="D135" s="45">
        <f>VLOOKUP(B135,PROPONENTES!$B$10:$N$117,3,FALSE)</f>
        <v>0.9</v>
      </c>
      <c r="E135" s="109"/>
      <c r="F135" s="109"/>
      <c r="G135" s="123">
        <f>+'25'!E15</f>
        <v>5944.3430000000008</v>
      </c>
      <c r="H135" s="124" t="str">
        <f>IF(C135="","",IF(G135&gt;'25'!$J$15*0.4,"SI","NO"))</f>
        <v>SI</v>
      </c>
      <c r="I135" s="44">
        <f t="shared" si="161"/>
        <v>0</v>
      </c>
      <c r="J135" s="298">
        <f t="shared" ref="J135" si="171">IF((I135+I136+I137+I138+I139)&gt;=1,1,0)</f>
        <v>1</v>
      </c>
      <c r="K135" s="354" t="s">
        <v>14</v>
      </c>
      <c r="L135" s="346">
        <f t="shared" ref="L135" si="172">IF(K135="CUMPLE",10,0)</f>
        <v>10</v>
      </c>
      <c r="M135" s="354"/>
      <c r="N135" s="339">
        <f t="shared" ref="N135" si="173">IF(M135="CUMPLE",5,0)</f>
        <v>0</v>
      </c>
      <c r="O135" s="113" t="s">
        <v>118</v>
      </c>
      <c r="P135" s="44">
        <f t="shared" si="92"/>
        <v>0</v>
      </c>
      <c r="Q135" s="339">
        <f t="shared" ref="Q135" si="174">+L135+N135+IF(SUM(P135:P139)&gt;=1,-1,0)</f>
        <v>10</v>
      </c>
      <c r="R135" s="354" t="s">
        <v>14</v>
      </c>
      <c r="S135" s="339">
        <f t="shared" ref="S135" si="175">IF(R135="CUMPLE",9,0)</f>
        <v>9</v>
      </c>
      <c r="T135" s="342" t="s">
        <v>14</v>
      </c>
      <c r="U135" s="111" t="s">
        <v>14</v>
      </c>
      <c r="V135" s="345">
        <f t="shared" ref="V135" si="176">IF(AND(T135="",U135="",U136="",U137="",U138="",U139=""),"",IF(AND(T135="CUMPLE",U135="",U136="",U137="",U138="",U139=""),"",IF(AND(T135="CUMPLE",OR(U135="CUMPLE",U135=""),OR(U136="CUMPLE",U136=""),OR(U137="CUMPLE",U137=""),OR(U138="CUMPLE",U138=""),OR(U139="CUMPLE",U139="")),20,0)))</f>
        <v>20</v>
      </c>
      <c r="W135" s="111" t="s">
        <v>14</v>
      </c>
      <c r="X135" s="111" t="s">
        <v>14</v>
      </c>
      <c r="Y135" s="111" t="s">
        <v>14</v>
      </c>
      <c r="Z135" s="111" t="s">
        <v>14</v>
      </c>
      <c r="AA135" s="168">
        <f t="shared" si="97"/>
        <v>0.25</v>
      </c>
      <c r="AB135" s="345">
        <f t="shared" ref="AB135" si="177">IF((AA135+AA136+AA137+AA138+AA139)&gt;=0.25,0.25,0)</f>
        <v>0.25</v>
      </c>
      <c r="AC135" s="111" t="s">
        <v>14</v>
      </c>
      <c r="AD135" s="111" t="s">
        <v>14</v>
      </c>
      <c r="AE135" s="159">
        <f t="shared" si="169"/>
        <v>0.25</v>
      </c>
      <c r="AF135" s="346">
        <f t="shared" ref="AF135" si="178">IF((AE135+AE136+AE137+AE138+AE139)&gt;=0.25,0.25,0)</f>
        <v>0.25</v>
      </c>
      <c r="AG135" s="349"/>
    </row>
    <row r="136" spans="1:33" ht="30" x14ac:dyDescent="0.25">
      <c r="A136" s="296"/>
      <c r="B136" s="299"/>
      <c r="C136" s="24" t="str">
        <f>IF(VLOOKUP(B135,PROPONENTES!$B$10:$N$117,4,FALSE)="","",VLOOKUP(B135,PROPONENTES!$B$10:$N$117,4,FALSE))</f>
        <v>JESUS ELQUIN HERNANDEZ ROJAS</v>
      </c>
      <c r="D136" s="37">
        <f>VLOOKUP(B135,PROPONENTES!$B$10:$N$117,5,FALSE)</f>
        <v>0.1</v>
      </c>
      <c r="E136" s="114" t="s">
        <v>79</v>
      </c>
      <c r="F136" s="114" t="s">
        <v>79</v>
      </c>
      <c r="G136" s="125">
        <f>+'25'!E16</f>
        <v>10016.486000000001</v>
      </c>
      <c r="H136" s="126" t="str">
        <f>IF(C136="","",IF(G136&gt;'25'!$J$15*0.4,"SI","NO"))</f>
        <v>SI</v>
      </c>
      <c r="I136" s="24">
        <f t="shared" si="161"/>
        <v>1</v>
      </c>
      <c r="J136" s="299"/>
      <c r="K136" s="355"/>
      <c r="L136" s="347"/>
      <c r="M136" s="355"/>
      <c r="N136" s="340"/>
      <c r="O136" s="115" t="s">
        <v>118</v>
      </c>
      <c r="P136" s="24">
        <f t="shared" si="92"/>
        <v>0</v>
      </c>
      <c r="Q136" s="340"/>
      <c r="R136" s="355"/>
      <c r="S136" s="340"/>
      <c r="T136" s="343"/>
      <c r="U136" s="116"/>
      <c r="V136" s="322"/>
      <c r="W136" s="116"/>
      <c r="X136" s="116"/>
      <c r="Y136" s="116"/>
      <c r="Z136" s="116"/>
      <c r="AA136" s="24">
        <f t="shared" si="97"/>
        <v>0</v>
      </c>
      <c r="AB136" s="322"/>
      <c r="AC136" s="116" t="s">
        <v>14</v>
      </c>
      <c r="AD136" s="116" t="s">
        <v>14</v>
      </c>
      <c r="AE136" s="160">
        <f t="shared" si="169"/>
        <v>0.25</v>
      </c>
      <c r="AF136" s="347"/>
      <c r="AG136" s="350"/>
    </row>
    <row r="137" spans="1:33" x14ac:dyDescent="0.25">
      <c r="A137" s="296"/>
      <c r="B137" s="299"/>
      <c r="C137" s="24" t="str">
        <f>IF(VLOOKUP(B135,PROPONENTES!$B$10:$N$117,6,FALSE)="","",VLOOKUP(B135,PROPONENTES!$B$10:$N$117,6,FALSE))</f>
        <v/>
      </c>
      <c r="D137" s="37">
        <f>VLOOKUP(B135,PROPONENTES!$B$10:$N$117,7,FALSE)</f>
        <v>0</v>
      </c>
      <c r="E137" s="114"/>
      <c r="F137" s="114"/>
      <c r="G137" s="125" t="str">
        <f>+'25'!E17</f>
        <v/>
      </c>
      <c r="H137" s="126" t="str">
        <f>IF(C137="","",IF(G137&gt;='25'!$J$15*0.4,"SI","NO"))</f>
        <v/>
      </c>
      <c r="I137" s="24">
        <f t="shared" si="161"/>
        <v>0</v>
      </c>
      <c r="J137" s="299"/>
      <c r="K137" s="355"/>
      <c r="L137" s="347"/>
      <c r="M137" s="355"/>
      <c r="N137" s="340"/>
      <c r="O137" s="115"/>
      <c r="P137" s="24" t="str">
        <f t="shared" si="92"/>
        <v>0</v>
      </c>
      <c r="Q137" s="340"/>
      <c r="R137" s="355"/>
      <c r="S137" s="340"/>
      <c r="T137" s="343"/>
      <c r="U137" s="116"/>
      <c r="V137" s="322"/>
      <c r="W137" s="116"/>
      <c r="X137" s="116"/>
      <c r="Y137" s="116"/>
      <c r="Z137" s="116"/>
      <c r="AA137" s="24">
        <f t="shared" si="97"/>
        <v>0</v>
      </c>
      <c r="AB137" s="322"/>
      <c r="AC137" s="116"/>
      <c r="AD137" s="116"/>
      <c r="AE137" s="160">
        <f t="shared" si="169"/>
        <v>0</v>
      </c>
      <c r="AF137" s="347"/>
      <c r="AG137" s="350"/>
    </row>
    <row r="138" spans="1:33" x14ac:dyDescent="0.25">
      <c r="A138" s="296"/>
      <c r="B138" s="299"/>
      <c r="C138" s="24" t="str">
        <f>IF(VLOOKUP(B135,PROPONENTES!$B$10:$N$117,8,FALSE)="","",VLOOKUP(B135,PROPONENTES!$B$10:$N$117,8,FALSE))</f>
        <v/>
      </c>
      <c r="D138" s="37">
        <f>VLOOKUP(B135,PROPONENTES!$B$10:$N$117,9,FALSE)</f>
        <v>0</v>
      </c>
      <c r="E138" s="114"/>
      <c r="F138" s="114"/>
      <c r="G138" s="125" t="str">
        <f>+'25'!E18</f>
        <v/>
      </c>
      <c r="H138" s="126" t="str">
        <f>IF(C138="","",IF(G138&gt;='25'!$J$15*0.4,"SI","NO"))</f>
        <v/>
      </c>
      <c r="I138" s="126">
        <f t="shared" si="161"/>
        <v>0</v>
      </c>
      <c r="J138" s="299"/>
      <c r="K138" s="355"/>
      <c r="L138" s="347"/>
      <c r="M138" s="355"/>
      <c r="N138" s="340"/>
      <c r="O138" s="114"/>
      <c r="P138" s="24" t="str">
        <f t="shared" si="92"/>
        <v>0</v>
      </c>
      <c r="Q138" s="340"/>
      <c r="R138" s="355"/>
      <c r="S138" s="340"/>
      <c r="T138" s="343"/>
      <c r="U138" s="116"/>
      <c r="V138" s="322"/>
      <c r="W138" s="116"/>
      <c r="X138" s="116"/>
      <c r="Y138" s="116"/>
      <c r="Z138" s="116"/>
      <c r="AA138" s="24">
        <f t="shared" si="97"/>
        <v>0</v>
      </c>
      <c r="AB138" s="322"/>
      <c r="AC138" s="116"/>
      <c r="AD138" s="116"/>
      <c r="AE138" s="160">
        <f t="shared" si="169"/>
        <v>0</v>
      </c>
      <c r="AF138" s="347"/>
      <c r="AG138" s="350"/>
    </row>
    <row r="139" spans="1:33" ht="15.75" thickBot="1" x14ac:dyDescent="0.3">
      <c r="A139" s="297"/>
      <c r="B139" s="300"/>
      <c r="C139" s="49" t="str">
        <f>IF(VLOOKUP(B135,PROPONENTES!$B$10:$N$117,10,FALSE)="","",VLOOKUP(B135,PROPONENTES!$B$10:$N$117,10,FALSE))</f>
        <v/>
      </c>
      <c r="D139" s="50">
        <f>VLOOKUP(B135,PROPONENTES!$B$10:$N$117,11,FALSE)</f>
        <v>0</v>
      </c>
      <c r="E139" s="118"/>
      <c r="F139" s="118"/>
      <c r="G139" s="127" t="str">
        <f>+'25'!E19</f>
        <v/>
      </c>
      <c r="H139" s="128" t="str">
        <f>IF(C139="","",IF(G139&gt;='25'!$J$15*0.4,"SI","NO"))</f>
        <v/>
      </c>
      <c r="I139" s="128">
        <f t="shared" si="161"/>
        <v>0</v>
      </c>
      <c r="J139" s="300"/>
      <c r="K139" s="356"/>
      <c r="L139" s="348"/>
      <c r="M139" s="356"/>
      <c r="N139" s="341"/>
      <c r="O139" s="118"/>
      <c r="P139" s="49" t="str">
        <f t="shared" si="92"/>
        <v>0</v>
      </c>
      <c r="Q139" s="341"/>
      <c r="R139" s="356"/>
      <c r="S139" s="341"/>
      <c r="T139" s="344"/>
      <c r="U139" s="148"/>
      <c r="V139" s="323"/>
      <c r="W139" s="148"/>
      <c r="X139" s="148"/>
      <c r="Y139" s="148"/>
      <c r="Z139" s="148"/>
      <c r="AA139" s="169">
        <f t="shared" si="97"/>
        <v>0</v>
      </c>
      <c r="AB139" s="323"/>
      <c r="AC139" s="148"/>
      <c r="AD139" s="148"/>
      <c r="AE139" s="161">
        <f t="shared" si="169"/>
        <v>0</v>
      </c>
      <c r="AF139" s="348"/>
      <c r="AG139" s="351"/>
    </row>
    <row r="140" spans="1:33" ht="30" x14ac:dyDescent="0.25">
      <c r="A140" s="295">
        <v>26</v>
      </c>
      <c r="B140" s="298" t="str">
        <f>+PROPONENTES!B35</f>
        <v>CONSORCIO PARQUES KENNEDY</v>
      </c>
      <c r="C140" s="44" t="str">
        <f>IF(VLOOKUP(B140,PROPONENTES!$B$10:$N$117,2,FALSE)="","",VLOOKUP(B140,PROPONENTES!$B$10:$N$117,2,FALSE))</f>
        <v>GRUPO IPROGEX ZOMAC S.A.S.</v>
      </c>
      <c r="D140" s="45">
        <f>VLOOKUP(B140,PROPONENTES!$B$10:$N$117,3,FALSE)</f>
        <v>0.1</v>
      </c>
      <c r="E140" s="109" t="s">
        <v>79</v>
      </c>
      <c r="F140" s="109" t="s">
        <v>79</v>
      </c>
      <c r="G140" s="123">
        <f>+'26'!E15</f>
        <v>0</v>
      </c>
      <c r="H140" s="124" t="str">
        <f>IF(C140="","",IF(G140&gt;'26'!$J$15*0.4,"SI","NO"))</f>
        <v>NO</v>
      </c>
      <c r="I140" s="44">
        <f t="shared" si="161"/>
        <v>0</v>
      </c>
      <c r="J140" s="298">
        <f t="shared" ref="J140" si="179">IF((I140+I141+I142+I143+I144)&gt;=1,1,0)</f>
        <v>0</v>
      </c>
      <c r="K140" s="354" t="s">
        <v>14</v>
      </c>
      <c r="L140" s="346">
        <f t="shared" ref="L140" si="180">IF(K140="CUMPLE",10,0)</f>
        <v>10</v>
      </c>
      <c r="M140" s="354"/>
      <c r="N140" s="339">
        <f t="shared" ref="N140" si="181">IF(M140="CUMPLE",5,0)</f>
        <v>0</v>
      </c>
      <c r="O140" s="113" t="s">
        <v>118</v>
      </c>
      <c r="P140" s="44">
        <f t="shared" si="92"/>
        <v>0</v>
      </c>
      <c r="Q140" s="339">
        <f t="shared" ref="Q140" si="182">+L140+N140+IF(SUM(P140:P144)&gt;=1,-1,0)</f>
        <v>10</v>
      </c>
      <c r="R140" s="354" t="s">
        <v>14</v>
      </c>
      <c r="S140" s="339">
        <f t="shared" ref="S140" si="183">IF(R140="CUMPLE",9,0)</f>
        <v>9</v>
      </c>
      <c r="T140" s="342" t="s">
        <v>14</v>
      </c>
      <c r="U140" s="111" t="s">
        <v>14</v>
      </c>
      <c r="V140" s="345">
        <f t="shared" ref="V140" si="184">IF(AND(T140="",U140="",U141="",U142="",U143="",U144=""),"",IF(AND(T140="CUMPLE",U140="",U141="",U142="",U143="",U144=""),"",IF(AND(T140="CUMPLE",OR(U140="CUMPLE",U140=""),OR(U141="CUMPLE",U141=""),OR(U142="CUMPLE",U142=""),OR(U143="CUMPLE",U143=""),OR(U144="CUMPLE",U144="")),20,0)))</f>
        <v>20</v>
      </c>
      <c r="W140" s="111" t="s">
        <v>15</v>
      </c>
      <c r="X140" s="111" t="s">
        <v>13</v>
      </c>
      <c r="Y140" s="111" t="s">
        <v>13</v>
      </c>
      <c r="Z140" s="111" t="s">
        <v>13</v>
      </c>
      <c r="AA140" s="168">
        <f t="shared" si="97"/>
        <v>0</v>
      </c>
      <c r="AB140" s="345">
        <f t="shared" ref="AB140" si="185">IF((AA140+AA141+AA142+AA143+AA144)&gt;=0.25,0.25,0)</f>
        <v>0.25</v>
      </c>
      <c r="AC140" s="111" t="s">
        <v>14</v>
      </c>
      <c r="AD140" s="111" t="s">
        <v>14</v>
      </c>
      <c r="AE140" s="159">
        <f t="shared" si="169"/>
        <v>0.25</v>
      </c>
      <c r="AF140" s="346">
        <f t="shared" ref="AF140" si="186">IF((AE140+AE141+AE142+AE143+AE144)&gt;=0.25,0.25,0)</f>
        <v>0.25</v>
      </c>
      <c r="AG140" s="349" t="s">
        <v>580</v>
      </c>
    </row>
    <row r="141" spans="1:33" x14ac:dyDescent="0.25">
      <c r="A141" s="296"/>
      <c r="B141" s="299"/>
      <c r="C141" s="24" t="str">
        <f>IF(VLOOKUP(B140,PROPONENTES!$B$10:$N$117,4,FALSE)="","",VLOOKUP(B140,PROPONENTES!$B$10:$N$117,4,FALSE))</f>
        <v>INGECOL HS Y CIA S EN C</v>
      </c>
      <c r="D141" s="37">
        <f>VLOOKUP(B140,PROPONENTES!$B$10:$N$117,5,FALSE)</f>
        <v>0.9</v>
      </c>
      <c r="E141" s="114" t="s">
        <v>77</v>
      </c>
      <c r="F141" s="114" t="s">
        <v>77</v>
      </c>
      <c r="G141" s="125">
        <f>+'26'!E16</f>
        <v>3113.77</v>
      </c>
      <c r="H141" s="126" t="str">
        <f>IF(C141="","",IF(G141&gt;'26'!$J$15*0.4,"SI","NO"))</f>
        <v>SI</v>
      </c>
      <c r="I141" s="24">
        <f t="shared" si="161"/>
        <v>0</v>
      </c>
      <c r="J141" s="299"/>
      <c r="K141" s="355"/>
      <c r="L141" s="347"/>
      <c r="M141" s="355"/>
      <c r="N141" s="340"/>
      <c r="O141" s="115" t="s">
        <v>118</v>
      </c>
      <c r="P141" s="24">
        <f t="shared" si="92"/>
        <v>0</v>
      </c>
      <c r="Q141" s="340"/>
      <c r="R141" s="355"/>
      <c r="S141" s="340"/>
      <c r="T141" s="343"/>
      <c r="U141" s="116" t="s">
        <v>14</v>
      </c>
      <c r="V141" s="322"/>
      <c r="W141" s="116" t="s">
        <v>14</v>
      </c>
      <c r="X141" s="116" t="s">
        <v>13</v>
      </c>
      <c r="Y141" s="116" t="s">
        <v>13</v>
      </c>
      <c r="Z141" s="116" t="s">
        <v>13</v>
      </c>
      <c r="AA141" s="24">
        <f t="shared" si="97"/>
        <v>0.25</v>
      </c>
      <c r="AB141" s="322"/>
      <c r="AC141" s="116" t="s">
        <v>14</v>
      </c>
      <c r="AD141" s="116" t="s">
        <v>14</v>
      </c>
      <c r="AE141" s="160">
        <f t="shared" si="169"/>
        <v>0.25</v>
      </c>
      <c r="AF141" s="347"/>
      <c r="AG141" s="350"/>
    </row>
    <row r="142" spans="1:33" x14ac:dyDescent="0.25">
      <c r="A142" s="296"/>
      <c r="B142" s="299"/>
      <c r="C142" s="24" t="str">
        <f>IF(VLOOKUP(B140,PROPONENTES!$B$10:$N$117,6,FALSE)="","",VLOOKUP(B140,PROPONENTES!$B$10:$N$117,6,FALSE))</f>
        <v/>
      </c>
      <c r="D142" s="37">
        <f>VLOOKUP(B140,PROPONENTES!$B$10:$N$117,7,FALSE)</f>
        <v>0</v>
      </c>
      <c r="E142" s="114"/>
      <c r="F142" s="114"/>
      <c r="G142" s="125" t="str">
        <f>+'26'!E17</f>
        <v/>
      </c>
      <c r="H142" s="126" t="str">
        <f>IF(C142="","",IF(G142&gt;='26'!$J$15*0.4,"SI","NO"))</f>
        <v/>
      </c>
      <c r="I142" s="24">
        <f t="shared" si="161"/>
        <v>0</v>
      </c>
      <c r="J142" s="299"/>
      <c r="K142" s="355"/>
      <c r="L142" s="347"/>
      <c r="M142" s="355"/>
      <c r="N142" s="340"/>
      <c r="O142" s="115"/>
      <c r="P142" s="24" t="str">
        <f t="shared" si="92"/>
        <v>0</v>
      </c>
      <c r="Q142" s="340"/>
      <c r="R142" s="355"/>
      <c r="S142" s="340"/>
      <c r="T142" s="343"/>
      <c r="U142" s="116"/>
      <c r="V142" s="322"/>
      <c r="W142" s="116"/>
      <c r="X142" s="116"/>
      <c r="Y142" s="116"/>
      <c r="Z142" s="116"/>
      <c r="AA142" s="24">
        <f t="shared" si="97"/>
        <v>0</v>
      </c>
      <c r="AB142" s="322"/>
      <c r="AC142" s="116"/>
      <c r="AD142" s="116"/>
      <c r="AE142" s="160">
        <f t="shared" si="169"/>
        <v>0</v>
      </c>
      <c r="AF142" s="347"/>
      <c r="AG142" s="350"/>
    </row>
    <row r="143" spans="1:33" x14ac:dyDescent="0.25">
      <c r="A143" s="296"/>
      <c r="B143" s="299"/>
      <c r="C143" s="24" t="str">
        <f>IF(VLOOKUP(B140,PROPONENTES!$B$10:$N$117,8,FALSE)="","",VLOOKUP(B140,PROPONENTES!$B$10:$N$117,8,FALSE))</f>
        <v/>
      </c>
      <c r="D143" s="37">
        <f>VLOOKUP(B140,PROPONENTES!$B$10:$N$117,9,FALSE)</f>
        <v>0</v>
      </c>
      <c r="E143" s="114"/>
      <c r="F143" s="114"/>
      <c r="G143" s="125" t="str">
        <f>+'26'!E18</f>
        <v/>
      </c>
      <c r="H143" s="126" t="str">
        <f>IF(C143="","",IF(G143&gt;='26'!$J$15*0.4,"SI","NO"))</f>
        <v/>
      </c>
      <c r="I143" s="126">
        <f t="shared" si="161"/>
        <v>0</v>
      </c>
      <c r="J143" s="299"/>
      <c r="K143" s="355"/>
      <c r="L143" s="347"/>
      <c r="M143" s="355"/>
      <c r="N143" s="340"/>
      <c r="O143" s="114"/>
      <c r="P143" s="24" t="str">
        <f t="shared" ref="P143:P179" si="187">IF(C143="","0",IF(O143="REPORTADO",1,0))</f>
        <v>0</v>
      </c>
      <c r="Q143" s="340"/>
      <c r="R143" s="355"/>
      <c r="S143" s="340"/>
      <c r="T143" s="343"/>
      <c r="U143" s="116"/>
      <c r="V143" s="322"/>
      <c r="W143" s="116"/>
      <c r="X143" s="116"/>
      <c r="Y143" s="116"/>
      <c r="Z143" s="116"/>
      <c r="AA143" s="24">
        <f t="shared" si="97"/>
        <v>0</v>
      </c>
      <c r="AB143" s="322"/>
      <c r="AC143" s="116"/>
      <c r="AD143" s="116"/>
      <c r="AE143" s="160">
        <f t="shared" si="169"/>
        <v>0</v>
      </c>
      <c r="AF143" s="347"/>
      <c r="AG143" s="350"/>
    </row>
    <row r="144" spans="1:33" ht="15.75" thickBot="1" x14ac:dyDescent="0.3">
      <c r="A144" s="297"/>
      <c r="B144" s="300"/>
      <c r="C144" s="49" t="str">
        <f>IF(VLOOKUP(B140,PROPONENTES!$B$10:$N$117,10,FALSE)="","",VLOOKUP(B140,PROPONENTES!$B$10:$N$117,10,FALSE))</f>
        <v/>
      </c>
      <c r="D144" s="50">
        <f>VLOOKUP(B140,PROPONENTES!$B$10:$N$117,11,FALSE)</f>
        <v>0</v>
      </c>
      <c r="E144" s="118"/>
      <c r="F144" s="118"/>
      <c r="G144" s="127" t="str">
        <f>+'26'!E19</f>
        <v/>
      </c>
      <c r="H144" s="128" t="str">
        <f>IF(C144="","",IF(G144&gt;='26'!$J$15*0.4,"SI","NO"))</f>
        <v/>
      </c>
      <c r="I144" s="128">
        <f t="shared" si="161"/>
        <v>0</v>
      </c>
      <c r="J144" s="300"/>
      <c r="K144" s="356"/>
      <c r="L144" s="348"/>
      <c r="M144" s="356"/>
      <c r="N144" s="341"/>
      <c r="O144" s="118"/>
      <c r="P144" s="49" t="str">
        <f t="shared" si="187"/>
        <v>0</v>
      </c>
      <c r="Q144" s="341"/>
      <c r="R144" s="356"/>
      <c r="S144" s="341"/>
      <c r="T144" s="344"/>
      <c r="U144" s="148"/>
      <c r="V144" s="323"/>
      <c r="W144" s="148"/>
      <c r="X144" s="148"/>
      <c r="Y144" s="148"/>
      <c r="Z144" s="148"/>
      <c r="AA144" s="169">
        <f t="shared" ref="AA144:AA179" si="188">IF(C144="",0,IF(AND(OR(X144="CUMPLE",X144="N/A"),OR(Y144="CUMPLE",Y144="N/A"),OR(Z144="CUMPLE",Z144="N/A"),AND(W144="CUMPLE",D144&gt;=10%)),0.25,))</f>
        <v>0</v>
      </c>
      <c r="AB144" s="323"/>
      <c r="AC144" s="148"/>
      <c r="AD144" s="148"/>
      <c r="AE144" s="161">
        <f t="shared" si="169"/>
        <v>0</v>
      </c>
      <c r="AF144" s="348"/>
      <c r="AG144" s="351"/>
    </row>
    <row r="145" spans="1:33" x14ac:dyDescent="0.25">
      <c r="A145" s="295">
        <v>27</v>
      </c>
      <c r="B145" s="298" t="str">
        <f>+PROPONENTES!B36</f>
        <v>CONSORCIO CGC 2024</v>
      </c>
      <c r="C145" s="44" t="str">
        <f>IF(VLOOKUP(B145,PROPONENTES!$B$10:$N$117,2,FALSE)="","",VLOOKUP(B145,PROPONENTES!$B$10:$N$117,2,FALSE))</f>
        <v xml:space="preserve">JAIME CEPEDA FONSECA </v>
      </c>
      <c r="D145" s="45">
        <f>VLOOKUP(B145,PROPONENTES!$B$10:$N$117,3,FALSE)</f>
        <v>0.45</v>
      </c>
      <c r="E145" s="109" t="s">
        <v>79</v>
      </c>
      <c r="F145" s="109" t="s">
        <v>79</v>
      </c>
      <c r="G145" s="123">
        <f>+'27'!E15</f>
        <v>4563.1899999999996</v>
      </c>
      <c r="H145" s="124" t="str">
        <f>IF(C145="","",IF(G145&gt;'27'!$J$15*0.4,"SI","NO"))</f>
        <v>SI</v>
      </c>
      <c r="I145" s="44">
        <f t="shared" si="161"/>
        <v>1</v>
      </c>
      <c r="J145" s="298">
        <f t="shared" ref="J145" si="189">IF((I145+I146+I147+I148+I149)&gt;=1,1,0)</f>
        <v>1</v>
      </c>
      <c r="K145" s="354" t="s">
        <v>14</v>
      </c>
      <c r="L145" s="346">
        <f>IF(K145="CUMPLE",10,0)</f>
        <v>10</v>
      </c>
      <c r="M145" s="354"/>
      <c r="N145" s="339">
        <f t="shared" ref="N145" si="190">IF(M145="CUMPLE",5,0)</f>
        <v>0</v>
      </c>
      <c r="O145" s="113" t="s">
        <v>118</v>
      </c>
      <c r="P145" s="44">
        <f t="shared" si="187"/>
        <v>0</v>
      </c>
      <c r="Q145" s="339">
        <f t="shared" ref="Q145" si="191">+L145+N145+IF(SUM(P145:P149)&gt;=1,-1,0)</f>
        <v>10</v>
      </c>
      <c r="R145" s="354" t="s">
        <v>14</v>
      </c>
      <c r="S145" s="339">
        <f t="shared" ref="S145" si="192">IF(R145="CUMPLE",9,0)</f>
        <v>9</v>
      </c>
      <c r="T145" s="342" t="s">
        <v>14</v>
      </c>
      <c r="U145" s="111" t="s">
        <v>14</v>
      </c>
      <c r="V145" s="345">
        <f t="shared" ref="V145" si="193">IF(AND(T145="",U145="",U146="",U147="",U148="",U149=""),"",IF(AND(T145="CUMPLE",U145="",U146="",U147="",U148="",U149=""),"",IF(AND(T145="CUMPLE",OR(U145="CUMPLE",U145=""),OR(U146="CUMPLE",U146=""),OR(U147="CUMPLE",U147=""),OR(U148="CUMPLE",U148=""),OR(U149="CUMPLE",U149="")),20,0)))</f>
        <v>20</v>
      </c>
      <c r="W145" s="111" t="s">
        <v>15</v>
      </c>
      <c r="X145" s="111" t="s">
        <v>13</v>
      </c>
      <c r="Y145" s="111" t="s">
        <v>13</v>
      </c>
      <c r="Z145" s="111" t="s">
        <v>13</v>
      </c>
      <c r="AA145" s="168">
        <f t="shared" si="188"/>
        <v>0</v>
      </c>
      <c r="AB145" s="345">
        <f t="shared" ref="AB145" si="194">IF((AA145+AA146+AA147+AA148+AA149)&gt;=0.25,0.25,0)</f>
        <v>0.25</v>
      </c>
      <c r="AC145" s="111" t="s">
        <v>14</v>
      </c>
      <c r="AD145" s="111" t="s">
        <v>14</v>
      </c>
      <c r="AE145" s="159">
        <f t="shared" si="169"/>
        <v>0.25</v>
      </c>
      <c r="AF145" s="346">
        <f t="shared" ref="AF145" si="195">IF((AE145+AE146+AE147+AE148+AE149)&gt;=0.25,0.25,0)</f>
        <v>0.25</v>
      </c>
      <c r="AG145" s="349"/>
    </row>
    <row r="146" spans="1:33" x14ac:dyDescent="0.25">
      <c r="A146" s="296"/>
      <c r="B146" s="299"/>
      <c r="C146" s="24" t="str">
        <f>IF(VLOOKUP(B145,PROPONENTES!$B$10:$N$117,4,FALSE)="","",VLOOKUP(B145,PROPONENTES!$B$10:$N$117,4,FALSE))</f>
        <v>JONATHAN GOMEZ</v>
      </c>
      <c r="D146" s="37">
        <f>VLOOKUP(B145,PROPONENTES!$B$10:$N$117,5,FALSE)</f>
        <v>0.45</v>
      </c>
      <c r="E146" s="114" t="s">
        <v>77</v>
      </c>
      <c r="F146" s="114" t="s">
        <v>77</v>
      </c>
      <c r="G146" s="125">
        <f>+'27'!E16</f>
        <v>291.95</v>
      </c>
      <c r="H146" s="126" t="str">
        <f>IF(C146="","",IF(G146&gt;'27'!$J$15*0.4,"SI","NO"))</f>
        <v>NO</v>
      </c>
      <c r="I146" s="24">
        <f t="shared" si="161"/>
        <v>0</v>
      </c>
      <c r="J146" s="299"/>
      <c r="K146" s="355"/>
      <c r="L146" s="347"/>
      <c r="M146" s="355"/>
      <c r="N146" s="340"/>
      <c r="O146" s="115" t="s">
        <v>118</v>
      </c>
      <c r="P146" s="24">
        <f t="shared" si="187"/>
        <v>0</v>
      </c>
      <c r="Q146" s="340"/>
      <c r="R146" s="355"/>
      <c r="S146" s="340"/>
      <c r="T146" s="343"/>
      <c r="U146" s="116" t="s">
        <v>14</v>
      </c>
      <c r="V146" s="322"/>
      <c r="W146" s="116" t="s">
        <v>15</v>
      </c>
      <c r="X146" s="116" t="s">
        <v>13</v>
      </c>
      <c r="Y146" s="116" t="s">
        <v>13</v>
      </c>
      <c r="Z146" s="116" t="s">
        <v>13</v>
      </c>
      <c r="AA146" s="24">
        <f t="shared" si="188"/>
        <v>0</v>
      </c>
      <c r="AB146" s="322"/>
      <c r="AC146" s="116" t="s">
        <v>14</v>
      </c>
      <c r="AD146" s="116" t="s">
        <v>14</v>
      </c>
      <c r="AE146" s="160">
        <f t="shared" si="169"/>
        <v>0.25</v>
      </c>
      <c r="AF146" s="347"/>
      <c r="AG146" s="350"/>
    </row>
    <row r="147" spans="1:33" x14ac:dyDescent="0.25">
      <c r="A147" s="296"/>
      <c r="B147" s="299"/>
      <c r="C147" s="24" t="str">
        <f>IF(VLOOKUP(B145,PROPONENTES!$B$10:$N$117,6,FALSE)="","",VLOOKUP(B145,PROPONENTES!$B$10:$N$117,6,FALSE))</f>
        <v>CONSTRUCTORA COINAR SAS</v>
      </c>
      <c r="D147" s="37">
        <f>VLOOKUP(B145,PROPONENTES!$B$10:$N$117,7,FALSE)</f>
        <v>0.1</v>
      </c>
      <c r="E147" s="114" t="s">
        <v>77</v>
      </c>
      <c r="F147" s="114" t="s">
        <v>77</v>
      </c>
      <c r="G147" s="125">
        <f>+'27'!E17</f>
        <v>0</v>
      </c>
      <c r="H147" s="126" t="str">
        <f>IF(C147="","",IF(G147&gt;'27'!$J$15*0.4,"SI","NO"))</f>
        <v>NO</v>
      </c>
      <c r="I147" s="24">
        <f t="shared" si="161"/>
        <v>0</v>
      </c>
      <c r="J147" s="299"/>
      <c r="K147" s="355"/>
      <c r="L147" s="347"/>
      <c r="M147" s="355"/>
      <c r="N147" s="340"/>
      <c r="O147" s="115" t="s">
        <v>118</v>
      </c>
      <c r="P147" s="24">
        <f t="shared" si="187"/>
        <v>0</v>
      </c>
      <c r="Q147" s="340"/>
      <c r="R147" s="355"/>
      <c r="S147" s="340"/>
      <c r="T147" s="343"/>
      <c r="U147" s="116" t="s">
        <v>14</v>
      </c>
      <c r="V147" s="322"/>
      <c r="W147" s="116" t="s">
        <v>14</v>
      </c>
      <c r="X147" s="116" t="s">
        <v>13</v>
      </c>
      <c r="Y147" s="116" t="s">
        <v>13</v>
      </c>
      <c r="Z147" s="116" t="s">
        <v>13</v>
      </c>
      <c r="AA147" s="24">
        <f t="shared" si="188"/>
        <v>0.25</v>
      </c>
      <c r="AB147" s="322"/>
      <c r="AC147" s="116" t="s">
        <v>14</v>
      </c>
      <c r="AD147" s="116" t="s">
        <v>14</v>
      </c>
      <c r="AE147" s="160">
        <f t="shared" si="169"/>
        <v>0.25</v>
      </c>
      <c r="AF147" s="347"/>
      <c r="AG147" s="350"/>
    </row>
    <row r="148" spans="1:33" x14ac:dyDescent="0.25">
      <c r="A148" s="296"/>
      <c r="B148" s="299"/>
      <c r="C148" s="24" t="str">
        <f>IF(VLOOKUP(B145,PROPONENTES!$B$10:$N$117,8,FALSE)="","",VLOOKUP(B145,PROPONENTES!$B$10:$N$117,8,FALSE))</f>
        <v/>
      </c>
      <c r="D148" s="37">
        <f>VLOOKUP(B145,PROPONENTES!$B$10:$N$117,9,FALSE)</f>
        <v>0</v>
      </c>
      <c r="E148" s="114"/>
      <c r="F148" s="114"/>
      <c r="G148" s="125" t="str">
        <f>+'27'!E18</f>
        <v/>
      </c>
      <c r="H148" s="126" t="str">
        <f>IF(C148="","",IF(G148&gt;='27'!$J$15*0.4,"SI","NO"))</f>
        <v/>
      </c>
      <c r="I148" s="126">
        <f t="shared" si="161"/>
        <v>0</v>
      </c>
      <c r="J148" s="299"/>
      <c r="K148" s="355"/>
      <c r="L148" s="347"/>
      <c r="M148" s="355"/>
      <c r="N148" s="340"/>
      <c r="O148" s="114"/>
      <c r="P148" s="24" t="str">
        <f t="shared" si="187"/>
        <v>0</v>
      </c>
      <c r="Q148" s="340"/>
      <c r="R148" s="355"/>
      <c r="S148" s="340"/>
      <c r="T148" s="343"/>
      <c r="U148" s="116"/>
      <c r="V148" s="322"/>
      <c r="W148" s="116"/>
      <c r="X148" s="116"/>
      <c r="Y148" s="116"/>
      <c r="Z148" s="116"/>
      <c r="AA148" s="24">
        <f t="shared" si="188"/>
        <v>0</v>
      </c>
      <c r="AB148" s="322"/>
      <c r="AC148" s="116"/>
      <c r="AD148" s="116"/>
      <c r="AE148" s="160">
        <f t="shared" si="169"/>
        <v>0</v>
      </c>
      <c r="AF148" s="347"/>
      <c r="AG148" s="350"/>
    </row>
    <row r="149" spans="1:33" ht="15.75" thickBot="1" x14ac:dyDescent="0.3">
      <c r="A149" s="297"/>
      <c r="B149" s="300"/>
      <c r="C149" s="49" t="str">
        <f>IF(VLOOKUP(B145,PROPONENTES!$B$10:$N$117,10,FALSE)="","",VLOOKUP(B145,PROPONENTES!$B$10:$N$117,10,FALSE))</f>
        <v/>
      </c>
      <c r="D149" s="50">
        <f>VLOOKUP(B145,PROPONENTES!$B$10:$N$117,11,FALSE)</f>
        <v>0</v>
      </c>
      <c r="E149" s="118"/>
      <c r="F149" s="118"/>
      <c r="G149" s="127" t="str">
        <f>+'27'!E19</f>
        <v/>
      </c>
      <c r="H149" s="128" t="str">
        <f>IF(C149="","",IF(G149&gt;='27'!$J$15*0.4,"SI","NO"))</f>
        <v/>
      </c>
      <c r="I149" s="128">
        <f t="shared" si="161"/>
        <v>0</v>
      </c>
      <c r="J149" s="300"/>
      <c r="K149" s="356"/>
      <c r="L149" s="348"/>
      <c r="M149" s="356"/>
      <c r="N149" s="341"/>
      <c r="O149" s="118"/>
      <c r="P149" s="49" t="str">
        <f t="shared" si="187"/>
        <v>0</v>
      </c>
      <c r="Q149" s="341"/>
      <c r="R149" s="356"/>
      <c r="S149" s="341"/>
      <c r="T149" s="344"/>
      <c r="U149" s="148"/>
      <c r="V149" s="323"/>
      <c r="W149" s="148"/>
      <c r="X149" s="148"/>
      <c r="Y149" s="148"/>
      <c r="Z149" s="148"/>
      <c r="AA149" s="169">
        <f t="shared" si="188"/>
        <v>0</v>
      </c>
      <c r="AB149" s="323"/>
      <c r="AC149" s="148"/>
      <c r="AD149" s="148"/>
      <c r="AE149" s="161">
        <f t="shared" si="169"/>
        <v>0</v>
      </c>
      <c r="AF149" s="348"/>
      <c r="AG149" s="351"/>
    </row>
    <row r="150" spans="1:33" x14ac:dyDescent="0.25">
      <c r="A150" s="295">
        <v>28</v>
      </c>
      <c r="B150" s="298" t="str">
        <f>+PROPONENTES!B37</f>
        <v>CONSORCIO PARQUES KASAF 2025</v>
      </c>
      <c r="C150" s="44" t="str">
        <f>IF(VLOOKUP(B150,PROPONENTES!$B$10:$N$117,2,FALSE)="","",VLOOKUP(B150,PROPONENTES!$B$10:$N$117,2,FALSE))</f>
        <v>SAFRID INGENIERIA SAS</v>
      </c>
      <c r="D150" s="45">
        <f>VLOOKUP(B150,PROPONENTES!$B$10:$N$117,3,FALSE)</f>
        <v>0.9</v>
      </c>
      <c r="E150" s="109" t="s">
        <v>79</v>
      </c>
      <c r="F150" s="109" t="s">
        <v>79</v>
      </c>
      <c r="G150" s="123">
        <f>+'28'!E15</f>
        <v>18281.59</v>
      </c>
      <c r="H150" s="124" t="str">
        <f>IF(C150="","",IF(G150&gt;'28'!$J$15*0.4,"SI","NO"))</f>
        <v>SI</v>
      </c>
      <c r="I150" s="44">
        <f t="shared" ref="I150:I154" si="196">IF(C150="",0,IF(AND(E150="SI",H150="SI",F150="SI"),1,0))</f>
        <v>1</v>
      </c>
      <c r="J150" s="298">
        <f t="shared" ref="J150:J175" si="197">IF((I150+I151+I152+I153+I154)&gt;=1,1,0)</f>
        <v>1</v>
      </c>
      <c r="K150" s="354" t="s">
        <v>14</v>
      </c>
      <c r="L150" s="346">
        <f t="shared" ref="L150" si="198">IF(K150="CUMPLE",10,0)</f>
        <v>10</v>
      </c>
      <c r="M150" s="354"/>
      <c r="N150" s="339">
        <f t="shared" ref="N150" si="199">IF(M150="CUMPLE",5,0)</f>
        <v>0</v>
      </c>
      <c r="O150" s="113" t="s">
        <v>118</v>
      </c>
      <c r="P150" s="44">
        <f t="shared" si="187"/>
        <v>0</v>
      </c>
      <c r="Q150" s="339">
        <f t="shared" ref="Q150" si="200">+L150+N150+IF(SUM(P150:P154)&gt;=1,-1,0)</f>
        <v>10</v>
      </c>
      <c r="R150" s="354" t="s">
        <v>14</v>
      </c>
      <c r="S150" s="339">
        <f t="shared" ref="S150" si="201">IF(R150="CUMPLE",9,0)</f>
        <v>9</v>
      </c>
      <c r="T150" s="342" t="s">
        <v>14</v>
      </c>
      <c r="U150" s="111" t="s">
        <v>14</v>
      </c>
      <c r="V150" s="345">
        <f t="shared" ref="V150" si="202">IF(AND(T150="",U150="",U151="",U152="",U153="",U154=""),"",IF(AND(T150="CUMPLE",U150="",U151="",U152="",U153="",U154=""),"",IF(AND(T150="CUMPLE",OR(U150="CUMPLE",U150=""),OR(U151="CUMPLE",U151=""),OR(U152="CUMPLE",U152=""),OR(U153="CUMPLE",U153=""),OR(U154="CUMPLE",U154="")),20,0)))</f>
        <v>20</v>
      </c>
      <c r="W150" s="111" t="s">
        <v>14</v>
      </c>
      <c r="X150" s="111" t="s">
        <v>14</v>
      </c>
      <c r="Y150" s="111" t="s">
        <v>14</v>
      </c>
      <c r="Z150" s="111" t="s">
        <v>14</v>
      </c>
      <c r="AA150" s="168">
        <f t="shared" ref="AA150:AA154" si="203">IF(C150="",0,IF(AND(OR(X150="CUMPLE",X150="N/A"),OR(Y150="CUMPLE",Y150="N/A"),OR(Z150="CUMPLE",Z150="N/A"),AND(W150="CUMPLE",D150&gt;=10%)),0.25,))</f>
        <v>0.25</v>
      </c>
      <c r="AB150" s="345">
        <f t="shared" ref="AB150" si="204">IF((AA150+AA151+AA152+AA153+AA154)&gt;=0.25,0.25,0)</f>
        <v>0.25</v>
      </c>
      <c r="AC150" s="111" t="s">
        <v>15</v>
      </c>
      <c r="AD150" s="111" t="s">
        <v>14</v>
      </c>
      <c r="AE150" s="159">
        <f t="shared" ref="AE150:AE154" si="205">IF(C150="",0,IF(AND(AC150="CUMPLE",AD150="CUMPLE",D150&gt;=10%),0.25,0))</f>
        <v>0</v>
      </c>
      <c r="AF150" s="346">
        <f t="shared" ref="AF150" si="206">IF((AE150+AE151+AE152+AE153+AE154)&gt;=0.25,0.25,0)</f>
        <v>0.25</v>
      </c>
      <c r="AG150" s="349"/>
    </row>
    <row r="151" spans="1:33" x14ac:dyDescent="0.25">
      <c r="A151" s="296"/>
      <c r="B151" s="299"/>
      <c r="C151" s="24" t="str">
        <f>IF(VLOOKUP(B150,PROPONENTES!$B$10:$N$117,4,FALSE)="","",VLOOKUP(B150,PROPONENTES!$B$10:$N$117,4,FALSE))</f>
        <v xml:space="preserve">CONSTRUCTORA KASAF SAS </v>
      </c>
      <c r="D151" s="37">
        <f>VLOOKUP(B150,PROPONENTES!$B$10:$N$117,5,FALSE)</f>
        <v>0.1</v>
      </c>
      <c r="E151" s="114" t="s">
        <v>77</v>
      </c>
      <c r="F151" s="114" t="s">
        <v>77</v>
      </c>
      <c r="G151" s="125">
        <f>+'28'!E16</f>
        <v>0</v>
      </c>
      <c r="H151" s="126" t="str">
        <f>IF(C151="","",IF(G151&gt;'28'!$J$15*0.4,"SI","NO"))</f>
        <v>NO</v>
      </c>
      <c r="I151" s="24">
        <f t="shared" si="196"/>
        <v>0</v>
      </c>
      <c r="J151" s="299"/>
      <c r="K151" s="355"/>
      <c r="L151" s="347"/>
      <c r="M151" s="355"/>
      <c r="N151" s="340"/>
      <c r="O151" s="115" t="s">
        <v>118</v>
      </c>
      <c r="P151" s="24">
        <f t="shared" si="187"/>
        <v>0</v>
      </c>
      <c r="Q151" s="340"/>
      <c r="R151" s="355"/>
      <c r="S151" s="340"/>
      <c r="T151" s="343"/>
      <c r="U151" s="116" t="s">
        <v>14</v>
      </c>
      <c r="V151" s="322"/>
      <c r="W151" s="116" t="s">
        <v>15</v>
      </c>
      <c r="X151" s="116" t="s">
        <v>13</v>
      </c>
      <c r="Y151" s="116" t="s">
        <v>13</v>
      </c>
      <c r="Z151" s="116" t="s">
        <v>13</v>
      </c>
      <c r="AA151" s="24">
        <f t="shared" si="203"/>
        <v>0</v>
      </c>
      <c r="AB151" s="322"/>
      <c r="AC151" s="116" t="s">
        <v>14</v>
      </c>
      <c r="AD151" s="116" t="s">
        <v>14</v>
      </c>
      <c r="AE151" s="160">
        <f t="shared" si="205"/>
        <v>0.25</v>
      </c>
      <c r="AF151" s="347"/>
      <c r="AG151" s="350"/>
    </row>
    <row r="152" spans="1:33" x14ac:dyDescent="0.25">
      <c r="A152" s="296"/>
      <c r="B152" s="299"/>
      <c r="C152" s="24" t="str">
        <f>IF(VLOOKUP(B150,PROPONENTES!$B$10:$N$117,6,FALSE)="","",VLOOKUP(B150,PROPONENTES!$B$10:$N$117,6,FALSE))</f>
        <v/>
      </c>
      <c r="D152" s="37">
        <f>VLOOKUP(B150,PROPONENTES!$B$10:$N$117,7,FALSE)</f>
        <v>0</v>
      </c>
      <c r="E152" s="114"/>
      <c r="F152" s="114"/>
      <c r="G152" s="125" t="str">
        <f>+'28'!E17</f>
        <v/>
      </c>
      <c r="H152" s="126" t="str">
        <f>IF(C152="","",IF(G152&gt;='28'!$J$15*0.4,"SI","NO"))</f>
        <v/>
      </c>
      <c r="I152" s="24">
        <f t="shared" si="196"/>
        <v>0</v>
      </c>
      <c r="J152" s="299"/>
      <c r="K152" s="355"/>
      <c r="L152" s="347"/>
      <c r="M152" s="355"/>
      <c r="N152" s="340"/>
      <c r="O152" s="115"/>
      <c r="P152" s="24" t="str">
        <f t="shared" si="187"/>
        <v>0</v>
      </c>
      <c r="Q152" s="340"/>
      <c r="R152" s="355"/>
      <c r="S152" s="340"/>
      <c r="T152" s="343"/>
      <c r="U152" s="116"/>
      <c r="V152" s="322"/>
      <c r="W152" s="116"/>
      <c r="X152" s="116"/>
      <c r="Y152" s="116"/>
      <c r="Z152" s="116"/>
      <c r="AA152" s="24">
        <f t="shared" si="203"/>
        <v>0</v>
      </c>
      <c r="AB152" s="322"/>
      <c r="AC152" s="116"/>
      <c r="AD152" s="116"/>
      <c r="AE152" s="160">
        <f t="shared" si="205"/>
        <v>0</v>
      </c>
      <c r="AF152" s="347"/>
      <c r="AG152" s="350"/>
    </row>
    <row r="153" spans="1:33" x14ac:dyDescent="0.25">
      <c r="A153" s="296"/>
      <c r="B153" s="299"/>
      <c r="C153" s="24" t="str">
        <f>IF(VLOOKUP(B150,PROPONENTES!$B$10:$N$117,8,FALSE)="","",VLOOKUP(B150,PROPONENTES!$B$10:$N$117,8,FALSE))</f>
        <v/>
      </c>
      <c r="D153" s="37">
        <f>VLOOKUP(B150,PROPONENTES!$B$10:$N$117,9,FALSE)</f>
        <v>0</v>
      </c>
      <c r="E153" s="114"/>
      <c r="F153" s="114"/>
      <c r="G153" s="125" t="str">
        <f>+'28'!E18</f>
        <v/>
      </c>
      <c r="H153" s="126" t="str">
        <f>IF(C153="","",IF(G153&gt;='28'!$J$15*0.4,"SI","NO"))</f>
        <v/>
      </c>
      <c r="I153" s="126">
        <f t="shared" si="196"/>
        <v>0</v>
      </c>
      <c r="J153" s="299"/>
      <c r="K153" s="355"/>
      <c r="L153" s="347"/>
      <c r="M153" s="355"/>
      <c r="N153" s="340"/>
      <c r="O153" s="114"/>
      <c r="P153" s="24" t="str">
        <f t="shared" si="187"/>
        <v>0</v>
      </c>
      <c r="Q153" s="340"/>
      <c r="R153" s="355"/>
      <c r="S153" s="340"/>
      <c r="T153" s="343"/>
      <c r="U153" s="116"/>
      <c r="V153" s="322"/>
      <c r="W153" s="116"/>
      <c r="X153" s="116"/>
      <c r="Y153" s="116"/>
      <c r="Z153" s="116"/>
      <c r="AA153" s="24">
        <f t="shared" si="203"/>
        <v>0</v>
      </c>
      <c r="AB153" s="322"/>
      <c r="AC153" s="116"/>
      <c r="AD153" s="116"/>
      <c r="AE153" s="160">
        <f t="shared" si="205"/>
        <v>0</v>
      </c>
      <c r="AF153" s="347"/>
      <c r="AG153" s="350"/>
    </row>
    <row r="154" spans="1:33" ht="15.75" thickBot="1" x14ac:dyDescent="0.3">
      <c r="A154" s="297"/>
      <c r="B154" s="300"/>
      <c r="C154" s="49" t="str">
        <f>IF(VLOOKUP(B150,PROPONENTES!$B$10:$N$117,10,FALSE)="","",VLOOKUP(B150,PROPONENTES!$B$10:$N$117,10,FALSE))</f>
        <v/>
      </c>
      <c r="D154" s="50">
        <f>VLOOKUP(B150,PROPONENTES!$B$10:$N$117,11,FALSE)</f>
        <v>0</v>
      </c>
      <c r="E154" s="118"/>
      <c r="F154" s="118"/>
      <c r="G154" s="127" t="str">
        <f>+'28'!E19</f>
        <v/>
      </c>
      <c r="H154" s="128" t="str">
        <f>IF(C154="","",IF(G154&gt;='28'!$J$15*0.4,"SI","NO"))</f>
        <v/>
      </c>
      <c r="I154" s="128">
        <f t="shared" si="196"/>
        <v>0</v>
      </c>
      <c r="J154" s="300"/>
      <c r="K154" s="356"/>
      <c r="L154" s="348"/>
      <c r="M154" s="356"/>
      <c r="N154" s="341"/>
      <c r="O154" s="118"/>
      <c r="P154" s="49" t="str">
        <f t="shared" si="187"/>
        <v>0</v>
      </c>
      <c r="Q154" s="341"/>
      <c r="R154" s="356"/>
      <c r="S154" s="341"/>
      <c r="T154" s="344"/>
      <c r="U154" s="148"/>
      <c r="V154" s="323"/>
      <c r="W154" s="148"/>
      <c r="X154" s="148"/>
      <c r="Y154" s="148"/>
      <c r="Z154" s="148"/>
      <c r="AA154" s="169">
        <f t="shared" si="203"/>
        <v>0</v>
      </c>
      <c r="AB154" s="323"/>
      <c r="AC154" s="148"/>
      <c r="AD154" s="148"/>
      <c r="AE154" s="161">
        <f t="shared" si="205"/>
        <v>0</v>
      </c>
      <c r="AF154" s="348"/>
      <c r="AG154" s="351"/>
    </row>
    <row r="155" spans="1:33" ht="30" x14ac:dyDescent="0.25">
      <c r="A155" s="295">
        <v>29</v>
      </c>
      <c r="B155" s="298" t="str">
        <f>+PROPONENTES!B38</f>
        <v xml:space="preserve">CONSORCIO PARQUES K. 24	</v>
      </c>
      <c r="C155" s="44" t="str">
        <f>IF(VLOOKUP(B155,PROPONENTES!$B$10:$N$117,2,FALSE)="","",VLOOKUP(B155,PROPONENTES!$B$10:$N$117,2,FALSE))</f>
        <v xml:space="preserve">LUGARQ DISEÑO Y CONSTRUCCION SAS </v>
      </c>
      <c r="D155" s="45">
        <f>VLOOKUP(B155,PROPONENTES!$B$10:$N$117,3,FALSE)</f>
        <v>0.9</v>
      </c>
      <c r="E155" s="109" t="s">
        <v>77</v>
      </c>
      <c r="F155" s="109" t="s">
        <v>77</v>
      </c>
      <c r="G155" s="123">
        <f>+'29'!E15</f>
        <v>274.31700000000001</v>
      </c>
      <c r="H155" s="124" t="str">
        <f>IF(C155="","",IF(G155&gt;'29'!$J$15*0.4,"SI","NO"))</f>
        <v>NO</v>
      </c>
      <c r="I155" s="44">
        <f t="shared" ref="I155:I159" si="207">IF(C155="",0,IF(AND(E155="SI",H155="SI",F155="SI"),1,0))</f>
        <v>0</v>
      </c>
      <c r="J155" s="298">
        <f t="shared" si="197"/>
        <v>1</v>
      </c>
      <c r="K155" s="354" t="s">
        <v>14</v>
      </c>
      <c r="L155" s="346">
        <f t="shared" ref="L155" si="208">IF(K155="CUMPLE",10,0)</f>
        <v>10</v>
      </c>
      <c r="M155" s="354"/>
      <c r="N155" s="339">
        <f t="shared" ref="N155" si="209">IF(M155="CUMPLE",5,0)</f>
        <v>0</v>
      </c>
      <c r="O155" s="113" t="s">
        <v>118</v>
      </c>
      <c r="P155" s="44">
        <f t="shared" si="187"/>
        <v>0</v>
      </c>
      <c r="Q155" s="339">
        <f t="shared" ref="Q155" si="210">+L155+N155+IF(SUM(P155:P159)&gt;=1,-1,0)</f>
        <v>10</v>
      </c>
      <c r="R155" s="354" t="s">
        <v>14</v>
      </c>
      <c r="S155" s="339">
        <f t="shared" ref="S155" si="211">IF(R155="CUMPLE",9,0)</f>
        <v>9</v>
      </c>
      <c r="T155" s="342" t="s">
        <v>14</v>
      </c>
      <c r="U155" s="111" t="s">
        <v>14</v>
      </c>
      <c r="V155" s="345">
        <f t="shared" ref="V155" si="212">IF(AND(T155="",U155="",U156="",U157="",U158="",U159=""),"",IF(AND(T155="CUMPLE",U155="",U156="",U157="",U158="",U159=""),"",IF(AND(T155="CUMPLE",OR(U155="CUMPLE",U155=""),OR(U156="CUMPLE",U156=""),OR(U157="CUMPLE",U157=""),OR(U158="CUMPLE",U158=""),OR(U159="CUMPLE",U159="")),20,0)))</f>
        <v>20</v>
      </c>
      <c r="W155" s="111" t="s">
        <v>15</v>
      </c>
      <c r="X155" s="111" t="s">
        <v>13</v>
      </c>
      <c r="Y155" s="111" t="s">
        <v>13</v>
      </c>
      <c r="Z155" s="111" t="s">
        <v>13</v>
      </c>
      <c r="AA155" s="168">
        <f t="shared" ref="AA155:AA159" si="213">IF(C155="",0,IF(AND(OR(X155="CUMPLE",X155="N/A"),OR(Y155="CUMPLE",Y155="N/A"),OR(Z155="CUMPLE",Z155="N/A"),AND(W155="CUMPLE",D155&gt;=10%)),0.25,))</f>
        <v>0</v>
      </c>
      <c r="AB155" s="345">
        <f t="shared" ref="AB155" si="214">IF((AA155+AA156+AA157+AA158+AA159)&gt;=0.25,0.25,0)</f>
        <v>0.25</v>
      </c>
      <c r="AC155" s="111" t="s">
        <v>14</v>
      </c>
      <c r="AD155" s="111" t="s">
        <v>14</v>
      </c>
      <c r="AE155" s="159">
        <f t="shared" ref="AE155:AE159" si="215">IF(C155="",0,IF(AND(AC155="CUMPLE",AD155="CUMPLE",D155&gt;=10%),0.25,0))</f>
        <v>0.25</v>
      </c>
      <c r="AF155" s="346">
        <f t="shared" ref="AF155" si="216">IF((AE155+AE156+AE157+AE158+AE159)&gt;=0.25,0.25,0)</f>
        <v>0.25</v>
      </c>
      <c r="AG155" s="349"/>
    </row>
    <row r="156" spans="1:33" x14ac:dyDescent="0.25">
      <c r="A156" s="296"/>
      <c r="B156" s="299"/>
      <c r="C156" s="24" t="str">
        <f>IF(VLOOKUP(B155,PROPONENTES!$B$10:$N$117,4,FALSE)="","",VLOOKUP(B155,PROPONENTES!$B$10:$N$117,4,FALSE))</f>
        <v xml:space="preserve">BYGGER SAS </v>
      </c>
      <c r="D156" s="37">
        <f>VLOOKUP(B155,PROPONENTES!$B$10:$N$117,5,FALSE)</f>
        <v>0.1</v>
      </c>
      <c r="E156" s="114" t="s">
        <v>79</v>
      </c>
      <c r="F156" s="114" t="s">
        <v>79</v>
      </c>
      <c r="G156" s="125">
        <f>+'29'!E16</f>
        <v>4861.6819999999998</v>
      </c>
      <c r="H156" s="126" t="str">
        <f>IF(C156="","",IF(G156&gt;'29'!$J$15*0.4,"SI","NO"))</f>
        <v>SI</v>
      </c>
      <c r="I156" s="24">
        <f t="shared" si="207"/>
        <v>1</v>
      </c>
      <c r="J156" s="299"/>
      <c r="K156" s="355"/>
      <c r="L156" s="347"/>
      <c r="M156" s="355"/>
      <c r="N156" s="340"/>
      <c r="O156" s="115" t="s">
        <v>118</v>
      </c>
      <c r="P156" s="24">
        <f t="shared" si="187"/>
        <v>0</v>
      </c>
      <c r="Q156" s="340"/>
      <c r="R156" s="355"/>
      <c r="S156" s="340"/>
      <c r="T156" s="343"/>
      <c r="U156" s="116" t="s">
        <v>14</v>
      </c>
      <c r="V156" s="322"/>
      <c r="W156" s="116" t="s">
        <v>14</v>
      </c>
      <c r="X156" s="116" t="s">
        <v>14</v>
      </c>
      <c r="Y156" s="116" t="s">
        <v>14</v>
      </c>
      <c r="Z156" s="116" t="s">
        <v>14</v>
      </c>
      <c r="AA156" s="24">
        <f t="shared" si="213"/>
        <v>0.25</v>
      </c>
      <c r="AB156" s="322"/>
      <c r="AC156" s="116" t="s">
        <v>14</v>
      </c>
      <c r="AD156" s="116" t="s">
        <v>14</v>
      </c>
      <c r="AE156" s="160">
        <f t="shared" si="215"/>
        <v>0.25</v>
      </c>
      <c r="AF156" s="347"/>
      <c r="AG156" s="350"/>
    </row>
    <row r="157" spans="1:33" x14ac:dyDescent="0.25">
      <c r="A157" s="296"/>
      <c r="B157" s="299"/>
      <c r="C157" s="24" t="str">
        <f>IF(VLOOKUP(B155,PROPONENTES!$B$10:$N$117,6,FALSE)="","",VLOOKUP(B155,PROPONENTES!$B$10:$N$117,6,FALSE))</f>
        <v/>
      </c>
      <c r="D157" s="37">
        <f>VLOOKUP(B155,PROPONENTES!$B$10:$N$117,7,FALSE)</f>
        <v>0</v>
      </c>
      <c r="E157" s="114"/>
      <c r="F157" s="114"/>
      <c r="G157" s="125" t="str">
        <f>+'29'!E17</f>
        <v/>
      </c>
      <c r="H157" s="126" t="str">
        <f>IF(C157="","",IF(G157&gt;='29'!$J$15*0.4,"SI","NO"))</f>
        <v/>
      </c>
      <c r="I157" s="24">
        <f t="shared" si="207"/>
        <v>0</v>
      </c>
      <c r="J157" s="299"/>
      <c r="K157" s="355"/>
      <c r="L157" s="347"/>
      <c r="M157" s="355"/>
      <c r="N157" s="340"/>
      <c r="O157" s="115"/>
      <c r="P157" s="24" t="str">
        <f t="shared" si="187"/>
        <v>0</v>
      </c>
      <c r="Q157" s="340"/>
      <c r="R157" s="355"/>
      <c r="S157" s="340"/>
      <c r="T157" s="343"/>
      <c r="U157" s="116"/>
      <c r="V157" s="322"/>
      <c r="W157" s="116"/>
      <c r="X157" s="116"/>
      <c r="Y157" s="116"/>
      <c r="Z157" s="116"/>
      <c r="AA157" s="24">
        <f t="shared" si="213"/>
        <v>0</v>
      </c>
      <c r="AB157" s="322"/>
      <c r="AC157" s="116"/>
      <c r="AD157" s="116"/>
      <c r="AE157" s="160">
        <f t="shared" si="215"/>
        <v>0</v>
      </c>
      <c r="AF157" s="347"/>
      <c r="AG157" s="350"/>
    </row>
    <row r="158" spans="1:33" x14ac:dyDescent="0.25">
      <c r="A158" s="296"/>
      <c r="B158" s="299"/>
      <c r="C158" s="24" t="str">
        <f>IF(VLOOKUP(B155,PROPONENTES!$B$10:$N$117,8,FALSE)="","",VLOOKUP(B155,PROPONENTES!$B$10:$N$117,8,FALSE))</f>
        <v/>
      </c>
      <c r="D158" s="37">
        <f>VLOOKUP(B155,PROPONENTES!$B$10:$N$117,9,FALSE)</f>
        <v>0</v>
      </c>
      <c r="E158" s="114"/>
      <c r="F158" s="114"/>
      <c r="G158" s="125" t="str">
        <f>+'29'!E18</f>
        <v/>
      </c>
      <c r="H158" s="126" t="str">
        <f>IF(C158="","",IF(G158&gt;='29'!$J$15*0.4,"SI","NO"))</f>
        <v/>
      </c>
      <c r="I158" s="126">
        <f t="shared" si="207"/>
        <v>0</v>
      </c>
      <c r="J158" s="299"/>
      <c r="K158" s="355"/>
      <c r="L158" s="347"/>
      <c r="M158" s="355"/>
      <c r="N158" s="340"/>
      <c r="O158" s="114"/>
      <c r="P158" s="24" t="str">
        <f t="shared" si="187"/>
        <v>0</v>
      </c>
      <c r="Q158" s="340"/>
      <c r="R158" s="355"/>
      <c r="S158" s="340"/>
      <c r="T158" s="343"/>
      <c r="U158" s="116"/>
      <c r="V158" s="322"/>
      <c r="W158" s="116"/>
      <c r="X158" s="116"/>
      <c r="Y158" s="116"/>
      <c r="Z158" s="116"/>
      <c r="AA158" s="24">
        <f t="shared" si="213"/>
        <v>0</v>
      </c>
      <c r="AB158" s="322"/>
      <c r="AC158" s="116"/>
      <c r="AD158" s="116"/>
      <c r="AE158" s="160">
        <f t="shared" si="215"/>
        <v>0</v>
      </c>
      <c r="AF158" s="347"/>
      <c r="AG158" s="350"/>
    </row>
    <row r="159" spans="1:33" ht="15.75" thickBot="1" x14ac:dyDescent="0.3">
      <c r="A159" s="297"/>
      <c r="B159" s="300"/>
      <c r="C159" s="49" t="str">
        <f>IF(VLOOKUP(B155,PROPONENTES!$B$10:$N$117,10,FALSE)="","",VLOOKUP(B155,PROPONENTES!$B$10:$N$117,10,FALSE))</f>
        <v/>
      </c>
      <c r="D159" s="50">
        <f>VLOOKUP(B155,PROPONENTES!$B$10:$N$117,11,FALSE)</f>
        <v>0</v>
      </c>
      <c r="E159" s="118"/>
      <c r="F159" s="118"/>
      <c r="G159" s="127" t="str">
        <f>+'29'!E19</f>
        <v/>
      </c>
      <c r="H159" s="128" t="str">
        <f>IF(C159="","",IF(G159&gt;='29'!$J$15*0.4,"SI","NO"))</f>
        <v/>
      </c>
      <c r="I159" s="128">
        <f t="shared" si="207"/>
        <v>0</v>
      </c>
      <c r="J159" s="300"/>
      <c r="K159" s="356"/>
      <c r="L159" s="348"/>
      <c r="M159" s="356"/>
      <c r="N159" s="341"/>
      <c r="O159" s="118"/>
      <c r="P159" s="49" t="str">
        <f t="shared" si="187"/>
        <v>0</v>
      </c>
      <c r="Q159" s="341"/>
      <c r="R159" s="356"/>
      <c r="S159" s="341"/>
      <c r="T159" s="344"/>
      <c r="U159" s="148"/>
      <c r="V159" s="323"/>
      <c r="W159" s="148"/>
      <c r="X159" s="148"/>
      <c r="Y159" s="148"/>
      <c r="Z159" s="148"/>
      <c r="AA159" s="169">
        <f t="shared" si="213"/>
        <v>0</v>
      </c>
      <c r="AB159" s="323"/>
      <c r="AC159" s="148"/>
      <c r="AD159" s="148"/>
      <c r="AE159" s="161">
        <f t="shared" si="215"/>
        <v>0</v>
      </c>
      <c r="AF159" s="348"/>
      <c r="AG159" s="351"/>
    </row>
    <row r="160" spans="1:33" x14ac:dyDescent="0.25">
      <c r="A160" s="295">
        <v>30</v>
      </c>
      <c r="B160" s="298" t="str">
        <f>+PROPONENTES!B39</f>
        <v>GERMAN RAMIREZ BARBOSA</v>
      </c>
      <c r="C160" s="44" t="str">
        <f>IF(VLOOKUP(B160,PROPONENTES!$B$10:$N$117,2,FALSE)="","",VLOOKUP(B160,PROPONENTES!$B$10:$N$117,2,FALSE))</f>
        <v>GERMAN RAMIREZ BARBOSA</v>
      </c>
      <c r="D160" s="45">
        <f>VLOOKUP(B160,PROPONENTES!$B$10:$N$117,3,FALSE)</f>
        <v>1</v>
      </c>
      <c r="E160" s="109" t="s">
        <v>79</v>
      </c>
      <c r="F160" s="109" t="s">
        <v>79</v>
      </c>
      <c r="G160" s="123">
        <f>+'30'!E15</f>
        <v>8100.9040000000005</v>
      </c>
      <c r="H160" s="124" t="str">
        <f>IF(C160="","",IF(G160&gt;'30'!$J$15*0.4,"SI","NO"))</f>
        <v>SI</v>
      </c>
      <c r="I160" s="44">
        <f t="shared" ref="I160:I164" si="217">IF(C160="",0,IF(AND(E160="SI",H160="SI",F160="SI"),1,0))</f>
        <v>1</v>
      </c>
      <c r="J160" s="298">
        <f t="shared" si="197"/>
        <v>1</v>
      </c>
      <c r="K160" s="354" t="s">
        <v>14</v>
      </c>
      <c r="L160" s="346">
        <f t="shared" ref="L160" si="218">IF(K160="CUMPLE",10,0)</f>
        <v>10</v>
      </c>
      <c r="M160" s="354"/>
      <c r="N160" s="339">
        <f t="shared" ref="N160" si="219">IF(M160="CUMPLE",5,0)</f>
        <v>0</v>
      </c>
      <c r="O160" s="113" t="s">
        <v>118</v>
      </c>
      <c r="P160" s="44">
        <f t="shared" si="187"/>
        <v>0</v>
      </c>
      <c r="Q160" s="339">
        <f t="shared" ref="Q160" si="220">+L160+N160+IF(SUM(P160:P164)&gt;=1,-1,0)</f>
        <v>10</v>
      </c>
      <c r="R160" s="354" t="s">
        <v>14</v>
      </c>
      <c r="S160" s="339">
        <f t="shared" ref="S160" si="221">IF(R160="CUMPLE",9,0)</f>
        <v>9</v>
      </c>
      <c r="T160" s="342" t="s">
        <v>14</v>
      </c>
      <c r="U160" s="111" t="s">
        <v>14</v>
      </c>
      <c r="V160" s="345">
        <f t="shared" ref="V160" si="222">IF(AND(T160="",U160="",U161="",U162="",U163="",U164=""),"",IF(AND(T160="CUMPLE",U160="",U161="",U162="",U163="",U164=""),"",IF(AND(T160="CUMPLE",OR(U160="CUMPLE",U160=""),OR(U161="CUMPLE",U161=""),OR(U162="CUMPLE",U162=""),OR(U163="CUMPLE",U163=""),OR(U164="CUMPLE",U164="")),20,0)))</f>
        <v>20</v>
      </c>
      <c r="W160" s="111" t="s">
        <v>14</v>
      </c>
      <c r="X160" s="111" t="s">
        <v>14</v>
      </c>
      <c r="Y160" s="111" t="s">
        <v>14</v>
      </c>
      <c r="Z160" s="111" t="s">
        <v>14</v>
      </c>
      <c r="AA160" s="168">
        <f t="shared" ref="AA160:AA164" si="223">IF(C160="",0,IF(AND(OR(X160="CUMPLE",X160="N/A"),OR(Y160="CUMPLE",Y160="N/A"),OR(Z160="CUMPLE",Z160="N/A"),AND(W160="CUMPLE",D160&gt;=10%)),0.25,))</f>
        <v>0.25</v>
      </c>
      <c r="AB160" s="345">
        <f t="shared" ref="AB160" si="224">IF((AA160+AA161+AA162+AA163+AA164)&gt;=0.25,0.25,0)</f>
        <v>0.25</v>
      </c>
      <c r="AC160" s="111" t="s">
        <v>14</v>
      </c>
      <c r="AD160" s="111" t="s">
        <v>14</v>
      </c>
      <c r="AE160" s="159">
        <f t="shared" ref="AE160:AE164" si="225">IF(C160="",0,IF(AND(AC160="CUMPLE",AD160="CUMPLE",D160&gt;=10%),0.25,0))</f>
        <v>0.25</v>
      </c>
      <c r="AF160" s="346">
        <f t="shared" ref="AF160" si="226">IF((AE160+AE161+AE162+AE163+AE164)&gt;=0.25,0.25,0)</f>
        <v>0.25</v>
      </c>
      <c r="AG160" s="349"/>
    </row>
    <row r="161" spans="1:33" x14ac:dyDescent="0.25">
      <c r="A161" s="296"/>
      <c r="B161" s="299"/>
      <c r="C161" s="24" t="str">
        <f>IF(VLOOKUP(B160,PROPONENTES!$B$10:$N$117,4,FALSE)="","",VLOOKUP(B160,PROPONENTES!$B$10:$N$117,4,FALSE))</f>
        <v/>
      </c>
      <c r="D161" s="37">
        <f>VLOOKUP(B160,PROPONENTES!$B$10:$N$117,5,FALSE)</f>
        <v>0</v>
      </c>
      <c r="E161" s="114"/>
      <c r="F161" s="114"/>
      <c r="G161" s="125" t="str">
        <f>+'30'!E16</f>
        <v/>
      </c>
      <c r="H161" s="126" t="str">
        <f>IF(C161="","",IF(G161&gt;='30'!$J$15*0.4,"SI","NO"))</f>
        <v/>
      </c>
      <c r="I161" s="24">
        <f t="shared" si="217"/>
        <v>0</v>
      </c>
      <c r="J161" s="299"/>
      <c r="K161" s="355"/>
      <c r="L161" s="347"/>
      <c r="M161" s="355"/>
      <c r="N161" s="340"/>
      <c r="O161" s="115"/>
      <c r="P161" s="24" t="str">
        <f t="shared" si="187"/>
        <v>0</v>
      </c>
      <c r="Q161" s="340"/>
      <c r="R161" s="355"/>
      <c r="S161" s="340"/>
      <c r="T161" s="343"/>
      <c r="U161" s="116"/>
      <c r="V161" s="322"/>
      <c r="W161" s="116"/>
      <c r="X161" s="116"/>
      <c r="Y161" s="116"/>
      <c r="Z161" s="116"/>
      <c r="AA161" s="24">
        <f t="shared" si="223"/>
        <v>0</v>
      </c>
      <c r="AB161" s="322"/>
      <c r="AC161" s="116"/>
      <c r="AD161" s="116"/>
      <c r="AE161" s="160">
        <f t="shared" si="225"/>
        <v>0</v>
      </c>
      <c r="AF161" s="347"/>
      <c r="AG161" s="350"/>
    </row>
    <row r="162" spans="1:33" x14ac:dyDescent="0.25">
      <c r="A162" s="296"/>
      <c r="B162" s="299"/>
      <c r="C162" s="24" t="str">
        <f>IF(VLOOKUP(B160,PROPONENTES!$B$10:$N$117,6,FALSE)="","",VLOOKUP(B160,PROPONENTES!$B$10:$N$117,6,FALSE))</f>
        <v/>
      </c>
      <c r="D162" s="37">
        <f>VLOOKUP(B160,PROPONENTES!$B$10:$N$117,7,FALSE)</f>
        <v>0</v>
      </c>
      <c r="E162" s="114"/>
      <c r="F162" s="114"/>
      <c r="G162" s="125" t="str">
        <f>+'30'!E17</f>
        <v/>
      </c>
      <c r="H162" s="126" t="str">
        <f>IF(C162="","",IF(G162&gt;='30'!$J$15*0.4,"SI","NO"))</f>
        <v/>
      </c>
      <c r="I162" s="24">
        <f t="shared" si="217"/>
        <v>0</v>
      </c>
      <c r="J162" s="299"/>
      <c r="K162" s="355"/>
      <c r="L162" s="347"/>
      <c r="M162" s="355"/>
      <c r="N162" s="340"/>
      <c r="O162" s="115"/>
      <c r="P162" s="24" t="str">
        <f t="shared" si="187"/>
        <v>0</v>
      </c>
      <c r="Q162" s="340"/>
      <c r="R162" s="355"/>
      <c r="S162" s="340"/>
      <c r="T162" s="343"/>
      <c r="U162" s="116"/>
      <c r="V162" s="322"/>
      <c r="W162" s="116"/>
      <c r="X162" s="116"/>
      <c r="Y162" s="116"/>
      <c r="Z162" s="116"/>
      <c r="AA162" s="24">
        <f t="shared" si="223"/>
        <v>0</v>
      </c>
      <c r="AB162" s="322"/>
      <c r="AC162" s="116"/>
      <c r="AD162" s="116"/>
      <c r="AE162" s="160">
        <f t="shared" si="225"/>
        <v>0</v>
      </c>
      <c r="AF162" s="347"/>
      <c r="AG162" s="350"/>
    </row>
    <row r="163" spans="1:33" x14ac:dyDescent="0.25">
      <c r="A163" s="296"/>
      <c r="B163" s="299"/>
      <c r="C163" s="24" t="str">
        <f>IF(VLOOKUP(B160,PROPONENTES!$B$10:$N$117,8,FALSE)="","",VLOOKUP(B160,PROPONENTES!$B$10:$N$117,8,FALSE))</f>
        <v/>
      </c>
      <c r="D163" s="37">
        <f>VLOOKUP(B160,PROPONENTES!$B$10:$N$117,9,FALSE)</f>
        <v>0</v>
      </c>
      <c r="E163" s="114"/>
      <c r="F163" s="114"/>
      <c r="G163" s="125" t="str">
        <f>+'30'!E18</f>
        <v/>
      </c>
      <c r="H163" s="126" t="str">
        <f>IF(C163="","",IF(G163&gt;='30'!$J$15*0.4,"SI","NO"))</f>
        <v/>
      </c>
      <c r="I163" s="126">
        <f t="shared" si="217"/>
        <v>0</v>
      </c>
      <c r="J163" s="299"/>
      <c r="K163" s="355"/>
      <c r="L163" s="347"/>
      <c r="M163" s="355"/>
      <c r="N163" s="340"/>
      <c r="O163" s="114"/>
      <c r="P163" s="24" t="str">
        <f t="shared" si="187"/>
        <v>0</v>
      </c>
      <c r="Q163" s="340"/>
      <c r="R163" s="355"/>
      <c r="S163" s="340"/>
      <c r="T163" s="343"/>
      <c r="U163" s="116"/>
      <c r="V163" s="322"/>
      <c r="W163" s="116"/>
      <c r="X163" s="116"/>
      <c r="Y163" s="116"/>
      <c r="Z163" s="116"/>
      <c r="AA163" s="24">
        <f t="shared" si="223"/>
        <v>0</v>
      </c>
      <c r="AB163" s="322"/>
      <c r="AC163" s="116"/>
      <c r="AD163" s="116"/>
      <c r="AE163" s="160">
        <f t="shared" si="225"/>
        <v>0</v>
      </c>
      <c r="AF163" s="347"/>
      <c r="AG163" s="350"/>
    </row>
    <row r="164" spans="1:33" ht="15.75" thickBot="1" x14ac:dyDescent="0.3">
      <c r="A164" s="297"/>
      <c r="B164" s="300"/>
      <c r="C164" s="49" t="str">
        <f>IF(VLOOKUP(B160,PROPONENTES!$B$10:$N$117,10,FALSE)="","",VLOOKUP(B160,PROPONENTES!$B$10:$N$117,10,FALSE))</f>
        <v/>
      </c>
      <c r="D164" s="50">
        <f>VLOOKUP(B160,PROPONENTES!$B$10:$N$117,11,FALSE)</f>
        <v>0</v>
      </c>
      <c r="E164" s="118"/>
      <c r="F164" s="118"/>
      <c r="G164" s="127" t="str">
        <f>+'30'!E19</f>
        <v/>
      </c>
      <c r="H164" s="128" t="str">
        <f>IF(C164="","",IF(G164&gt;='30'!$J$15*0.4,"SI","NO"))</f>
        <v/>
      </c>
      <c r="I164" s="128">
        <f t="shared" si="217"/>
        <v>0</v>
      </c>
      <c r="J164" s="300"/>
      <c r="K164" s="356"/>
      <c r="L164" s="348"/>
      <c r="M164" s="356"/>
      <c r="N164" s="341"/>
      <c r="O164" s="118"/>
      <c r="P164" s="49" t="str">
        <f t="shared" si="187"/>
        <v>0</v>
      </c>
      <c r="Q164" s="341"/>
      <c r="R164" s="356"/>
      <c r="S164" s="341"/>
      <c r="T164" s="344"/>
      <c r="U164" s="148"/>
      <c r="V164" s="323"/>
      <c r="W164" s="148"/>
      <c r="X164" s="148"/>
      <c r="Y164" s="148"/>
      <c r="Z164" s="148"/>
      <c r="AA164" s="169">
        <f t="shared" si="223"/>
        <v>0</v>
      </c>
      <c r="AB164" s="323"/>
      <c r="AC164" s="148"/>
      <c r="AD164" s="148"/>
      <c r="AE164" s="161">
        <f t="shared" si="225"/>
        <v>0</v>
      </c>
      <c r="AF164" s="348"/>
      <c r="AG164" s="351"/>
    </row>
    <row r="165" spans="1:33" x14ac:dyDescent="0.25">
      <c r="A165" s="295">
        <v>31</v>
      </c>
      <c r="B165" s="298" t="str">
        <f>+PROPONENTES!B40</f>
        <v>CONSTRUCOL SAS</v>
      </c>
      <c r="C165" s="44" t="str">
        <f>IF(VLOOKUP(B165,PROPONENTES!$B$10:$N$117,2,FALSE)="","",VLOOKUP(B165,PROPONENTES!$B$10:$N$117,2,FALSE))</f>
        <v>CONSTRUCOL SAS</v>
      </c>
      <c r="D165" s="45">
        <f>VLOOKUP(B165,PROPONENTES!$B$10:$N$117,3,FALSE)</f>
        <v>1</v>
      </c>
      <c r="E165" s="109" t="s">
        <v>79</v>
      </c>
      <c r="F165" s="109" t="s">
        <v>79</v>
      </c>
      <c r="G165" s="123">
        <f>+'31'!E15</f>
        <v>6735.4132</v>
      </c>
      <c r="H165" s="124" t="str">
        <f>IF(C165="","",IF(G165&gt;'31'!$J$15*0.4,"SI","NO"))</f>
        <v>SI</v>
      </c>
      <c r="I165" s="44">
        <f t="shared" ref="I165:I169" si="227">IF(C165="",0,IF(AND(E165="SI",H165="SI",F165="SI"),1,0))</f>
        <v>1</v>
      </c>
      <c r="J165" s="298">
        <f t="shared" si="197"/>
        <v>1</v>
      </c>
      <c r="K165" s="354" t="s">
        <v>14</v>
      </c>
      <c r="L165" s="346">
        <f t="shared" ref="L165" si="228">IF(K165="CUMPLE",10,0)</f>
        <v>10</v>
      </c>
      <c r="M165" s="354"/>
      <c r="N165" s="339">
        <f t="shared" ref="N165" si="229">IF(M165="CUMPLE",5,0)</f>
        <v>0</v>
      </c>
      <c r="O165" s="113" t="s">
        <v>118</v>
      </c>
      <c r="P165" s="44">
        <f t="shared" si="187"/>
        <v>0</v>
      </c>
      <c r="Q165" s="339">
        <f t="shared" ref="Q165" si="230">+L165+N165+IF(SUM(P165:P169)&gt;=1,-1,0)</f>
        <v>10</v>
      </c>
      <c r="R165" s="354" t="s">
        <v>14</v>
      </c>
      <c r="S165" s="339">
        <f t="shared" ref="S165" si="231">IF(R165="CUMPLE",9,0)</f>
        <v>9</v>
      </c>
      <c r="T165" s="342" t="s">
        <v>14</v>
      </c>
      <c r="U165" s="111" t="s">
        <v>14</v>
      </c>
      <c r="V165" s="345">
        <f t="shared" ref="V165" si="232">IF(AND(T165="",U165="",U166="",U167="",U168="",U169=""),"",IF(AND(T165="CUMPLE",U165="",U166="",U167="",U168="",U169=""),"",IF(AND(T165="CUMPLE",OR(U165="CUMPLE",U165=""),OR(U166="CUMPLE",U166=""),OR(U167="CUMPLE",U167=""),OR(U168="CUMPLE",U168=""),OR(U169="CUMPLE",U169="")),20,0)))</f>
        <v>20</v>
      </c>
      <c r="W165" s="111" t="s">
        <v>14</v>
      </c>
      <c r="X165" s="111" t="s">
        <v>13</v>
      </c>
      <c r="Y165" s="111" t="s">
        <v>13</v>
      </c>
      <c r="Z165" s="111" t="s">
        <v>14</v>
      </c>
      <c r="AA165" s="168">
        <f t="shared" ref="AA165:AA169" si="233">IF(C165="",0,IF(AND(OR(X165="CUMPLE",X165="N/A"),OR(Y165="CUMPLE",Y165="N/A"),OR(Z165="CUMPLE",Z165="N/A"),AND(W165="CUMPLE",D165&gt;=10%)),0.25,))</f>
        <v>0.25</v>
      </c>
      <c r="AB165" s="345">
        <f t="shared" ref="AB165" si="234">IF((AA165+AA166+AA167+AA168+AA169)&gt;=0.25,0.25,0)</f>
        <v>0.25</v>
      </c>
      <c r="AC165" s="111" t="s">
        <v>14</v>
      </c>
      <c r="AD165" s="111" t="s">
        <v>14</v>
      </c>
      <c r="AE165" s="159">
        <f t="shared" ref="AE165:AE169" si="235">IF(C165="",0,IF(AND(AC165="CUMPLE",AD165="CUMPLE",D165&gt;=10%),0.25,0))</f>
        <v>0.25</v>
      </c>
      <c r="AF165" s="346">
        <f t="shared" ref="AF165" si="236">IF((AE165+AE166+AE167+AE168+AE169)&gt;=0.25,0.25,0)</f>
        <v>0.25</v>
      </c>
      <c r="AG165" s="349"/>
    </row>
    <row r="166" spans="1:33" x14ac:dyDescent="0.25">
      <c r="A166" s="296"/>
      <c r="B166" s="299"/>
      <c r="C166" s="24" t="str">
        <f>IF(VLOOKUP(B165,PROPONENTES!$B$10:$N$117,4,FALSE)="","",VLOOKUP(B165,PROPONENTES!$B$10:$N$117,4,FALSE))</f>
        <v/>
      </c>
      <c r="D166" s="37">
        <f>VLOOKUP(B165,PROPONENTES!$B$10:$N$117,5,FALSE)</f>
        <v>0</v>
      </c>
      <c r="E166" s="114"/>
      <c r="F166" s="114"/>
      <c r="G166" s="125" t="str">
        <f>+'31'!E16</f>
        <v/>
      </c>
      <c r="H166" s="126" t="str">
        <f>IF(C166="","",IF(G166&gt;='31'!$J$15*0.4,"SI","NO"))</f>
        <v/>
      </c>
      <c r="I166" s="24">
        <f t="shared" si="227"/>
        <v>0</v>
      </c>
      <c r="J166" s="299"/>
      <c r="K166" s="355"/>
      <c r="L166" s="347"/>
      <c r="M166" s="355"/>
      <c r="N166" s="340"/>
      <c r="O166" s="115"/>
      <c r="P166" s="24" t="str">
        <f t="shared" si="187"/>
        <v>0</v>
      </c>
      <c r="Q166" s="340"/>
      <c r="R166" s="355"/>
      <c r="S166" s="340"/>
      <c r="T166" s="343"/>
      <c r="U166" s="116"/>
      <c r="V166" s="322"/>
      <c r="W166" s="116"/>
      <c r="X166" s="116"/>
      <c r="Y166" s="116"/>
      <c r="Z166" s="116"/>
      <c r="AA166" s="24">
        <f t="shared" si="233"/>
        <v>0</v>
      </c>
      <c r="AB166" s="322"/>
      <c r="AC166" s="116"/>
      <c r="AD166" s="116"/>
      <c r="AE166" s="160">
        <f t="shared" si="235"/>
        <v>0</v>
      </c>
      <c r="AF166" s="347"/>
      <c r="AG166" s="350"/>
    </row>
    <row r="167" spans="1:33" x14ac:dyDescent="0.25">
      <c r="A167" s="296"/>
      <c r="B167" s="299"/>
      <c r="C167" s="24" t="str">
        <f>IF(VLOOKUP(B165,PROPONENTES!$B$10:$N$117,6,FALSE)="","",VLOOKUP(B165,PROPONENTES!$B$10:$N$117,6,FALSE))</f>
        <v/>
      </c>
      <c r="D167" s="37">
        <f>VLOOKUP(B165,PROPONENTES!$B$10:$N$117,7,FALSE)</f>
        <v>0</v>
      </c>
      <c r="E167" s="114"/>
      <c r="F167" s="114"/>
      <c r="G167" s="125" t="str">
        <f>+'31'!E17</f>
        <v/>
      </c>
      <c r="H167" s="126" t="str">
        <f>IF(C167="","",IF(G167&gt;='31'!$J$15*0.4,"SI","NO"))</f>
        <v/>
      </c>
      <c r="I167" s="24">
        <f t="shared" si="227"/>
        <v>0</v>
      </c>
      <c r="J167" s="299"/>
      <c r="K167" s="355"/>
      <c r="L167" s="347"/>
      <c r="M167" s="355"/>
      <c r="N167" s="340"/>
      <c r="O167" s="115"/>
      <c r="P167" s="24" t="str">
        <f t="shared" si="187"/>
        <v>0</v>
      </c>
      <c r="Q167" s="340"/>
      <c r="R167" s="355"/>
      <c r="S167" s="340"/>
      <c r="T167" s="343"/>
      <c r="U167" s="116"/>
      <c r="V167" s="322"/>
      <c r="W167" s="116"/>
      <c r="X167" s="116"/>
      <c r="Y167" s="116"/>
      <c r="Z167" s="116"/>
      <c r="AA167" s="24">
        <f t="shared" si="233"/>
        <v>0</v>
      </c>
      <c r="AB167" s="322"/>
      <c r="AC167" s="116"/>
      <c r="AD167" s="116"/>
      <c r="AE167" s="160">
        <f t="shared" si="235"/>
        <v>0</v>
      </c>
      <c r="AF167" s="347"/>
      <c r="AG167" s="350"/>
    </row>
    <row r="168" spans="1:33" x14ac:dyDescent="0.25">
      <c r="A168" s="296"/>
      <c r="B168" s="299"/>
      <c r="C168" s="24" t="str">
        <f>IF(VLOOKUP(B165,PROPONENTES!$B$10:$N$117,8,FALSE)="","",VLOOKUP(B165,PROPONENTES!$B$10:$N$117,8,FALSE))</f>
        <v/>
      </c>
      <c r="D168" s="37">
        <f>VLOOKUP(B165,PROPONENTES!$B$10:$N$117,9,FALSE)</f>
        <v>0</v>
      </c>
      <c r="E168" s="114"/>
      <c r="F168" s="114"/>
      <c r="G168" s="125" t="str">
        <f>+'31'!E18</f>
        <v/>
      </c>
      <c r="H168" s="126" t="str">
        <f>IF(C168="","",IF(G168&gt;='31'!$J$15*0.4,"SI","NO"))</f>
        <v/>
      </c>
      <c r="I168" s="126">
        <f t="shared" si="227"/>
        <v>0</v>
      </c>
      <c r="J168" s="299"/>
      <c r="K168" s="355"/>
      <c r="L168" s="347"/>
      <c r="M168" s="355"/>
      <c r="N168" s="340"/>
      <c r="O168" s="114"/>
      <c r="P168" s="24" t="str">
        <f t="shared" si="187"/>
        <v>0</v>
      </c>
      <c r="Q168" s="340"/>
      <c r="R168" s="355"/>
      <c r="S168" s="340"/>
      <c r="T168" s="343"/>
      <c r="U168" s="116"/>
      <c r="V168" s="322"/>
      <c r="W168" s="116"/>
      <c r="X168" s="116"/>
      <c r="Y168" s="116"/>
      <c r="Z168" s="116"/>
      <c r="AA168" s="24">
        <f t="shared" si="233"/>
        <v>0</v>
      </c>
      <c r="AB168" s="322"/>
      <c r="AC168" s="116"/>
      <c r="AD168" s="116"/>
      <c r="AE168" s="160">
        <f t="shared" si="235"/>
        <v>0</v>
      </c>
      <c r="AF168" s="347"/>
      <c r="AG168" s="350"/>
    </row>
    <row r="169" spans="1:33" ht="15.75" thickBot="1" x14ac:dyDescent="0.3">
      <c r="A169" s="297"/>
      <c r="B169" s="300"/>
      <c r="C169" s="49" t="str">
        <f>IF(VLOOKUP(B165,PROPONENTES!$B$10:$N$117,10,FALSE)="","",VLOOKUP(B165,PROPONENTES!$B$10:$N$117,10,FALSE))</f>
        <v/>
      </c>
      <c r="D169" s="50">
        <f>VLOOKUP(B165,PROPONENTES!$B$10:$N$117,11,FALSE)</f>
        <v>0</v>
      </c>
      <c r="E169" s="118"/>
      <c r="F169" s="118"/>
      <c r="G169" s="127" t="str">
        <f>+'31'!E19</f>
        <v/>
      </c>
      <c r="H169" s="128" t="str">
        <f>IF(C169="","",IF(G169&gt;='31'!$J$15*0.4,"SI","NO"))</f>
        <v/>
      </c>
      <c r="I169" s="128">
        <f t="shared" si="227"/>
        <v>0</v>
      </c>
      <c r="J169" s="300"/>
      <c r="K169" s="356"/>
      <c r="L169" s="348"/>
      <c r="M169" s="356"/>
      <c r="N169" s="341"/>
      <c r="O169" s="118"/>
      <c r="P169" s="49" t="str">
        <f t="shared" si="187"/>
        <v>0</v>
      </c>
      <c r="Q169" s="341"/>
      <c r="R169" s="356"/>
      <c r="S169" s="341"/>
      <c r="T169" s="344"/>
      <c r="U169" s="148"/>
      <c r="V169" s="323"/>
      <c r="W169" s="148"/>
      <c r="X169" s="148"/>
      <c r="Y169" s="148"/>
      <c r="Z169" s="148"/>
      <c r="AA169" s="169">
        <f t="shared" si="233"/>
        <v>0</v>
      </c>
      <c r="AB169" s="323"/>
      <c r="AC169" s="148"/>
      <c r="AD169" s="148"/>
      <c r="AE169" s="161">
        <f t="shared" si="235"/>
        <v>0</v>
      </c>
      <c r="AF169" s="348"/>
      <c r="AG169" s="351"/>
    </row>
    <row r="170" spans="1:33" x14ac:dyDescent="0.25">
      <c r="A170" s="295">
        <v>32</v>
      </c>
      <c r="B170" s="298" t="str">
        <f>+PROPONENTES!B41</f>
        <v>CONSORCIO DISTRITAL-5G</v>
      </c>
      <c r="C170" s="44" t="str">
        <f>IF(VLOOKUP(B170,PROPONENTES!$B$10:$N$117,2,FALSE)="","",VLOOKUP(B170,PROPONENTES!$B$10:$N$117,2,FALSE))</f>
        <v>GLORIA E. CEDIEL E.</v>
      </c>
      <c r="D170" s="45">
        <f>VLOOKUP(B170,PROPONENTES!$B$10:$N$117,3,FALSE)</f>
        <v>0.5</v>
      </c>
      <c r="E170" s="109" t="s">
        <v>79</v>
      </c>
      <c r="F170" s="109" t="s">
        <v>79</v>
      </c>
      <c r="G170" s="123">
        <f>+'32'!E15</f>
        <v>5226.8404999999993</v>
      </c>
      <c r="H170" s="124" t="str">
        <f>IF(C170="","",IF(G170&gt;'32'!$J$15*0.4,"SI","NO"))</f>
        <v>SI</v>
      </c>
      <c r="I170" s="44">
        <f t="shared" ref="I170:I174" si="237">IF(C170="",0,IF(AND(E170="SI",H170="SI",F170="SI"),1,0))</f>
        <v>1</v>
      </c>
      <c r="J170" s="298">
        <f t="shared" si="197"/>
        <v>1</v>
      </c>
      <c r="K170" s="354" t="s">
        <v>14</v>
      </c>
      <c r="L170" s="346">
        <f t="shared" ref="L170" si="238">IF(K170="CUMPLE",10,0)</f>
        <v>10</v>
      </c>
      <c r="M170" s="354"/>
      <c r="N170" s="339">
        <f t="shared" ref="N170" si="239">IF(M170="CUMPLE",5,0)</f>
        <v>0</v>
      </c>
      <c r="O170" s="113" t="s">
        <v>118</v>
      </c>
      <c r="P170" s="44">
        <f t="shared" si="187"/>
        <v>0</v>
      </c>
      <c r="Q170" s="339">
        <f t="shared" ref="Q170" si="240">+L170+N170+IF(SUM(P170:P174)&gt;=1,-1,0)</f>
        <v>10</v>
      </c>
      <c r="R170" s="354" t="s">
        <v>14</v>
      </c>
      <c r="S170" s="339">
        <f t="shared" ref="S170" si="241">IF(R170="CUMPLE",9,0)</f>
        <v>9</v>
      </c>
      <c r="T170" s="342" t="s">
        <v>14</v>
      </c>
      <c r="U170" s="111" t="s">
        <v>14</v>
      </c>
      <c r="V170" s="345">
        <f t="shared" ref="V170" si="242">IF(AND(T170="",U170="",U171="",U172="",U173="",U174=""),"",IF(AND(T170="CUMPLE",U170="",U171="",U172="",U173="",U174=""),"",IF(AND(T170="CUMPLE",OR(U170="CUMPLE",U170=""),OR(U171="CUMPLE",U171=""),OR(U172="CUMPLE",U172=""),OR(U173="CUMPLE",U173=""),OR(U174="CUMPLE",U174="")),20,0)))</f>
        <v>20</v>
      </c>
      <c r="W170" s="111" t="s">
        <v>14</v>
      </c>
      <c r="X170" s="111" t="s">
        <v>14</v>
      </c>
      <c r="Y170" s="111" t="s">
        <v>13</v>
      </c>
      <c r="Z170" s="111" t="s">
        <v>14</v>
      </c>
      <c r="AA170" s="168">
        <f t="shared" ref="AA170:AA174" si="243">IF(C170="",0,IF(AND(OR(X170="CUMPLE",X170="N/A"),OR(Y170="CUMPLE",Y170="N/A"),OR(Z170="CUMPLE",Z170="N/A"),AND(W170="CUMPLE",D170&gt;=10%)),0.25,))</f>
        <v>0.25</v>
      </c>
      <c r="AB170" s="345">
        <f t="shared" ref="AB170" si="244">IF((AA170+AA171+AA172+AA173+AA174)&gt;=0.25,0.25,0)</f>
        <v>0.25</v>
      </c>
      <c r="AC170" s="111" t="s">
        <v>14</v>
      </c>
      <c r="AD170" s="111" t="s">
        <v>14</v>
      </c>
      <c r="AE170" s="159">
        <f t="shared" ref="AE170:AE174" si="245">IF(C170="",0,IF(AND(AC170="CUMPLE",AD170="CUMPLE",D170&gt;=10%),0.25,0))</f>
        <v>0.25</v>
      </c>
      <c r="AF170" s="346">
        <f t="shared" ref="AF170" si="246">IF((AE170+AE171+AE172+AE173+AE174)&gt;=0.25,0.25,0)</f>
        <v>0.25</v>
      </c>
      <c r="AG170" s="349"/>
    </row>
    <row r="171" spans="1:33" x14ac:dyDescent="0.25">
      <c r="A171" s="296"/>
      <c r="B171" s="299"/>
      <c r="C171" s="24" t="str">
        <f>IF(VLOOKUP(B170,PROPONENTES!$B$10:$N$117,4,FALSE)="","",VLOOKUP(B170,PROPONENTES!$B$10:$N$117,4,FALSE))</f>
        <v>SINCOMAQ S.A.S</v>
      </c>
      <c r="D171" s="37">
        <f>VLOOKUP(B170,PROPONENTES!$B$10:$N$117,5,FALSE)</f>
        <v>0.5</v>
      </c>
      <c r="E171" s="114"/>
      <c r="F171" s="114"/>
      <c r="G171" s="125">
        <f>+'32'!E16</f>
        <v>2823.9804999999997</v>
      </c>
      <c r="H171" s="126" t="str">
        <f>IF(C171="","",IF(G171&gt;'32'!$J$15*0.4,"SI","NO"))</f>
        <v>SI</v>
      </c>
      <c r="I171" s="24">
        <f t="shared" si="237"/>
        <v>0</v>
      </c>
      <c r="J171" s="299"/>
      <c r="K171" s="355"/>
      <c r="L171" s="347"/>
      <c r="M171" s="355"/>
      <c r="N171" s="340"/>
      <c r="O171" s="115" t="s">
        <v>118</v>
      </c>
      <c r="P171" s="24">
        <f t="shared" si="187"/>
        <v>0</v>
      </c>
      <c r="Q171" s="340"/>
      <c r="R171" s="355"/>
      <c r="S171" s="340"/>
      <c r="T171" s="343"/>
      <c r="U171" s="116"/>
      <c r="V171" s="322"/>
      <c r="W171" s="116"/>
      <c r="X171" s="116"/>
      <c r="Y171" s="116"/>
      <c r="Z171" s="116"/>
      <c r="AA171" s="24">
        <f t="shared" si="243"/>
        <v>0</v>
      </c>
      <c r="AB171" s="322"/>
      <c r="AC171" s="116" t="s">
        <v>14</v>
      </c>
      <c r="AD171" s="116" t="s">
        <v>14</v>
      </c>
      <c r="AE171" s="160">
        <f t="shared" si="245"/>
        <v>0.25</v>
      </c>
      <c r="AF171" s="347"/>
      <c r="AG171" s="350"/>
    </row>
    <row r="172" spans="1:33" x14ac:dyDescent="0.25">
      <c r="A172" s="296"/>
      <c r="B172" s="299"/>
      <c r="C172" s="24" t="str">
        <f>IF(VLOOKUP(B170,PROPONENTES!$B$10:$N$117,6,FALSE)="","",VLOOKUP(B170,PROPONENTES!$B$10:$N$117,6,FALSE))</f>
        <v/>
      </c>
      <c r="D172" s="37">
        <f>VLOOKUP(B170,PROPONENTES!$B$10:$N$117,7,FALSE)</f>
        <v>0</v>
      </c>
      <c r="E172" s="114"/>
      <c r="F172" s="114"/>
      <c r="G172" s="125" t="str">
        <f>+'32'!E17</f>
        <v/>
      </c>
      <c r="H172" s="126" t="str">
        <f>IF(C172="","",IF(G172&gt;='32'!$J$15*0.4,"SI","NO"))</f>
        <v/>
      </c>
      <c r="I172" s="24">
        <f t="shared" si="237"/>
        <v>0</v>
      </c>
      <c r="J172" s="299"/>
      <c r="K172" s="355"/>
      <c r="L172" s="347"/>
      <c r="M172" s="355"/>
      <c r="N172" s="340"/>
      <c r="O172" s="115"/>
      <c r="P172" s="24" t="str">
        <f t="shared" si="187"/>
        <v>0</v>
      </c>
      <c r="Q172" s="340"/>
      <c r="R172" s="355"/>
      <c r="S172" s="340"/>
      <c r="T172" s="343"/>
      <c r="U172" s="116"/>
      <c r="V172" s="322"/>
      <c r="W172" s="116"/>
      <c r="X172" s="116"/>
      <c r="Y172" s="116"/>
      <c r="Z172" s="116"/>
      <c r="AA172" s="24">
        <f t="shared" si="243"/>
        <v>0</v>
      </c>
      <c r="AB172" s="322"/>
      <c r="AC172" s="116"/>
      <c r="AD172" s="116"/>
      <c r="AE172" s="160">
        <f t="shared" si="245"/>
        <v>0</v>
      </c>
      <c r="AF172" s="347"/>
      <c r="AG172" s="350"/>
    </row>
    <row r="173" spans="1:33" x14ac:dyDescent="0.25">
      <c r="A173" s="296"/>
      <c r="B173" s="299"/>
      <c r="C173" s="24" t="str">
        <f>IF(VLOOKUP(B170,PROPONENTES!$B$10:$N$117,8,FALSE)="","",VLOOKUP(B170,PROPONENTES!$B$10:$N$117,8,FALSE))</f>
        <v/>
      </c>
      <c r="D173" s="37">
        <f>VLOOKUP(B170,PROPONENTES!$B$10:$N$117,9,FALSE)</f>
        <v>0</v>
      </c>
      <c r="E173" s="114"/>
      <c r="F173" s="114"/>
      <c r="G173" s="125" t="str">
        <f>+'32'!E18</f>
        <v/>
      </c>
      <c r="H173" s="126" t="str">
        <f>IF(C173="","",IF(G173&gt;='32'!$J$15*0.4,"SI","NO"))</f>
        <v/>
      </c>
      <c r="I173" s="126">
        <f t="shared" si="237"/>
        <v>0</v>
      </c>
      <c r="J173" s="299"/>
      <c r="K173" s="355"/>
      <c r="L173" s="347"/>
      <c r="M173" s="355"/>
      <c r="N173" s="340"/>
      <c r="O173" s="114"/>
      <c r="P173" s="24" t="str">
        <f t="shared" si="187"/>
        <v>0</v>
      </c>
      <c r="Q173" s="340"/>
      <c r="R173" s="355"/>
      <c r="S173" s="340"/>
      <c r="T173" s="343"/>
      <c r="U173" s="116"/>
      <c r="V173" s="322"/>
      <c r="W173" s="116"/>
      <c r="X173" s="116"/>
      <c r="Y173" s="116"/>
      <c r="Z173" s="116"/>
      <c r="AA173" s="24">
        <f t="shared" si="243"/>
        <v>0</v>
      </c>
      <c r="AB173" s="322"/>
      <c r="AC173" s="116"/>
      <c r="AD173" s="116"/>
      <c r="AE173" s="160">
        <f t="shared" si="245"/>
        <v>0</v>
      </c>
      <c r="AF173" s="347"/>
      <c r="AG173" s="350"/>
    </row>
    <row r="174" spans="1:33" ht="15.75" thickBot="1" x14ac:dyDescent="0.3">
      <c r="A174" s="297"/>
      <c r="B174" s="300"/>
      <c r="C174" s="49" t="str">
        <f>IF(VLOOKUP(B170,PROPONENTES!$B$10:$N$117,10,FALSE)="","",VLOOKUP(B170,PROPONENTES!$B$10:$N$117,10,FALSE))</f>
        <v/>
      </c>
      <c r="D174" s="50">
        <f>VLOOKUP(B170,PROPONENTES!$B$10:$N$117,11,FALSE)</f>
        <v>0</v>
      </c>
      <c r="E174" s="118"/>
      <c r="F174" s="118"/>
      <c r="G174" s="127" t="str">
        <f>+'32'!E19</f>
        <v/>
      </c>
      <c r="H174" s="128" t="str">
        <f>IF(C174="","",IF(G174&gt;='32'!$J$15*0.4,"SI","NO"))</f>
        <v/>
      </c>
      <c r="I174" s="128">
        <f t="shared" si="237"/>
        <v>0</v>
      </c>
      <c r="J174" s="300"/>
      <c r="K174" s="356"/>
      <c r="L174" s="348"/>
      <c r="M174" s="356"/>
      <c r="N174" s="341"/>
      <c r="O174" s="118"/>
      <c r="P174" s="49" t="str">
        <f t="shared" si="187"/>
        <v>0</v>
      </c>
      <c r="Q174" s="341"/>
      <c r="R174" s="356"/>
      <c r="S174" s="341"/>
      <c r="T174" s="344"/>
      <c r="U174" s="148"/>
      <c r="V174" s="323"/>
      <c r="W174" s="148"/>
      <c r="X174" s="148"/>
      <c r="Y174" s="148"/>
      <c r="Z174" s="148"/>
      <c r="AA174" s="169">
        <f t="shared" si="243"/>
        <v>0</v>
      </c>
      <c r="AB174" s="323"/>
      <c r="AC174" s="148"/>
      <c r="AD174" s="148"/>
      <c r="AE174" s="161">
        <f t="shared" si="245"/>
        <v>0</v>
      </c>
      <c r="AF174" s="348"/>
      <c r="AG174" s="351"/>
    </row>
    <row r="175" spans="1:33" ht="30" x14ac:dyDescent="0.25">
      <c r="A175" s="295">
        <v>33</v>
      </c>
      <c r="B175" s="298" t="str">
        <f>+PROPONENTES!B42</f>
        <v>CONSORCIO PARQUES VECINALES 24</v>
      </c>
      <c r="C175" s="44" t="str">
        <f>IF(VLOOKUP(B175,PROPONENTES!$B$10:$N$117,2,FALSE)="","",VLOOKUP(B175,PROPONENTES!$B$10:$N$117,2,FALSE))</f>
        <v>OSCAR ANDRÉS CUERVO ACOSTA</v>
      </c>
      <c r="D175" s="45">
        <f>VLOOKUP(B175,PROPONENTES!$B$10:$N$117,3,FALSE)</f>
        <v>0.55000000000000004</v>
      </c>
      <c r="E175" s="109"/>
      <c r="F175" s="109"/>
      <c r="G175" s="123">
        <f>+'33'!E15</f>
        <v>9190.764000000001</v>
      </c>
      <c r="H175" s="124" t="str">
        <f>IF(C175="","",IF(G175&gt;'33'!$J$15*0.4,"SI","NO"))</f>
        <v>SI</v>
      </c>
      <c r="I175" s="44">
        <f t="shared" si="161"/>
        <v>0</v>
      </c>
      <c r="J175" s="298">
        <f t="shared" si="197"/>
        <v>1</v>
      </c>
      <c r="K175" s="354" t="s">
        <v>14</v>
      </c>
      <c r="L175" s="346">
        <f t="shared" ref="L175" si="247">IF(K175="CUMPLE",10,0)</f>
        <v>10</v>
      </c>
      <c r="M175" s="354"/>
      <c r="N175" s="339">
        <f t="shared" ref="N175" si="248">IF(M175="CUMPLE",5,0)</f>
        <v>0</v>
      </c>
      <c r="O175" s="113" t="s">
        <v>118</v>
      </c>
      <c r="P175" s="44">
        <f t="shared" si="187"/>
        <v>0</v>
      </c>
      <c r="Q175" s="339">
        <f t="shared" ref="Q175" si="249">+L175+N175+IF(SUM(P175:P179)&gt;=1,-1,0)</f>
        <v>10</v>
      </c>
      <c r="R175" s="354" t="s">
        <v>14</v>
      </c>
      <c r="S175" s="339">
        <f t="shared" ref="S175" si="250">IF(R175="CUMPLE",9,0)</f>
        <v>9</v>
      </c>
      <c r="T175" s="342" t="s">
        <v>14</v>
      </c>
      <c r="U175" s="111" t="s">
        <v>14</v>
      </c>
      <c r="V175" s="345">
        <f t="shared" ref="V175" si="251">IF(AND(T175="",U175="",U176="",U177="",U178="",U179=""),"",IF(AND(T175="CUMPLE",U175="",U176="",U177="",U178="",U179=""),"",IF(AND(T175="CUMPLE",OR(U175="CUMPLE",U175=""),OR(U176="CUMPLE",U176=""),OR(U177="CUMPLE",U177=""),OR(U178="CUMPLE",U178=""),OR(U179="CUMPLE",U179="")),20,0)))</f>
        <v>20</v>
      </c>
      <c r="W175" s="111"/>
      <c r="X175" s="111"/>
      <c r="Y175" s="111"/>
      <c r="Z175" s="111"/>
      <c r="AA175" s="168">
        <f t="shared" si="188"/>
        <v>0</v>
      </c>
      <c r="AB175" s="345">
        <f t="shared" ref="AB175" si="252">IF((AA175+AA176+AA177+AA178+AA179)&gt;=0.25,0.25,0)</f>
        <v>0.25</v>
      </c>
      <c r="AC175" s="111" t="s">
        <v>14</v>
      </c>
      <c r="AD175" s="111" t="s">
        <v>14</v>
      </c>
      <c r="AE175" s="159">
        <f t="shared" si="169"/>
        <v>0.25</v>
      </c>
      <c r="AF175" s="346">
        <f t="shared" ref="AF175" si="253">IF((AE175+AE176+AE177+AE178+AE179)&gt;=0.25,0.25,0)</f>
        <v>0.25</v>
      </c>
      <c r="AG175" s="349"/>
    </row>
    <row r="176" spans="1:33" x14ac:dyDescent="0.25">
      <c r="A176" s="296"/>
      <c r="B176" s="299"/>
      <c r="C176" s="24" t="str">
        <f>IF(VLOOKUP(B175,PROPONENTES!$B$10:$N$117,4,FALSE)="","",VLOOKUP(B175,PROPONENTES!$B$10:$N$117,4,FALSE))</f>
        <v xml:space="preserve">ICSSA SAS </v>
      </c>
      <c r="D176" s="37">
        <f>VLOOKUP(B175,PROPONENTES!$B$10:$N$117,5,FALSE)</f>
        <v>0.35</v>
      </c>
      <c r="E176" s="114" t="s">
        <v>79</v>
      </c>
      <c r="F176" s="114" t="s">
        <v>79</v>
      </c>
      <c r="G176" s="125">
        <f>+'33'!E16</f>
        <v>5166.5950000000003</v>
      </c>
      <c r="H176" s="126" t="str">
        <f>IF(C176="","",IF(G176&gt;'33'!$J$15*0.4,"SI","NO"))</f>
        <v>SI</v>
      </c>
      <c r="I176" s="24">
        <f t="shared" si="161"/>
        <v>1</v>
      </c>
      <c r="J176" s="299"/>
      <c r="K176" s="355"/>
      <c r="L176" s="347"/>
      <c r="M176" s="355"/>
      <c r="N176" s="340"/>
      <c r="O176" s="115" t="s">
        <v>118</v>
      </c>
      <c r="P176" s="24">
        <f t="shared" si="187"/>
        <v>0</v>
      </c>
      <c r="Q176" s="340"/>
      <c r="R176" s="355"/>
      <c r="S176" s="340"/>
      <c r="T176" s="343"/>
      <c r="U176" s="116" t="s">
        <v>14</v>
      </c>
      <c r="V176" s="322"/>
      <c r="W176" s="116"/>
      <c r="X176" s="116"/>
      <c r="Y176" s="116"/>
      <c r="Z176" s="116"/>
      <c r="AA176" s="24">
        <f t="shared" si="188"/>
        <v>0</v>
      </c>
      <c r="AB176" s="322"/>
      <c r="AC176" s="116" t="s">
        <v>14</v>
      </c>
      <c r="AD176" s="116" t="s">
        <v>14</v>
      </c>
      <c r="AE176" s="160">
        <f t="shared" si="169"/>
        <v>0.25</v>
      </c>
      <c r="AF176" s="347"/>
      <c r="AG176" s="350"/>
    </row>
    <row r="177" spans="1:33" x14ac:dyDescent="0.25">
      <c r="A177" s="296"/>
      <c r="B177" s="299"/>
      <c r="C177" s="24" t="str">
        <f>IF(VLOOKUP(B175,PROPONENTES!$B$10:$N$117,6,FALSE)="","",VLOOKUP(B175,PROPONENTES!$B$10:$N$117,6,FALSE))</f>
        <v xml:space="preserve">ALFÉREZ INGENIERÍA SAS </v>
      </c>
      <c r="D177" s="37">
        <f>VLOOKUP(B175,PROPONENTES!$B$10:$N$117,7,FALSE)</f>
        <v>0.1</v>
      </c>
      <c r="E177" s="114"/>
      <c r="F177" s="114"/>
      <c r="G177" s="125">
        <f>+'33'!E17</f>
        <v>0</v>
      </c>
      <c r="H177" s="126" t="str">
        <f>IF(C177="","",IF(G177&gt;'33'!$J$15*0.4,"SI","NO"))</f>
        <v>NO</v>
      </c>
      <c r="I177" s="24">
        <f t="shared" si="161"/>
        <v>0</v>
      </c>
      <c r="J177" s="299"/>
      <c r="K177" s="355"/>
      <c r="L177" s="347"/>
      <c r="M177" s="355"/>
      <c r="N177" s="340"/>
      <c r="O177" s="115" t="s">
        <v>118</v>
      </c>
      <c r="P177" s="24">
        <f t="shared" si="187"/>
        <v>0</v>
      </c>
      <c r="Q177" s="340"/>
      <c r="R177" s="355"/>
      <c r="S177" s="340"/>
      <c r="T177" s="343"/>
      <c r="U177" s="116" t="s">
        <v>14</v>
      </c>
      <c r="V177" s="322"/>
      <c r="W177" s="116" t="s">
        <v>14</v>
      </c>
      <c r="X177" s="116" t="s">
        <v>14</v>
      </c>
      <c r="Y177" s="116" t="s">
        <v>14</v>
      </c>
      <c r="Z177" s="116" t="s">
        <v>14</v>
      </c>
      <c r="AA177" s="24">
        <f t="shared" si="188"/>
        <v>0.25</v>
      </c>
      <c r="AB177" s="322"/>
      <c r="AC177" s="116" t="s">
        <v>14</v>
      </c>
      <c r="AD177" s="116" t="s">
        <v>14</v>
      </c>
      <c r="AE177" s="160">
        <f t="shared" si="169"/>
        <v>0.25</v>
      </c>
      <c r="AF177" s="347"/>
      <c r="AG177" s="350"/>
    </row>
    <row r="178" spans="1:33" x14ac:dyDescent="0.25">
      <c r="A178" s="296"/>
      <c r="B178" s="299"/>
      <c r="C178" s="24" t="str">
        <f>IF(VLOOKUP(B175,PROPONENTES!$B$10:$N$117,8,FALSE)="","",VLOOKUP(B175,PROPONENTES!$B$10:$N$117,8,FALSE))</f>
        <v/>
      </c>
      <c r="D178" s="37">
        <f>VLOOKUP(B175,PROPONENTES!$B$10:$N$117,9,FALSE)</f>
        <v>0</v>
      </c>
      <c r="E178" s="114"/>
      <c r="F178" s="114"/>
      <c r="G178" s="125" t="str">
        <f>+'33'!E18</f>
        <v/>
      </c>
      <c r="H178" s="126" t="str">
        <f>IF(C178="","",IF(G178&gt;='33'!$J$15*0.4,"SI","NO"))</f>
        <v/>
      </c>
      <c r="I178" s="126">
        <f t="shared" si="161"/>
        <v>0</v>
      </c>
      <c r="J178" s="299"/>
      <c r="K178" s="355"/>
      <c r="L178" s="347"/>
      <c r="M178" s="355"/>
      <c r="N178" s="340"/>
      <c r="O178" s="114"/>
      <c r="P178" s="24" t="str">
        <f t="shared" si="187"/>
        <v>0</v>
      </c>
      <c r="Q178" s="340"/>
      <c r="R178" s="355"/>
      <c r="S178" s="340"/>
      <c r="T178" s="343"/>
      <c r="U178" s="116"/>
      <c r="V178" s="322"/>
      <c r="W178" s="116"/>
      <c r="X178" s="116"/>
      <c r="Y178" s="116"/>
      <c r="Z178" s="116"/>
      <c r="AA178" s="24">
        <f t="shared" si="188"/>
        <v>0</v>
      </c>
      <c r="AB178" s="322"/>
      <c r="AC178" s="116"/>
      <c r="AD178" s="116"/>
      <c r="AE178" s="160">
        <f t="shared" si="169"/>
        <v>0</v>
      </c>
      <c r="AF178" s="347"/>
      <c r="AG178" s="350"/>
    </row>
    <row r="179" spans="1:33" ht="15.75" thickBot="1" x14ac:dyDescent="0.3">
      <c r="A179" s="297"/>
      <c r="B179" s="300"/>
      <c r="C179" s="49" t="str">
        <f>IF(VLOOKUP(B175,PROPONENTES!$B$10:$N$117,10,FALSE)="","",VLOOKUP(B175,PROPONENTES!$B$10:$N$117,10,FALSE))</f>
        <v/>
      </c>
      <c r="D179" s="50">
        <f>VLOOKUP(B175,PROPONENTES!$B$10:$N$117,11,FALSE)</f>
        <v>0</v>
      </c>
      <c r="E179" s="118"/>
      <c r="F179" s="118"/>
      <c r="G179" s="127" t="str">
        <f>+'33'!E19</f>
        <v/>
      </c>
      <c r="H179" s="128" t="str">
        <f>IF(C179="","",IF(G179&gt;='33'!$J$15*0.4,"SI","NO"))</f>
        <v/>
      </c>
      <c r="I179" s="128">
        <f t="shared" si="161"/>
        <v>0</v>
      </c>
      <c r="J179" s="300"/>
      <c r="K179" s="356"/>
      <c r="L179" s="348"/>
      <c r="M179" s="356"/>
      <c r="N179" s="341"/>
      <c r="O179" s="118"/>
      <c r="P179" s="49" t="str">
        <f t="shared" si="187"/>
        <v>0</v>
      </c>
      <c r="Q179" s="341"/>
      <c r="R179" s="356"/>
      <c r="S179" s="341"/>
      <c r="T179" s="344"/>
      <c r="U179" s="148"/>
      <c r="V179" s="323"/>
      <c r="W179" s="148"/>
      <c r="X179" s="148"/>
      <c r="Y179" s="148"/>
      <c r="Z179" s="148"/>
      <c r="AA179" s="169">
        <f t="shared" si="188"/>
        <v>0</v>
      </c>
      <c r="AB179" s="323"/>
      <c r="AC179" s="148"/>
      <c r="AD179" s="148"/>
      <c r="AE179" s="161">
        <f t="shared" si="169"/>
        <v>0</v>
      </c>
      <c r="AF179" s="348"/>
      <c r="AG179" s="351"/>
    </row>
  </sheetData>
  <mergeCells count="525">
    <mergeCell ref="S175:S179"/>
    <mergeCell ref="T175:T179"/>
    <mergeCell ref="V175:V179"/>
    <mergeCell ref="AB175:AB179"/>
    <mergeCell ref="AF175:AF179"/>
    <mergeCell ref="AG175:AG179"/>
    <mergeCell ref="A175:A179"/>
    <mergeCell ref="B175:B179"/>
    <mergeCell ref="J175:J179"/>
    <mergeCell ref="K175:K179"/>
    <mergeCell ref="L175:L179"/>
    <mergeCell ref="M175:M179"/>
    <mergeCell ref="N175:N179"/>
    <mergeCell ref="Q175:Q179"/>
    <mergeCell ref="R175:R179"/>
    <mergeCell ref="AB140:AB144"/>
    <mergeCell ref="AF140:AF144"/>
    <mergeCell ref="AG140:AG144"/>
    <mergeCell ref="A145:A149"/>
    <mergeCell ref="B145:B149"/>
    <mergeCell ref="J145:J149"/>
    <mergeCell ref="K145:K149"/>
    <mergeCell ref="L145:L149"/>
    <mergeCell ref="M145:M149"/>
    <mergeCell ref="N145:N149"/>
    <mergeCell ref="Q145:Q149"/>
    <mergeCell ref="R145:R149"/>
    <mergeCell ref="S145:S149"/>
    <mergeCell ref="T145:T149"/>
    <mergeCell ref="V145:V149"/>
    <mergeCell ref="AB145:AB149"/>
    <mergeCell ref="AF145:AF149"/>
    <mergeCell ref="AG145:AG149"/>
    <mergeCell ref="A140:A144"/>
    <mergeCell ref="B140:B144"/>
    <mergeCell ref="J140:J144"/>
    <mergeCell ref="K140:K144"/>
    <mergeCell ref="L140:L144"/>
    <mergeCell ref="M140:M144"/>
    <mergeCell ref="N140:N144"/>
    <mergeCell ref="Q140:Q144"/>
    <mergeCell ref="R140:R144"/>
    <mergeCell ref="S130:S134"/>
    <mergeCell ref="T130:T134"/>
    <mergeCell ref="V130:V134"/>
    <mergeCell ref="N130:N134"/>
    <mergeCell ref="Q130:Q134"/>
    <mergeCell ref="R130:R134"/>
    <mergeCell ref="S140:S144"/>
    <mergeCell ref="T140:T144"/>
    <mergeCell ref="V140:V144"/>
    <mergeCell ref="AB130:AB134"/>
    <mergeCell ref="AF130:AF134"/>
    <mergeCell ref="AG130:AG134"/>
    <mergeCell ref="A135:A139"/>
    <mergeCell ref="B135:B139"/>
    <mergeCell ref="J135:J139"/>
    <mergeCell ref="K135:K139"/>
    <mergeCell ref="L135:L139"/>
    <mergeCell ref="M135:M139"/>
    <mergeCell ref="N135:N139"/>
    <mergeCell ref="Q135:Q139"/>
    <mergeCell ref="R135:R139"/>
    <mergeCell ref="S135:S139"/>
    <mergeCell ref="T135:T139"/>
    <mergeCell ref="V135:V139"/>
    <mergeCell ref="AB135:AB139"/>
    <mergeCell ref="AF135:AF139"/>
    <mergeCell ref="AG135:AG139"/>
    <mergeCell ref="A130:A134"/>
    <mergeCell ref="B130:B134"/>
    <mergeCell ref="J130:J134"/>
    <mergeCell ref="K130:K134"/>
    <mergeCell ref="L130:L134"/>
    <mergeCell ref="M130:M134"/>
    <mergeCell ref="V55:V59"/>
    <mergeCell ref="V50:V54"/>
    <mergeCell ref="AF90:AF94"/>
    <mergeCell ref="AF95:AF99"/>
    <mergeCell ref="AF100:AF104"/>
    <mergeCell ref="AF105:AF109"/>
    <mergeCell ref="AF110:AF114"/>
    <mergeCell ref="AF115:AF119"/>
    <mergeCell ref="AB95:AB99"/>
    <mergeCell ref="AB100:AB104"/>
    <mergeCell ref="AB105:AB109"/>
    <mergeCell ref="AB110:AB114"/>
    <mergeCell ref="AB115:AB119"/>
    <mergeCell ref="AF125:AF129"/>
    <mergeCell ref="AB125:AB129"/>
    <mergeCell ref="AC13:AF13"/>
    <mergeCell ref="AF15:AF19"/>
    <mergeCell ref="AF20:AF24"/>
    <mergeCell ref="AF25:AF29"/>
    <mergeCell ref="AF30:AF34"/>
    <mergeCell ref="AF35:AF39"/>
    <mergeCell ref="AF40:AF44"/>
    <mergeCell ref="AF45:AF49"/>
    <mergeCell ref="AF50:AF54"/>
    <mergeCell ref="AF55:AF59"/>
    <mergeCell ref="AF60:AF64"/>
    <mergeCell ref="AF65:AF69"/>
    <mergeCell ref="AF70:AF74"/>
    <mergeCell ref="AF75:AF79"/>
    <mergeCell ref="AF80:AF84"/>
    <mergeCell ref="AF85:AF89"/>
    <mergeCell ref="T100:T104"/>
    <mergeCell ref="T105:T109"/>
    <mergeCell ref="T110:T114"/>
    <mergeCell ref="T115:T119"/>
    <mergeCell ref="T120:T124"/>
    <mergeCell ref="T125:T129"/>
    <mergeCell ref="W13:AB13"/>
    <mergeCell ref="AB15:AB19"/>
    <mergeCell ref="AB20:AB24"/>
    <mergeCell ref="AB25:AB29"/>
    <mergeCell ref="AB30:AB34"/>
    <mergeCell ref="AB35:AB39"/>
    <mergeCell ref="AB40:AB44"/>
    <mergeCell ref="AB45:AB49"/>
    <mergeCell ref="AB50:AB54"/>
    <mergeCell ref="AB55:AB59"/>
    <mergeCell ref="AB60:AB64"/>
    <mergeCell ref="AB65:AB69"/>
    <mergeCell ref="AB70:AB74"/>
    <mergeCell ref="AB75:AB79"/>
    <mergeCell ref="AB80:AB84"/>
    <mergeCell ref="AB85:AB89"/>
    <mergeCell ref="AB90:AB94"/>
    <mergeCell ref="V125:V129"/>
    <mergeCell ref="T55:T59"/>
    <mergeCell ref="T60:T64"/>
    <mergeCell ref="T65:T69"/>
    <mergeCell ref="T70:T74"/>
    <mergeCell ref="T75:T79"/>
    <mergeCell ref="T80:T84"/>
    <mergeCell ref="T85:T89"/>
    <mergeCell ref="T90:T94"/>
    <mergeCell ref="T95:T99"/>
    <mergeCell ref="R95:R99"/>
    <mergeCell ref="S95:S99"/>
    <mergeCell ref="R100:R104"/>
    <mergeCell ref="S100:S104"/>
    <mergeCell ref="R105:R109"/>
    <mergeCell ref="S105:S109"/>
    <mergeCell ref="R110:R114"/>
    <mergeCell ref="S110:S114"/>
    <mergeCell ref="R115:R119"/>
    <mergeCell ref="S115:S119"/>
    <mergeCell ref="S65:S69"/>
    <mergeCell ref="R70:R74"/>
    <mergeCell ref="S70:S74"/>
    <mergeCell ref="R75:R79"/>
    <mergeCell ref="S75:S79"/>
    <mergeCell ref="R80:R84"/>
    <mergeCell ref="S80:S84"/>
    <mergeCell ref="R85:R89"/>
    <mergeCell ref="S85:S89"/>
    <mergeCell ref="AG125:AG129"/>
    <mergeCell ref="R13:S13"/>
    <mergeCell ref="R15:R19"/>
    <mergeCell ref="S15:S19"/>
    <mergeCell ref="R20:R24"/>
    <mergeCell ref="S20:S24"/>
    <mergeCell ref="R25:R29"/>
    <mergeCell ref="S25:S29"/>
    <mergeCell ref="R30:R34"/>
    <mergeCell ref="S30:S34"/>
    <mergeCell ref="R35:R39"/>
    <mergeCell ref="S35:S39"/>
    <mergeCell ref="R40:R44"/>
    <mergeCell ref="S40:S44"/>
    <mergeCell ref="R45:R49"/>
    <mergeCell ref="S45:S49"/>
    <mergeCell ref="R50:R54"/>
    <mergeCell ref="S50:S54"/>
    <mergeCell ref="R55:R59"/>
    <mergeCell ref="S55:S59"/>
    <mergeCell ref="R60:R64"/>
    <mergeCell ref="S60:S64"/>
    <mergeCell ref="R65:R69"/>
    <mergeCell ref="AG115:AG119"/>
    <mergeCell ref="A125:A129"/>
    <mergeCell ref="B125:B129"/>
    <mergeCell ref="J125:J129"/>
    <mergeCell ref="K125:K129"/>
    <mergeCell ref="L125:L129"/>
    <mergeCell ref="M125:M129"/>
    <mergeCell ref="N125:N129"/>
    <mergeCell ref="Q125:Q129"/>
    <mergeCell ref="V115:V119"/>
    <mergeCell ref="A120:A124"/>
    <mergeCell ref="B120:B124"/>
    <mergeCell ref="J120:J124"/>
    <mergeCell ref="K120:K124"/>
    <mergeCell ref="L120:L124"/>
    <mergeCell ref="M120:M124"/>
    <mergeCell ref="N120:N124"/>
    <mergeCell ref="Q120:Q124"/>
    <mergeCell ref="V120:V124"/>
    <mergeCell ref="R125:R129"/>
    <mergeCell ref="S125:S129"/>
    <mergeCell ref="AG120:AG124"/>
    <mergeCell ref="R120:R124"/>
    <mergeCell ref="S120:S124"/>
    <mergeCell ref="AB120:AB124"/>
    <mergeCell ref="AF120:AF124"/>
    <mergeCell ref="A115:A119"/>
    <mergeCell ref="B115:B119"/>
    <mergeCell ref="J115:J119"/>
    <mergeCell ref="K115:K119"/>
    <mergeCell ref="L115:L119"/>
    <mergeCell ref="M115:M119"/>
    <mergeCell ref="N115:N119"/>
    <mergeCell ref="Q115:Q119"/>
    <mergeCell ref="AG110:AG114"/>
    <mergeCell ref="F9:G9"/>
    <mergeCell ref="F10:G10"/>
    <mergeCell ref="M110:M114"/>
    <mergeCell ref="N110:N114"/>
    <mergeCell ref="Q110:Q114"/>
    <mergeCell ref="V110:V114"/>
    <mergeCell ref="A110:A114"/>
    <mergeCell ref="B110:B114"/>
    <mergeCell ref="J110:J114"/>
    <mergeCell ref="K110:K114"/>
    <mergeCell ref="L110:L114"/>
    <mergeCell ref="AG100:AG104"/>
    <mergeCell ref="A105:A109"/>
    <mergeCell ref="B105:B109"/>
    <mergeCell ref="J105:J109"/>
    <mergeCell ref="K105:K109"/>
    <mergeCell ref="L105:L109"/>
    <mergeCell ref="M105:M109"/>
    <mergeCell ref="N105:N109"/>
    <mergeCell ref="Q105:Q109"/>
    <mergeCell ref="V105:V109"/>
    <mergeCell ref="AG105:AG109"/>
    <mergeCell ref="M100:M104"/>
    <mergeCell ref="N100:N104"/>
    <mergeCell ref="Q100:Q104"/>
    <mergeCell ref="V100:V104"/>
    <mergeCell ref="A100:A104"/>
    <mergeCell ref="B100:B104"/>
    <mergeCell ref="J100:J104"/>
    <mergeCell ref="K100:K104"/>
    <mergeCell ref="L100:L104"/>
    <mergeCell ref="AG90:AG94"/>
    <mergeCell ref="A95:A99"/>
    <mergeCell ref="B95:B99"/>
    <mergeCell ref="J95:J99"/>
    <mergeCell ref="K95:K99"/>
    <mergeCell ref="L95:L99"/>
    <mergeCell ref="M95:M99"/>
    <mergeCell ref="N95:N99"/>
    <mergeCell ref="Q95:Q99"/>
    <mergeCell ref="V95:V99"/>
    <mergeCell ref="AG95:AG99"/>
    <mergeCell ref="M90:M94"/>
    <mergeCell ref="N90:N94"/>
    <mergeCell ref="Q90:Q94"/>
    <mergeCell ref="V90:V94"/>
    <mergeCell ref="A90:A94"/>
    <mergeCell ref="B90:B94"/>
    <mergeCell ref="J90:J94"/>
    <mergeCell ref="K90:K94"/>
    <mergeCell ref="L90:L94"/>
    <mergeCell ref="R90:R94"/>
    <mergeCell ref="S90:S94"/>
    <mergeCell ref="AG80:AG84"/>
    <mergeCell ref="A85:A89"/>
    <mergeCell ref="B85:B89"/>
    <mergeCell ref="J85:J89"/>
    <mergeCell ref="K85:K89"/>
    <mergeCell ref="L85:L89"/>
    <mergeCell ref="M85:M89"/>
    <mergeCell ref="N85:N89"/>
    <mergeCell ref="Q85:Q89"/>
    <mergeCell ref="V85:V89"/>
    <mergeCell ref="AG85:AG89"/>
    <mergeCell ref="M80:M84"/>
    <mergeCell ref="N80:N84"/>
    <mergeCell ref="Q80:Q84"/>
    <mergeCell ref="V80:V84"/>
    <mergeCell ref="A80:A84"/>
    <mergeCell ref="B80:B84"/>
    <mergeCell ref="J80:J84"/>
    <mergeCell ref="K80:K84"/>
    <mergeCell ref="L80:L84"/>
    <mergeCell ref="AG70:AG74"/>
    <mergeCell ref="A75:A79"/>
    <mergeCell ref="B75:B79"/>
    <mergeCell ref="J75:J79"/>
    <mergeCell ref="K75:K79"/>
    <mergeCell ref="L75:L79"/>
    <mergeCell ref="M75:M79"/>
    <mergeCell ref="N75:N79"/>
    <mergeCell ref="Q75:Q79"/>
    <mergeCell ref="V75:V79"/>
    <mergeCell ref="AG75:AG79"/>
    <mergeCell ref="M70:M74"/>
    <mergeCell ref="N70:N74"/>
    <mergeCell ref="Q70:Q74"/>
    <mergeCell ref="V70:V74"/>
    <mergeCell ref="A70:A74"/>
    <mergeCell ref="B70:B74"/>
    <mergeCell ref="J70:J74"/>
    <mergeCell ref="K70:K74"/>
    <mergeCell ref="L70:L74"/>
    <mergeCell ref="AG55:AG59"/>
    <mergeCell ref="AG60:AG64"/>
    <mergeCell ref="A65:A69"/>
    <mergeCell ref="B65:B69"/>
    <mergeCell ref="J65:J69"/>
    <mergeCell ref="K65:K69"/>
    <mergeCell ref="L65:L69"/>
    <mergeCell ref="M65:M69"/>
    <mergeCell ref="N65:N69"/>
    <mergeCell ref="Q65:Q69"/>
    <mergeCell ref="V65:V69"/>
    <mergeCell ref="AG65:AG69"/>
    <mergeCell ref="M60:M64"/>
    <mergeCell ref="N60:N64"/>
    <mergeCell ref="Q60:Q64"/>
    <mergeCell ref="V60:V64"/>
    <mergeCell ref="A60:A64"/>
    <mergeCell ref="B60:B64"/>
    <mergeCell ref="J60:J64"/>
    <mergeCell ref="K60:K64"/>
    <mergeCell ref="L60:L64"/>
    <mergeCell ref="A55:A59"/>
    <mergeCell ref="B55:B59"/>
    <mergeCell ref="J55:J59"/>
    <mergeCell ref="K55:K59"/>
    <mergeCell ref="L55:L59"/>
    <mergeCell ref="M55:M59"/>
    <mergeCell ref="N55:N59"/>
    <mergeCell ref="Q55:Q59"/>
    <mergeCell ref="A40:A44"/>
    <mergeCell ref="B40:B44"/>
    <mergeCell ref="J40:J44"/>
    <mergeCell ref="A35:A39"/>
    <mergeCell ref="B35:B39"/>
    <mergeCell ref="N50:N54"/>
    <mergeCell ref="Q50:Q54"/>
    <mergeCell ref="K35:K39"/>
    <mergeCell ref="K40:K44"/>
    <mergeCell ref="L40:L44"/>
    <mergeCell ref="Q35:Q39"/>
    <mergeCell ref="J35:J39"/>
    <mergeCell ref="M35:M39"/>
    <mergeCell ref="L35:L39"/>
    <mergeCell ref="M40:M44"/>
    <mergeCell ref="N35:N39"/>
    <mergeCell ref="N40:N44"/>
    <mergeCell ref="AG50:AG54"/>
    <mergeCell ref="A50:A54"/>
    <mergeCell ref="B50:B54"/>
    <mergeCell ref="J50:J54"/>
    <mergeCell ref="K50:K54"/>
    <mergeCell ref="L50:L54"/>
    <mergeCell ref="M50:M54"/>
    <mergeCell ref="A45:A49"/>
    <mergeCell ref="B45:B49"/>
    <mergeCell ref="J45:J49"/>
    <mergeCell ref="K45:K49"/>
    <mergeCell ref="L45:L49"/>
    <mergeCell ref="T50:T54"/>
    <mergeCell ref="M45:M49"/>
    <mergeCell ref="N45:N49"/>
    <mergeCell ref="T45:T49"/>
    <mergeCell ref="AG13:AG14"/>
    <mergeCell ref="A2:AG2"/>
    <mergeCell ref="A4:AG4"/>
    <mergeCell ref="A5:AG5"/>
    <mergeCell ref="I6:AG6"/>
    <mergeCell ref="A7:AG7"/>
    <mergeCell ref="C8:AG8"/>
    <mergeCell ref="I9:AG9"/>
    <mergeCell ref="I10:AG10"/>
    <mergeCell ref="A3:AG3"/>
    <mergeCell ref="A12:AG12"/>
    <mergeCell ref="A9:B9"/>
    <mergeCell ref="C9:E9"/>
    <mergeCell ref="A8:B8"/>
    <mergeCell ref="A6:B6"/>
    <mergeCell ref="D6:G6"/>
    <mergeCell ref="A10:B10"/>
    <mergeCell ref="C10:E10"/>
    <mergeCell ref="T13:V13"/>
    <mergeCell ref="A13:A14"/>
    <mergeCell ref="E13:J13"/>
    <mergeCell ref="D13:D14"/>
    <mergeCell ref="C13:C14"/>
    <mergeCell ref="A30:A34"/>
    <mergeCell ref="B30:B34"/>
    <mergeCell ref="J25:J29"/>
    <mergeCell ref="J30:J34"/>
    <mergeCell ref="A15:A19"/>
    <mergeCell ref="B15:B19"/>
    <mergeCell ref="N20:N24"/>
    <mergeCell ref="N25:N29"/>
    <mergeCell ref="N30:N34"/>
    <mergeCell ref="A20:A24"/>
    <mergeCell ref="B20:B24"/>
    <mergeCell ref="A25:A29"/>
    <mergeCell ref="B25:B29"/>
    <mergeCell ref="M30:M34"/>
    <mergeCell ref="L25:L29"/>
    <mergeCell ref="L30:L34"/>
    <mergeCell ref="K15:K19"/>
    <mergeCell ref="M15:M19"/>
    <mergeCell ref="N15:N19"/>
    <mergeCell ref="J15:J19"/>
    <mergeCell ref="L15:L19"/>
    <mergeCell ref="V25:V29"/>
    <mergeCell ref="V30:V34"/>
    <mergeCell ref="T15:T19"/>
    <mergeCell ref="T20:T24"/>
    <mergeCell ref="T25:T29"/>
    <mergeCell ref="T30:T34"/>
    <mergeCell ref="T35:T39"/>
    <mergeCell ref="T40:T44"/>
    <mergeCell ref="B13:B14"/>
    <mergeCell ref="K20:K24"/>
    <mergeCell ref="K25:K29"/>
    <mergeCell ref="K30:K34"/>
    <mergeCell ref="M20:M24"/>
    <mergeCell ref="M25:M29"/>
    <mergeCell ref="J20:J24"/>
    <mergeCell ref="L20:L24"/>
    <mergeCell ref="K150:K154"/>
    <mergeCell ref="L150:L154"/>
    <mergeCell ref="M150:M154"/>
    <mergeCell ref="N150:N154"/>
    <mergeCell ref="Q150:Q154"/>
    <mergeCell ref="R150:R154"/>
    <mergeCell ref="AG15:AG19"/>
    <mergeCell ref="AG30:AG34"/>
    <mergeCell ref="AG35:AG39"/>
    <mergeCell ref="AG45:AG49"/>
    <mergeCell ref="AG20:AG24"/>
    <mergeCell ref="AG40:AG44"/>
    <mergeCell ref="AG25:AG29"/>
    <mergeCell ref="V15:V19"/>
    <mergeCell ref="Q30:Q34"/>
    <mergeCell ref="V35:V39"/>
    <mergeCell ref="V40:V44"/>
    <mergeCell ref="V45:V49"/>
    <mergeCell ref="V20:V24"/>
    <mergeCell ref="Q15:Q19"/>
    <mergeCell ref="Q45:Q49"/>
    <mergeCell ref="Q40:Q44"/>
    <mergeCell ref="Q20:Q24"/>
    <mergeCell ref="Q25:Q29"/>
    <mergeCell ref="S150:S154"/>
    <mergeCell ref="T150:T154"/>
    <mergeCell ref="V150:V154"/>
    <mergeCell ref="AB150:AB154"/>
    <mergeCell ref="AF150:AF154"/>
    <mergeCell ref="AG150:AG154"/>
    <mergeCell ref="A155:A159"/>
    <mergeCell ref="B155:B159"/>
    <mergeCell ref="J155:J159"/>
    <mergeCell ref="K155:K159"/>
    <mergeCell ref="L155:L159"/>
    <mergeCell ref="M155:M159"/>
    <mergeCell ref="N155:N159"/>
    <mergeCell ref="Q155:Q159"/>
    <mergeCell ref="R155:R159"/>
    <mergeCell ref="S155:S159"/>
    <mergeCell ref="T155:T159"/>
    <mergeCell ref="V155:V159"/>
    <mergeCell ref="AB155:AB159"/>
    <mergeCell ref="AF155:AF159"/>
    <mergeCell ref="AG155:AG159"/>
    <mergeCell ref="A150:A154"/>
    <mergeCell ref="B150:B154"/>
    <mergeCell ref="J150:J154"/>
    <mergeCell ref="V165:V169"/>
    <mergeCell ref="AB165:AB169"/>
    <mergeCell ref="AF165:AF169"/>
    <mergeCell ref="AG165:AG169"/>
    <mergeCell ref="A160:A164"/>
    <mergeCell ref="B160:B164"/>
    <mergeCell ref="J160:J164"/>
    <mergeCell ref="K160:K164"/>
    <mergeCell ref="L160:L164"/>
    <mergeCell ref="M160:M164"/>
    <mergeCell ref="N160:N164"/>
    <mergeCell ref="Q160:Q164"/>
    <mergeCell ref="R160:R164"/>
    <mergeCell ref="J165:J169"/>
    <mergeCell ref="K165:K169"/>
    <mergeCell ref="L165:L169"/>
    <mergeCell ref="M165:M169"/>
    <mergeCell ref="N165:N169"/>
    <mergeCell ref="Q165:Q169"/>
    <mergeCell ref="R165:R169"/>
    <mergeCell ref="S165:S169"/>
    <mergeCell ref="T165:T169"/>
    <mergeCell ref="S170:S174"/>
    <mergeCell ref="T170:T174"/>
    <mergeCell ref="V170:V174"/>
    <mergeCell ref="AB170:AB174"/>
    <mergeCell ref="AF170:AF174"/>
    <mergeCell ref="AG170:AG174"/>
    <mergeCell ref="K13:L13"/>
    <mergeCell ref="A170:A174"/>
    <mergeCell ref="B170:B174"/>
    <mergeCell ref="J170:J174"/>
    <mergeCell ref="K170:K174"/>
    <mergeCell ref="L170:L174"/>
    <mergeCell ref="M170:M174"/>
    <mergeCell ref="N170:N174"/>
    <mergeCell ref="Q170:Q174"/>
    <mergeCell ref="R170:R174"/>
    <mergeCell ref="S160:S164"/>
    <mergeCell ref="T160:T164"/>
    <mergeCell ref="V160:V164"/>
    <mergeCell ref="AB160:AB164"/>
    <mergeCell ref="AF160:AF164"/>
    <mergeCell ref="AG160:AG164"/>
    <mergeCell ref="A165:A169"/>
    <mergeCell ref="B165:B169"/>
  </mergeCells>
  <pageMargins left="0.70866141732283472" right="0.70866141732283472" top="0.74803149606299213" bottom="0.74803149606299213" header="0.31496062992125984" footer="0.31496062992125984"/>
  <pageSetup paperSize="5" scale="18" orientation="landscape" r:id="rId1"/>
  <rowBreaks count="2" manualBreakCount="2">
    <brk id="34" max="16383" man="1"/>
    <brk id="119"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2600-000000000000}">
          <x14:formula1>
            <xm:f>'DATOS INICIALES'!$C$45:$C$46</xm:f>
          </x14:formula1>
          <xm:sqref>E15:F179</xm:sqref>
        </x14:dataValidation>
        <x14:dataValidation type="list" allowBlank="1" showInputMessage="1" showErrorMessage="1" xr:uid="{00000000-0002-0000-2600-000001000000}">
          <x14:formula1>
            <xm:f>'DATOS INICIALES'!$A$50:$A$51</xm:f>
          </x14:formula1>
          <xm:sqref>K15 T125 K125 K20 K25 K30 K35 K40 K45 K50 K55 K60 K65 K70 K75 U15:U179 M170 T170 K170 K100 K105 K110 K115 K120 M15 M20 M25 M30 M35 M40 M45 M50 M55 M60 M65 M70 M75 M80 M85 M90 M95 M100 M105 M110 M115 M120 M125 T15 T20 T25 T30 T35 T40 T45 T50 T55 T60 T65 T70 T75 T80 T85 T90 T95 T100 T105 T110 T115 T120 M175 T130 K130 M130 M165 K135 M135 T165 K140 M140 K165 K145 M145 T175 K175 M150 R15:R179 K150 K155 M155 T155 T160 K160 M160</xm:sqref>
        </x14:dataValidation>
        <x14:dataValidation type="list" allowBlank="1" showInputMessage="1" showErrorMessage="1" xr:uid="{00000000-0002-0000-2600-000002000000}">
          <x14:formula1>
            <xm:f>'DATOS INICIALES'!$C$50:$C$51</xm:f>
          </x14:formula1>
          <xm:sqref>O15:O179</xm:sqref>
        </x14:dataValidation>
        <x14:dataValidation type="list" allowBlank="1" showInputMessage="1" showErrorMessage="1" xr:uid="{00000000-0002-0000-2600-000003000000}">
          <x14:formula1>
            <xm:f>'DATOS INICIALES'!$A$50:$A$52</xm:f>
          </x14:formula1>
          <xm:sqref>U15:U179 AC15:AD179 W15:Z179</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51"/>
  <sheetViews>
    <sheetView view="pageBreakPreview" zoomScale="80" zoomScaleNormal="80" zoomScaleSheetLayoutView="80" workbookViewId="0">
      <pane ySplit="9" topLeftCell="A10" activePane="bottomLeft" state="frozenSplit"/>
      <selection pane="bottomLeft" activeCell="C4" sqref="C4:D4"/>
    </sheetView>
  </sheetViews>
  <sheetFormatPr baseColWidth="10" defaultColWidth="11.42578125" defaultRowHeight="15" x14ac:dyDescent="0.25"/>
  <cols>
    <col min="1" max="1" width="7.42578125" style="11" customWidth="1"/>
    <col min="2" max="2" width="52.7109375" customWidth="1"/>
    <col min="3" max="3" width="22.7109375" style="12" customWidth="1"/>
    <col min="4" max="5" width="23.5703125" style="68" customWidth="1"/>
    <col min="6" max="11" width="23.85546875" customWidth="1"/>
    <col min="12" max="12" width="28.5703125" customWidth="1"/>
    <col min="14" max="14" width="11.42578125" customWidth="1"/>
  </cols>
  <sheetData>
    <row r="1" spans="1:12" x14ac:dyDescent="0.25">
      <c r="A1" s="330"/>
      <c r="B1" s="330"/>
      <c r="C1" s="330"/>
      <c r="D1" s="330"/>
      <c r="E1" s="330"/>
      <c r="F1" s="330"/>
      <c r="G1" s="330"/>
      <c r="H1" s="330"/>
      <c r="I1" s="330"/>
      <c r="J1" s="330"/>
      <c r="K1" s="330"/>
      <c r="L1" s="330"/>
    </row>
    <row r="2" spans="1:12" ht="24.75" customHeight="1" x14ac:dyDescent="0.25">
      <c r="A2" s="331" t="s">
        <v>0</v>
      </c>
      <c r="B2" s="331"/>
      <c r="C2" s="331"/>
      <c r="D2" s="331"/>
      <c r="E2" s="331"/>
      <c r="F2" s="331"/>
      <c r="G2" s="331"/>
      <c r="H2" s="331"/>
      <c r="I2" s="331"/>
      <c r="J2" s="331"/>
      <c r="K2" s="331"/>
      <c r="L2" s="331"/>
    </row>
    <row r="3" spans="1:12" ht="8.4499999999999993" customHeight="1" x14ac:dyDescent="0.25">
      <c r="A3" s="330"/>
      <c r="B3" s="330"/>
      <c r="C3" s="330"/>
      <c r="D3" s="330"/>
      <c r="E3" s="330"/>
      <c r="F3" s="330"/>
      <c r="G3" s="330"/>
      <c r="H3" s="330"/>
      <c r="I3" s="330"/>
      <c r="J3" s="330"/>
      <c r="K3" s="330"/>
      <c r="L3" s="330"/>
    </row>
    <row r="4" spans="1:12" ht="73.5" customHeight="1" x14ac:dyDescent="0.25">
      <c r="A4" s="330"/>
      <c r="B4" s="330"/>
      <c r="C4" s="331" t="s">
        <v>25</v>
      </c>
      <c r="D4" s="331"/>
      <c r="E4" s="74"/>
      <c r="F4" s="334" t="str">
        <f>'DATOS INICIALES'!D2</f>
        <v xml:space="preserve">“CONTRATAR POR EL SISTEMA DE PRECIOS UNITARIOS A MONTO AGOTABLE EL DIAGNÓSTICO, MANTENIMIENTO CORRECTIVO Y PREVENTIVO, SUMINISTRO E INSTALACION DE MOBILIARIO DE LOS PARQUES DE PROXIMIDAD (VECINALES Y DE BOLSILLO) PRIORIZADOS EN LA LOCALIDAD DE KENNEDY”.  </v>
      </c>
      <c r="G4" s="334"/>
      <c r="H4" s="334"/>
      <c r="I4" s="334"/>
      <c r="J4" s="334"/>
      <c r="K4" s="334"/>
      <c r="L4" s="334"/>
    </row>
    <row r="5" spans="1:12" ht="55.5" customHeight="1" x14ac:dyDescent="0.25">
      <c r="A5" s="330"/>
      <c r="B5" s="330"/>
      <c r="C5" s="331" t="s">
        <v>26</v>
      </c>
      <c r="D5" s="331"/>
      <c r="E5" s="74"/>
      <c r="F5" s="377" t="str">
        <f>'DATOS INICIALES'!G4</f>
        <v>FDLK-LP-013-20234</v>
      </c>
      <c r="G5" s="377"/>
      <c r="H5" s="377"/>
      <c r="I5" s="377"/>
      <c r="J5" s="377"/>
      <c r="K5" s="377"/>
      <c r="L5" s="16">
        <f>'DATOS INICIALES'!C5</f>
        <v>2851556145</v>
      </c>
    </row>
    <row r="6" spans="1:12" ht="7.5" customHeight="1" x14ac:dyDescent="0.25">
      <c r="A6" s="378"/>
      <c r="B6" s="379"/>
      <c r="C6" s="379"/>
      <c r="D6" s="379"/>
      <c r="E6" s="379"/>
      <c r="F6" s="379"/>
      <c r="G6" s="379"/>
      <c r="H6" s="379"/>
      <c r="I6" s="379"/>
      <c r="J6" s="379"/>
      <c r="K6" s="379"/>
      <c r="L6" s="380"/>
    </row>
    <row r="7" spans="1:12" ht="21.75" customHeight="1" x14ac:dyDescent="0.25">
      <c r="A7" s="331" t="str">
        <f>CONCATENATE("RESUMEN DE EVALUACIÓN PUNTAJE - ",'DATOS INICIALES'!G4)</f>
        <v>RESUMEN DE EVALUACIÓN PUNTAJE - FDLK-LP-013-20234</v>
      </c>
      <c r="B7" s="331"/>
      <c r="C7" s="331"/>
      <c r="D7" s="331"/>
      <c r="E7" s="331"/>
      <c r="F7" s="331"/>
      <c r="G7" s="331"/>
      <c r="H7" s="331"/>
      <c r="I7" s="331"/>
      <c r="J7" s="331"/>
      <c r="K7" s="331"/>
      <c r="L7" s="331"/>
    </row>
    <row r="8" spans="1:12" ht="8.25" customHeight="1" x14ac:dyDescent="0.25">
      <c r="A8" s="378"/>
      <c r="B8" s="379"/>
      <c r="C8" s="379"/>
      <c r="D8" s="379"/>
      <c r="E8" s="379"/>
      <c r="F8" s="379"/>
      <c r="G8" s="379"/>
      <c r="H8" s="379"/>
      <c r="I8" s="379"/>
      <c r="J8" s="379"/>
      <c r="K8" s="379"/>
      <c r="L8" s="380"/>
    </row>
    <row r="9" spans="1:12" s="3" customFormat="1" ht="75" customHeight="1" x14ac:dyDescent="0.25">
      <c r="A9" s="35" t="s">
        <v>81</v>
      </c>
      <c r="B9" s="35" t="s">
        <v>27</v>
      </c>
      <c r="C9" s="35" t="s">
        <v>126</v>
      </c>
      <c r="D9" s="35" t="s">
        <v>124</v>
      </c>
      <c r="E9" s="35" t="s">
        <v>180</v>
      </c>
      <c r="F9" s="35" t="s">
        <v>125</v>
      </c>
      <c r="G9" s="35" t="s">
        <v>110</v>
      </c>
      <c r="H9" s="35" t="s">
        <v>183</v>
      </c>
      <c r="I9" s="35" t="s">
        <v>190</v>
      </c>
      <c r="J9" s="35" t="s">
        <v>127</v>
      </c>
      <c r="K9" s="35" t="s">
        <v>128</v>
      </c>
      <c r="L9" s="35" t="s">
        <v>129</v>
      </c>
    </row>
    <row r="10" spans="1:12" ht="6.75" customHeight="1" x14ac:dyDescent="0.25">
      <c r="D10"/>
      <c r="E10"/>
    </row>
    <row r="11" spans="1:12" ht="23.25" customHeight="1" x14ac:dyDescent="0.25">
      <c r="A11" s="34">
        <v>1</v>
      </c>
      <c r="B11" s="14" t="str">
        <f>+PROPONENTES!B10</f>
        <v>CONSORCIO ARQING</v>
      </c>
      <c r="C11" s="15" t="str">
        <f>CONSOLIDADO!I11</f>
        <v>INHABILITADO</v>
      </c>
      <c r="D11" s="33" t="str">
        <f>IF(C11="HABILITADO",VLOOKUP(B11,PUNTAJE!$B$15:$AF$179,16,FALSE),"INHABILITADO")</f>
        <v>INHABILITADO</v>
      </c>
      <c r="E11" s="33" t="str">
        <f>IF(C11="HABILITADO",VLOOKUP(B11,PUNTAJE!$B$15:$AF$179,18,FALSE),"INHABILITADO")</f>
        <v>INHABILITADO</v>
      </c>
      <c r="F11" s="36" t="str">
        <f>IF(C11="HABILITADO",VLOOKUP(B11,PUNTAJE!$B$15:$AF$179,21,FALSE),"INHABILITADO")</f>
        <v>INHABILITADO</v>
      </c>
      <c r="G11" s="24" t="str">
        <f>IF(C11="HABILITADO",VLOOKUP(B11,PUNTAJE!$B$15:$AF$179,9,FALSE),"INHABILITADO")</f>
        <v>INHABILITADO</v>
      </c>
      <c r="H11" s="24" t="str">
        <f>IF(C11="HABILITADO",VLOOKUP(B11,PUNTAJE!$B$15:$AF$179,27,FALSE),"INHABILITADO")</f>
        <v>INHABILITADO</v>
      </c>
      <c r="I11" s="24" t="str">
        <f>IF(C11="HABILITADO",VLOOKUP(B11,PUNTAJE!$B$15:$AF$179,31,FALSE),"INHABILITADO")</f>
        <v>INHABILITADO</v>
      </c>
      <c r="J11" s="70"/>
      <c r="K11" s="69" t="str">
        <f>IFERROR(J11+G11+F11+D11+E11+H11+I11,"0")</f>
        <v>0</v>
      </c>
      <c r="L11" s="15" t="e">
        <f>RANK(K11,$K$11:$K$43,0)</f>
        <v>#N/A</v>
      </c>
    </row>
    <row r="12" spans="1:12" ht="23.25" customHeight="1" x14ac:dyDescent="0.25">
      <c r="A12" s="34">
        <v>2</v>
      </c>
      <c r="B12" s="14" t="str">
        <f>+PROPONENTES!B11</f>
        <v xml:space="preserve">CONSORCIO COMPLEJO DEPORTIVO CUBAGO	</v>
      </c>
      <c r="C12" s="15" t="str">
        <f>CONSOLIDADO!I12</f>
        <v>HABILITADO</v>
      </c>
      <c r="D12" s="33">
        <f>IF(C12="HABILITADO",VLOOKUP(B12,PUNTAJE!$B$15:$AF$179,16,FALSE),"INHABILITADO")</f>
        <v>10</v>
      </c>
      <c r="E12" s="33">
        <f>IF(C12="HABILITADO",VLOOKUP(B12,PUNTAJE!$B$15:$AF$179,18,FALSE),"INHABILITADO")</f>
        <v>0</v>
      </c>
      <c r="F12" s="36">
        <f>IF(C12="HABILITADO",VLOOKUP(B12,PUNTAJE!$B$15:$AF$179,21,FALSE),"INHABILITADO")</f>
        <v>20</v>
      </c>
      <c r="G12" s="24">
        <f>IF(C12="HABILITADO",VLOOKUP(B12,PUNTAJE!$B$15:$AF$179,9,FALSE),"INHABILITADO")</f>
        <v>1</v>
      </c>
      <c r="H12" s="24">
        <f>IF(C12="HABILITADO",VLOOKUP(B12,PUNTAJE!$B$15:$AF$179,27,FALSE),"INHABILITADO")</f>
        <v>0.25</v>
      </c>
      <c r="I12" s="24">
        <f>IF(C12="HABILITADO",VLOOKUP(B12,PUNTAJE!$B$15:$AF$179,31,FALSE),"INHABILITADO")</f>
        <v>0.25</v>
      </c>
      <c r="J12" s="71"/>
      <c r="K12" s="69">
        <f t="shared" ref="K12:K43" si="0">IFERROR(J12+G12+F12+D12+E12+H12+I12,"0")</f>
        <v>31.5</v>
      </c>
      <c r="L12" s="15">
        <f t="shared" ref="L12:L43" si="1">RANK(K12,$K$11:$K$43,0)</f>
        <v>25</v>
      </c>
    </row>
    <row r="13" spans="1:12" ht="23.25" customHeight="1" x14ac:dyDescent="0.25">
      <c r="A13" s="34">
        <v>3</v>
      </c>
      <c r="B13" s="14" t="str">
        <f>+PROPONENTES!B12</f>
        <v>CONSORCIO PARQUES KENNEDY 2024</v>
      </c>
      <c r="C13" s="15" t="str">
        <f>CONSOLIDADO!I13</f>
        <v>HABILITADO</v>
      </c>
      <c r="D13" s="33">
        <f>IF(C13="HABILITADO",VLOOKUP(B13,PUNTAJE!$B$15:$AF$179,16,FALSE),"INHABILITADO")</f>
        <v>10</v>
      </c>
      <c r="E13" s="33">
        <f>IF(C13="HABILITADO",VLOOKUP(B13,PUNTAJE!$B$15:$AF$179,18,FALSE),"INHABILITADO")</f>
        <v>9</v>
      </c>
      <c r="F13" s="36">
        <f>IF(C13="HABILITADO",VLOOKUP(B13,PUNTAJE!$B$15:$AF$179,21,FALSE),"INHABILITADO")</f>
        <v>20</v>
      </c>
      <c r="G13" s="24">
        <f>IF(C13="HABILITADO",VLOOKUP(B13,PUNTAJE!$B$15:$AF$179,9,FALSE),"INHABILITADO")</f>
        <v>1</v>
      </c>
      <c r="H13" s="24">
        <f>IF(C13="HABILITADO",VLOOKUP(B13,PUNTAJE!$B$15:$AF$179,27,FALSE),"INHABILITADO")</f>
        <v>0.25</v>
      </c>
      <c r="I13" s="24">
        <f>IF(C13="HABILITADO",VLOOKUP(B13,PUNTAJE!$B$15:$AF$179,31,FALSE),"INHABILITADO")</f>
        <v>0.25</v>
      </c>
      <c r="J13" s="71"/>
      <c r="K13" s="69">
        <f t="shared" si="0"/>
        <v>40.5</v>
      </c>
      <c r="L13" s="15">
        <f t="shared" si="1"/>
        <v>1</v>
      </c>
    </row>
    <row r="14" spans="1:12" ht="23.25" customHeight="1" x14ac:dyDescent="0.25">
      <c r="A14" s="34">
        <v>4</v>
      </c>
      <c r="B14" s="14" t="str">
        <f>+PROPONENTES!B13</f>
        <v>MLG INGENIERIA SAS</v>
      </c>
      <c r="C14" s="15" t="str">
        <f>CONSOLIDADO!I14</f>
        <v>HABILITADO</v>
      </c>
      <c r="D14" s="33">
        <f>IF(C14="HABILITADO",VLOOKUP(B14,PUNTAJE!$B$15:$AF$179,16,FALSE),"INHABILITADO")</f>
        <v>10</v>
      </c>
      <c r="E14" s="33">
        <f>IF(C14="HABILITADO",VLOOKUP(B14,PUNTAJE!$B$15:$AF$179,18,FALSE),"INHABILITADO")</f>
        <v>9</v>
      </c>
      <c r="F14" s="36">
        <f>IF(C14="HABILITADO",VLOOKUP(B14,PUNTAJE!$B$15:$AF$179,21,FALSE),"INHABILITADO")</f>
        <v>20</v>
      </c>
      <c r="G14" s="24">
        <f>IF(C14="HABILITADO",VLOOKUP(B14,PUNTAJE!$B$15:$AF$179,9,FALSE),"INHABILITADO")</f>
        <v>1</v>
      </c>
      <c r="H14" s="24">
        <f>IF(C14="HABILITADO",VLOOKUP(B14,PUNTAJE!$B$15:$AF$179,27,FALSE),"INHABILITADO")</f>
        <v>0.25</v>
      </c>
      <c r="I14" s="24">
        <f>IF(C14="HABILITADO",VLOOKUP(B14,PUNTAJE!$B$15:$AF$179,31,FALSE),"INHABILITADO")</f>
        <v>0.25</v>
      </c>
      <c r="J14" s="71"/>
      <c r="K14" s="69">
        <f t="shared" si="0"/>
        <v>40.5</v>
      </c>
      <c r="L14" s="15">
        <f t="shared" si="1"/>
        <v>1</v>
      </c>
    </row>
    <row r="15" spans="1:12" ht="23.25" customHeight="1" x14ac:dyDescent="0.25">
      <c r="A15" s="34">
        <v>5</v>
      </c>
      <c r="B15" s="14" t="str">
        <f>+PROPONENTES!B14</f>
        <v>CONSORCIO PARQUES KENNEDY DP 2024</v>
      </c>
      <c r="C15" s="15" t="str">
        <f>CONSOLIDADO!I15</f>
        <v>INHABILITADO</v>
      </c>
      <c r="D15" s="33" t="str">
        <f>IF(C15="HABILITADO",VLOOKUP(B15,PUNTAJE!$B$15:$AF$179,16,FALSE),"INHABILITADO")</f>
        <v>INHABILITADO</v>
      </c>
      <c r="E15" s="33" t="str">
        <f>IF(C15="HABILITADO",VLOOKUP(B15,PUNTAJE!$B$15:$AF$179,18,FALSE),"INHABILITADO")</f>
        <v>INHABILITADO</v>
      </c>
      <c r="F15" s="36" t="str">
        <f>IF(C15="HABILITADO",VLOOKUP(B15,PUNTAJE!$B$15:$AF$179,21,FALSE),"INHABILITADO")</f>
        <v>INHABILITADO</v>
      </c>
      <c r="G15" s="24" t="str">
        <f>IF(C15="HABILITADO",VLOOKUP(B15,PUNTAJE!$B$15:$AF$179,9,FALSE),"INHABILITADO")</f>
        <v>INHABILITADO</v>
      </c>
      <c r="H15" s="24" t="str">
        <f>IF(C15="HABILITADO",VLOOKUP(B15,PUNTAJE!$B$15:$AF$179,27,FALSE),"INHABILITADO")</f>
        <v>INHABILITADO</v>
      </c>
      <c r="I15" s="24" t="str">
        <f>IF(C15="HABILITADO",VLOOKUP(B15,PUNTAJE!$B$15:$AF$179,31,FALSE),"INHABILITADO")</f>
        <v>INHABILITADO</v>
      </c>
      <c r="J15" s="71"/>
      <c r="K15" s="69" t="str">
        <f t="shared" si="0"/>
        <v>0</v>
      </c>
      <c r="L15" s="15" t="e">
        <f t="shared" si="1"/>
        <v>#N/A</v>
      </c>
    </row>
    <row r="16" spans="1:12" ht="23.25" customHeight="1" x14ac:dyDescent="0.25">
      <c r="A16" s="34">
        <v>6</v>
      </c>
      <c r="B16" s="14" t="str">
        <f>+PROPONENTES!B15</f>
        <v>CONSORCIO PARQUES KENNEDY 2024 - 1</v>
      </c>
      <c r="C16" s="15" t="str">
        <f>CONSOLIDADO!I16</f>
        <v>HABILITADO</v>
      </c>
      <c r="D16" s="33">
        <f>IF(C16="HABILITADO",VLOOKUP(B16,PUNTAJE!$B$15:$AF$179,16,FALSE),"INHABILITADO")</f>
        <v>10</v>
      </c>
      <c r="E16" s="33">
        <f>IF(C16="HABILITADO",VLOOKUP(B16,PUNTAJE!$B$15:$AF$179,18,FALSE),"INHABILITADO")</f>
        <v>9</v>
      </c>
      <c r="F16" s="36">
        <f>IF(C16="HABILITADO",VLOOKUP(B16,PUNTAJE!$B$15:$AF$179,21,FALSE),"INHABILITADO")</f>
        <v>20</v>
      </c>
      <c r="G16" s="24">
        <f>IF(C16="HABILITADO",VLOOKUP(B16,PUNTAJE!$B$15:$AF$179,9,FALSE),"INHABILITADO")</f>
        <v>1</v>
      </c>
      <c r="H16" s="24">
        <f>IF(C16="HABILITADO",VLOOKUP(B16,PUNTAJE!$B$15:$AF$179,27,FALSE),"INHABILITADO")</f>
        <v>0.25</v>
      </c>
      <c r="I16" s="24">
        <f>IF(C16="HABILITADO",VLOOKUP(B16,PUNTAJE!$B$15:$AF$179,31,FALSE),"INHABILITADO")</f>
        <v>0.25</v>
      </c>
      <c r="J16" s="71"/>
      <c r="K16" s="69">
        <f t="shared" si="0"/>
        <v>40.5</v>
      </c>
      <c r="L16" s="15">
        <f t="shared" si="1"/>
        <v>1</v>
      </c>
    </row>
    <row r="17" spans="1:12" ht="23.25" customHeight="1" x14ac:dyDescent="0.25">
      <c r="A17" s="34">
        <v>7</v>
      </c>
      <c r="B17" s="14" t="str">
        <f>+PROPONENTES!B16</f>
        <v>RETIN INGENIERIA S.A.S.</v>
      </c>
      <c r="C17" s="15" t="str">
        <f>CONSOLIDADO!I17</f>
        <v>HABILITADO</v>
      </c>
      <c r="D17" s="33">
        <f>IF(C17="HABILITADO",VLOOKUP(B17,PUNTAJE!$B$15:$AF$179,16,FALSE),"INHABILITADO")</f>
        <v>10</v>
      </c>
      <c r="E17" s="33">
        <f>IF(C17="HABILITADO",VLOOKUP(B17,PUNTAJE!$B$15:$AF$179,18,FALSE),"INHABILITADO")</f>
        <v>9</v>
      </c>
      <c r="F17" s="36">
        <f>IF(C17="HABILITADO",VLOOKUP(B17,PUNTAJE!$B$15:$AF$179,21,FALSE),"INHABILITADO")</f>
        <v>20</v>
      </c>
      <c r="G17" s="24">
        <f>IF(C17="HABILITADO",VLOOKUP(B17,PUNTAJE!$B$15:$AF$179,9,FALSE),"INHABILITADO")</f>
        <v>1</v>
      </c>
      <c r="H17" s="24">
        <f>IF(C17="HABILITADO",VLOOKUP(B17,PUNTAJE!$B$15:$AF$179,27,FALSE),"INHABILITADO")</f>
        <v>0.25</v>
      </c>
      <c r="I17" s="24">
        <f>IF(C17="HABILITADO",VLOOKUP(B17,PUNTAJE!$B$15:$AF$179,31,FALSE),"INHABILITADO")</f>
        <v>0.25</v>
      </c>
      <c r="J17" s="71"/>
      <c r="K17" s="69">
        <f t="shared" si="0"/>
        <v>40.5</v>
      </c>
      <c r="L17" s="15">
        <f t="shared" si="1"/>
        <v>1</v>
      </c>
    </row>
    <row r="18" spans="1:12" ht="23.25" customHeight="1" x14ac:dyDescent="0.25">
      <c r="A18" s="34">
        <v>8</v>
      </c>
      <c r="B18" s="14" t="str">
        <f>+PROPONENTES!B17</f>
        <v>UNION TEMPORAL PARQUES DJ13</v>
      </c>
      <c r="C18" s="15" t="str">
        <f>CONSOLIDADO!I18</f>
        <v>HABILITADO</v>
      </c>
      <c r="D18" s="33">
        <f>IF(C18="HABILITADO",VLOOKUP(B18,PUNTAJE!$B$15:$AF$179,16,FALSE),"INHABILITADO")</f>
        <v>10</v>
      </c>
      <c r="E18" s="33">
        <f>IF(C18="HABILITADO",VLOOKUP(B18,PUNTAJE!$B$15:$AF$179,18,FALSE),"INHABILITADO")</f>
        <v>9</v>
      </c>
      <c r="F18" s="36">
        <f>IF(C18="HABILITADO",VLOOKUP(B18,PUNTAJE!$B$15:$AF$179,21,FALSE),"INHABILITADO")</f>
        <v>20</v>
      </c>
      <c r="G18" s="24">
        <f>IF(C18="HABILITADO",VLOOKUP(B18,PUNTAJE!$B$15:$AF$179,9,FALSE),"INHABILITADO")</f>
        <v>1</v>
      </c>
      <c r="H18" s="24">
        <f>IF(C18="HABILITADO",VLOOKUP(B18,PUNTAJE!$B$15:$AF$179,27,FALSE),"INHABILITADO")</f>
        <v>0.25</v>
      </c>
      <c r="I18" s="24">
        <f>IF(C18="HABILITADO",VLOOKUP(B18,PUNTAJE!$B$15:$AF$179,31,FALSE),"INHABILITADO")</f>
        <v>0.25</v>
      </c>
      <c r="J18" s="71"/>
      <c r="K18" s="69">
        <f t="shared" si="0"/>
        <v>40.5</v>
      </c>
      <c r="L18" s="15">
        <f t="shared" si="1"/>
        <v>1</v>
      </c>
    </row>
    <row r="19" spans="1:12" ht="23.25" customHeight="1" x14ac:dyDescent="0.25">
      <c r="A19" s="34">
        <v>9</v>
      </c>
      <c r="B19" s="14" t="str">
        <f>+PROPONENTES!B18</f>
        <v xml:space="preserve">CONSORCIO PARQUES CHM 2024	</v>
      </c>
      <c r="C19" s="15" t="str">
        <f>CONSOLIDADO!I19</f>
        <v>HABILITADO</v>
      </c>
      <c r="D19" s="33">
        <f>IF(C19="HABILITADO",VLOOKUP(B19,PUNTAJE!$B$15:$AF$179,16,FALSE),"INHABILITADO")</f>
        <v>10</v>
      </c>
      <c r="E19" s="33">
        <f>IF(C19="HABILITADO",VLOOKUP(B19,PUNTAJE!$B$15:$AF$179,18,FALSE),"INHABILITADO")</f>
        <v>9</v>
      </c>
      <c r="F19" s="36">
        <f>IF(C19="HABILITADO",VLOOKUP(B19,PUNTAJE!$B$15:$AF$179,21,FALSE),"INHABILITADO")</f>
        <v>20</v>
      </c>
      <c r="G19" s="24">
        <f>IF(C19="HABILITADO",VLOOKUP(B19,PUNTAJE!$B$15:$AF$179,9,FALSE),"INHABILITADO")</f>
        <v>1</v>
      </c>
      <c r="H19" s="24">
        <f>IF(C19="HABILITADO",VLOOKUP(B19,PUNTAJE!$B$15:$AF$179,27,FALSE),"INHABILITADO")</f>
        <v>0.25</v>
      </c>
      <c r="I19" s="24">
        <f>IF(C19="HABILITADO",VLOOKUP(B19,PUNTAJE!$B$15:$AF$179,31,FALSE),"INHABILITADO")</f>
        <v>0.25</v>
      </c>
      <c r="J19" s="71"/>
      <c r="K19" s="69">
        <f t="shared" si="0"/>
        <v>40.5</v>
      </c>
      <c r="L19" s="15">
        <f t="shared" si="1"/>
        <v>1</v>
      </c>
    </row>
    <row r="20" spans="1:12" ht="23.25" customHeight="1" x14ac:dyDescent="0.25">
      <c r="A20" s="34">
        <v>10</v>
      </c>
      <c r="B20" s="14" t="str">
        <f>+PROPONENTES!B19</f>
        <v xml:space="preserve">CONSORCIO KENNEDY 013 2024	</v>
      </c>
      <c r="C20" s="15" t="str">
        <f>CONSOLIDADO!I20</f>
        <v>HABILITADO</v>
      </c>
      <c r="D20" s="33">
        <f>IF(C20="HABILITADO",VLOOKUP(B20,PUNTAJE!$B$15:$AF$179,16,FALSE),"INHABILITADO")</f>
        <v>10</v>
      </c>
      <c r="E20" s="33">
        <f>IF(C20="HABILITADO",VLOOKUP(B20,PUNTAJE!$B$15:$AF$179,18,FALSE),"INHABILITADO")</f>
        <v>9</v>
      </c>
      <c r="F20" s="36">
        <f>IF(C20="HABILITADO",VLOOKUP(B20,PUNTAJE!$B$15:$AF$179,21,FALSE),"INHABILITADO")</f>
        <v>20</v>
      </c>
      <c r="G20" s="24">
        <f>IF(C20="HABILITADO",VLOOKUP(B20,PUNTAJE!$B$15:$AF$179,9,FALSE),"INHABILITADO")</f>
        <v>1</v>
      </c>
      <c r="H20" s="24">
        <f>IF(C20="HABILITADO",VLOOKUP(B20,PUNTAJE!$B$15:$AF$179,27,FALSE),"INHABILITADO")</f>
        <v>0.25</v>
      </c>
      <c r="I20" s="24">
        <f>IF(C20="HABILITADO",VLOOKUP(B20,PUNTAJE!$B$15:$AF$179,31,FALSE),"INHABILITADO")</f>
        <v>0.25</v>
      </c>
      <c r="J20" s="71"/>
      <c r="K20" s="69">
        <f t="shared" si="0"/>
        <v>40.5</v>
      </c>
      <c r="L20" s="15">
        <f t="shared" si="1"/>
        <v>1</v>
      </c>
    </row>
    <row r="21" spans="1:12" ht="23.25" customHeight="1" x14ac:dyDescent="0.25">
      <c r="A21" s="34">
        <v>11</v>
      </c>
      <c r="B21" s="14" t="str">
        <f>+PROPONENTES!B20</f>
        <v>CONSORCIO PARQUES KD E&amp;E 2024</v>
      </c>
      <c r="C21" s="15" t="str">
        <f>CONSOLIDADO!I21</f>
        <v>HABILITADO</v>
      </c>
      <c r="D21" s="33">
        <f>IF(C21="HABILITADO",VLOOKUP(B21,PUNTAJE!$B$15:$AF$179,16,FALSE),"INHABILITADO")</f>
        <v>10</v>
      </c>
      <c r="E21" s="33">
        <f>IF(C21="HABILITADO",VLOOKUP(B21,PUNTAJE!$B$15:$AF$179,18,FALSE),"INHABILITADO")</f>
        <v>9</v>
      </c>
      <c r="F21" s="36">
        <f>IF(C21="HABILITADO",VLOOKUP(B21,PUNTAJE!$B$15:$AF$179,21,FALSE),"INHABILITADO")</f>
        <v>20</v>
      </c>
      <c r="G21" s="24">
        <f>IF(C21="HABILITADO",VLOOKUP(B21,PUNTAJE!$B$15:$AF$179,9,FALSE),"INHABILITADO")</f>
        <v>1</v>
      </c>
      <c r="H21" s="24">
        <f>IF(C21="HABILITADO",VLOOKUP(B21,PUNTAJE!$B$15:$AF$179,27,FALSE),"INHABILITADO")</f>
        <v>0.25</v>
      </c>
      <c r="I21" s="24">
        <f>IF(C21="HABILITADO",VLOOKUP(B21,PUNTAJE!$B$15:$AF$179,31,FALSE),"INHABILITADO")</f>
        <v>0.25</v>
      </c>
      <c r="J21" s="71"/>
      <c r="K21" s="69">
        <f t="shared" si="0"/>
        <v>40.5</v>
      </c>
      <c r="L21" s="15">
        <f t="shared" si="1"/>
        <v>1</v>
      </c>
    </row>
    <row r="22" spans="1:12" ht="23.25" customHeight="1" x14ac:dyDescent="0.25">
      <c r="A22" s="34">
        <v>12</v>
      </c>
      <c r="B22" s="14" t="str">
        <f>+PROPONENTES!B21</f>
        <v>CONSORCIO RC-B - FDLK-LP-013-2024</v>
      </c>
      <c r="C22" s="15" t="str">
        <f>CONSOLIDADO!I22</f>
        <v>HABILITADO</v>
      </c>
      <c r="D22" s="33">
        <f>IF(C22="HABILITADO",VLOOKUP(B22,PUNTAJE!$B$15:$AF$179,16,FALSE),"INHABILITADO")</f>
        <v>10</v>
      </c>
      <c r="E22" s="33">
        <f>IF(C22="HABILITADO",VLOOKUP(B22,PUNTAJE!$B$15:$AF$179,18,FALSE),"INHABILITADO")</f>
        <v>9</v>
      </c>
      <c r="F22" s="36">
        <f>IF(C22="HABILITADO",VLOOKUP(B22,PUNTAJE!$B$15:$AF$179,21,FALSE),"INHABILITADO")</f>
        <v>20</v>
      </c>
      <c r="G22" s="24">
        <f>IF(C22="HABILITADO",VLOOKUP(B22,PUNTAJE!$B$15:$AF$179,9,FALSE),"INHABILITADO")</f>
        <v>1</v>
      </c>
      <c r="H22" s="24">
        <f>IF(C22="HABILITADO",VLOOKUP(B22,PUNTAJE!$B$15:$AF$179,27,FALSE),"INHABILITADO")</f>
        <v>0.25</v>
      </c>
      <c r="I22" s="24">
        <f>IF(C22="HABILITADO",VLOOKUP(B22,PUNTAJE!$B$15:$AF$179,31,FALSE),"INHABILITADO")</f>
        <v>0.25</v>
      </c>
      <c r="J22" s="71"/>
      <c r="K22" s="69">
        <f t="shared" si="0"/>
        <v>40.5</v>
      </c>
      <c r="L22" s="15">
        <f t="shared" si="1"/>
        <v>1</v>
      </c>
    </row>
    <row r="23" spans="1:12" ht="23.25" customHeight="1" x14ac:dyDescent="0.25">
      <c r="A23" s="34">
        <v>13</v>
      </c>
      <c r="B23" s="14" t="str">
        <f>+PROPONENTES!B22</f>
        <v>CONSORCIO KENNEPARK BQ 2024</v>
      </c>
      <c r="C23" s="15" t="str">
        <f>CONSOLIDADO!I23</f>
        <v>HABILITADO</v>
      </c>
      <c r="D23" s="33">
        <f>IF(C23="HABILITADO",VLOOKUP(B23,PUNTAJE!$B$15:$AF$179,16,FALSE),"INHABILITADO")</f>
        <v>10</v>
      </c>
      <c r="E23" s="33">
        <f>IF(C23="HABILITADO",VLOOKUP(B23,PUNTAJE!$B$15:$AF$179,18,FALSE),"INHABILITADO")</f>
        <v>9</v>
      </c>
      <c r="F23" s="36">
        <f>IF(C23="HABILITADO",VLOOKUP(B23,PUNTAJE!$B$15:$AF$179,21,FALSE),"INHABILITADO")</f>
        <v>20</v>
      </c>
      <c r="G23" s="24">
        <f>IF(C23="HABILITADO",VLOOKUP(B23,PUNTAJE!$B$15:$AF$179,9,FALSE),"INHABILITADO")</f>
        <v>1</v>
      </c>
      <c r="H23" s="24">
        <f>IF(C23="HABILITADO",VLOOKUP(B23,PUNTAJE!$B$15:$AF$179,27,FALSE),"INHABILITADO")</f>
        <v>0.25</v>
      </c>
      <c r="I23" s="24">
        <f>IF(C23="HABILITADO",VLOOKUP(B23,PUNTAJE!$B$15:$AF$179,31,FALSE),"INHABILITADO")</f>
        <v>0.25</v>
      </c>
      <c r="J23" s="71"/>
      <c r="K23" s="69">
        <f t="shared" si="0"/>
        <v>40.5</v>
      </c>
      <c r="L23" s="15">
        <f t="shared" si="1"/>
        <v>1</v>
      </c>
    </row>
    <row r="24" spans="1:12" ht="23.25" customHeight="1" x14ac:dyDescent="0.25">
      <c r="A24" s="34">
        <v>14</v>
      </c>
      <c r="B24" s="14" t="str">
        <f>+PROPONENTES!B23</f>
        <v>CONSORCIO PARQUES ARM 2024</v>
      </c>
      <c r="C24" s="15" t="str">
        <f>CONSOLIDADO!I24</f>
        <v>HABILITADO</v>
      </c>
      <c r="D24" s="33">
        <f>IF(C24="HABILITADO",VLOOKUP(B24,PUNTAJE!$B$15:$AF$179,16,FALSE),"INHABILITADO")</f>
        <v>10</v>
      </c>
      <c r="E24" s="33">
        <f>IF(C24="HABILITADO",VLOOKUP(B24,PUNTAJE!$B$15:$AF$179,18,FALSE),"INHABILITADO")</f>
        <v>9</v>
      </c>
      <c r="F24" s="36">
        <f>IF(C24="HABILITADO",VLOOKUP(B24,PUNTAJE!$B$15:$AF$179,21,FALSE),"INHABILITADO")</f>
        <v>20</v>
      </c>
      <c r="G24" s="24">
        <f>IF(C24="HABILITADO",VLOOKUP(B24,PUNTAJE!$B$15:$AF$179,9,FALSE),"INHABILITADO")</f>
        <v>1</v>
      </c>
      <c r="H24" s="24">
        <f>IF(C24="HABILITADO",VLOOKUP(B24,PUNTAJE!$B$15:$AF$179,27,FALSE),"INHABILITADO")</f>
        <v>0.25</v>
      </c>
      <c r="I24" s="24">
        <f>IF(C24="HABILITADO",VLOOKUP(B24,PUNTAJE!$B$15:$AF$179,31,FALSE),"INHABILITADO")</f>
        <v>0.25</v>
      </c>
      <c r="J24" s="71"/>
      <c r="K24" s="69">
        <f t="shared" si="0"/>
        <v>40.5</v>
      </c>
      <c r="L24" s="15">
        <f t="shared" si="1"/>
        <v>1</v>
      </c>
    </row>
    <row r="25" spans="1:12" ht="23.25" customHeight="1" x14ac:dyDescent="0.25">
      <c r="A25" s="34">
        <v>15</v>
      </c>
      <c r="B25" s="14" t="str">
        <f>+PROPONENTES!B24</f>
        <v>CONSORCIO MANTENIMIENTO PARKS</v>
      </c>
      <c r="C25" s="15" t="str">
        <f>CONSOLIDADO!I25</f>
        <v>HABILITADO</v>
      </c>
      <c r="D25" s="33">
        <f>IF(C25="HABILITADO",VLOOKUP(B25,PUNTAJE!$B$15:$AF$179,16,FALSE),"INHABILITADO")</f>
        <v>10</v>
      </c>
      <c r="E25" s="33">
        <f>IF(C25="HABILITADO",VLOOKUP(B25,PUNTAJE!$B$15:$AF$179,18,FALSE),"INHABILITADO")</f>
        <v>9</v>
      </c>
      <c r="F25" s="36">
        <f>IF(C25="HABILITADO",VLOOKUP(B25,PUNTAJE!$B$15:$AF$179,21,FALSE),"INHABILITADO")</f>
        <v>20</v>
      </c>
      <c r="G25" s="24">
        <f>IF(C25="HABILITADO",VLOOKUP(B25,PUNTAJE!$B$15:$AF$179,9,FALSE),"INHABILITADO")</f>
        <v>1</v>
      </c>
      <c r="H25" s="24">
        <f>IF(C25="HABILITADO",VLOOKUP(B25,PUNTAJE!$B$15:$AF$179,27,FALSE),"INHABILITADO")</f>
        <v>0.25</v>
      </c>
      <c r="I25" s="24">
        <f>IF(C25="HABILITADO",VLOOKUP(B25,PUNTAJE!$B$15:$AF$179,31,FALSE),"INHABILITADO")</f>
        <v>0.25</v>
      </c>
      <c r="J25" s="71"/>
      <c r="K25" s="69">
        <f t="shared" si="0"/>
        <v>40.5</v>
      </c>
      <c r="L25" s="15">
        <f t="shared" si="1"/>
        <v>1</v>
      </c>
    </row>
    <row r="26" spans="1:12" ht="23.25" customHeight="1" x14ac:dyDescent="0.25">
      <c r="A26" s="34">
        <v>16</v>
      </c>
      <c r="B26" s="14" t="str">
        <f>+PROPONENTES!B25</f>
        <v>CONSORCIO SAN LORENZO</v>
      </c>
      <c r="C26" s="15" t="str">
        <f>CONSOLIDADO!I26</f>
        <v>HABILITADO</v>
      </c>
      <c r="D26" s="33">
        <f>IF(C26="HABILITADO",VLOOKUP(B26,PUNTAJE!$B$15:$AF$179,16,FALSE),"INHABILITADO")</f>
        <v>10</v>
      </c>
      <c r="E26" s="33">
        <f>IF(C26="HABILITADO",VLOOKUP(B26,PUNTAJE!$B$15:$AF$179,18,FALSE),"INHABILITADO")</f>
        <v>9</v>
      </c>
      <c r="F26" s="36">
        <f>IF(C26="HABILITADO",VLOOKUP(B26,PUNTAJE!$B$15:$AF$179,21,FALSE),"INHABILITADO")</f>
        <v>20</v>
      </c>
      <c r="G26" s="24">
        <f>IF(C26="HABILITADO",VLOOKUP(B26,PUNTAJE!$B$15:$AF$179,9,FALSE),"INHABILITADO")</f>
        <v>1</v>
      </c>
      <c r="H26" s="24">
        <f>IF(C26="HABILITADO",VLOOKUP(B26,PUNTAJE!$B$15:$AF$179,27,FALSE),"INHABILITADO")</f>
        <v>0.25</v>
      </c>
      <c r="I26" s="24">
        <f>IF(C26="HABILITADO",VLOOKUP(B26,PUNTAJE!$B$15:$AF$179,31,FALSE),"INHABILITADO")</f>
        <v>0.25</v>
      </c>
      <c r="J26" s="71"/>
      <c r="K26" s="69">
        <f t="shared" si="0"/>
        <v>40.5</v>
      </c>
      <c r="L26" s="15">
        <f t="shared" si="1"/>
        <v>1</v>
      </c>
    </row>
    <row r="27" spans="1:12" ht="23.25" customHeight="1" x14ac:dyDescent="0.25">
      <c r="A27" s="34">
        <v>17</v>
      </c>
      <c r="B27" s="14" t="str">
        <f>+PROPONENTES!B26</f>
        <v>CONSORCIO KENNEDY AVANZA</v>
      </c>
      <c r="C27" s="15" t="str">
        <f>CONSOLIDADO!I27</f>
        <v>INHABILITADO</v>
      </c>
      <c r="D27" s="33" t="str">
        <f>IF(C27="HABILITADO",VLOOKUP(B27,PUNTAJE!$B$15:$AF$179,16,FALSE),"INHABILITADO")</f>
        <v>INHABILITADO</v>
      </c>
      <c r="E27" s="33" t="str">
        <f>IF(C27="HABILITADO",VLOOKUP(B27,PUNTAJE!$B$15:$AF$179,18,FALSE),"INHABILITADO")</f>
        <v>INHABILITADO</v>
      </c>
      <c r="F27" s="36" t="str">
        <f>IF(C27="HABILITADO",VLOOKUP(B27,PUNTAJE!$B$15:$AF$179,21,FALSE),"INHABILITADO")</f>
        <v>INHABILITADO</v>
      </c>
      <c r="G27" s="24" t="str">
        <f>IF(C27="HABILITADO",VLOOKUP(B27,PUNTAJE!$B$15:$AF$179,9,FALSE),"INHABILITADO")</f>
        <v>INHABILITADO</v>
      </c>
      <c r="H27" s="24" t="str">
        <f>IF(C27="HABILITADO",VLOOKUP(B27,PUNTAJE!$B$15:$AF$179,27,FALSE),"INHABILITADO")</f>
        <v>INHABILITADO</v>
      </c>
      <c r="I27" s="24" t="str">
        <f>IF(C27="HABILITADO",VLOOKUP(B27,PUNTAJE!$B$15:$AF$179,31,FALSE),"INHABILITADO")</f>
        <v>INHABILITADO</v>
      </c>
      <c r="J27" s="71"/>
      <c r="K27" s="69" t="str">
        <f t="shared" si="0"/>
        <v>0</v>
      </c>
      <c r="L27" s="15" t="e">
        <f t="shared" si="1"/>
        <v>#N/A</v>
      </c>
    </row>
    <row r="28" spans="1:12" ht="23.25" customHeight="1" x14ac:dyDescent="0.25">
      <c r="A28" s="34">
        <v>18</v>
      </c>
      <c r="B28" s="14" t="str">
        <f>+PROPONENTES!B27</f>
        <v>CONSORCIO MAB KENN PARQUES</v>
      </c>
      <c r="C28" s="15" t="str">
        <f>CONSOLIDADO!I28</f>
        <v>INHABILITADO</v>
      </c>
      <c r="D28" s="33" t="str">
        <f>IF(C28="HABILITADO",VLOOKUP(B28,PUNTAJE!$B$15:$AF$179,16,FALSE),"INHABILITADO")</f>
        <v>INHABILITADO</v>
      </c>
      <c r="E28" s="33" t="str">
        <f>IF(C28="HABILITADO",VLOOKUP(B28,PUNTAJE!$B$15:$AF$179,18,FALSE),"INHABILITADO")</f>
        <v>INHABILITADO</v>
      </c>
      <c r="F28" s="36" t="str">
        <f>IF(C28="HABILITADO",VLOOKUP(B28,PUNTAJE!$B$15:$AF$179,21,FALSE),"INHABILITADO")</f>
        <v>INHABILITADO</v>
      </c>
      <c r="G28" s="24" t="str">
        <f>IF(C28="HABILITADO",VLOOKUP(B28,PUNTAJE!$B$15:$AF$179,9,FALSE),"INHABILITADO")</f>
        <v>INHABILITADO</v>
      </c>
      <c r="H28" s="24" t="str">
        <f>IF(C28="HABILITADO",VLOOKUP(B28,PUNTAJE!$B$15:$AF$179,27,FALSE),"INHABILITADO")</f>
        <v>INHABILITADO</v>
      </c>
      <c r="I28" s="24" t="str">
        <f>IF(C28="HABILITADO",VLOOKUP(B28,PUNTAJE!$B$15:$AF$179,31,FALSE),"INHABILITADO")</f>
        <v>INHABILITADO</v>
      </c>
      <c r="J28" s="71"/>
      <c r="K28" s="69" t="str">
        <f t="shared" si="0"/>
        <v>0</v>
      </c>
      <c r="L28" s="15" t="e">
        <f t="shared" si="1"/>
        <v>#N/A</v>
      </c>
    </row>
    <row r="29" spans="1:12" ht="23.25" customHeight="1" x14ac:dyDescent="0.25">
      <c r="A29" s="34">
        <v>19</v>
      </c>
      <c r="B29" s="14" t="str">
        <f>+PROPONENTES!B28</f>
        <v>PROMCIVILES S.A.S.</v>
      </c>
      <c r="C29" s="15" t="str">
        <f>CONSOLIDADO!I29</f>
        <v>HABILITADO</v>
      </c>
      <c r="D29" s="33">
        <f>IF(C29="HABILITADO",VLOOKUP(B29,PUNTAJE!$B$15:$AF$179,16,FALSE),"INHABILITADO")</f>
        <v>10</v>
      </c>
      <c r="E29" s="33">
        <f>IF(C29="HABILITADO",VLOOKUP(B29,PUNTAJE!$B$15:$AF$179,18,FALSE),"INHABILITADO")</f>
        <v>9</v>
      </c>
      <c r="F29" s="36">
        <f>IF(C29="HABILITADO",VLOOKUP(B29,PUNTAJE!$B$15:$AF$179,21,FALSE),"INHABILITADO")</f>
        <v>20</v>
      </c>
      <c r="G29" s="24">
        <f>IF(C29="HABILITADO",VLOOKUP(B29,PUNTAJE!$B$15:$AF$179,9,FALSE),"INHABILITADO")</f>
        <v>1</v>
      </c>
      <c r="H29" s="24">
        <f>IF(C29="HABILITADO",VLOOKUP(B29,PUNTAJE!$B$15:$AF$179,27,FALSE),"INHABILITADO")</f>
        <v>0.25</v>
      </c>
      <c r="I29" s="24">
        <f>IF(C29="HABILITADO",VLOOKUP(B29,PUNTAJE!$B$15:$AF$179,31,FALSE),"INHABILITADO")</f>
        <v>0.25</v>
      </c>
      <c r="J29" s="71"/>
      <c r="K29" s="69">
        <f t="shared" si="0"/>
        <v>40.5</v>
      </c>
      <c r="L29" s="15">
        <f t="shared" si="1"/>
        <v>1</v>
      </c>
    </row>
    <row r="30" spans="1:12" ht="23.25" customHeight="1" x14ac:dyDescent="0.25">
      <c r="A30" s="34">
        <v>20</v>
      </c>
      <c r="B30" s="14" t="str">
        <f>+PROPONENTES!B29</f>
        <v>UNION TEMPORAL PARQUES KENNEDY VE</v>
      </c>
      <c r="C30" s="15" t="str">
        <f>CONSOLIDADO!I30</f>
        <v>INHABILITADO</v>
      </c>
      <c r="D30" s="33" t="str">
        <f>IF(C30="HABILITADO",VLOOKUP(B30,PUNTAJE!$B$15:$AF$179,16,FALSE),"INHABILITADO")</f>
        <v>INHABILITADO</v>
      </c>
      <c r="E30" s="33" t="str">
        <f>IF(C30="HABILITADO",VLOOKUP(B30,PUNTAJE!$B$15:$AF$179,18,FALSE),"INHABILITADO")</f>
        <v>INHABILITADO</v>
      </c>
      <c r="F30" s="36" t="str">
        <f>IF(C30="HABILITADO",VLOOKUP(B30,PUNTAJE!$B$15:$AF$179,21,FALSE),"INHABILITADO")</f>
        <v>INHABILITADO</v>
      </c>
      <c r="G30" s="24" t="str">
        <f>IF(C30="HABILITADO",VLOOKUP(B30,PUNTAJE!$B$15:$AF$179,9,FALSE),"INHABILITADO")</f>
        <v>INHABILITADO</v>
      </c>
      <c r="H30" s="24" t="str">
        <f>IF(C30="HABILITADO",VLOOKUP(B30,PUNTAJE!$B$15:$AF$179,27,FALSE),"INHABILITADO")</f>
        <v>INHABILITADO</v>
      </c>
      <c r="I30" s="24" t="str">
        <f>IF(C30="HABILITADO",VLOOKUP(B30,PUNTAJE!$B$15:$AF$179,31,FALSE),"INHABILITADO")</f>
        <v>INHABILITADO</v>
      </c>
      <c r="J30" s="71"/>
      <c r="K30" s="69" t="str">
        <f t="shared" si="0"/>
        <v>0</v>
      </c>
      <c r="L30" s="15" t="e">
        <f t="shared" si="1"/>
        <v>#N/A</v>
      </c>
    </row>
    <row r="31" spans="1:12" ht="23.25" customHeight="1" x14ac:dyDescent="0.25">
      <c r="A31" s="34">
        <v>21</v>
      </c>
      <c r="B31" s="14" t="str">
        <f>+PROPONENTES!B30</f>
        <v>CONSORCIO INCITECO IP XXI</v>
      </c>
      <c r="C31" s="15" t="str">
        <f>CONSOLIDADO!I31</f>
        <v>HABILITADO</v>
      </c>
      <c r="D31" s="33">
        <f>IF(C31="HABILITADO",VLOOKUP(B31,PUNTAJE!$B$15:$AF$179,16,FALSE),"INHABILITADO")</f>
        <v>10</v>
      </c>
      <c r="E31" s="33">
        <f>IF(C31="HABILITADO",VLOOKUP(B31,PUNTAJE!$B$15:$AF$179,18,FALSE),"INHABILITADO")</f>
        <v>9</v>
      </c>
      <c r="F31" s="36">
        <f>IF(C31="HABILITADO",VLOOKUP(B31,PUNTAJE!$B$15:$AF$179,21,FALSE),"INHABILITADO")</f>
        <v>20</v>
      </c>
      <c r="G31" s="24">
        <f>IF(C31="HABILITADO",VLOOKUP(B31,PUNTAJE!$B$15:$AF$179,9,FALSE),"INHABILITADO")</f>
        <v>1</v>
      </c>
      <c r="H31" s="24">
        <f>IF(C31="HABILITADO",VLOOKUP(B31,PUNTAJE!$B$15:$AF$179,27,FALSE),"INHABILITADO")</f>
        <v>0.25</v>
      </c>
      <c r="I31" s="24">
        <f>IF(C31="HABILITADO",VLOOKUP(B31,PUNTAJE!$B$15:$AF$179,31,FALSE),"INHABILITADO")</f>
        <v>0.25</v>
      </c>
      <c r="J31" s="71"/>
      <c r="K31" s="69">
        <f t="shared" si="0"/>
        <v>40.5</v>
      </c>
      <c r="L31" s="15">
        <f t="shared" si="1"/>
        <v>1</v>
      </c>
    </row>
    <row r="32" spans="1:12" ht="23.25" customHeight="1" x14ac:dyDescent="0.25">
      <c r="A32" s="34">
        <v>22</v>
      </c>
      <c r="B32" s="14" t="str">
        <f>+PROPONENTES!B31</f>
        <v>PROJECTING DESIGNING AND BUILDING LTDA</v>
      </c>
      <c r="C32" s="15" t="str">
        <f>CONSOLIDADO!I32</f>
        <v>HABILITADO</v>
      </c>
      <c r="D32" s="33">
        <f>IF(C32="HABILITADO",VLOOKUP(B32,PUNTAJE!$B$15:$AF$179,16,FALSE),"INHABILITADO")</f>
        <v>10</v>
      </c>
      <c r="E32" s="33">
        <f>IF(C32="HABILITADO",VLOOKUP(B32,PUNTAJE!$B$15:$AF$179,18,FALSE),"INHABILITADO")</f>
        <v>9</v>
      </c>
      <c r="F32" s="36">
        <f>IF(C32="HABILITADO",VLOOKUP(B32,PUNTAJE!$B$15:$AF$179,21,FALSE),"INHABILITADO")</f>
        <v>20</v>
      </c>
      <c r="G32" s="24">
        <f>IF(C32="HABILITADO",VLOOKUP(B32,PUNTAJE!$B$15:$AF$179,9,FALSE),"INHABILITADO")</f>
        <v>1</v>
      </c>
      <c r="H32" s="24">
        <f>IF(C32="HABILITADO",VLOOKUP(B32,PUNTAJE!$B$15:$AF$179,27,FALSE),"INHABILITADO")</f>
        <v>0.25</v>
      </c>
      <c r="I32" s="24">
        <f>IF(C32="HABILITADO",VLOOKUP(B32,PUNTAJE!$B$15:$AF$179,31,FALSE),"INHABILITADO")</f>
        <v>0.25</v>
      </c>
      <c r="J32" s="71"/>
      <c r="K32" s="69">
        <f t="shared" si="0"/>
        <v>40.5</v>
      </c>
      <c r="L32" s="15">
        <f t="shared" si="1"/>
        <v>1</v>
      </c>
    </row>
    <row r="33" spans="1:12" ht="23.25" customHeight="1" x14ac:dyDescent="0.25">
      <c r="A33" s="34">
        <v>23</v>
      </c>
      <c r="B33" s="14" t="str">
        <f>+PROPONENTES!B32</f>
        <v>UNIOBRAS SAS</v>
      </c>
      <c r="C33" s="15" t="str">
        <f>CONSOLIDADO!I33</f>
        <v>HABILITADO</v>
      </c>
      <c r="D33" s="33">
        <f>IF(C33="HABILITADO",VLOOKUP(B33,PUNTAJE!$B$15:$AF$179,16,FALSE),"INHABILITADO")</f>
        <v>10</v>
      </c>
      <c r="E33" s="33">
        <f>IF(C33="HABILITADO",VLOOKUP(B33,PUNTAJE!$B$15:$AF$179,18,FALSE),"INHABILITADO")</f>
        <v>9</v>
      </c>
      <c r="F33" s="36">
        <f>IF(C33="HABILITADO",VLOOKUP(B33,PUNTAJE!$B$15:$AF$179,21,FALSE),"INHABILITADO")</f>
        <v>20</v>
      </c>
      <c r="G33" s="24">
        <f>IF(C33="HABILITADO",VLOOKUP(B33,PUNTAJE!$B$15:$AF$179,9,FALSE),"INHABILITADO")</f>
        <v>1</v>
      </c>
      <c r="H33" s="24">
        <f>IF(C33="HABILITADO",VLOOKUP(B33,PUNTAJE!$B$15:$AF$179,27,FALSE),"INHABILITADO")</f>
        <v>0.25</v>
      </c>
      <c r="I33" s="24">
        <f>IF(C33="HABILITADO",VLOOKUP(B33,PUNTAJE!$B$15:$AF$179,31,FALSE),"INHABILITADO")</f>
        <v>0.25</v>
      </c>
      <c r="J33" s="71"/>
      <c r="K33" s="69">
        <f t="shared" si="0"/>
        <v>40.5</v>
      </c>
      <c r="L33" s="15">
        <f t="shared" si="1"/>
        <v>1</v>
      </c>
    </row>
    <row r="34" spans="1:12" ht="23.25" customHeight="1" x14ac:dyDescent="0.25">
      <c r="A34" s="34">
        <v>24</v>
      </c>
      <c r="B34" s="14" t="str">
        <f>+PROPONENTES!B33</f>
        <v>CONSORCIO T&amp;G PARQUES IV</v>
      </c>
      <c r="C34" s="15" t="str">
        <f>CONSOLIDADO!I34</f>
        <v>HABILITADO</v>
      </c>
      <c r="D34" s="33">
        <f>IF(C34="HABILITADO",VLOOKUP(B34,PUNTAJE!$B$15:$AF$179,16,FALSE),"INHABILITADO")</f>
        <v>10</v>
      </c>
      <c r="E34" s="33">
        <f>IF(C34="HABILITADO",VLOOKUP(B34,PUNTAJE!$B$15:$AF$179,18,FALSE),"INHABILITADO")</f>
        <v>9</v>
      </c>
      <c r="F34" s="36">
        <f>IF(C34="HABILITADO",VLOOKUP(B34,PUNTAJE!$B$15:$AF$179,21,FALSE),"INHABILITADO")</f>
        <v>20</v>
      </c>
      <c r="G34" s="24">
        <f>IF(C34="HABILITADO",VLOOKUP(B34,PUNTAJE!$B$15:$AF$179,9,FALSE),"INHABILITADO")</f>
        <v>1</v>
      </c>
      <c r="H34" s="24">
        <f>IF(C34="HABILITADO",VLOOKUP(B34,PUNTAJE!$B$15:$AF$179,27,FALSE),"INHABILITADO")</f>
        <v>0.25</v>
      </c>
      <c r="I34" s="24">
        <f>IF(C34="HABILITADO",VLOOKUP(B34,PUNTAJE!$B$15:$AF$179,31,FALSE),"INHABILITADO")</f>
        <v>0.25</v>
      </c>
      <c r="J34" s="71"/>
      <c r="K34" s="69">
        <f t="shared" si="0"/>
        <v>40.5</v>
      </c>
      <c r="L34" s="15">
        <f t="shared" si="1"/>
        <v>1</v>
      </c>
    </row>
    <row r="35" spans="1:12" ht="23.25" customHeight="1" x14ac:dyDescent="0.25">
      <c r="A35" s="34">
        <v>25</v>
      </c>
      <c r="B35" s="14" t="str">
        <f>+PROPONENTES!B34</f>
        <v>CONSORCIO JH KENNEDY</v>
      </c>
      <c r="C35" s="15" t="str">
        <f>CONSOLIDADO!I35</f>
        <v>HABILITADO</v>
      </c>
      <c r="D35" s="33">
        <f>IF(C35="HABILITADO",VLOOKUP(B35,PUNTAJE!$B$15:$AF$179,16,FALSE),"INHABILITADO")</f>
        <v>10</v>
      </c>
      <c r="E35" s="33">
        <f>IF(C35="HABILITADO",VLOOKUP(B35,PUNTAJE!$B$15:$AF$179,18,FALSE),"INHABILITADO")</f>
        <v>9</v>
      </c>
      <c r="F35" s="36">
        <f>IF(C35="HABILITADO",VLOOKUP(B35,PUNTAJE!$B$15:$AF$179,21,FALSE),"INHABILITADO")</f>
        <v>20</v>
      </c>
      <c r="G35" s="24">
        <f>IF(C35="HABILITADO",VLOOKUP(B35,PUNTAJE!$B$15:$AF$179,9,FALSE),"INHABILITADO")</f>
        <v>1</v>
      </c>
      <c r="H35" s="24">
        <f>IF(C35="HABILITADO",VLOOKUP(B35,PUNTAJE!$B$15:$AF$179,27,FALSE),"INHABILITADO")</f>
        <v>0.25</v>
      </c>
      <c r="I35" s="24">
        <f>IF(C35="HABILITADO",VLOOKUP(B35,PUNTAJE!$B$15:$AF$179,31,FALSE),"INHABILITADO")</f>
        <v>0.25</v>
      </c>
      <c r="J35" s="71"/>
      <c r="K35" s="69">
        <f t="shared" si="0"/>
        <v>40.5</v>
      </c>
      <c r="L35" s="15">
        <f t="shared" si="1"/>
        <v>1</v>
      </c>
    </row>
    <row r="36" spans="1:12" ht="23.25" customHeight="1" x14ac:dyDescent="0.25">
      <c r="A36" s="34">
        <v>26</v>
      </c>
      <c r="B36" s="14" t="str">
        <f>+PROPONENTES!B35</f>
        <v>CONSORCIO PARQUES KENNEDY</v>
      </c>
      <c r="C36" s="15" t="str">
        <f>CONSOLIDADO!I36</f>
        <v>INHABILITADO</v>
      </c>
      <c r="D36" s="33" t="str">
        <f>IF(C36="HABILITADO",VLOOKUP(B36,PUNTAJE!$B$15:$AF$179,16,FALSE),"INHABILITADO")</f>
        <v>INHABILITADO</v>
      </c>
      <c r="E36" s="33" t="str">
        <f>IF(C36="HABILITADO",VLOOKUP(B36,PUNTAJE!$B$15:$AF$179,18,FALSE),"INHABILITADO")</f>
        <v>INHABILITADO</v>
      </c>
      <c r="F36" s="36" t="str">
        <f>IF(C36="HABILITADO",VLOOKUP(B36,PUNTAJE!$B$15:$AF$179,21,FALSE),"INHABILITADO")</f>
        <v>INHABILITADO</v>
      </c>
      <c r="G36" s="24" t="str">
        <f>IF(C36="HABILITADO",VLOOKUP(B36,PUNTAJE!$B$15:$AF$179,9,FALSE),"INHABILITADO")</f>
        <v>INHABILITADO</v>
      </c>
      <c r="H36" s="24" t="str">
        <f>IF(C36="HABILITADO",VLOOKUP(B36,PUNTAJE!$B$15:$AF$179,27,FALSE),"INHABILITADO")</f>
        <v>INHABILITADO</v>
      </c>
      <c r="I36" s="24" t="str">
        <f>IF(C36="HABILITADO",VLOOKUP(B36,PUNTAJE!$B$15:$AF$179,31,FALSE),"INHABILITADO")</f>
        <v>INHABILITADO</v>
      </c>
      <c r="J36" s="71"/>
      <c r="K36" s="69" t="str">
        <f t="shared" si="0"/>
        <v>0</v>
      </c>
      <c r="L36" s="15" t="e">
        <f t="shared" si="1"/>
        <v>#N/A</v>
      </c>
    </row>
    <row r="37" spans="1:12" ht="23.25" customHeight="1" x14ac:dyDescent="0.25">
      <c r="A37" s="34">
        <v>27</v>
      </c>
      <c r="B37" s="14" t="str">
        <f>+PROPONENTES!B36</f>
        <v>CONSORCIO CGC 2024</v>
      </c>
      <c r="C37" s="15" t="str">
        <f>CONSOLIDADO!I37</f>
        <v>HABILITADO</v>
      </c>
      <c r="D37" s="33">
        <f>IF(C37="HABILITADO",VLOOKUP(B37,PUNTAJE!$B$15:$AF$179,16,FALSE),"INHABILITADO")</f>
        <v>10</v>
      </c>
      <c r="E37" s="33">
        <f>IF(C37="HABILITADO",VLOOKUP(B37,PUNTAJE!$B$15:$AF$179,18,FALSE),"INHABILITADO")</f>
        <v>9</v>
      </c>
      <c r="F37" s="36">
        <f>IF(C37="HABILITADO",VLOOKUP(B37,PUNTAJE!$B$15:$AF$179,21,FALSE),"INHABILITADO")</f>
        <v>20</v>
      </c>
      <c r="G37" s="24">
        <f>IF(C37="HABILITADO",VLOOKUP(B37,PUNTAJE!$B$15:$AF$179,9,FALSE),"INHABILITADO")</f>
        <v>1</v>
      </c>
      <c r="H37" s="24">
        <f>IF(C37="HABILITADO",VLOOKUP(B37,PUNTAJE!$B$15:$AF$179,27,FALSE),"INHABILITADO")</f>
        <v>0.25</v>
      </c>
      <c r="I37" s="24">
        <f>IF(C37="HABILITADO",VLOOKUP(B37,PUNTAJE!$B$15:$AF$179,31,FALSE),"INHABILITADO")</f>
        <v>0.25</v>
      </c>
      <c r="J37" s="71"/>
      <c r="K37" s="69">
        <f t="shared" si="0"/>
        <v>40.5</v>
      </c>
      <c r="L37" s="15">
        <f t="shared" si="1"/>
        <v>1</v>
      </c>
    </row>
    <row r="38" spans="1:12" ht="23.25" customHeight="1" x14ac:dyDescent="0.25">
      <c r="A38" s="34">
        <v>28</v>
      </c>
      <c r="B38" s="14" t="str">
        <f>+PROPONENTES!B37</f>
        <v>CONSORCIO PARQUES KASAF 2025</v>
      </c>
      <c r="C38" s="15" t="str">
        <f>CONSOLIDADO!I38</f>
        <v>HABILITADO</v>
      </c>
      <c r="D38" s="33">
        <f>IF(C38="HABILITADO",VLOOKUP(B38,PUNTAJE!$B$15:$AF$179,16,FALSE),"INHABILITADO")</f>
        <v>10</v>
      </c>
      <c r="E38" s="33">
        <f>IF(C38="HABILITADO",VLOOKUP(B38,PUNTAJE!$B$15:$AF$179,18,FALSE),"INHABILITADO")</f>
        <v>9</v>
      </c>
      <c r="F38" s="36">
        <f>IF(C38="HABILITADO",VLOOKUP(B38,PUNTAJE!$B$15:$AF$179,21,FALSE),"INHABILITADO")</f>
        <v>20</v>
      </c>
      <c r="G38" s="24">
        <f>IF(C38="HABILITADO",VLOOKUP(B38,PUNTAJE!$B$15:$AF$179,9,FALSE),"INHABILITADO")</f>
        <v>1</v>
      </c>
      <c r="H38" s="24">
        <f>IF(C38="HABILITADO",VLOOKUP(B38,PUNTAJE!$B$15:$AF$179,27,FALSE),"INHABILITADO")</f>
        <v>0.25</v>
      </c>
      <c r="I38" s="24">
        <f>IF(C38="HABILITADO",VLOOKUP(B38,PUNTAJE!$B$15:$AF$179,31,FALSE),"INHABILITADO")</f>
        <v>0.25</v>
      </c>
      <c r="J38" s="71"/>
      <c r="K38" s="69">
        <f t="shared" si="0"/>
        <v>40.5</v>
      </c>
      <c r="L38" s="15">
        <f t="shared" si="1"/>
        <v>1</v>
      </c>
    </row>
    <row r="39" spans="1:12" ht="23.25" customHeight="1" x14ac:dyDescent="0.25">
      <c r="A39" s="34">
        <v>29</v>
      </c>
      <c r="B39" s="14" t="str">
        <f>+PROPONENTES!B38</f>
        <v xml:space="preserve">CONSORCIO PARQUES K. 24	</v>
      </c>
      <c r="C39" s="15" t="str">
        <f>CONSOLIDADO!I39</f>
        <v>INHABILITADO</v>
      </c>
      <c r="D39" s="33" t="str">
        <f>IF(C39="HABILITADO",VLOOKUP(B39,PUNTAJE!$B$15:$AF$179,16,FALSE),"INHABILITADO")</f>
        <v>INHABILITADO</v>
      </c>
      <c r="E39" s="33" t="str">
        <f>IF(C39="HABILITADO",VLOOKUP(B39,PUNTAJE!$B$15:$AF$179,18,FALSE),"INHABILITADO")</f>
        <v>INHABILITADO</v>
      </c>
      <c r="F39" s="36" t="str">
        <f>IF(C39="HABILITADO",VLOOKUP(B39,PUNTAJE!$B$15:$AF$179,21,FALSE),"INHABILITADO")</f>
        <v>INHABILITADO</v>
      </c>
      <c r="G39" s="24" t="str">
        <f>IF(C39="HABILITADO",VLOOKUP(B39,PUNTAJE!$B$15:$AF$179,9,FALSE),"INHABILITADO")</f>
        <v>INHABILITADO</v>
      </c>
      <c r="H39" s="24" t="str">
        <f>IF(C39="HABILITADO",VLOOKUP(B39,PUNTAJE!$B$15:$AF$179,27,FALSE),"INHABILITADO")</f>
        <v>INHABILITADO</v>
      </c>
      <c r="I39" s="24" t="str">
        <f>IF(C39="HABILITADO",VLOOKUP(B39,PUNTAJE!$B$15:$AF$179,31,FALSE),"INHABILITADO")</f>
        <v>INHABILITADO</v>
      </c>
      <c r="J39" s="71"/>
      <c r="K39" s="69" t="str">
        <f t="shared" si="0"/>
        <v>0</v>
      </c>
      <c r="L39" s="15" t="e">
        <f t="shared" si="1"/>
        <v>#N/A</v>
      </c>
    </row>
    <row r="40" spans="1:12" ht="23.25" customHeight="1" x14ac:dyDescent="0.25">
      <c r="A40" s="34">
        <v>30</v>
      </c>
      <c r="B40" s="14" t="str">
        <f>+PROPONENTES!B39</f>
        <v>GERMAN RAMIREZ BARBOSA</v>
      </c>
      <c r="C40" s="15" t="str">
        <f>CONSOLIDADO!I40</f>
        <v>HABILITADO</v>
      </c>
      <c r="D40" s="33">
        <f>IF(C40="HABILITADO",VLOOKUP(B40,PUNTAJE!$B$15:$AF$179,16,FALSE),"INHABILITADO")</f>
        <v>10</v>
      </c>
      <c r="E40" s="33">
        <f>IF(C40="HABILITADO",VLOOKUP(B40,PUNTAJE!$B$15:$AF$179,18,FALSE),"INHABILITADO")</f>
        <v>9</v>
      </c>
      <c r="F40" s="36">
        <f>IF(C40="HABILITADO",VLOOKUP(B40,PUNTAJE!$B$15:$AF$179,21,FALSE),"INHABILITADO")</f>
        <v>20</v>
      </c>
      <c r="G40" s="24">
        <f>IF(C40="HABILITADO",VLOOKUP(B40,PUNTAJE!$B$15:$AF$179,9,FALSE),"INHABILITADO")</f>
        <v>1</v>
      </c>
      <c r="H40" s="24">
        <f>IF(C40="HABILITADO",VLOOKUP(B40,PUNTAJE!$B$15:$AF$179,27,FALSE),"INHABILITADO")</f>
        <v>0.25</v>
      </c>
      <c r="I40" s="24">
        <f>IF(C40="HABILITADO",VLOOKUP(B40,PUNTAJE!$B$15:$AF$179,31,FALSE),"INHABILITADO")</f>
        <v>0.25</v>
      </c>
      <c r="J40" s="71"/>
      <c r="K40" s="69">
        <f t="shared" si="0"/>
        <v>40.5</v>
      </c>
      <c r="L40" s="15">
        <f t="shared" si="1"/>
        <v>1</v>
      </c>
    </row>
    <row r="41" spans="1:12" ht="23.25" customHeight="1" x14ac:dyDescent="0.25">
      <c r="A41" s="34">
        <v>31</v>
      </c>
      <c r="B41" s="14" t="str">
        <f>+PROPONENTES!B40</f>
        <v>CONSTRUCOL SAS</v>
      </c>
      <c r="C41" s="15" t="str">
        <f>CONSOLIDADO!I41</f>
        <v>HABILITADO</v>
      </c>
      <c r="D41" s="33">
        <f>IF(C41="HABILITADO",VLOOKUP(B41,PUNTAJE!$B$15:$AF$179,16,FALSE),"INHABILITADO")</f>
        <v>10</v>
      </c>
      <c r="E41" s="33">
        <f>IF(C41="HABILITADO",VLOOKUP(B41,PUNTAJE!$B$15:$AF$179,18,FALSE),"INHABILITADO")</f>
        <v>9</v>
      </c>
      <c r="F41" s="36">
        <f>IF(C41="HABILITADO",VLOOKUP(B41,PUNTAJE!$B$15:$AF$179,21,FALSE),"INHABILITADO")</f>
        <v>20</v>
      </c>
      <c r="G41" s="24">
        <f>IF(C41="HABILITADO",VLOOKUP(B41,PUNTAJE!$B$15:$AF$179,9,FALSE),"INHABILITADO")</f>
        <v>1</v>
      </c>
      <c r="H41" s="24">
        <f>IF(C41="HABILITADO",VLOOKUP(B41,PUNTAJE!$B$15:$AF$179,27,FALSE),"INHABILITADO")</f>
        <v>0.25</v>
      </c>
      <c r="I41" s="24">
        <f>IF(C41="HABILITADO",VLOOKUP(B41,PUNTAJE!$B$15:$AF$179,31,FALSE),"INHABILITADO")</f>
        <v>0.25</v>
      </c>
      <c r="J41" s="71"/>
      <c r="K41" s="69">
        <f t="shared" si="0"/>
        <v>40.5</v>
      </c>
      <c r="L41" s="15">
        <f t="shared" si="1"/>
        <v>1</v>
      </c>
    </row>
    <row r="42" spans="1:12" ht="23.25" customHeight="1" x14ac:dyDescent="0.25">
      <c r="A42" s="34">
        <v>32</v>
      </c>
      <c r="B42" s="14" t="str">
        <f>+PROPONENTES!B41</f>
        <v>CONSORCIO DISTRITAL-5G</v>
      </c>
      <c r="C42" s="15" t="str">
        <f>CONSOLIDADO!I42</f>
        <v>HABILITADO</v>
      </c>
      <c r="D42" s="33">
        <f>IF(C42="HABILITADO",VLOOKUP(B42,PUNTAJE!$B$15:$AF$179,16,FALSE),"INHABILITADO")</f>
        <v>10</v>
      </c>
      <c r="E42" s="33">
        <f>IF(C42="HABILITADO",VLOOKUP(B42,PUNTAJE!$B$15:$AF$179,18,FALSE),"INHABILITADO")</f>
        <v>9</v>
      </c>
      <c r="F42" s="36">
        <f>IF(C42="HABILITADO",VLOOKUP(B42,PUNTAJE!$B$15:$AF$179,21,FALSE),"INHABILITADO")</f>
        <v>20</v>
      </c>
      <c r="G42" s="24">
        <f>IF(C42="HABILITADO",VLOOKUP(B42,PUNTAJE!$B$15:$AF$179,9,FALSE),"INHABILITADO")</f>
        <v>1</v>
      </c>
      <c r="H42" s="24">
        <f>IF(C42="HABILITADO",VLOOKUP(B42,PUNTAJE!$B$15:$AF$179,27,FALSE),"INHABILITADO")</f>
        <v>0.25</v>
      </c>
      <c r="I42" s="24">
        <f>IF(C42="HABILITADO",VLOOKUP(B42,PUNTAJE!$B$15:$AF$179,31,FALSE),"INHABILITADO")</f>
        <v>0.25</v>
      </c>
      <c r="J42" s="71"/>
      <c r="K42" s="69">
        <f t="shared" si="0"/>
        <v>40.5</v>
      </c>
      <c r="L42" s="15">
        <f t="shared" si="1"/>
        <v>1</v>
      </c>
    </row>
    <row r="43" spans="1:12" ht="23.25" customHeight="1" x14ac:dyDescent="0.25">
      <c r="A43" s="34">
        <v>33</v>
      </c>
      <c r="B43" s="14" t="str">
        <f>+PROPONENTES!B42</f>
        <v>CONSORCIO PARQUES VECINALES 24</v>
      </c>
      <c r="C43" s="15" t="str">
        <f>CONSOLIDADO!I43</f>
        <v>INHABILITADO</v>
      </c>
      <c r="D43" s="33" t="str">
        <f>IF(C43="HABILITADO",VLOOKUP(B43,PUNTAJE!$B$15:$AF$179,16,FALSE),"INHABILITADO")</f>
        <v>INHABILITADO</v>
      </c>
      <c r="E43" s="33" t="str">
        <f>IF(C43="HABILITADO",VLOOKUP(B43,PUNTAJE!$B$15:$AF$179,18,FALSE),"INHABILITADO")</f>
        <v>INHABILITADO</v>
      </c>
      <c r="F43" s="36" t="str">
        <f>IF(C43="HABILITADO",VLOOKUP(B43,PUNTAJE!$B$15:$AF$179,21,FALSE),"INHABILITADO")</f>
        <v>INHABILITADO</v>
      </c>
      <c r="G43" s="24" t="str">
        <f>IF(C43="HABILITADO",VLOOKUP(B43,PUNTAJE!$B$15:$AF$179,9,FALSE),"INHABILITADO")</f>
        <v>INHABILITADO</v>
      </c>
      <c r="H43" s="24" t="str">
        <f>IF(C43="HABILITADO",VLOOKUP(B43,PUNTAJE!$B$15:$AF$179,27,FALSE),"INHABILITADO")</f>
        <v>INHABILITADO</v>
      </c>
      <c r="I43" s="24" t="str">
        <f>IF(C43="HABILITADO",VLOOKUP(B43,PUNTAJE!$B$15:$AF$179,31,FALSE),"INHABILITADO")</f>
        <v>INHABILITADO</v>
      </c>
      <c r="J43" s="71"/>
      <c r="K43" s="69" t="str">
        <f t="shared" si="0"/>
        <v>0</v>
      </c>
      <c r="L43" s="15" t="e">
        <f t="shared" si="1"/>
        <v>#N/A</v>
      </c>
    </row>
    <row r="44" spans="1:12" ht="23.25" customHeight="1" x14ac:dyDescent="0.25">
      <c r="B44" s="12"/>
      <c r="D44" s="32"/>
      <c r="E44" s="32"/>
      <c r="F44" s="13"/>
      <c r="G44" s="13"/>
      <c r="H44" s="13"/>
      <c r="I44" s="13"/>
      <c r="J44" s="13"/>
      <c r="K44" s="13"/>
      <c r="L44" s="20"/>
    </row>
    <row r="45" spans="1:12" ht="6.75" customHeight="1" x14ac:dyDescent="0.25"/>
    <row r="46" spans="1:12" ht="45" customHeight="1" x14ac:dyDescent="0.25">
      <c r="B46" s="299" t="s">
        <v>31</v>
      </c>
      <c r="C46" s="330"/>
      <c r="D46" s="330"/>
      <c r="E46" s="34"/>
      <c r="F46" s="88"/>
    </row>
    <row r="47" spans="1:12" ht="45" customHeight="1" x14ac:dyDescent="0.25">
      <c r="B47" s="299"/>
      <c r="C47" s="330"/>
      <c r="D47" s="330"/>
      <c r="E47" s="34"/>
      <c r="F47" s="88"/>
    </row>
    <row r="48" spans="1:12" ht="45" customHeight="1" x14ac:dyDescent="0.25">
      <c r="B48" s="299"/>
      <c r="C48" s="330"/>
      <c r="D48" s="330"/>
      <c r="E48" s="34"/>
      <c r="F48" s="88"/>
    </row>
    <row r="49" spans="2:6" ht="25.5" customHeight="1" x14ac:dyDescent="0.25">
      <c r="B49" s="299"/>
      <c r="C49" s="330"/>
      <c r="D49" s="330"/>
      <c r="E49" s="34"/>
      <c r="F49" s="88"/>
    </row>
    <row r="50" spans="2:6" ht="5.25" customHeight="1" x14ac:dyDescent="0.25"/>
    <row r="51" spans="2:6" x14ac:dyDescent="0.25">
      <c r="C51" s="68"/>
    </row>
  </sheetData>
  <mergeCells count="16">
    <mergeCell ref="A1:L1"/>
    <mergeCell ref="A2:L2"/>
    <mergeCell ref="A3:L3"/>
    <mergeCell ref="A4:B5"/>
    <mergeCell ref="A7:L7"/>
    <mergeCell ref="B46:B49"/>
    <mergeCell ref="C4:D4"/>
    <mergeCell ref="F4:L4"/>
    <mergeCell ref="C5:D5"/>
    <mergeCell ref="F5:K5"/>
    <mergeCell ref="C46:D46"/>
    <mergeCell ref="C47:D47"/>
    <mergeCell ref="C48:D48"/>
    <mergeCell ref="C49:D49"/>
    <mergeCell ref="A8:L8"/>
    <mergeCell ref="A6:L6"/>
  </mergeCells>
  <conditionalFormatting sqref="C11:C43">
    <cfRule type="containsText" dxfId="8" priority="3" operator="containsText" text="INHABILITADO">
      <formula>NOT(ISERROR(SEARCH("INHABILITADO",C11)))</formula>
    </cfRule>
    <cfRule type="containsText" dxfId="7" priority="4" operator="containsText" text="HABILITADO">
      <formula>NOT(ISERROR(SEARCH("HABILITADO",C11)))</formula>
    </cfRule>
  </conditionalFormatting>
  <conditionalFormatting sqref="F11:K11 F12:I43 K12:K43">
    <cfRule type="cellIs" dxfId="6" priority="5" operator="equal">
      <formula>"CUMPLE"</formula>
    </cfRule>
    <cfRule type="cellIs" dxfId="5" priority="6" operator="equal">
      <formula>"NO CUMPLE"</formula>
    </cfRule>
    <cfRule type="cellIs" dxfId="4" priority="7" operator="equal">
      <formula>"""CUMPLE"""</formula>
    </cfRule>
  </conditionalFormatting>
  <conditionalFormatting sqref="J12:J43 F44:K44">
    <cfRule type="containsText" dxfId="3" priority="10" operator="containsText" text="NO CUMPLE">
      <formula>NOT(ISERROR(SEARCH("NO CUMPLE",F12)))</formula>
    </cfRule>
    <cfRule type="containsText" dxfId="2" priority="11" operator="containsText" text="CUMPLE">
      <formula>NOT(ISERROR(SEARCH("CUMPLE",F12)))</formula>
    </cfRule>
  </conditionalFormatting>
  <conditionalFormatting sqref="L11:L44">
    <cfRule type="containsText" dxfId="1" priority="8" operator="containsText" text="INHABILITADO">
      <formula>NOT(ISERROR(SEARCH("INHABILITADO",L11)))</formula>
    </cfRule>
    <cfRule type="containsText" dxfId="0" priority="9" operator="containsText" text="HABILITADO">
      <formula>NOT(ISERROR(SEARCH("HABILITADO",L11)))</formula>
    </cfRule>
  </conditionalFormatting>
  <pageMargins left="0.7" right="0.7" top="0.75" bottom="0.75" header="0.3" footer="0.3"/>
  <pageSetup scale="40" orientation="landscape"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2700-000000000000}">
          <x14:formula1>
            <xm:f>'DATOS INICIALES'!$A$45:$A$46</xm:f>
          </x14:formula1>
          <xm:sqref>L44</xm:sqref>
        </x14:dataValidation>
        <x14:dataValidation type="list" allowBlank="1" showInputMessage="1" showErrorMessage="1" xr:uid="{00000000-0002-0000-2700-000001000000}">
          <x14:formula1>
            <xm:f>'DATOS INICIALES'!$A$50:$A$51</xm:f>
          </x14:formula1>
          <xm:sqref>J44:K44</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N763"/>
  <sheetViews>
    <sheetView tabSelected="1" zoomScale="57" zoomScaleNormal="57" workbookViewId="0">
      <selection activeCell="A2" sqref="A2:N2"/>
    </sheetView>
  </sheetViews>
  <sheetFormatPr baseColWidth="10" defaultRowHeight="15" x14ac:dyDescent="0.25"/>
  <cols>
    <col min="1" max="1" width="33.42578125" style="166" customWidth="1"/>
    <col min="2" max="2" width="61.140625" style="167" customWidth="1"/>
    <col min="3" max="13" width="11.42578125" style="166"/>
    <col min="14" max="14" width="11.140625" style="166" customWidth="1"/>
  </cols>
  <sheetData>
    <row r="1" spans="1:14" ht="34.5" customHeight="1" thickBot="1" x14ac:dyDescent="0.3">
      <c r="A1" s="445" t="s">
        <v>22</v>
      </c>
      <c r="B1" s="446"/>
      <c r="C1" s="446"/>
      <c r="D1" s="446"/>
      <c r="E1" s="446"/>
      <c r="F1" s="446"/>
      <c r="G1" s="446"/>
      <c r="H1" s="446"/>
      <c r="I1" s="446"/>
      <c r="J1" s="446"/>
      <c r="K1" s="446"/>
      <c r="L1" s="446"/>
      <c r="M1" s="446"/>
      <c r="N1" s="447"/>
    </row>
    <row r="2" spans="1:14" ht="34.5" customHeight="1" thickBot="1" x14ac:dyDescent="0.3">
      <c r="A2" s="445" t="s">
        <v>295</v>
      </c>
      <c r="B2" s="446"/>
      <c r="C2" s="446"/>
      <c r="D2" s="446"/>
      <c r="E2" s="446"/>
      <c r="F2" s="446"/>
      <c r="G2" s="446"/>
      <c r="H2" s="446"/>
      <c r="I2" s="446"/>
      <c r="J2" s="446"/>
      <c r="K2" s="446"/>
      <c r="L2" s="446"/>
      <c r="M2" s="446"/>
      <c r="N2" s="447"/>
    </row>
    <row r="3" spans="1:14" ht="34.5" customHeight="1" thickBot="1" x14ac:dyDescent="0.3">
      <c r="A3" s="445" t="s">
        <v>294</v>
      </c>
      <c r="B3" s="446"/>
      <c r="C3" s="446"/>
      <c r="D3" s="446"/>
      <c r="E3" s="446"/>
      <c r="F3" s="446"/>
      <c r="G3" s="446"/>
      <c r="H3" s="446"/>
      <c r="I3" s="446"/>
      <c r="J3" s="446"/>
      <c r="K3" s="446"/>
      <c r="L3" s="446"/>
      <c r="M3" s="446"/>
      <c r="N3" s="447"/>
    </row>
    <row r="4" spans="1:14" ht="15.75" thickBot="1" x14ac:dyDescent="0.3"/>
    <row r="5" spans="1:14" x14ac:dyDescent="0.25">
      <c r="A5" s="407">
        <v>1</v>
      </c>
      <c r="B5" s="390" t="str">
        <f>VLOOKUP(A5,PROPONENTES!$A$10:$B$42,2)</f>
        <v>CONSORCIO ARQING</v>
      </c>
      <c r="C5" s="439" t="s">
        <v>588</v>
      </c>
      <c r="D5" s="440"/>
      <c r="E5" s="440"/>
      <c r="F5" s="440"/>
      <c r="G5" s="440"/>
      <c r="H5" s="440"/>
      <c r="I5" s="440"/>
      <c r="J5" s="440"/>
      <c r="K5" s="440"/>
      <c r="L5" s="440"/>
      <c r="M5" s="440"/>
      <c r="N5" s="441"/>
    </row>
    <row r="6" spans="1:14" x14ac:dyDescent="0.25">
      <c r="A6" s="408"/>
      <c r="B6" s="391"/>
      <c r="C6" s="442"/>
      <c r="D6" s="443"/>
      <c r="E6" s="443"/>
      <c r="F6" s="443"/>
      <c r="G6" s="443"/>
      <c r="H6" s="443"/>
      <c r="I6" s="443"/>
      <c r="J6" s="443"/>
      <c r="K6" s="443"/>
      <c r="L6" s="443"/>
      <c r="M6" s="443"/>
      <c r="N6" s="444"/>
    </row>
    <row r="7" spans="1:14" x14ac:dyDescent="0.25">
      <c r="A7" s="408"/>
      <c r="B7" s="391"/>
      <c r="C7" s="442"/>
      <c r="D7" s="443"/>
      <c r="E7" s="443"/>
      <c r="F7" s="443"/>
      <c r="G7" s="443"/>
      <c r="H7" s="443"/>
      <c r="I7" s="443"/>
      <c r="J7" s="443"/>
      <c r="K7" s="443"/>
      <c r="L7" s="443"/>
      <c r="M7" s="443"/>
      <c r="N7" s="444"/>
    </row>
    <row r="8" spans="1:14" x14ac:dyDescent="0.25">
      <c r="A8" s="408"/>
      <c r="B8" s="391"/>
      <c r="C8" s="442"/>
      <c r="D8" s="443"/>
      <c r="E8" s="443"/>
      <c r="F8" s="443"/>
      <c r="G8" s="443"/>
      <c r="H8" s="443"/>
      <c r="I8" s="443"/>
      <c r="J8" s="443"/>
      <c r="K8" s="443"/>
      <c r="L8" s="443"/>
      <c r="M8" s="443"/>
      <c r="N8" s="444"/>
    </row>
    <row r="9" spans="1:14" x14ac:dyDescent="0.25">
      <c r="A9" s="408"/>
      <c r="B9" s="391"/>
      <c r="C9" s="442"/>
      <c r="D9" s="443"/>
      <c r="E9" s="443"/>
      <c r="F9" s="443"/>
      <c r="G9" s="443"/>
      <c r="H9" s="443"/>
      <c r="I9" s="443"/>
      <c r="J9" s="443"/>
      <c r="K9" s="443"/>
      <c r="L9" s="443"/>
      <c r="M9" s="443"/>
      <c r="N9" s="444"/>
    </row>
    <row r="10" spans="1:14" x14ac:dyDescent="0.25">
      <c r="A10" s="408"/>
      <c r="B10" s="391"/>
      <c r="C10" s="442"/>
      <c r="D10" s="443"/>
      <c r="E10" s="443"/>
      <c r="F10" s="443"/>
      <c r="G10" s="443"/>
      <c r="H10" s="443"/>
      <c r="I10" s="443"/>
      <c r="J10" s="443"/>
      <c r="K10" s="443"/>
      <c r="L10" s="443"/>
      <c r="M10" s="443"/>
      <c r="N10" s="444"/>
    </row>
    <row r="11" spans="1:14" x14ac:dyDescent="0.25">
      <c r="A11" s="408"/>
      <c r="B11" s="391"/>
      <c r="C11" s="442"/>
      <c r="D11" s="443"/>
      <c r="E11" s="443"/>
      <c r="F11" s="443"/>
      <c r="G11" s="443"/>
      <c r="H11" s="443"/>
      <c r="I11" s="443"/>
      <c r="J11" s="443"/>
      <c r="K11" s="443"/>
      <c r="L11" s="443"/>
      <c r="M11" s="443"/>
      <c r="N11" s="444"/>
    </row>
    <row r="12" spans="1:14" x14ac:dyDescent="0.25">
      <c r="A12" s="408"/>
      <c r="B12" s="391"/>
      <c r="C12" s="442"/>
      <c r="D12" s="443"/>
      <c r="E12" s="443"/>
      <c r="F12" s="443"/>
      <c r="G12" s="443"/>
      <c r="H12" s="443"/>
      <c r="I12" s="443"/>
      <c r="J12" s="443"/>
      <c r="K12" s="443"/>
      <c r="L12" s="443"/>
      <c r="M12" s="443"/>
      <c r="N12" s="444"/>
    </row>
    <row r="13" spans="1:14" x14ac:dyDescent="0.25">
      <c r="A13" s="408"/>
      <c r="B13" s="391"/>
      <c r="C13" s="442"/>
      <c r="D13" s="443"/>
      <c r="E13" s="443"/>
      <c r="F13" s="443"/>
      <c r="G13" s="443"/>
      <c r="H13" s="443"/>
      <c r="I13" s="443"/>
      <c r="J13" s="443"/>
      <c r="K13" s="443"/>
      <c r="L13" s="443"/>
      <c r="M13" s="443"/>
      <c r="N13" s="444"/>
    </row>
    <row r="14" spans="1:14" x14ac:dyDescent="0.25">
      <c r="A14" s="408"/>
      <c r="B14" s="391"/>
      <c r="C14" s="442"/>
      <c r="D14" s="443"/>
      <c r="E14" s="443"/>
      <c r="F14" s="443"/>
      <c r="G14" s="443"/>
      <c r="H14" s="443"/>
      <c r="I14" s="443"/>
      <c r="J14" s="443"/>
      <c r="K14" s="443"/>
      <c r="L14" s="443"/>
      <c r="M14" s="443"/>
      <c r="N14" s="444"/>
    </row>
    <row r="15" spans="1:14" x14ac:dyDescent="0.25">
      <c r="A15" s="408"/>
      <c r="B15" s="391"/>
      <c r="C15" s="442"/>
      <c r="D15" s="443"/>
      <c r="E15" s="443"/>
      <c r="F15" s="443"/>
      <c r="G15" s="443"/>
      <c r="H15" s="443"/>
      <c r="I15" s="443"/>
      <c r="J15" s="443"/>
      <c r="K15" s="443"/>
      <c r="L15" s="443"/>
      <c r="M15" s="443"/>
      <c r="N15" s="444"/>
    </row>
    <row r="16" spans="1:14" x14ac:dyDescent="0.25">
      <c r="A16" s="408"/>
      <c r="B16" s="391"/>
      <c r="C16" s="442"/>
      <c r="D16" s="443"/>
      <c r="E16" s="443"/>
      <c r="F16" s="443"/>
      <c r="G16" s="443"/>
      <c r="H16" s="443"/>
      <c r="I16" s="443"/>
      <c r="J16" s="443"/>
      <c r="K16" s="443"/>
      <c r="L16" s="443"/>
      <c r="M16" s="443"/>
      <c r="N16" s="444"/>
    </row>
    <row r="17" spans="1:14" x14ac:dyDescent="0.25">
      <c r="A17" s="408"/>
      <c r="B17" s="391"/>
      <c r="C17" s="442"/>
      <c r="D17" s="443"/>
      <c r="E17" s="443"/>
      <c r="F17" s="443"/>
      <c r="G17" s="443"/>
      <c r="H17" s="443"/>
      <c r="I17" s="443"/>
      <c r="J17" s="443"/>
      <c r="K17" s="443"/>
      <c r="L17" s="443"/>
      <c r="M17" s="443"/>
      <c r="N17" s="444"/>
    </row>
    <row r="18" spans="1:14" x14ac:dyDescent="0.25">
      <c r="A18" s="408"/>
      <c r="B18" s="391"/>
      <c r="C18" s="442"/>
      <c r="D18" s="443"/>
      <c r="E18" s="443"/>
      <c r="F18" s="443"/>
      <c r="G18" s="443"/>
      <c r="H18" s="443"/>
      <c r="I18" s="443"/>
      <c r="J18" s="443"/>
      <c r="K18" s="443"/>
      <c r="L18" s="443"/>
      <c r="M18" s="443"/>
      <c r="N18" s="444"/>
    </row>
    <row r="19" spans="1:14" x14ac:dyDescent="0.25">
      <c r="A19" s="408"/>
      <c r="B19" s="391"/>
      <c r="C19" s="442"/>
      <c r="D19" s="443"/>
      <c r="E19" s="443"/>
      <c r="F19" s="443"/>
      <c r="G19" s="443"/>
      <c r="H19" s="443"/>
      <c r="I19" s="443"/>
      <c r="J19" s="443"/>
      <c r="K19" s="443"/>
      <c r="L19" s="443"/>
      <c r="M19" s="443"/>
      <c r="N19" s="444"/>
    </row>
    <row r="20" spans="1:14" x14ac:dyDescent="0.25">
      <c r="A20" s="408"/>
      <c r="B20" s="391"/>
      <c r="C20" s="442"/>
      <c r="D20" s="443"/>
      <c r="E20" s="443"/>
      <c r="F20" s="443"/>
      <c r="G20" s="443"/>
      <c r="H20" s="443"/>
      <c r="I20" s="443"/>
      <c r="J20" s="443"/>
      <c r="K20" s="443"/>
      <c r="L20" s="443"/>
      <c r="M20" s="443"/>
      <c r="N20" s="444"/>
    </row>
    <row r="21" spans="1:14" x14ac:dyDescent="0.25">
      <c r="A21" s="408"/>
      <c r="B21" s="391"/>
      <c r="C21" s="442"/>
      <c r="D21" s="443"/>
      <c r="E21" s="443"/>
      <c r="F21" s="443"/>
      <c r="G21" s="443"/>
      <c r="H21" s="443"/>
      <c r="I21" s="443"/>
      <c r="J21" s="443"/>
      <c r="K21" s="443"/>
      <c r="L21" s="443"/>
      <c r="M21" s="443"/>
      <c r="N21" s="444"/>
    </row>
    <row r="22" spans="1:14" x14ac:dyDescent="0.25">
      <c r="A22" s="408"/>
      <c r="B22" s="391"/>
      <c r="C22" s="442"/>
      <c r="D22" s="443"/>
      <c r="E22" s="443"/>
      <c r="F22" s="443"/>
      <c r="G22" s="443"/>
      <c r="H22" s="443"/>
      <c r="I22" s="443"/>
      <c r="J22" s="443"/>
      <c r="K22" s="443"/>
      <c r="L22" s="443"/>
      <c r="M22" s="443"/>
      <c r="N22" s="444"/>
    </row>
    <row r="23" spans="1:14" x14ac:dyDescent="0.25">
      <c r="A23" s="408"/>
      <c r="B23" s="391"/>
      <c r="C23" s="442"/>
      <c r="D23" s="443"/>
      <c r="E23" s="443"/>
      <c r="F23" s="443"/>
      <c r="G23" s="443"/>
      <c r="H23" s="443"/>
      <c r="I23" s="443"/>
      <c r="J23" s="443"/>
      <c r="K23" s="443"/>
      <c r="L23" s="443"/>
      <c r="M23" s="443"/>
      <c r="N23" s="444"/>
    </row>
    <row r="24" spans="1:14" x14ac:dyDescent="0.25">
      <c r="A24" s="408"/>
      <c r="B24" s="391"/>
      <c r="C24" s="442"/>
      <c r="D24" s="443"/>
      <c r="E24" s="443"/>
      <c r="F24" s="443"/>
      <c r="G24" s="443"/>
      <c r="H24" s="443"/>
      <c r="I24" s="443"/>
      <c r="J24" s="443"/>
      <c r="K24" s="443"/>
      <c r="L24" s="443"/>
      <c r="M24" s="443"/>
      <c r="N24" s="444"/>
    </row>
    <row r="25" spans="1:14" x14ac:dyDescent="0.25">
      <c r="A25" s="408"/>
      <c r="B25" s="391"/>
      <c r="C25" s="442"/>
      <c r="D25" s="443"/>
      <c r="E25" s="443"/>
      <c r="F25" s="443"/>
      <c r="G25" s="443"/>
      <c r="H25" s="443"/>
      <c r="I25" s="443"/>
      <c r="J25" s="443"/>
      <c r="K25" s="443"/>
      <c r="L25" s="443"/>
      <c r="M25" s="443"/>
      <c r="N25" s="444"/>
    </row>
    <row r="26" spans="1:14" x14ac:dyDescent="0.25">
      <c r="A26" s="408"/>
      <c r="B26" s="391"/>
      <c r="C26" s="442"/>
      <c r="D26" s="443"/>
      <c r="E26" s="443"/>
      <c r="F26" s="443"/>
      <c r="G26" s="443"/>
      <c r="H26" s="443"/>
      <c r="I26" s="443"/>
      <c r="J26" s="443"/>
      <c r="K26" s="443"/>
      <c r="L26" s="443"/>
      <c r="M26" s="443"/>
      <c r="N26" s="444"/>
    </row>
    <row r="27" spans="1:14" ht="15.75" thickBot="1" x14ac:dyDescent="0.3">
      <c r="A27" s="409"/>
      <c r="B27" s="392"/>
      <c r="C27" s="442"/>
      <c r="D27" s="443"/>
      <c r="E27" s="443"/>
      <c r="F27" s="443"/>
      <c r="G27" s="443"/>
      <c r="H27" s="443"/>
      <c r="I27" s="443"/>
      <c r="J27" s="443"/>
      <c r="K27" s="443"/>
      <c r="L27" s="443"/>
      <c r="M27" s="443"/>
      <c r="N27" s="444"/>
    </row>
    <row r="28" spans="1:14" ht="15" customHeight="1" x14ac:dyDescent="0.25">
      <c r="A28" s="407">
        <v>2</v>
      </c>
      <c r="B28" s="390" t="str">
        <f>VLOOKUP(A28,PROPONENTES!$A$10:$B$42,2)</f>
        <v xml:space="preserve">CONSORCIO COMPLEJO DEPORTIVO CUBAGO	</v>
      </c>
      <c r="C28" s="439"/>
      <c r="D28" s="440"/>
      <c r="E28" s="440"/>
      <c r="F28" s="440"/>
      <c r="G28" s="440"/>
      <c r="H28" s="440"/>
      <c r="I28" s="440"/>
      <c r="J28" s="440"/>
      <c r="K28" s="440"/>
      <c r="L28" s="440"/>
      <c r="M28" s="440"/>
      <c r="N28" s="441"/>
    </row>
    <row r="29" spans="1:14" ht="15" customHeight="1" x14ac:dyDescent="0.25">
      <c r="A29" s="408"/>
      <c r="B29" s="391"/>
      <c r="C29" s="442"/>
      <c r="D29" s="443"/>
      <c r="E29" s="443"/>
      <c r="F29" s="443"/>
      <c r="G29" s="443"/>
      <c r="H29" s="443"/>
      <c r="I29" s="443"/>
      <c r="J29" s="443"/>
      <c r="K29" s="443"/>
      <c r="L29" s="443"/>
      <c r="M29" s="443"/>
      <c r="N29" s="444"/>
    </row>
    <row r="30" spans="1:14" ht="15" customHeight="1" x14ac:dyDescent="0.25">
      <c r="A30" s="408"/>
      <c r="B30" s="391"/>
      <c r="C30" s="442"/>
      <c r="D30" s="443"/>
      <c r="E30" s="443"/>
      <c r="F30" s="443"/>
      <c r="G30" s="443"/>
      <c r="H30" s="443"/>
      <c r="I30" s="443"/>
      <c r="J30" s="443"/>
      <c r="K30" s="443"/>
      <c r="L30" s="443"/>
      <c r="M30" s="443"/>
      <c r="N30" s="444"/>
    </row>
    <row r="31" spans="1:14" ht="15" customHeight="1" x14ac:dyDescent="0.25">
      <c r="A31" s="408"/>
      <c r="B31" s="391"/>
      <c r="C31" s="442"/>
      <c r="D31" s="443"/>
      <c r="E31" s="443"/>
      <c r="F31" s="443"/>
      <c r="G31" s="443"/>
      <c r="H31" s="443"/>
      <c r="I31" s="443"/>
      <c r="J31" s="443"/>
      <c r="K31" s="443"/>
      <c r="L31" s="443"/>
      <c r="M31" s="443"/>
      <c r="N31" s="444"/>
    </row>
    <row r="32" spans="1:14" ht="15" customHeight="1" x14ac:dyDescent="0.25">
      <c r="A32" s="408"/>
      <c r="B32" s="391"/>
      <c r="C32" s="442"/>
      <c r="D32" s="443"/>
      <c r="E32" s="443"/>
      <c r="F32" s="443"/>
      <c r="G32" s="443"/>
      <c r="H32" s="443"/>
      <c r="I32" s="443"/>
      <c r="J32" s="443"/>
      <c r="K32" s="443"/>
      <c r="L32" s="443"/>
      <c r="M32" s="443"/>
      <c r="N32" s="444"/>
    </row>
    <row r="33" spans="1:14" ht="15" customHeight="1" x14ac:dyDescent="0.25">
      <c r="A33" s="408"/>
      <c r="B33" s="391"/>
      <c r="C33" s="442"/>
      <c r="D33" s="443"/>
      <c r="E33" s="443"/>
      <c r="F33" s="443"/>
      <c r="G33" s="443"/>
      <c r="H33" s="443"/>
      <c r="I33" s="443"/>
      <c r="J33" s="443"/>
      <c r="K33" s="443"/>
      <c r="L33" s="443"/>
      <c r="M33" s="443"/>
      <c r="N33" s="444"/>
    </row>
    <row r="34" spans="1:14" ht="15" customHeight="1" x14ac:dyDescent="0.25">
      <c r="A34" s="408"/>
      <c r="B34" s="391"/>
      <c r="C34" s="442"/>
      <c r="D34" s="443"/>
      <c r="E34" s="443"/>
      <c r="F34" s="443"/>
      <c r="G34" s="443"/>
      <c r="H34" s="443"/>
      <c r="I34" s="443"/>
      <c r="J34" s="443"/>
      <c r="K34" s="443"/>
      <c r="L34" s="443"/>
      <c r="M34" s="443"/>
      <c r="N34" s="444"/>
    </row>
    <row r="35" spans="1:14" ht="15" customHeight="1" x14ac:dyDescent="0.25">
      <c r="A35" s="408"/>
      <c r="B35" s="391"/>
      <c r="C35" s="442"/>
      <c r="D35" s="443"/>
      <c r="E35" s="443"/>
      <c r="F35" s="443"/>
      <c r="G35" s="443"/>
      <c r="H35" s="443"/>
      <c r="I35" s="443"/>
      <c r="J35" s="443"/>
      <c r="K35" s="443"/>
      <c r="L35" s="443"/>
      <c r="M35" s="443"/>
      <c r="N35" s="444"/>
    </row>
    <row r="36" spans="1:14" ht="15" customHeight="1" x14ac:dyDescent="0.25">
      <c r="A36" s="408"/>
      <c r="B36" s="391"/>
      <c r="C36" s="442"/>
      <c r="D36" s="443"/>
      <c r="E36" s="443"/>
      <c r="F36" s="443"/>
      <c r="G36" s="443"/>
      <c r="H36" s="443"/>
      <c r="I36" s="443"/>
      <c r="J36" s="443"/>
      <c r="K36" s="443"/>
      <c r="L36" s="443"/>
      <c r="M36" s="443"/>
      <c r="N36" s="444"/>
    </row>
    <row r="37" spans="1:14" ht="15" customHeight="1" x14ac:dyDescent="0.25">
      <c r="A37" s="408"/>
      <c r="B37" s="391"/>
      <c r="C37" s="442"/>
      <c r="D37" s="443"/>
      <c r="E37" s="443"/>
      <c r="F37" s="443"/>
      <c r="G37" s="443"/>
      <c r="H37" s="443"/>
      <c r="I37" s="443"/>
      <c r="J37" s="443"/>
      <c r="K37" s="443"/>
      <c r="L37" s="443"/>
      <c r="M37" s="443"/>
      <c r="N37" s="444"/>
    </row>
    <row r="38" spans="1:14" ht="15" customHeight="1" x14ac:dyDescent="0.25">
      <c r="A38" s="408"/>
      <c r="B38" s="391"/>
      <c r="C38" s="442"/>
      <c r="D38" s="443"/>
      <c r="E38" s="443"/>
      <c r="F38" s="443"/>
      <c r="G38" s="443"/>
      <c r="H38" s="443"/>
      <c r="I38" s="443"/>
      <c r="J38" s="443"/>
      <c r="K38" s="443"/>
      <c r="L38" s="443"/>
      <c r="M38" s="443"/>
      <c r="N38" s="444"/>
    </row>
    <row r="39" spans="1:14" ht="15" customHeight="1" x14ac:dyDescent="0.25">
      <c r="A39" s="408"/>
      <c r="B39" s="391"/>
      <c r="C39" s="442"/>
      <c r="D39" s="443"/>
      <c r="E39" s="443"/>
      <c r="F39" s="443"/>
      <c r="G39" s="443"/>
      <c r="H39" s="443"/>
      <c r="I39" s="443"/>
      <c r="J39" s="443"/>
      <c r="K39" s="443"/>
      <c r="L39" s="443"/>
      <c r="M39" s="443"/>
      <c r="N39" s="444"/>
    </row>
    <row r="40" spans="1:14" ht="15" customHeight="1" x14ac:dyDescent="0.25">
      <c r="A40" s="408"/>
      <c r="B40" s="391"/>
      <c r="C40" s="442"/>
      <c r="D40" s="443"/>
      <c r="E40" s="443"/>
      <c r="F40" s="443"/>
      <c r="G40" s="443"/>
      <c r="H40" s="443"/>
      <c r="I40" s="443"/>
      <c r="J40" s="443"/>
      <c r="K40" s="443"/>
      <c r="L40" s="443"/>
      <c r="M40" s="443"/>
      <c r="N40" s="444"/>
    </row>
    <row r="41" spans="1:14" ht="15" customHeight="1" x14ac:dyDescent="0.25">
      <c r="A41" s="408"/>
      <c r="B41" s="391"/>
      <c r="C41" s="442"/>
      <c r="D41" s="443"/>
      <c r="E41" s="443"/>
      <c r="F41" s="443"/>
      <c r="G41" s="443"/>
      <c r="H41" s="443"/>
      <c r="I41" s="443"/>
      <c r="J41" s="443"/>
      <c r="K41" s="443"/>
      <c r="L41" s="443"/>
      <c r="M41" s="443"/>
      <c r="N41" s="444"/>
    </row>
    <row r="42" spans="1:14" ht="15" customHeight="1" x14ac:dyDescent="0.25">
      <c r="A42" s="408"/>
      <c r="B42" s="391"/>
      <c r="C42" s="442"/>
      <c r="D42" s="443"/>
      <c r="E42" s="443"/>
      <c r="F42" s="443"/>
      <c r="G42" s="443"/>
      <c r="H42" s="443"/>
      <c r="I42" s="443"/>
      <c r="J42" s="443"/>
      <c r="K42" s="443"/>
      <c r="L42" s="443"/>
      <c r="M42" s="443"/>
      <c r="N42" s="444"/>
    </row>
    <row r="43" spans="1:14" ht="15" customHeight="1" x14ac:dyDescent="0.25">
      <c r="A43" s="408"/>
      <c r="B43" s="391"/>
      <c r="C43" s="442"/>
      <c r="D43" s="443"/>
      <c r="E43" s="443"/>
      <c r="F43" s="443"/>
      <c r="G43" s="443"/>
      <c r="H43" s="443"/>
      <c r="I43" s="443"/>
      <c r="J43" s="443"/>
      <c r="K43" s="443"/>
      <c r="L43" s="443"/>
      <c r="M43" s="443"/>
      <c r="N43" s="444"/>
    </row>
    <row r="44" spans="1:14" ht="15" customHeight="1" x14ac:dyDescent="0.25">
      <c r="A44" s="408"/>
      <c r="B44" s="391"/>
      <c r="C44" s="442"/>
      <c r="D44" s="443"/>
      <c r="E44" s="443"/>
      <c r="F44" s="443"/>
      <c r="G44" s="443"/>
      <c r="H44" s="443"/>
      <c r="I44" s="443"/>
      <c r="J44" s="443"/>
      <c r="K44" s="443"/>
      <c r="L44" s="443"/>
      <c r="M44" s="443"/>
      <c r="N44" s="444"/>
    </row>
    <row r="45" spans="1:14" ht="15" customHeight="1" x14ac:dyDescent="0.25">
      <c r="A45" s="408"/>
      <c r="B45" s="391"/>
      <c r="C45" s="442"/>
      <c r="D45" s="443"/>
      <c r="E45" s="443"/>
      <c r="F45" s="443"/>
      <c r="G45" s="443"/>
      <c r="H45" s="443"/>
      <c r="I45" s="443"/>
      <c r="J45" s="443"/>
      <c r="K45" s="443"/>
      <c r="L45" s="443"/>
      <c r="M45" s="443"/>
      <c r="N45" s="444"/>
    </row>
    <row r="46" spans="1:14" ht="15" customHeight="1" x14ac:dyDescent="0.25">
      <c r="A46" s="408"/>
      <c r="B46" s="391"/>
      <c r="C46" s="442"/>
      <c r="D46" s="443"/>
      <c r="E46" s="443"/>
      <c r="F46" s="443"/>
      <c r="G46" s="443"/>
      <c r="H46" s="443"/>
      <c r="I46" s="443"/>
      <c r="J46" s="443"/>
      <c r="K46" s="443"/>
      <c r="L46" s="443"/>
      <c r="M46" s="443"/>
      <c r="N46" s="444"/>
    </row>
    <row r="47" spans="1:14" ht="15" customHeight="1" x14ac:dyDescent="0.25">
      <c r="A47" s="408"/>
      <c r="B47" s="391"/>
      <c r="C47" s="442"/>
      <c r="D47" s="443"/>
      <c r="E47" s="443"/>
      <c r="F47" s="443"/>
      <c r="G47" s="443"/>
      <c r="H47" s="443"/>
      <c r="I47" s="443"/>
      <c r="J47" s="443"/>
      <c r="K47" s="443"/>
      <c r="L47" s="443"/>
      <c r="M47" s="443"/>
      <c r="N47" s="444"/>
    </row>
    <row r="48" spans="1:14" ht="15" customHeight="1" x14ac:dyDescent="0.25">
      <c r="A48" s="408"/>
      <c r="B48" s="391"/>
      <c r="C48" s="442"/>
      <c r="D48" s="443"/>
      <c r="E48" s="443"/>
      <c r="F48" s="443"/>
      <c r="G48" s="443"/>
      <c r="H48" s="443"/>
      <c r="I48" s="443"/>
      <c r="J48" s="443"/>
      <c r="K48" s="443"/>
      <c r="L48" s="443"/>
      <c r="M48" s="443"/>
      <c r="N48" s="444"/>
    </row>
    <row r="49" spans="1:14" ht="15" customHeight="1" x14ac:dyDescent="0.25">
      <c r="A49" s="408"/>
      <c r="B49" s="391"/>
      <c r="C49" s="442"/>
      <c r="D49" s="443"/>
      <c r="E49" s="443"/>
      <c r="F49" s="443"/>
      <c r="G49" s="443"/>
      <c r="H49" s="443"/>
      <c r="I49" s="443"/>
      <c r="J49" s="443"/>
      <c r="K49" s="443"/>
      <c r="L49" s="443"/>
      <c r="M49" s="443"/>
      <c r="N49" s="444"/>
    </row>
    <row r="50" spans="1:14" ht="15.75" customHeight="1" thickBot="1" x14ac:dyDescent="0.3">
      <c r="A50" s="409"/>
      <c r="B50" s="392"/>
      <c r="C50" s="442"/>
      <c r="D50" s="443"/>
      <c r="E50" s="443"/>
      <c r="F50" s="443"/>
      <c r="G50" s="443"/>
      <c r="H50" s="443"/>
      <c r="I50" s="443"/>
      <c r="J50" s="443"/>
      <c r="K50" s="443"/>
      <c r="L50" s="443"/>
      <c r="M50" s="443"/>
      <c r="N50" s="444"/>
    </row>
    <row r="51" spans="1:14" ht="15" customHeight="1" x14ac:dyDescent="0.25">
      <c r="A51" s="407">
        <v>3</v>
      </c>
      <c r="B51" s="390" t="str">
        <f>VLOOKUP(A51,PROPONENTES!$A$10:$B$42,2)</f>
        <v>CONSORCIO PARQUES KENNEDY 2024</v>
      </c>
      <c r="C51" s="439"/>
      <c r="D51" s="440"/>
      <c r="E51" s="440"/>
      <c r="F51" s="440"/>
      <c r="G51" s="440"/>
      <c r="H51" s="440"/>
      <c r="I51" s="440"/>
      <c r="J51" s="440"/>
      <c r="K51" s="440"/>
      <c r="L51" s="440"/>
      <c r="M51" s="440"/>
      <c r="N51" s="441"/>
    </row>
    <row r="52" spans="1:14" ht="15" customHeight="1" x14ac:dyDescent="0.25">
      <c r="A52" s="408"/>
      <c r="B52" s="391"/>
      <c r="C52" s="442"/>
      <c r="D52" s="443"/>
      <c r="E52" s="443"/>
      <c r="F52" s="443"/>
      <c r="G52" s="443"/>
      <c r="H52" s="443"/>
      <c r="I52" s="443"/>
      <c r="J52" s="443"/>
      <c r="K52" s="443"/>
      <c r="L52" s="443"/>
      <c r="M52" s="443"/>
      <c r="N52" s="444"/>
    </row>
    <row r="53" spans="1:14" ht="15" customHeight="1" x14ac:dyDescent="0.25">
      <c r="A53" s="408"/>
      <c r="B53" s="391"/>
      <c r="C53" s="442"/>
      <c r="D53" s="443"/>
      <c r="E53" s="443"/>
      <c r="F53" s="443"/>
      <c r="G53" s="443"/>
      <c r="H53" s="443"/>
      <c r="I53" s="443"/>
      <c r="J53" s="443"/>
      <c r="K53" s="443"/>
      <c r="L53" s="443"/>
      <c r="M53" s="443"/>
      <c r="N53" s="444"/>
    </row>
    <row r="54" spans="1:14" ht="15" customHeight="1" x14ac:dyDescent="0.25">
      <c r="A54" s="408"/>
      <c r="B54" s="391"/>
      <c r="C54" s="442"/>
      <c r="D54" s="443"/>
      <c r="E54" s="443"/>
      <c r="F54" s="443"/>
      <c r="G54" s="443"/>
      <c r="H54" s="443"/>
      <c r="I54" s="443"/>
      <c r="J54" s="443"/>
      <c r="K54" s="443"/>
      <c r="L54" s="443"/>
      <c r="M54" s="443"/>
      <c r="N54" s="444"/>
    </row>
    <row r="55" spans="1:14" ht="15" customHeight="1" x14ac:dyDescent="0.25">
      <c r="A55" s="408"/>
      <c r="B55" s="391"/>
      <c r="C55" s="442"/>
      <c r="D55" s="443"/>
      <c r="E55" s="443"/>
      <c r="F55" s="443"/>
      <c r="G55" s="443"/>
      <c r="H55" s="443"/>
      <c r="I55" s="443"/>
      <c r="J55" s="443"/>
      <c r="K55" s="443"/>
      <c r="L55" s="443"/>
      <c r="M55" s="443"/>
      <c r="N55" s="444"/>
    </row>
    <row r="56" spans="1:14" ht="15" customHeight="1" x14ac:dyDescent="0.25">
      <c r="A56" s="408"/>
      <c r="B56" s="391"/>
      <c r="C56" s="442"/>
      <c r="D56" s="443"/>
      <c r="E56" s="443"/>
      <c r="F56" s="443"/>
      <c r="G56" s="443"/>
      <c r="H56" s="443"/>
      <c r="I56" s="443"/>
      <c r="J56" s="443"/>
      <c r="K56" s="443"/>
      <c r="L56" s="443"/>
      <c r="M56" s="443"/>
      <c r="N56" s="444"/>
    </row>
    <row r="57" spans="1:14" ht="15" customHeight="1" x14ac:dyDescent="0.25">
      <c r="A57" s="408"/>
      <c r="B57" s="391"/>
      <c r="C57" s="442"/>
      <c r="D57" s="443"/>
      <c r="E57" s="443"/>
      <c r="F57" s="443"/>
      <c r="G57" s="443"/>
      <c r="H57" s="443"/>
      <c r="I57" s="443"/>
      <c r="J57" s="443"/>
      <c r="K57" s="443"/>
      <c r="L57" s="443"/>
      <c r="M57" s="443"/>
      <c r="N57" s="444"/>
    </row>
    <row r="58" spans="1:14" ht="15" customHeight="1" x14ac:dyDescent="0.25">
      <c r="A58" s="408"/>
      <c r="B58" s="391"/>
      <c r="C58" s="442"/>
      <c r="D58" s="443"/>
      <c r="E58" s="443"/>
      <c r="F58" s="443"/>
      <c r="G58" s="443"/>
      <c r="H58" s="443"/>
      <c r="I58" s="443"/>
      <c r="J58" s="443"/>
      <c r="K58" s="443"/>
      <c r="L58" s="443"/>
      <c r="M58" s="443"/>
      <c r="N58" s="444"/>
    </row>
    <row r="59" spans="1:14" ht="15" customHeight="1" x14ac:dyDescent="0.25">
      <c r="A59" s="408"/>
      <c r="B59" s="391"/>
      <c r="C59" s="442"/>
      <c r="D59" s="443"/>
      <c r="E59" s="443"/>
      <c r="F59" s="443"/>
      <c r="G59" s="443"/>
      <c r="H59" s="443"/>
      <c r="I59" s="443"/>
      <c r="J59" s="443"/>
      <c r="K59" s="443"/>
      <c r="L59" s="443"/>
      <c r="M59" s="443"/>
      <c r="N59" s="444"/>
    </row>
    <row r="60" spans="1:14" ht="15" customHeight="1" x14ac:dyDescent="0.25">
      <c r="A60" s="408"/>
      <c r="B60" s="391"/>
      <c r="C60" s="442"/>
      <c r="D60" s="443"/>
      <c r="E60" s="443"/>
      <c r="F60" s="443"/>
      <c r="G60" s="443"/>
      <c r="H60" s="443"/>
      <c r="I60" s="443"/>
      <c r="J60" s="443"/>
      <c r="K60" s="443"/>
      <c r="L60" s="443"/>
      <c r="M60" s="443"/>
      <c r="N60" s="444"/>
    </row>
    <row r="61" spans="1:14" ht="15" customHeight="1" x14ac:dyDescent="0.25">
      <c r="A61" s="408"/>
      <c r="B61" s="391"/>
      <c r="C61" s="442"/>
      <c r="D61" s="443"/>
      <c r="E61" s="443"/>
      <c r="F61" s="443"/>
      <c r="G61" s="443"/>
      <c r="H61" s="443"/>
      <c r="I61" s="443"/>
      <c r="J61" s="443"/>
      <c r="K61" s="443"/>
      <c r="L61" s="443"/>
      <c r="M61" s="443"/>
      <c r="N61" s="444"/>
    </row>
    <row r="62" spans="1:14" ht="15" customHeight="1" x14ac:dyDescent="0.25">
      <c r="A62" s="408"/>
      <c r="B62" s="391"/>
      <c r="C62" s="442"/>
      <c r="D62" s="443"/>
      <c r="E62" s="443"/>
      <c r="F62" s="443"/>
      <c r="G62" s="443"/>
      <c r="H62" s="443"/>
      <c r="I62" s="443"/>
      <c r="J62" s="443"/>
      <c r="K62" s="443"/>
      <c r="L62" s="443"/>
      <c r="M62" s="443"/>
      <c r="N62" s="444"/>
    </row>
    <row r="63" spans="1:14" ht="15" customHeight="1" x14ac:dyDescent="0.25">
      <c r="A63" s="408"/>
      <c r="B63" s="391"/>
      <c r="C63" s="442"/>
      <c r="D63" s="443"/>
      <c r="E63" s="443"/>
      <c r="F63" s="443"/>
      <c r="G63" s="443"/>
      <c r="H63" s="443"/>
      <c r="I63" s="443"/>
      <c r="J63" s="443"/>
      <c r="K63" s="443"/>
      <c r="L63" s="443"/>
      <c r="M63" s="443"/>
      <c r="N63" s="444"/>
    </row>
    <row r="64" spans="1:14" ht="15" customHeight="1" x14ac:dyDescent="0.25">
      <c r="A64" s="408"/>
      <c r="B64" s="391"/>
      <c r="C64" s="442"/>
      <c r="D64" s="443"/>
      <c r="E64" s="443"/>
      <c r="F64" s="443"/>
      <c r="G64" s="443"/>
      <c r="H64" s="443"/>
      <c r="I64" s="443"/>
      <c r="J64" s="443"/>
      <c r="K64" s="443"/>
      <c r="L64" s="443"/>
      <c r="M64" s="443"/>
      <c r="N64" s="444"/>
    </row>
    <row r="65" spans="1:14" ht="15" customHeight="1" x14ac:dyDescent="0.25">
      <c r="A65" s="408"/>
      <c r="B65" s="391"/>
      <c r="C65" s="442"/>
      <c r="D65" s="443"/>
      <c r="E65" s="443"/>
      <c r="F65" s="443"/>
      <c r="G65" s="443"/>
      <c r="H65" s="443"/>
      <c r="I65" s="443"/>
      <c r="J65" s="443"/>
      <c r="K65" s="443"/>
      <c r="L65" s="443"/>
      <c r="M65" s="443"/>
      <c r="N65" s="444"/>
    </row>
    <row r="66" spans="1:14" ht="15" customHeight="1" x14ac:dyDescent="0.25">
      <c r="A66" s="408"/>
      <c r="B66" s="391"/>
      <c r="C66" s="442"/>
      <c r="D66" s="443"/>
      <c r="E66" s="443"/>
      <c r="F66" s="443"/>
      <c r="G66" s="443"/>
      <c r="H66" s="443"/>
      <c r="I66" s="443"/>
      <c r="J66" s="443"/>
      <c r="K66" s="443"/>
      <c r="L66" s="443"/>
      <c r="M66" s="443"/>
      <c r="N66" s="444"/>
    </row>
    <row r="67" spans="1:14" ht="15" customHeight="1" x14ac:dyDescent="0.25">
      <c r="A67" s="408"/>
      <c r="B67" s="391"/>
      <c r="C67" s="442"/>
      <c r="D67" s="443"/>
      <c r="E67" s="443"/>
      <c r="F67" s="443"/>
      <c r="G67" s="443"/>
      <c r="H67" s="443"/>
      <c r="I67" s="443"/>
      <c r="J67" s="443"/>
      <c r="K67" s="443"/>
      <c r="L67" s="443"/>
      <c r="M67" s="443"/>
      <c r="N67" s="444"/>
    </row>
    <row r="68" spans="1:14" ht="15" customHeight="1" x14ac:dyDescent="0.25">
      <c r="A68" s="408"/>
      <c r="B68" s="391"/>
      <c r="C68" s="442"/>
      <c r="D68" s="443"/>
      <c r="E68" s="443"/>
      <c r="F68" s="443"/>
      <c r="G68" s="443"/>
      <c r="H68" s="443"/>
      <c r="I68" s="443"/>
      <c r="J68" s="443"/>
      <c r="K68" s="443"/>
      <c r="L68" s="443"/>
      <c r="M68" s="443"/>
      <c r="N68" s="444"/>
    </row>
    <row r="69" spans="1:14" ht="15" customHeight="1" x14ac:dyDescent="0.25">
      <c r="A69" s="408"/>
      <c r="B69" s="391"/>
      <c r="C69" s="442"/>
      <c r="D69" s="443"/>
      <c r="E69" s="443"/>
      <c r="F69" s="443"/>
      <c r="G69" s="443"/>
      <c r="H69" s="443"/>
      <c r="I69" s="443"/>
      <c r="J69" s="443"/>
      <c r="K69" s="443"/>
      <c r="L69" s="443"/>
      <c r="M69" s="443"/>
      <c r="N69" s="444"/>
    </row>
    <row r="70" spans="1:14" ht="15" customHeight="1" x14ac:dyDescent="0.25">
      <c r="A70" s="408"/>
      <c r="B70" s="391"/>
      <c r="C70" s="442"/>
      <c r="D70" s="443"/>
      <c r="E70" s="443"/>
      <c r="F70" s="443"/>
      <c r="G70" s="443"/>
      <c r="H70" s="443"/>
      <c r="I70" s="443"/>
      <c r="J70" s="443"/>
      <c r="K70" s="443"/>
      <c r="L70" s="443"/>
      <c r="M70" s="443"/>
      <c r="N70" s="444"/>
    </row>
    <row r="71" spans="1:14" ht="15" customHeight="1" x14ac:dyDescent="0.25">
      <c r="A71" s="408"/>
      <c r="B71" s="391"/>
      <c r="C71" s="442"/>
      <c r="D71" s="443"/>
      <c r="E71" s="443"/>
      <c r="F71" s="443"/>
      <c r="G71" s="443"/>
      <c r="H71" s="443"/>
      <c r="I71" s="443"/>
      <c r="J71" s="443"/>
      <c r="K71" s="443"/>
      <c r="L71" s="443"/>
      <c r="M71" s="443"/>
      <c r="N71" s="444"/>
    </row>
    <row r="72" spans="1:14" ht="15" customHeight="1" x14ac:dyDescent="0.25">
      <c r="A72" s="408"/>
      <c r="B72" s="391"/>
      <c r="C72" s="442"/>
      <c r="D72" s="443"/>
      <c r="E72" s="443"/>
      <c r="F72" s="443"/>
      <c r="G72" s="443"/>
      <c r="H72" s="443"/>
      <c r="I72" s="443"/>
      <c r="J72" s="443"/>
      <c r="K72" s="443"/>
      <c r="L72" s="443"/>
      <c r="M72" s="443"/>
      <c r="N72" s="444"/>
    </row>
    <row r="73" spans="1:14" ht="15.75" customHeight="1" thickBot="1" x14ac:dyDescent="0.3">
      <c r="A73" s="409"/>
      <c r="B73" s="392"/>
      <c r="C73" s="442"/>
      <c r="D73" s="443"/>
      <c r="E73" s="443"/>
      <c r="F73" s="443"/>
      <c r="G73" s="443"/>
      <c r="H73" s="443"/>
      <c r="I73" s="443"/>
      <c r="J73" s="443"/>
      <c r="K73" s="443"/>
      <c r="L73" s="443"/>
      <c r="M73" s="443"/>
      <c r="N73" s="444"/>
    </row>
    <row r="74" spans="1:14" ht="15" customHeight="1" x14ac:dyDescent="0.25">
      <c r="A74" s="381">
        <v>4</v>
      </c>
      <c r="B74" s="390" t="str">
        <f>VLOOKUP(A74,PROPONENTES!$A$10:$B$42,2)</f>
        <v>MLG INGENIERIA SAS</v>
      </c>
      <c r="C74" s="439"/>
      <c r="D74" s="440"/>
      <c r="E74" s="440"/>
      <c r="F74" s="440"/>
      <c r="G74" s="440"/>
      <c r="H74" s="440"/>
      <c r="I74" s="440"/>
      <c r="J74" s="440"/>
      <c r="K74" s="440"/>
      <c r="L74" s="440"/>
      <c r="M74" s="440"/>
      <c r="N74" s="441"/>
    </row>
    <row r="75" spans="1:14" ht="15" customHeight="1" x14ac:dyDescent="0.25">
      <c r="A75" s="382"/>
      <c r="B75" s="391"/>
      <c r="C75" s="442"/>
      <c r="D75" s="443"/>
      <c r="E75" s="443"/>
      <c r="F75" s="443"/>
      <c r="G75" s="443"/>
      <c r="H75" s="443"/>
      <c r="I75" s="443"/>
      <c r="J75" s="443"/>
      <c r="K75" s="443"/>
      <c r="L75" s="443"/>
      <c r="M75" s="443"/>
      <c r="N75" s="444"/>
    </row>
    <row r="76" spans="1:14" ht="15" customHeight="1" x14ac:dyDescent="0.25">
      <c r="A76" s="382"/>
      <c r="B76" s="391"/>
      <c r="C76" s="442"/>
      <c r="D76" s="443"/>
      <c r="E76" s="443"/>
      <c r="F76" s="443"/>
      <c r="G76" s="443"/>
      <c r="H76" s="443"/>
      <c r="I76" s="443"/>
      <c r="J76" s="443"/>
      <c r="K76" s="443"/>
      <c r="L76" s="443"/>
      <c r="M76" s="443"/>
      <c r="N76" s="444"/>
    </row>
    <row r="77" spans="1:14" ht="15" customHeight="1" x14ac:dyDescent="0.25">
      <c r="A77" s="382"/>
      <c r="B77" s="391"/>
      <c r="C77" s="442"/>
      <c r="D77" s="443"/>
      <c r="E77" s="443"/>
      <c r="F77" s="443"/>
      <c r="G77" s="443"/>
      <c r="H77" s="443"/>
      <c r="I77" s="443"/>
      <c r="J77" s="443"/>
      <c r="K77" s="443"/>
      <c r="L77" s="443"/>
      <c r="M77" s="443"/>
      <c r="N77" s="444"/>
    </row>
    <row r="78" spans="1:14" ht="15" customHeight="1" x14ac:dyDescent="0.25">
      <c r="A78" s="382"/>
      <c r="B78" s="391"/>
      <c r="C78" s="442"/>
      <c r="D78" s="443"/>
      <c r="E78" s="443"/>
      <c r="F78" s="443"/>
      <c r="G78" s="443"/>
      <c r="H78" s="443"/>
      <c r="I78" s="443"/>
      <c r="J78" s="443"/>
      <c r="K78" s="443"/>
      <c r="L78" s="443"/>
      <c r="M78" s="443"/>
      <c r="N78" s="444"/>
    </row>
    <row r="79" spans="1:14" ht="15" customHeight="1" x14ac:dyDescent="0.25">
      <c r="A79" s="382"/>
      <c r="B79" s="391"/>
      <c r="C79" s="442"/>
      <c r="D79" s="443"/>
      <c r="E79" s="443"/>
      <c r="F79" s="443"/>
      <c r="G79" s="443"/>
      <c r="H79" s="443"/>
      <c r="I79" s="443"/>
      <c r="J79" s="443"/>
      <c r="K79" s="443"/>
      <c r="L79" s="443"/>
      <c r="M79" s="443"/>
      <c r="N79" s="444"/>
    </row>
    <row r="80" spans="1:14" ht="15" customHeight="1" x14ac:dyDescent="0.25">
      <c r="A80" s="382"/>
      <c r="B80" s="391"/>
      <c r="C80" s="442"/>
      <c r="D80" s="443"/>
      <c r="E80" s="443"/>
      <c r="F80" s="443"/>
      <c r="G80" s="443"/>
      <c r="H80" s="443"/>
      <c r="I80" s="443"/>
      <c r="J80" s="443"/>
      <c r="K80" s="443"/>
      <c r="L80" s="443"/>
      <c r="M80" s="443"/>
      <c r="N80" s="444"/>
    </row>
    <row r="81" spans="1:14" ht="15" customHeight="1" x14ac:dyDescent="0.25">
      <c r="A81" s="382"/>
      <c r="B81" s="391"/>
      <c r="C81" s="442"/>
      <c r="D81" s="443"/>
      <c r="E81" s="443"/>
      <c r="F81" s="443"/>
      <c r="G81" s="443"/>
      <c r="H81" s="443"/>
      <c r="I81" s="443"/>
      <c r="J81" s="443"/>
      <c r="K81" s="443"/>
      <c r="L81" s="443"/>
      <c r="M81" s="443"/>
      <c r="N81" s="444"/>
    </row>
    <row r="82" spans="1:14" ht="15" customHeight="1" x14ac:dyDescent="0.25">
      <c r="A82" s="382"/>
      <c r="B82" s="391"/>
      <c r="C82" s="442"/>
      <c r="D82" s="443"/>
      <c r="E82" s="443"/>
      <c r="F82" s="443"/>
      <c r="G82" s="443"/>
      <c r="H82" s="443"/>
      <c r="I82" s="443"/>
      <c r="J82" s="443"/>
      <c r="K82" s="443"/>
      <c r="L82" s="443"/>
      <c r="M82" s="443"/>
      <c r="N82" s="444"/>
    </row>
    <row r="83" spans="1:14" ht="15" customHeight="1" x14ac:dyDescent="0.25">
      <c r="A83" s="382"/>
      <c r="B83" s="391"/>
      <c r="C83" s="442"/>
      <c r="D83" s="443"/>
      <c r="E83" s="443"/>
      <c r="F83" s="443"/>
      <c r="G83" s="443"/>
      <c r="H83" s="443"/>
      <c r="I83" s="443"/>
      <c r="J83" s="443"/>
      <c r="K83" s="443"/>
      <c r="L83" s="443"/>
      <c r="M83" s="443"/>
      <c r="N83" s="444"/>
    </row>
    <row r="84" spans="1:14" ht="15" customHeight="1" x14ac:dyDescent="0.25">
      <c r="A84" s="382"/>
      <c r="B84" s="391"/>
      <c r="C84" s="442"/>
      <c r="D84" s="443"/>
      <c r="E84" s="443"/>
      <c r="F84" s="443"/>
      <c r="G84" s="443"/>
      <c r="H84" s="443"/>
      <c r="I84" s="443"/>
      <c r="J84" s="443"/>
      <c r="K84" s="443"/>
      <c r="L84" s="443"/>
      <c r="M84" s="443"/>
      <c r="N84" s="444"/>
    </row>
    <row r="85" spans="1:14" ht="15" customHeight="1" x14ac:dyDescent="0.25">
      <c r="A85" s="382"/>
      <c r="B85" s="391"/>
      <c r="C85" s="442"/>
      <c r="D85" s="443"/>
      <c r="E85" s="443"/>
      <c r="F85" s="443"/>
      <c r="G85" s="443"/>
      <c r="H85" s="443"/>
      <c r="I85" s="443"/>
      <c r="J85" s="443"/>
      <c r="K85" s="443"/>
      <c r="L85" s="443"/>
      <c r="M85" s="443"/>
      <c r="N85" s="444"/>
    </row>
    <row r="86" spans="1:14" ht="15" customHeight="1" x14ac:dyDescent="0.25">
      <c r="A86" s="382"/>
      <c r="B86" s="391"/>
      <c r="C86" s="442"/>
      <c r="D86" s="443"/>
      <c r="E86" s="443"/>
      <c r="F86" s="443"/>
      <c r="G86" s="443"/>
      <c r="H86" s="443"/>
      <c r="I86" s="443"/>
      <c r="J86" s="443"/>
      <c r="K86" s="443"/>
      <c r="L86" s="443"/>
      <c r="M86" s="443"/>
      <c r="N86" s="444"/>
    </row>
    <row r="87" spans="1:14" ht="15" customHeight="1" x14ac:dyDescent="0.25">
      <c r="A87" s="382"/>
      <c r="B87" s="391"/>
      <c r="C87" s="442"/>
      <c r="D87" s="443"/>
      <c r="E87" s="443"/>
      <c r="F87" s="443"/>
      <c r="G87" s="443"/>
      <c r="H87" s="443"/>
      <c r="I87" s="443"/>
      <c r="J87" s="443"/>
      <c r="K87" s="443"/>
      <c r="L87" s="443"/>
      <c r="M87" s="443"/>
      <c r="N87" s="444"/>
    </row>
    <row r="88" spans="1:14" ht="15" customHeight="1" x14ac:dyDescent="0.25">
      <c r="A88" s="382"/>
      <c r="B88" s="391"/>
      <c r="C88" s="442"/>
      <c r="D88" s="443"/>
      <c r="E88" s="443"/>
      <c r="F88" s="443"/>
      <c r="G88" s="443"/>
      <c r="H88" s="443"/>
      <c r="I88" s="443"/>
      <c r="J88" s="443"/>
      <c r="K88" s="443"/>
      <c r="L88" s="443"/>
      <c r="M88" s="443"/>
      <c r="N88" s="444"/>
    </row>
    <row r="89" spans="1:14" ht="15" customHeight="1" x14ac:dyDescent="0.25">
      <c r="A89" s="382"/>
      <c r="B89" s="391"/>
      <c r="C89" s="442"/>
      <c r="D89" s="443"/>
      <c r="E89" s="443"/>
      <c r="F89" s="443"/>
      <c r="G89" s="443"/>
      <c r="H89" s="443"/>
      <c r="I89" s="443"/>
      <c r="J89" s="443"/>
      <c r="K89" s="443"/>
      <c r="L89" s="443"/>
      <c r="M89" s="443"/>
      <c r="N89" s="444"/>
    </row>
    <row r="90" spans="1:14" ht="15" customHeight="1" x14ac:dyDescent="0.25">
      <c r="A90" s="382"/>
      <c r="B90" s="391"/>
      <c r="C90" s="442"/>
      <c r="D90" s="443"/>
      <c r="E90" s="443"/>
      <c r="F90" s="443"/>
      <c r="G90" s="443"/>
      <c r="H90" s="443"/>
      <c r="I90" s="443"/>
      <c r="J90" s="443"/>
      <c r="K90" s="443"/>
      <c r="L90" s="443"/>
      <c r="M90" s="443"/>
      <c r="N90" s="444"/>
    </row>
    <row r="91" spans="1:14" ht="15" customHeight="1" x14ac:dyDescent="0.25">
      <c r="A91" s="382"/>
      <c r="B91" s="391"/>
      <c r="C91" s="442"/>
      <c r="D91" s="443"/>
      <c r="E91" s="443"/>
      <c r="F91" s="443"/>
      <c r="G91" s="443"/>
      <c r="H91" s="443"/>
      <c r="I91" s="443"/>
      <c r="J91" s="443"/>
      <c r="K91" s="443"/>
      <c r="L91" s="443"/>
      <c r="M91" s="443"/>
      <c r="N91" s="444"/>
    </row>
    <row r="92" spans="1:14" ht="15" customHeight="1" x14ac:dyDescent="0.25">
      <c r="A92" s="382"/>
      <c r="B92" s="391"/>
      <c r="C92" s="442"/>
      <c r="D92" s="443"/>
      <c r="E92" s="443"/>
      <c r="F92" s="443"/>
      <c r="G92" s="443"/>
      <c r="H92" s="443"/>
      <c r="I92" s="443"/>
      <c r="J92" s="443"/>
      <c r="K92" s="443"/>
      <c r="L92" s="443"/>
      <c r="M92" s="443"/>
      <c r="N92" s="444"/>
    </row>
    <row r="93" spans="1:14" ht="15" customHeight="1" x14ac:dyDescent="0.25">
      <c r="A93" s="382"/>
      <c r="B93" s="391"/>
      <c r="C93" s="442"/>
      <c r="D93" s="443"/>
      <c r="E93" s="443"/>
      <c r="F93" s="443"/>
      <c r="G93" s="443"/>
      <c r="H93" s="443"/>
      <c r="I93" s="443"/>
      <c r="J93" s="443"/>
      <c r="K93" s="443"/>
      <c r="L93" s="443"/>
      <c r="M93" s="443"/>
      <c r="N93" s="444"/>
    </row>
    <row r="94" spans="1:14" ht="15" customHeight="1" x14ac:dyDescent="0.25">
      <c r="A94" s="382"/>
      <c r="B94" s="391"/>
      <c r="C94" s="442"/>
      <c r="D94" s="443"/>
      <c r="E94" s="443"/>
      <c r="F94" s="443"/>
      <c r="G94" s="443"/>
      <c r="H94" s="443"/>
      <c r="I94" s="443"/>
      <c r="J94" s="443"/>
      <c r="K94" s="443"/>
      <c r="L94" s="443"/>
      <c r="M94" s="443"/>
      <c r="N94" s="444"/>
    </row>
    <row r="95" spans="1:14" ht="15" customHeight="1" x14ac:dyDescent="0.25">
      <c r="A95" s="382"/>
      <c r="B95" s="391"/>
      <c r="C95" s="442"/>
      <c r="D95" s="443"/>
      <c r="E95" s="443"/>
      <c r="F95" s="443"/>
      <c r="G95" s="443"/>
      <c r="H95" s="443"/>
      <c r="I95" s="443"/>
      <c r="J95" s="443"/>
      <c r="K95" s="443"/>
      <c r="L95" s="443"/>
      <c r="M95" s="443"/>
      <c r="N95" s="444"/>
    </row>
    <row r="96" spans="1:14" ht="15.75" customHeight="1" thickBot="1" x14ac:dyDescent="0.3">
      <c r="A96" s="383"/>
      <c r="B96" s="392"/>
      <c r="C96" s="442"/>
      <c r="D96" s="443"/>
      <c r="E96" s="443"/>
      <c r="F96" s="443"/>
      <c r="G96" s="443"/>
      <c r="H96" s="443"/>
      <c r="I96" s="443"/>
      <c r="J96" s="443"/>
      <c r="K96" s="443"/>
      <c r="L96" s="443"/>
      <c r="M96" s="443"/>
      <c r="N96" s="444"/>
    </row>
    <row r="97" spans="1:14" ht="15" customHeight="1" x14ac:dyDescent="0.25">
      <c r="A97" s="381">
        <v>5</v>
      </c>
      <c r="B97" s="390" t="str">
        <f>VLOOKUP(A97,PROPONENTES!$A$10:$B$42,2)</f>
        <v>CONSORCIO PARQUES KENNEDY DP 2024</v>
      </c>
      <c r="C97" s="439" t="s">
        <v>584</v>
      </c>
      <c r="D97" s="440"/>
      <c r="E97" s="440"/>
      <c r="F97" s="440"/>
      <c r="G97" s="440"/>
      <c r="H97" s="440"/>
      <c r="I97" s="440"/>
      <c r="J97" s="440"/>
      <c r="K97" s="440"/>
      <c r="L97" s="440"/>
      <c r="M97" s="440"/>
      <c r="N97" s="441"/>
    </row>
    <row r="98" spans="1:14" ht="15" customHeight="1" x14ac:dyDescent="0.25">
      <c r="A98" s="382"/>
      <c r="B98" s="391"/>
      <c r="C98" s="442"/>
      <c r="D98" s="443"/>
      <c r="E98" s="443"/>
      <c r="F98" s="443"/>
      <c r="G98" s="443"/>
      <c r="H98" s="443"/>
      <c r="I98" s="443"/>
      <c r="J98" s="443"/>
      <c r="K98" s="443"/>
      <c r="L98" s="443"/>
      <c r="M98" s="443"/>
      <c r="N98" s="444"/>
    </row>
    <row r="99" spans="1:14" ht="15" customHeight="1" x14ac:dyDescent="0.25">
      <c r="A99" s="382"/>
      <c r="B99" s="391"/>
      <c r="C99" s="442"/>
      <c r="D99" s="443"/>
      <c r="E99" s="443"/>
      <c r="F99" s="443"/>
      <c r="G99" s="443"/>
      <c r="H99" s="443"/>
      <c r="I99" s="443"/>
      <c r="J99" s="443"/>
      <c r="K99" s="443"/>
      <c r="L99" s="443"/>
      <c r="M99" s="443"/>
      <c r="N99" s="444"/>
    </row>
    <row r="100" spans="1:14" ht="15" customHeight="1" x14ac:dyDescent="0.25">
      <c r="A100" s="382"/>
      <c r="B100" s="391"/>
      <c r="C100" s="442"/>
      <c r="D100" s="443"/>
      <c r="E100" s="443"/>
      <c r="F100" s="443"/>
      <c r="G100" s="443"/>
      <c r="H100" s="443"/>
      <c r="I100" s="443"/>
      <c r="J100" s="443"/>
      <c r="K100" s="443"/>
      <c r="L100" s="443"/>
      <c r="M100" s="443"/>
      <c r="N100" s="444"/>
    </row>
    <row r="101" spans="1:14" ht="15" customHeight="1" x14ac:dyDescent="0.25">
      <c r="A101" s="382"/>
      <c r="B101" s="391"/>
      <c r="C101" s="442"/>
      <c r="D101" s="443"/>
      <c r="E101" s="443"/>
      <c r="F101" s="443"/>
      <c r="G101" s="443"/>
      <c r="H101" s="443"/>
      <c r="I101" s="443"/>
      <c r="J101" s="443"/>
      <c r="K101" s="443"/>
      <c r="L101" s="443"/>
      <c r="M101" s="443"/>
      <c r="N101" s="444"/>
    </row>
    <row r="102" spans="1:14" ht="15" customHeight="1" x14ac:dyDescent="0.25">
      <c r="A102" s="382"/>
      <c r="B102" s="391"/>
      <c r="C102" s="442"/>
      <c r="D102" s="443"/>
      <c r="E102" s="443"/>
      <c r="F102" s="443"/>
      <c r="G102" s="443"/>
      <c r="H102" s="443"/>
      <c r="I102" s="443"/>
      <c r="J102" s="443"/>
      <c r="K102" s="443"/>
      <c r="L102" s="443"/>
      <c r="M102" s="443"/>
      <c r="N102" s="444"/>
    </row>
    <row r="103" spans="1:14" ht="15" customHeight="1" x14ac:dyDescent="0.25">
      <c r="A103" s="382"/>
      <c r="B103" s="391"/>
      <c r="C103" s="442"/>
      <c r="D103" s="443"/>
      <c r="E103" s="443"/>
      <c r="F103" s="443"/>
      <c r="G103" s="443"/>
      <c r="H103" s="443"/>
      <c r="I103" s="443"/>
      <c r="J103" s="443"/>
      <c r="K103" s="443"/>
      <c r="L103" s="443"/>
      <c r="M103" s="443"/>
      <c r="N103" s="444"/>
    </row>
    <row r="104" spans="1:14" ht="15" customHeight="1" x14ac:dyDescent="0.25">
      <c r="A104" s="382"/>
      <c r="B104" s="391"/>
      <c r="C104" s="442"/>
      <c r="D104" s="443"/>
      <c r="E104" s="443"/>
      <c r="F104" s="443"/>
      <c r="G104" s="443"/>
      <c r="H104" s="443"/>
      <c r="I104" s="443"/>
      <c r="J104" s="443"/>
      <c r="K104" s="443"/>
      <c r="L104" s="443"/>
      <c r="M104" s="443"/>
      <c r="N104" s="444"/>
    </row>
    <row r="105" spans="1:14" ht="15" customHeight="1" x14ac:dyDescent="0.25">
      <c r="A105" s="382"/>
      <c r="B105" s="391"/>
      <c r="C105" s="442"/>
      <c r="D105" s="443"/>
      <c r="E105" s="443"/>
      <c r="F105" s="443"/>
      <c r="G105" s="443"/>
      <c r="H105" s="443"/>
      <c r="I105" s="443"/>
      <c r="J105" s="443"/>
      <c r="K105" s="443"/>
      <c r="L105" s="443"/>
      <c r="M105" s="443"/>
      <c r="N105" s="444"/>
    </row>
    <row r="106" spans="1:14" ht="15" customHeight="1" x14ac:dyDescent="0.25">
      <c r="A106" s="382"/>
      <c r="B106" s="391"/>
      <c r="C106" s="442"/>
      <c r="D106" s="443"/>
      <c r="E106" s="443"/>
      <c r="F106" s="443"/>
      <c r="G106" s="443"/>
      <c r="H106" s="443"/>
      <c r="I106" s="443"/>
      <c r="J106" s="443"/>
      <c r="K106" s="443"/>
      <c r="L106" s="443"/>
      <c r="M106" s="443"/>
      <c r="N106" s="444"/>
    </row>
    <row r="107" spans="1:14" ht="15" customHeight="1" x14ac:dyDescent="0.25">
      <c r="A107" s="382"/>
      <c r="B107" s="391"/>
      <c r="C107" s="442"/>
      <c r="D107" s="443"/>
      <c r="E107" s="443"/>
      <c r="F107" s="443"/>
      <c r="G107" s="443"/>
      <c r="H107" s="443"/>
      <c r="I107" s="443"/>
      <c r="J107" s="443"/>
      <c r="K107" s="443"/>
      <c r="L107" s="443"/>
      <c r="M107" s="443"/>
      <c r="N107" s="444"/>
    </row>
    <row r="108" spans="1:14" ht="15" customHeight="1" x14ac:dyDescent="0.25">
      <c r="A108" s="382"/>
      <c r="B108" s="391"/>
      <c r="C108" s="442"/>
      <c r="D108" s="443"/>
      <c r="E108" s="443"/>
      <c r="F108" s="443"/>
      <c r="G108" s="443"/>
      <c r="H108" s="443"/>
      <c r="I108" s="443"/>
      <c r="J108" s="443"/>
      <c r="K108" s="443"/>
      <c r="L108" s="443"/>
      <c r="M108" s="443"/>
      <c r="N108" s="444"/>
    </row>
    <row r="109" spans="1:14" ht="15" customHeight="1" x14ac:dyDescent="0.25">
      <c r="A109" s="382"/>
      <c r="B109" s="391"/>
      <c r="C109" s="442"/>
      <c r="D109" s="443"/>
      <c r="E109" s="443"/>
      <c r="F109" s="443"/>
      <c r="G109" s="443"/>
      <c r="H109" s="443"/>
      <c r="I109" s="443"/>
      <c r="J109" s="443"/>
      <c r="K109" s="443"/>
      <c r="L109" s="443"/>
      <c r="M109" s="443"/>
      <c r="N109" s="444"/>
    </row>
    <row r="110" spans="1:14" ht="15" customHeight="1" x14ac:dyDescent="0.25">
      <c r="A110" s="382"/>
      <c r="B110" s="391"/>
      <c r="C110" s="442"/>
      <c r="D110" s="443"/>
      <c r="E110" s="443"/>
      <c r="F110" s="443"/>
      <c r="G110" s="443"/>
      <c r="H110" s="443"/>
      <c r="I110" s="443"/>
      <c r="J110" s="443"/>
      <c r="K110" s="443"/>
      <c r="L110" s="443"/>
      <c r="M110" s="443"/>
      <c r="N110" s="444"/>
    </row>
    <row r="111" spans="1:14" ht="15" customHeight="1" x14ac:dyDescent="0.25">
      <c r="A111" s="382"/>
      <c r="B111" s="391"/>
      <c r="C111" s="442"/>
      <c r="D111" s="443"/>
      <c r="E111" s="443"/>
      <c r="F111" s="443"/>
      <c r="G111" s="443"/>
      <c r="H111" s="443"/>
      <c r="I111" s="443"/>
      <c r="J111" s="443"/>
      <c r="K111" s="443"/>
      <c r="L111" s="443"/>
      <c r="M111" s="443"/>
      <c r="N111" s="444"/>
    </row>
    <row r="112" spans="1:14" ht="15" customHeight="1" x14ac:dyDescent="0.25">
      <c r="A112" s="382"/>
      <c r="B112" s="391"/>
      <c r="C112" s="442"/>
      <c r="D112" s="443"/>
      <c r="E112" s="443"/>
      <c r="F112" s="443"/>
      <c r="G112" s="443"/>
      <c r="H112" s="443"/>
      <c r="I112" s="443"/>
      <c r="J112" s="443"/>
      <c r="K112" s="443"/>
      <c r="L112" s="443"/>
      <c r="M112" s="443"/>
      <c r="N112" s="444"/>
    </row>
    <row r="113" spans="1:14" ht="15" customHeight="1" x14ac:dyDescent="0.25">
      <c r="A113" s="382"/>
      <c r="B113" s="391"/>
      <c r="C113" s="442"/>
      <c r="D113" s="443"/>
      <c r="E113" s="443"/>
      <c r="F113" s="443"/>
      <c r="G113" s="443"/>
      <c r="H113" s="443"/>
      <c r="I113" s="443"/>
      <c r="J113" s="443"/>
      <c r="K113" s="443"/>
      <c r="L113" s="443"/>
      <c r="M113" s="443"/>
      <c r="N113" s="444"/>
    </row>
    <row r="114" spans="1:14" ht="15" customHeight="1" x14ac:dyDescent="0.25">
      <c r="A114" s="382"/>
      <c r="B114" s="391"/>
      <c r="C114" s="442"/>
      <c r="D114" s="443"/>
      <c r="E114" s="443"/>
      <c r="F114" s="443"/>
      <c r="G114" s="443"/>
      <c r="H114" s="443"/>
      <c r="I114" s="443"/>
      <c r="J114" s="443"/>
      <c r="K114" s="443"/>
      <c r="L114" s="443"/>
      <c r="M114" s="443"/>
      <c r="N114" s="444"/>
    </row>
    <row r="115" spans="1:14" ht="15" customHeight="1" x14ac:dyDescent="0.25">
      <c r="A115" s="382"/>
      <c r="B115" s="391"/>
      <c r="C115" s="442"/>
      <c r="D115" s="443"/>
      <c r="E115" s="443"/>
      <c r="F115" s="443"/>
      <c r="G115" s="443"/>
      <c r="H115" s="443"/>
      <c r="I115" s="443"/>
      <c r="J115" s="443"/>
      <c r="K115" s="443"/>
      <c r="L115" s="443"/>
      <c r="M115" s="443"/>
      <c r="N115" s="444"/>
    </row>
    <row r="116" spans="1:14" ht="15" customHeight="1" x14ac:dyDescent="0.25">
      <c r="A116" s="382"/>
      <c r="B116" s="391"/>
      <c r="C116" s="442"/>
      <c r="D116" s="443"/>
      <c r="E116" s="443"/>
      <c r="F116" s="443"/>
      <c r="G116" s="443"/>
      <c r="H116" s="443"/>
      <c r="I116" s="443"/>
      <c r="J116" s="443"/>
      <c r="K116" s="443"/>
      <c r="L116" s="443"/>
      <c r="M116" s="443"/>
      <c r="N116" s="444"/>
    </row>
    <row r="117" spans="1:14" ht="15" customHeight="1" x14ac:dyDescent="0.25">
      <c r="A117" s="382"/>
      <c r="B117" s="391"/>
      <c r="C117" s="442"/>
      <c r="D117" s="443"/>
      <c r="E117" s="443"/>
      <c r="F117" s="443"/>
      <c r="G117" s="443"/>
      <c r="H117" s="443"/>
      <c r="I117" s="443"/>
      <c r="J117" s="443"/>
      <c r="K117" s="443"/>
      <c r="L117" s="443"/>
      <c r="M117" s="443"/>
      <c r="N117" s="444"/>
    </row>
    <row r="118" spans="1:14" ht="15" customHeight="1" x14ac:dyDescent="0.25">
      <c r="A118" s="382"/>
      <c r="B118" s="391"/>
      <c r="C118" s="442"/>
      <c r="D118" s="443"/>
      <c r="E118" s="443"/>
      <c r="F118" s="443"/>
      <c r="G118" s="443"/>
      <c r="H118" s="443"/>
      <c r="I118" s="443"/>
      <c r="J118" s="443"/>
      <c r="K118" s="443"/>
      <c r="L118" s="443"/>
      <c r="M118" s="443"/>
      <c r="N118" s="444"/>
    </row>
    <row r="119" spans="1:14" ht="15.75" customHeight="1" thickBot="1" x14ac:dyDescent="0.3">
      <c r="A119" s="383"/>
      <c r="B119" s="392"/>
      <c r="C119" s="442"/>
      <c r="D119" s="443"/>
      <c r="E119" s="443"/>
      <c r="F119" s="443"/>
      <c r="G119" s="443"/>
      <c r="H119" s="443"/>
      <c r="I119" s="443"/>
      <c r="J119" s="443"/>
      <c r="K119" s="443"/>
      <c r="L119" s="443"/>
      <c r="M119" s="443"/>
      <c r="N119" s="444"/>
    </row>
    <row r="120" spans="1:14" ht="15" customHeight="1" x14ac:dyDescent="0.25">
      <c r="A120" s="381">
        <v>6</v>
      </c>
      <c r="B120" s="390" t="str">
        <f>VLOOKUP(A120,PROPONENTES!$A$10:$B$42,2)</f>
        <v>CONSORCIO PARQUES KENNEDY 2024 - 1</v>
      </c>
      <c r="C120" s="439"/>
      <c r="D120" s="440"/>
      <c r="E120" s="440"/>
      <c r="F120" s="440"/>
      <c r="G120" s="440"/>
      <c r="H120" s="440"/>
      <c r="I120" s="440"/>
      <c r="J120" s="440"/>
      <c r="K120" s="440"/>
      <c r="L120" s="440"/>
      <c r="M120" s="440"/>
      <c r="N120" s="441"/>
    </row>
    <row r="121" spans="1:14" ht="15" customHeight="1" x14ac:dyDescent="0.25">
      <c r="A121" s="382"/>
      <c r="B121" s="391"/>
      <c r="C121" s="442"/>
      <c r="D121" s="443"/>
      <c r="E121" s="443"/>
      <c r="F121" s="443"/>
      <c r="G121" s="443"/>
      <c r="H121" s="443"/>
      <c r="I121" s="443"/>
      <c r="J121" s="443"/>
      <c r="K121" s="443"/>
      <c r="L121" s="443"/>
      <c r="M121" s="443"/>
      <c r="N121" s="444"/>
    </row>
    <row r="122" spans="1:14" ht="15" customHeight="1" x14ac:dyDescent="0.25">
      <c r="A122" s="382"/>
      <c r="B122" s="391"/>
      <c r="C122" s="442"/>
      <c r="D122" s="443"/>
      <c r="E122" s="443"/>
      <c r="F122" s="443"/>
      <c r="G122" s="443"/>
      <c r="H122" s="443"/>
      <c r="I122" s="443"/>
      <c r="J122" s="443"/>
      <c r="K122" s="443"/>
      <c r="L122" s="443"/>
      <c r="M122" s="443"/>
      <c r="N122" s="444"/>
    </row>
    <row r="123" spans="1:14" ht="15" customHeight="1" x14ac:dyDescent="0.25">
      <c r="A123" s="382"/>
      <c r="B123" s="391"/>
      <c r="C123" s="442"/>
      <c r="D123" s="443"/>
      <c r="E123" s="443"/>
      <c r="F123" s="443"/>
      <c r="G123" s="443"/>
      <c r="H123" s="443"/>
      <c r="I123" s="443"/>
      <c r="J123" s="443"/>
      <c r="K123" s="443"/>
      <c r="L123" s="443"/>
      <c r="M123" s="443"/>
      <c r="N123" s="444"/>
    </row>
    <row r="124" spans="1:14" ht="15" customHeight="1" x14ac:dyDescent="0.25">
      <c r="A124" s="382"/>
      <c r="B124" s="391"/>
      <c r="C124" s="442"/>
      <c r="D124" s="443"/>
      <c r="E124" s="443"/>
      <c r="F124" s="443"/>
      <c r="G124" s="443"/>
      <c r="H124" s="443"/>
      <c r="I124" s="443"/>
      <c r="J124" s="443"/>
      <c r="K124" s="443"/>
      <c r="L124" s="443"/>
      <c r="M124" s="443"/>
      <c r="N124" s="444"/>
    </row>
    <row r="125" spans="1:14" ht="15" customHeight="1" x14ac:dyDescent="0.25">
      <c r="A125" s="382"/>
      <c r="B125" s="391"/>
      <c r="C125" s="442"/>
      <c r="D125" s="443"/>
      <c r="E125" s="443"/>
      <c r="F125" s="443"/>
      <c r="G125" s="443"/>
      <c r="H125" s="443"/>
      <c r="I125" s="443"/>
      <c r="J125" s="443"/>
      <c r="K125" s="443"/>
      <c r="L125" s="443"/>
      <c r="M125" s="443"/>
      <c r="N125" s="444"/>
    </row>
    <row r="126" spans="1:14" ht="15" customHeight="1" x14ac:dyDescent="0.25">
      <c r="A126" s="382"/>
      <c r="B126" s="391"/>
      <c r="C126" s="442"/>
      <c r="D126" s="443"/>
      <c r="E126" s="443"/>
      <c r="F126" s="443"/>
      <c r="G126" s="443"/>
      <c r="H126" s="443"/>
      <c r="I126" s="443"/>
      <c r="J126" s="443"/>
      <c r="K126" s="443"/>
      <c r="L126" s="443"/>
      <c r="M126" s="443"/>
      <c r="N126" s="444"/>
    </row>
    <row r="127" spans="1:14" ht="15" customHeight="1" x14ac:dyDescent="0.25">
      <c r="A127" s="382"/>
      <c r="B127" s="391"/>
      <c r="C127" s="442"/>
      <c r="D127" s="443"/>
      <c r="E127" s="443"/>
      <c r="F127" s="443"/>
      <c r="G127" s="443"/>
      <c r="H127" s="443"/>
      <c r="I127" s="443"/>
      <c r="J127" s="443"/>
      <c r="K127" s="443"/>
      <c r="L127" s="443"/>
      <c r="M127" s="443"/>
      <c r="N127" s="444"/>
    </row>
    <row r="128" spans="1:14" ht="15" customHeight="1" x14ac:dyDescent="0.25">
      <c r="A128" s="382"/>
      <c r="B128" s="391"/>
      <c r="C128" s="442"/>
      <c r="D128" s="443"/>
      <c r="E128" s="443"/>
      <c r="F128" s="443"/>
      <c r="G128" s="443"/>
      <c r="H128" s="443"/>
      <c r="I128" s="443"/>
      <c r="J128" s="443"/>
      <c r="K128" s="443"/>
      <c r="L128" s="443"/>
      <c r="M128" s="443"/>
      <c r="N128" s="444"/>
    </row>
    <row r="129" spans="1:14" ht="15" customHeight="1" x14ac:dyDescent="0.25">
      <c r="A129" s="382"/>
      <c r="B129" s="391"/>
      <c r="C129" s="442"/>
      <c r="D129" s="443"/>
      <c r="E129" s="443"/>
      <c r="F129" s="443"/>
      <c r="G129" s="443"/>
      <c r="H129" s="443"/>
      <c r="I129" s="443"/>
      <c r="J129" s="443"/>
      <c r="K129" s="443"/>
      <c r="L129" s="443"/>
      <c r="M129" s="443"/>
      <c r="N129" s="444"/>
    </row>
    <row r="130" spans="1:14" ht="15" customHeight="1" x14ac:dyDescent="0.25">
      <c r="A130" s="382"/>
      <c r="B130" s="391"/>
      <c r="C130" s="442"/>
      <c r="D130" s="443"/>
      <c r="E130" s="443"/>
      <c r="F130" s="443"/>
      <c r="G130" s="443"/>
      <c r="H130" s="443"/>
      <c r="I130" s="443"/>
      <c r="J130" s="443"/>
      <c r="K130" s="443"/>
      <c r="L130" s="443"/>
      <c r="M130" s="443"/>
      <c r="N130" s="444"/>
    </row>
    <row r="131" spans="1:14" ht="15" customHeight="1" x14ac:dyDescent="0.25">
      <c r="A131" s="382"/>
      <c r="B131" s="391"/>
      <c r="C131" s="442"/>
      <c r="D131" s="443"/>
      <c r="E131" s="443"/>
      <c r="F131" s="443"/>
      <c r="G131" s="443"/>
      <c r="H131" s="443"/>
      <c r="I131" s="443"/>
      <c r="J131" s="443"/>
      <c r="K131" s="443"/>
      <c r="L131" s="443"/>
      <c r="M131" s="443"/>
      <c r="N131" s="444"/>
    </row>
    <row r="132" spans="1:14" ht="15" customHeight="1" x14ac:dyDescent="0.25">
      <c r="A132" s="382"/>
      <c r="B132" s="391"/>
      <c r="C132" s="442"/>
      <c r="D132" s="443"/>
      <c r="E132" s="443"/>
      <c r="F132" s="443"/>
      <c r="G132" s="443"/>
      <c r="H132" s="443"/>
      <c r="I132" s="443"/>
      <c r="J132" s="443"/>
      <c r="K132" s="443"/>
      <c r="L132" s="443"/>
      <c r="M132" s="443"/>
      <c r="N132" s="444"/>
    </row>
    <row r="133" spans="1:14" ht="15" customHeight="1" x14ac:dyDescent="0.25">
      <c r="A133" s="382"/>
      <c r="B133" s="391"/>
      <c r="C133" s="442"/>
      <c r="D133" s="443"/>
      <c r="E133" s="443"/>
      <c r="F133" s="443"/>
      <c r="G133" s="443"/>
      <c r="H133" s="443"/>
      <c r="I133" s="443"/>
      <c r="J133" s="443"/>
      <c r="K133" s="443"/>
      <c r="L133" s="443"/>
      <c r="M133" s="443"/>
      <c r="N133" s="444"/>
    </row>
    <row r="134" spans="1:14" ht="15" customHeight="1" x14ac:dyDescent="0.25">
      <c r="A134" s="382"/>
      <c r="B134" s="391"/>
      <c r="C134" s="442"/>
      <c r="D134" s="443"/>
      <c r="E134" s="443"/>
      <c r="F134" s="443"/>
      <c r="G134" s="443"/>
      <c r="H134" s="443"/>
      <c r="I134" s="443"/>
      <c r="J134" s="443"/>
      <c r="K134" s="443"/>
      <c r="L134" s="443"/>
      <c r="M134" s="443"/>
      <c r="N134" s="444"/>
    </row>
    <row r="135" spans="1:14" ht="15" customHeight="1" x14ac:dyDescent="0.25">
      <c r="A135" s="382"/>
      <c r="B135" s="391"/>
      <c r="C135" s="442"/>
      <c r="D135" s="443"/>
      <c r="E135" s="443"/>
      <c r="F135" s="443"/>
      <c r="G135" s="443"/>
      <c r="H135" s="443"/>
      <c r="I135" s="443"/>
      <c r="J135" s="443"/>
      <c r="K135" s="443"/>
      <c r="L135" s="443"/>
      <c r="M135" s="443"/>
      <c r="N135" s="444"/>
    </row>
    <row r="136" spans="1:14" ht="15" customHeight="1" x14ac:dyDescent="0.25">
      <c r="A136" s="382"/>
      <c r="B136" s="391"/>
      <c r="C136" s="442"/>
      <c r="D136" s="443"/>
      <c r="E136" s="443"/>
      <c r="F136" s="443"/>
      <c r="G136" s="443"/>
      <c r="H136" s="443"/>
      <c r="I136" s="443"/>
      <c r="J136" s="443"/>
      <c r="K136" s="443"/>
      <c r="L136" s="443"/>
      <c r="M136" s="443"/>
      <c r="N136" s="444"/>
    </row>
    <row r="137" spans="1:14" ht="15" customHeight="1" x14ac:dyDescent="0.25">
      <c r="A137" s="382"/>
      <c r="B137" s="391"/>
      <c r="C137" s="442"/>
      <c r="D137" s="443"/>
      <c r="E137" s="443"/>
      <c r="F137" s="443"/>
      <c r="G137" s="443"/>
      <c r="H137" s="443"/>
      <c r="I137" s="443"/>
      <c r="J137" s="443"/>
      <c r="K137" s="443"/>
      <c r="L137" s="443"/>
      <c r="M137" s="443"/>
      <c r="N137" s="444"/>
    </row>
    <row r="138" spans="1:14" ht="15" customHeight="1" x14ac:dyDescent="0.25">
      <c r="A138" s="382"/>
      <c r="B138" s="391"/>
      <c r="C138" s="442"/>
      <c r="D138" s="443"/>
      <c r="E138" s="443"/>
      <c r="F138" s="443"/>
      <c r="G138" s="443"/>
      <c r="H138" s="443"/>
      <c r="I138" s="443"/>
      <c r="J138" s="443"/>
      <c r="K138" s="443"/>
      <c r="L138" s="443"/>
      <c r="M138" s="443"/>
      <c r="N138" s="444"/>
    </row>
    <row r="139" spans="1:14" ht="15" customHeight="1" x14ac:dyDescent="0.25">
      <c r="A139" s="382"/>
      <c r="B139" s="391"/>
      <c r="C139" s="442"/>
      <c r="D139" s="443"/>
      <c r="E139" s="443"/>
      <c r="F139" s="443"/>
      <c r="G139" s="443"/>
      <c r="H139" s="443"/>
      <c r="I139" s="443"/>
      <c r="J139" s="443"/>
      <c r="K139" s="443"/>
      <c r="L139" s="443"/>
      <c r="M139" s="443"/>
      <c r="N139" s="444"/>
    </row>
    <row r="140" spans="1:14" ht="15" customHeight="1" x14ac:dyDescent="0.25">
      <c r="A140" s="382"/>
      <c r="B140" s="391"/>
      <c r="C140" s="442"/>
      <c r="D140" s="443"/>
      <c r="E140" s="443"/>
      <c r="F140" s="443"/>
      <c r="G140" s="443"/>
      <c r="H140" s="443"/>
      <c r="I140" s="443"/>
      <c r="J140" s="443"/>
      <c r="K140" s="443"/>
      <c r="L140" s="443"/>
      <c r="M140" s="443"/>
      <c r="N140" s="444"/>
    </row>
    <row r="141" spans="1:14" ht="15" customHeight="1" x14ac:dyDescent="0.25">
      <c r="A141" s="382"/>
      <c r="B141" s="391"/>
      <c r="C141" s="442"/>
      <c r="D141" s="443"/>
      <c r="E141" s="443"/>
      <c r="F141" s="443"/>
      <c r="G141" s="443"/>
      <c r="H141" s="443"/>
      <c r="I141" s="443"/>
      <c r="J141" s="443"/>
      <c r="K141" s="443"/>
      <c r="L141" s="443"/>
      <c r="M141" s="443"/>
      <c r="N141" s="444"/>
    </row>
    <row r="142" spans="1:14" ht="15.75" customHeight="1" thickBot="1" x14ac:dyDescent="0.3">
      <c r="A142" s="383"/>
      <c r="B142" s="392"/>
      <c r="C142" s="442"/>
      <c r="D142" s="443"/>
      <c r="E142" s="443"/>
      <c r="F142" s="443"/>
      <c r="G142" s="443"/>
      <c r="H142" s="443"/>
      <c r="I142" s="443"/>
      <c r="J142" s="443"/>
      <c r="K142" s="443"/>
      <c r="L142" s="443"/>
      <c r="M142" s="443"/>
      <c r="N142" s="444"/>
    </row>
    <row r="143" spans="1:14" ht="15" customHeight="1" x14ac:dyDescent="0.25">
      <c r="A143" s="381">
        <v>7</v>
      </c>
      <c r="B143" s="390" t="str">
        <f>VLOOKUP(A143,PROPONENTES!$A$10:$B$42,2)</f>
        <v>RETIN INGENIERIA S.A.S.</v>
      </c>
      <c r="C143" s="439"/>
      <c r="D143" s="440"/>
      <c r="E143" s="440"/>
      <c r="F143" s="440"/>
      <c r="G143" s="440"/>
      <c r="H143" s="440"/>
      <c r="I143" s="440"/>
      <c r="J143" s="440"/>
      <c r="K143" s="440"/>
      <c r="L143" s="440"/>
      <c r="M143" s="440"/>
      <c r="N143" s="441"/>
    </row>
    <row r="144" spans="1:14" ht="15" customHeight="1" x14ac:dyDescent="0.25">
      <c r="A144" s="382"/>
      <c r="B144" s="391"/>
      <c r="C144" s="442"/>
      <c r="D144" s="443"/>
      <c r="E144" s="443"/>
      <c r="F144" s="443"/>
      <c r="G144" s="443"/>
      <c r="H144" s="443"/>
      <c r="I144" s="443"/>
      <c r="J144" s="443"/>
      <c r="K144" s="443"/>
      <c r="L144" s="443"/>
      <c r="M144" s="443"/>
      <c r="N144" s="444"/>
    </row>
    <row r="145" spans="1:14" ht="15" customHeight="1" x14ac:dyDescent="0.25">
      <c r="A145" s="382"/>
      <c r="B145" s="391"/>
      <c r="C145" s="442"/>
      <c r="D145" s="443"/>
      <c r="E145" s="443"/>
      <c r="F145" s="443"/>
      <c r="G145" s="443"/>
      <c r="H145" s="443"/>
      <c r="I145" s="443"/>
      <c r="J145" s="443"/>
      <c r="K145" s="443"/>
      <c r="L145" s="443"/>
      <c r="M145" s="443"/>
      <c r="N145" s="444"/>
    </row>
    <row r="146" spans="1:14" ht="15" customHeight="1" x14ac:dyDescent="0.25">
      <c r="A146" s="382"/>
      <c r="B146" s="391"/>
      <c r="C146" s="442"/>
      <c r="D146" s="443"/>
      <c r="E146" s="443"/>
      <c r="F146" s="443"/>
      <c r="G146" s="443"/>
      <c r="H146" s="443"/>
      <c r="I146" s="443"/>
      <c r="J146" s="443"/>
      <c r="K146" s="443"/>
      <c r="L146" s="443"/>
      <c r="M146" s="443"/>
      <c r="N146" s="444"/>
    </row>
    <row r="147" spans="1:14" ht="15" customHeight="1" x14ac:dyDescent="0.25">
      <c r="A147" s="382"/>
      <c r="B147" s="391"/>
      <c r="C147" s="442"/>
      <c r="D147" s="443"/>
      <c r="E147" s="443"/>
      <c r="F147" s="443"/>
      <c r="G147" s="443"/>
      <c r="H147" s="443"/>
      <c r="I147" s="443"/>
      <c r="J147" s="443"/>
      <c r="K147" s="443"/>
      <c r="L147" s="443"/>
      <c r="M147" s="443"/>
      <c r="N147" s="444"/>
    </row>
    <row r="148" spans="1:14" ht="15" customHeight="1" x14ac:dyDescent="0.25">
      <c r="A148" s="382"/>
      <c r="B148" s="391"/>
      <c r="C148" s="442"/>
      <c r="D148" s="443"/>
      <c r="E148" s="443"/>
      <c r="F148" s="443"/>
      <c r="G148" s="443"/>
      <c r="H148" s="443"/>
      <c r="I148" s="443"/>
      <c r="J148" s="443"/>
      <c r="K148" s="443"/>
      <c r="L148" s="443"/>
      <c r="M148" s="443"/>
      <c r="N148" s="444"/>
    </row>
    <row r="149" spans="1:14" ht="15" customHeight="1" x14ac:dyDescent="0.25">
      <c r="A149" s="382"/>
      <c r="B149" s="391"/>
      <c r="C149" s="442"/>
      <c r="D149" s="443"/>
      <c r="E149" s="443"/>
      <c r="F149" s="443"/>
      <c r="G149" s="443"/>
      <c r="H149" s="443"/>
      <c r="I149" s="443"/>
      <c r="J149" s="443"/>
      <c r="K149" s="443"/>
      <c r="L149" s="443"/>
      <c r="M149" s="443"/>
      <c r="N149" s="444"/>
    </row>
    <row r="150" spans="1:14" ht="15" customHeight="1" x14ac:dyDescent="0.25">
      <c r="A150" s="382"/>
      <c r="B150" s="391"/>
      <c r="C150" s="442"/>
      <c r="D150" s="443"/>
      <c r="E150" s="443"/>
      <c r="F150" s="443"/>
      <c r="G150" s="443"/>
      <c r="H150" s="443"/>
      <c r="I150" s="443"/>
      <c r="J150" s="443"/>
      <c r="K150" s="443"/>
      <c r="L150" s="443"/>
      <c r="M150" s="443"/>
      <c r="N150" s="444"/>
    </row>
    <row r="151" spans="1:14" ht="15" customHeight="1" x14ac:dyDescent="0.25">
      <c r="A151" s="382"/>
      <c r="B151" s="391"/>
      <c r="C151" s="442"/>
      <c r="D151" s="443"/>
      <c r="E151" s="443"/>
      <c r="F151" s="443"/>
      <c r="G151" s="443"/>
      <c r="H151" s="443"/>
      <c r="I151" s="443"/>
      <c r="J151" s="443"/>
      <c r="K151" s="443"/>
      <c r="L151" s="443"/>
      <c r="M151" s="443"/>
      <c r="N151" s="444"/>
    </row>
    <row r="152" spans="1:14" ht="15" customHeight="1" x14ac:dyDescent="0.25">
      <c r="A152" s="382"/>
      <c r="B152" s="391"/>
      <c r="C152" s="442"/>
      <c r="D152" s="443"/>
      <c r="E152" s="443"/>
      <c r="F152" s="443"/>
      <c r="G152" s="443"/>
      <c r="H152" s="443"/>
      <c r="I152" s="443"/>
      <c r="J152" s="443"/>
      <c r="K152" s="443"/>
      <c r="L152" s="443"/>
      <c r="M152" s="443"/>
      <c r="N152" s="444"/>
    </row>
    <row r="153" spans="1:14" ht="15" customHeight="1" x14ac:dyDescent="0.25">
      <c r="A153" s="382"/>
      <c r="B153" s="391"/>
      <c r="C153" s="442"/>
      <c r="D153" s="443"/>
      <c r="E153" s="443"/>
      <c r="F153" s="443"/>
      <c r="G153" s="443"/>
      <c r="H153" s="443"/>
      <c r="I153" s="443"/>
      <c r="J153" s="443"/>
      <c r="K153" s="443"/>
      <c r="L153" s="443"/>
      <c r="M153" s="443"/>
      <c r="N153" s="444"/>
    </row>
    <row r="154" spans="1:14" ht="15" customHeight="1" x14ac:dyDescent="0.25">
      <c r="A154" s="382"/>
      <c r="B154" s="391"/>
      <c r="C154" s="442"/>
      <c r="D154" s="443"/>
      <c r="E154" s="443"/>
      <c r="F154" s="443"/>
      <c r="G154" s="443"/>
      <c r="H154" s="443"/>
      <c r="I154" s="443"/>
      <c r="J154" s="443"/>
      <c r="K154" s="443"/>
      <c r="L154" s="443"/>
      <c r="M154" s="443"/>
      <c r="N154" s="444"/>
    </row>
    <row r="155" spans="1:14" ht="15" customHeight="1" x14ac:dyDescent="0.25">
      <c r="A155" s="382"/>
      <c r="B155" s="391"/>
      <c r="C155" s="442"/>
      <c r="D155" s="443"/>
      <c r="E155" s="443"/>
      <c r="F155" s="443"/>
      <c r="G155" s="443"/>
      <c r="H155" s="443"/>
      <c r="I155" s="443"/>
      <c r="J155" s="443"/>
      <c r="K155" s="443"/>
      <c r="L155" s="443"/>
      <c r="M155" s="443"/>
      <c r="N155" s="444"/>
    </row>
    <row r="156" spans="1:14" ht="15" customHeight="1" x14ac:dyDescent="0.25">
      <c r="A156" s="382"/>
      <c r="B156" s="391"/>
      <c r="C156" s="442"/>
      <c r="D156" s="443"/>
      <c r="E156" s="443"/>
      <c r="F156" s="443"/>
      <c r="G156" s="443"/>
      <c r="H156" s="443"/>
      <c r="I156" s="443"/>
      <c r="J156" s="443"/>
      <c r="K156" s="443"/>
      <c r="L156" s="443"/>
      <c r="M156" s="443"/>
      <c r="N156" s="444"/>
    </row>
    <row r="157" spans="1:14" ht="15" customHeight="1" x14ac:dyDescent="0.25">
      <c r="A157" s="382"/>
      <c r="B157" s="391"/>
      <c r="C157" s="442"/>
      <c r="D157" s="443"/>
      <c r="E157" s="443"/>
      <c r="F157" s="443"/>
      <c r="G157" s="443"/>
      <c r="H157" s="443"/>
      <c r="I157" s="443"/>
      <c r="J157" s="443"/>
      <c r="K157" s="443"/>
      <c r="L157" s="443"/>
      <c r="M157" s="443"/>
      <c r="N157" s="444"/>
    </row>
    <row r="158" spans="1:14" ht="15" customHeight="1" x14ac:dyDescent="0.25">
      <c r="A158" s="382"/>
      <c r="B158" s="391"/>
      <c r="C158" s="442"/>
      <c r="D158" s="443"/>
      <c r="E158" s="443"/>
      <c r="F158" s="443"/>
      <c r="G158" s="443"/>
      <c r="H158" s="443"/>
      <c r="I158" s="443"/>
      <c r="J158" s="443"/>
      <c r="K158" s="443"/>
      <c r="L158" s="443"/>
      <c r="M158" s="443"/>
      <c r="N158" s="444"/>
    </row>
    <row r="159" spans="1:14" ht="15" customHeight="1" x14ac:dyDescent="0.25">
      <c r="A159" s="382"/>
      <c r="B159" s="391"/>
      <c r="C159" s="442"/>
      <c r="D159" s="443"/>
      <c r="E159" s="443"/>
      <c r="F159" s="443"/>
      <c r="G159" s="443"/>
      <c r="H159" s="443"/>
      <c r="I159" s="443"/>
      <c r="J159" s="443"/>
      <c r="K159" s="443"/>
      <c r="L159" s="443"/>
      <c r="M159" s="443"/>
      <c r="N159" s="444"/>
    </row>
    <row r="160" spans="1:14" ht="15" customHeight="1" x14ac:dyDescent="0.25">
      <c r="A160" s="382"/>
      <c r="B160" s="391"/>
      <c r="C160" s="442"/>
      <c r="D160" s="443"/>
      <c r="E160" s="443"/>
      <c r="F160" s="443"/>
      <c r="G160" s="443"/>
      <c r="H160" s="443"/>
      <c r="I160" s="443"/>
      <c r="J160" s="443"/>
      <c r="K160" s="443"/>
      <c r="L160" s="443"/>
      <c r="M160" s="443"/>
      <c r="N160" s="444"/>
    </row>
    <row r="161" spans="1:14" ht="15" customHeight="1" x14ac:dyDescent="0.25">
      <c r="A161" s="382"/>
      <c r="B161" s="391"/>
      <c r="C161" s="442"/>
      <c r="D161" s="443"/>
      <c r="E161" s="443"/>
      <c r="F161" s="443"/>
      <c r="G161" s="443"/>
      <c r="H161" s="443"/>
      <c r="I161" s="443"/>
      <c r="J161" s="443"/>
      <c r="K161" s="443"/>
      <c r="L161" s="443"/>
      <c r="M161" s="443"/>
      <c r="N161" s="444"/>
    </row>
    <row r="162" spans="1:14" ht="15" customHeight="1" x14ac:dyDescent="0.25">
      <c r="A162" s="382"/>
      <c r="B162" s="391"/>
      <c r="C162" s="442"/>
      <c r="D162" s="443"/>
      <c r="E162" s="443"/>
      <c r="F162" s="443"/>
      <c r="G162" s="443"/>
      <c r="H162" s="443"/>
      <c r="I162" s="443"/>
      <c r="J162" s="443"/>
      <c r="K162" s="443"/>
      <c r="L162" s="443"/>
      <c r="M162" s="443"/>
      <c r="N162" s="444"/>
    </row>
    <row r="163" spans="1:14" ht="15" customHeight="1" x14ac:dyDescent="0.25">
      <c r="A163" s="382"/>
      <c r="B163" s="391"/>
      <c r="C163" s="442"/>
      <c r="D163" s="443"/>
      <c r="E163" s="443"/>
      <c r="F163" s="443"/>
      <c r="G163" s="443"/>
      <c r="H163" s="443"/>
      <c r="I163" s="443"/>
      <c r="J163" s="443"/>
      <c r="K163" s="443"/>
      <c r="L163" s="443"/>
      <c r="M163" s="443"/>
      <c r="N163" s="444"/>
    </row>
    <row r="164" spans="1:14" ht="15" customHeight="1" x14ac:dyDescent="0.25">
      <c r="A164" s="382"/>
      <c r="B164" s="391"/>
      <c r="C164" s="442"/>
      <c r="D164" s="443"/>
      <c r="E164" s="443"/>
      <c r="F164" s="443"/>
      <c r="G164" s="443"/>
      <c r="H164" s="443"/>
      <c r="I164" s="443"/>
      <c r="J164" s="443"/>
      <c r="K164" s="443"/>
      <c r="L164" s="443"/>
      <c r="M164" s="443"/>
      <c r="N164" s="444"/>
    </row>
    <row r="165" spans="1:14" ht="15.75" customHeight="1" thickBot="1" x14ac:dyDescent="0.3">
      <c r="A165" s="383"/>
      <c r="B165" s="392"/>
      <c r="C165" s="442"/>
      <c r="D165" s="443"/>
      <c r="E165" s="443"/>
      <c r="F165" s="443"/>
      <c r="G165" s="443"/>
      <c r="H165" s="443"/>
      <c r="I165" s="443"/>
      <c r="J165" s="443"/>
      <c r="K165" s="443"/>
      <c r="L165" s="443"/>
      <c r="M165" s="443"/>
      <c r="N165" s="444"/>
    </row>
    <row r="166" spans="1:14" ht="15" customHeight="1" x14ac:dyDescent="0.25">
      <c r="A166" s="381">
        <v>8</v>
      </c>
      <c r="B166" s="390" t="str">
        <f>VLOOKUP(A166,PROPONENTES!$A$10:$B$42,2)</f>
        <v>UNION TEMPORAL PARQUES DJ13</v>
      </c>
      <c r="C166" s="439"/>
      <c r="D166" s="440"/>
      <c r="E166" s="440"/>
      <c r="F166" s="440"/>
      <c r="G166" s="440"/>
      <c r="H166" s="440"/>
      <c r="I166" s="440"/>
      <c r="J166" s="440"/>
      <c r="K166" s="440"/>
      <c r="L166" s="440"/>
      <c r="M166" s="440"/>
      <c r="N166" s="441"/>
    </row>
    <row r="167" spans="1:14" ht="15" customHeight="1" x14ac:dyDescent="0.25">
      <c r="A167" s="382"/>
      <c r="B167" s="391"/>
      <c r="C167" s="442"/>
      <c r="D167" s="443"/>
      <c r="E167" s="443"/>
      <c r="F167" s="443"/>
      <c r="G167" s="443"/>
      <c r="H167" s="443"/>
      <c r="I167" s="443"/>
      <c r="J167" s="443"/>
      <c r="K167" s="443"/>
      <c r="L167" s="443"/>
      <c r="M167" s="443"/>
      <c r="N167" s="444"/>
    </row>
    <row r="168" spans="1:14" ht="15" customHeight="1" x14ac:dyDescent="0.25">
      <c r="A168" s="382"/>
      <c r="B168" s="391"/>
      <c r="C168" s="442"/>
      <c r="D168" s="443"/>
      <c r="E168" s="443"/>
      <c r="F168" s="443"/>
      <c r="G168" s="443"/>
      <c r="H168" s="443"/>
      <c r="I168" s="443"/>
      <c r="J168" s="443"/>
      <c r="K168" s="443"/>
      <c r="L168" s="443"/>
      <c r="M168" s="443"/>
      <c r="N168" s="444"/>
    </row>
    <row r="169" spans="1:14" ht="15" customHeight="1" x14ac:dyDescent="0.25">
      <c r="A169" s="382"/>
      <c r="B169" s="391"/>
      <c r="C169" s="442"/>
      <c r="D169" s="443"/>
      <c r="E169" s="443"/>
      <c r="F169" s="443"/>
      <c r="G169" s="443"/>
      <c r="H169" s="443"/>
      <c r="I169" s="443"/>
      <c r="J169" s="443"/>
      <c r="K169" s="443"/>
      <c r="L169" s="443"/>
      <c r="M169" s="443"/>
      <c r="N169" s="444"/>
    </row>
    <row r="170" spans="1:14" ht="15" customHeight="1" x14ac:dyDescent="0.25">
      <c r="A170" s="382"/>
      <c r="B170" s="391"/>
      <c r="C170" s="442"/>
      <c r="D170" s="443"/>
      <c r="E170" s="443"/>
      <c r="F170" s="443"/>
      <c r="G170" s="443"/>
      <c r="H170" s="443"/>
      <c r="I170" s="443"/>
      <c r="J170" s="443"/>
      <c r="K170" s="443"/>
      <c r="L170" s="443"/>
      <c r="M170" s="443"/>
      <c r="N170" s="444"/>
    </row>
    <row r="171" spans="1:14" ht="15" customHeight="1" x14ac:dyDescent="0.25">
      <c r="A171" s="382"/>
      <c r="B171" s="391"/>
      <c r="C171" s="442"/>
      <c r="D171" s="443"/>
      <c r="E171" s="443"/>
      <c r="F171" s="443"/>
      <c r="G171" s="443"/>
      <c r="H171" s="443"/>
      <c r="I171" s="443"/>
      <c r="J171" s="443"/>
      <c r="K171" s="443"/>
      <c r="L171" s="443"/>
      <c r="M171" s="443"/>
      <c r="N171" s="444"/>
    </row>
    <row r="172" spans="1:14" ht="15" customHeight="1" x14ac:dyDescent="0.25">
      <c r="A172" s="382"/>
      <c r="B172" s="391"/>
      <c r="C172" s="442"/>
      <c r="D172" s="443"/>
      <c r="E172" s="443"/>
      <c r="F172" s="443"/>
      <c r="G172" s="443"/>
      <c r="H172" s="443"/>
      <c r="I172" s="443"/>
      <c r="J172" s="443"/>
      <c r="K172" s="443"/>
      <c r="L172" s="443"/>
      <c r="M172" s="443"/>
      <c r="N172" s="444"/>
    </row>
    <row r="173" spans="1:14" ht="15" customHeight="1" x14ac:dyDescent="0.25">
      <c r="A173" s="382"/>
      <c r="B173" s="391"/>
      <c r="C173" s="442"/>
      <c r="D173" s="443"/>
      <c r="E173" s="443"/>
      <c r="F173" s="443"/>
      <c r="G173" s="443"/>
      <c r="H173" s="443"/>
      <c r="I173" s="443"/>
      <c r="J173" s="443"/>
      <c r="K173" s="443"/>
      <c r="L173" s="443"/>
      <c r="M173" s="443"/>
      <c r="N173" s="444"/>
    </row>
    <row r="174" spans="1:14" ht="15" customHeight="1" x14ac:dyDescent="0.25">
      <c r="A174" s="382"/>
      <c r="B174" s="391"/>
      <c r="C174" s="442"/>
      <c r="D174" s="443"/>
      <c r="E174" s="443"/>
      <c r="F174" s="443"/>
      <c r="G174" s="443"/>
      <c r="H174" s="443"/>
      <c r="I174" s="443"/>
      <c r="J174" s="443"/>
      <c r="K174" s="443"/>
      <c r="L174" s="443"/>
      <c r="M174" s="443"/>
      <c r="N174" s="444"/>
    </row>
    <row r="175" spans="1:14" ht="15" customHeight="1" x14ac:dyDescent="0.25">
      <c r="A175" s="382"/>
      <c r="B175" s="391"/>
      <c r="C175" s="442"/>
      <c r="D175" s="443"/>
      <c r="E175" s="443"/>
      <c r="F175" s="443"/>
      <c r="G175" s="443"/>
      <c r="H175" s="443"/>
      <c r="I175" s="443"/>
      <c r="J175" s="443"/>
      <c r="K175" s="443"/>
      <c r="L175" s="443"/>
      <c r="M175" s="443"/>
      <c r="N175" s="444"/>
    </row>
    <row r="176" spans="1:14" ht="15" customHeight="1" x14ac:dyDescent="0.25">
      <c r="A176" s="382"/>
      <c r="B176" s="391"/>
      <c r="C176" s="442"/>
      <c r="D176" s="443"/>
      <c r="E176" s="443"/>
      <c r="F176" s="443"/>
      <c r="G176" s="443"/>
      <c r="H176" s="443"/>
      <c r="I176" s="443"/>
      <c r="J176" s="443"/>
      <c r="K176" s="443"/>
      <c r="L176" s="443"/>
      <c r="M176" s="443"/>
      <c r="N176" s="444"/>
    </row>
    <row r="177" spans="1:14" ht="15" customHeight="1" x14ac:dyDescent="0.25">
      <c r="A177" s="382"/>
      <c r="B177" s="391"/>
      <c r="C177" s="442"/>
      <c r="D177" s="443"/>
      <c r="E177" s="443"/>
      <c r="F177" s="443"/>
      <c r="G177" s="443"/>
      <c r="H177" s="443"/>
      <c r="I177" s="443"/>
      <c r="J177" s="443"/>
      <c r="K177" s="443"/>
      <c r="L177" s="443"/>
      <c r="M177" s="443"/>
      <c r="N177" s="444"/>
    </row>
    <row r="178" spans="1:14" ht="15" customHeight="1" x14ac:dyDescent="0.25">
      <c r="A178" s="382"/>
      <c r="B178" s="391"/>
      <c r="C178" s="442"/>
      <c r="D178" s="443"/>
      <c r="E178" s="443"/>
      <c r="F178" s="443"/>
      <c r="G178" s="443"/>
      <c r="H178" s="443"/>
      <c r="I178" s="443"/>
      <c r="J178" s="443"/>
      <c r="K178" s="443"/>
      <c r="L178" s="443"/>
      <c r="M178" s="443"/>
      <c r="N178" s="444"/>
    </row>
    <row r="179" spans="1:14" ht="15" customHeight="1" x14ac:dyDescent="0.25">
      <c r="A179" s="382"/>
      <c r="B179" s="391"/>
      <c r="C179" s="442"/>
      <c r="D179" s="443"/>
      <c r="E179" s="443"/>
      <c r="F179" s="443"/>
      <c r="G179" s="443"/>
      <c r="H179" s="443"/>
      <c r="I179" s="443"/>
      <c r="J179" s="443"/>
      <c r="K179" s="443"/>
      <c r="L179" s="443"/>
      <c r="M179" s="443"/>
      <c r="N179" s="444"/>
    </row>
    <row r="180" spans="1:14" ht="15" customHeight="1" x14ac:dyDescent="0.25">
      <c r="A180" s="382"/>
      <c r="B180" s="391"/>
      <c r="C180" s="442"/>
      <c r="D180" s="443"/>
      <c r="E180" s="443"/>
      <c r="F180" s="443"/>
      <c r="G180" s="443"/>
      <c r="H180" s="443"/>
      <c r="I180" s="443"/>
      <c r="J180" s="443"/>
      <c r="K180" s="443"/>
      <c r="L180" s="443"/>
      <c r="M180" s="443"/>
      <c r="N180" s="444"/>
    </row>
    <row r="181" spans="1:14" ht="15" customHeight="1" x14ac:dyDescent="0.25">
      <c r="A181" s="382"/>
      <c r="B181" s="391"/>
      <c r="C181" s="442"/>
      <c r="D181" s="443"/>
      <c r="E181" s="443"/>
      <c r="F181" s="443"/>
      <c r="G181" s="443"/>
      <c r="H181" s="443"/>
      <c r="I181" s="443"/>
      <c r="J181" s="443"/>
      <c r="K181" s="443"/>
      <c r="L181" s="443"/>
      <c r="M181" s="443"/>
      <c r="N181" s="444"/>
    </row>
    <row r="182" spans="1:14" ht="15" customHeight="1" x14ac:dyDescent="0.25">
      <c r="A182" s="382"/>
      <c r="B182" s="391"/>
      <c r="C182" s="442"/>
      <c r="D182" s="443"/>
      <c r="E182" s="443"/>
      <c r="F182" s="443"/>
      <c r="G182" s="443"/>
      <c r="H182" s="443"/>
      <c r="I182" s="443"/>
      <c r="J182" s="443"/>
      <c r="K182" s="443"/>
      <c r="L182" s="443"/>
      <c r="M182" s="443"/>
      <c r="N182" s="444"/>
    </row>
    <row r="183" spans="1:14" ht="15" customHeight="1" x14ac:dyDescent="0.25">
      <c r="A183" s="382"/>
      <c r="B183" s="391"/>
      <c r="C183" s="442"/>
      <c r="D183" s="443"/>
      <c r="E183" s="443"/>
      <c r="F183" s="443"/>
      <c r="G183" s="443"/>
      <c r="H183" s="443"/>
      <c r="I183" s="443"/>
      <c r="J183" s="443"/>
      <c r="K183" s="443"/>
      <c r="L183" s="443"/>
      <c r="M183" s="443"/>
      <c r="N183" s="444"/>
    </row>
    <row r="184" spans="1:14" ht="15" customHeight="1" x14ac:dyDescent="0.25">
      <c r="A184" s="382"/>
      <c r="B184" s="391"/>
      <c r="C184" s="442"/>
      <c r="D184" s="443"/>
      <c r="E184" s="443"/>
      <c r="F184" s="443"/>
      <c r="G184" s="443"/>
      <c r="H184" s="443"/>
      <c r="I184" s="443"/>
      <c r="J184" s="443"/>
      <c r="K184" s="443"/>
      <c r="L184" s="443"/>
      <c r="M184" s="443"/>
      <c r="N184" s="444"/>
    </row>
    <row r="185" spans="1:14" ht="15" customHeight="1" x14ac:dyDescent="0.25">
      <c r="A185" s="382"/>
      <c r="B185" s="391"/>
      <c r="C185" s="442"/>
      <c r="D185" s="443"/>
      <c r="E185" s="443"/>
      <c r="F185" s="443"/>
      <c r="G185" s="443"/>
      <c r="H185" s="443"/>
      <c r="I185" s="443"/>
      <c r="J185" s="443"/>
      <c r="K185" s="443"/>
      <c r="L185" s="443"/>
      <c r="M185" s="443"/>
      <c r="N185" s="444"/>
    </row>
    <row r="186" spans="1:14" ht="15" customHeight="1" x14ac:dyDescent="0.25">
      <c r="A186" s="382"/>
      <c r="B186" s="391"/>
      <c r="C186" s="442"/>
      <c r="D186" s="443"/>
      <c r="E186" s="443"/>
      <c r="F186" s="443"/>
      <c r="G186" s="443"/>
      <c r="H186" s="443"/>
      <c r="I186" s="443"/>
      <c r="J186" s="443"/>
      <c r="K186" s="443"/>
      <c r="L186" s="443"/>
      <c r="M186" s="443"/>
      <c r="N186" s="444"/>
    </row>
    <row r="187" spans="1:14" ht="15" customHeight="1" x14ac:dyDescent="0.25">
      <c r="A187" s="382"/>
      <c r="B187" s="391"/>
      <c r="C187" s="442"/>
      <c r="D187" s="443"/>
      <c r="E187" s="443"/>
      <c r="F187" s="443"/>
      <c r="G187" s="443"/>
      <c r="H187" s="443"/>
      <c r="I187" s="443"/>
      <c r="J187" s="443"/>
      <c r="K187" s="443"/>
      <c r="L187" s="443"/>
      <c r="M187" s="443"/>
      <c r="N187" s="444"/>
    </row>
    <row r="188" spans="1:14" ht="15.75" customHeight="1" thickBot="1" x14ac:dyDescent="0.3">
      <c r="A188" s="383"/>
      <c r="B188" s="392"/>
      <c r="C188" s="442"/>
      <c r="D188" s="443"/>
      <c r="E188" s="443"/>
      <c r="F188" s="443"/>
      <c r="G188" s="443"/>
      <c r="H188" s="443"/>
      <c r="I188" s="443"/>
      <c r="J188" s="443"/>
      <c r="K188" s="443"/>
      <c r="L188" s="443"/>
      <c r="M188" s="443"/>
      <c r="N188" s="444"/>
    </row>
    <row r="189" spans="1:14" ht="15" customHeight="1" x14ac:dyDescent="0.25">
      <c r="A189" s="381">
        <v>9</v>
      </c>
      <c r="B189" s="390" t="str">
        <f>VLOOKUP(A189,PROPONENTES!$A$10:$B$42,2)</f>
        <v xml:space="preserve">CONSORCIO PARQUES CHM 2024	</v>
      </c>
      <c r="C189" s="439"/>
      <c r="D189" s="440"/>
      <c r="E189" s="440"/>
      <c r="F189" s="440"/>
      <c r="G189" s="440"/>
      <c r="H189" s="440"/>
      <c r="I189" s="440"/>
      <c r="J189" s="440"/>
      <c r="K189" s="440"/>
      <c r="L189" s="440"/>
      <c r="M189" s="440"/>
      <c r="N189" s="441"/>
    </row>
    <row r="190" spans="1:14" ht="15" customHeight="1" x14ac:dyDescent="0.25">
      <c r="A190" s="382"/>
      <c r="B190" s="391"/>
      <c r="C190" s="442"/>
      <c r="D190" s="443"/>
      <c r="E190" s="443"/>
      <c r="F190" s="443"/>
      <c r="G190" s="443"/>
      <c r="H190" s="443"/>
      <c r="I190" s="443"/>
      <c r="J190" s="443"/>
      <c r="K190" s="443"/>
      <c r="L190" s="443"/>
      <c r="M190" s="443"/>
      <c r="N190" s="444"/>
    </row>
    <row r="191" spans="1:14" ht="15" customHeight="1" x14ac:dyDescent="0.25">
      <c r="A191" s="382"/>
      <c r="B191" s="391"/>
      <c r="C191" s="442"/>
      <c r="D191" s="443"/>
      <c r="E191" s="443"/>
      <c r="F191" s="443"/>
      <c r="G191" s="443"/>
      <c r="H191" s="443"/>
      <c r="I191" s="443"/>
      <c r="J191" s="443"/>
      <c r="K191" s="443"/>
      <c r="L191" s="443"/>
      <c r="M191" s="443"/>
      <c r="N191" s="444"/>
    </row>
    <row r="192" spans="1:14" ht="15" customHeight="1" x14ac:dyDescent="0.25">
      <c r="A192" s="382"/>
      <c r="B192" s="391"/>
      <c r="C192" s="442"/>
      <c r="D192" s="443"/>
      <c r="E192" s="443"/>
      <c r="F192" s="443"/>
      <c r="G192" s="443"/>
      <c r="H192" s="443"/>
      <c r="I192" s="443"/>
      <c r="J192" s="443"/>
      <c r="K192" s="443"/>
      <c r="L192" s="443"/>
      <c r="M192" s="443"/>
      <c r="N192" s="444"/>
    </row>
    <row r="193" spans="1:14" ht="15" customHeight="1" x14ac:dyDescent="0.25">
      <c r="A193" s="382"/>
      <c r="B193" s="391"/>
      <c r="C193" s="442"/>
      <c r="D193" s="443"/>
      <c r="E193" s="443"/>
      <c r="F193" s="443"/>
      <c r="G193" s="443"/>
      <c r="H193" s="443"/>
      <c r="I193" s="443"/>
      <c r="J193" s="443"/>
      <c r="K193" s="443"/>
      <c r="L193" s="443"/>
      <c r="M193" s="443"/>
      <c r="N193" s="444"/>
    </row>
    <row r="194" spans="1:14" ht="15" customHeight="1" x14ac:dyDescent="0.25">
      <c r="A194" s="382"/>
      <c r="B194" s="391"/>
      <c r="C194" s="442"/>
      <c r="D194" s="443"/>
      <c r="E194" s="443"/>
      <c r="F194" s="443"/>
      <c r="G194" s="443"/>
      <c r="H194" s="443"/>
      <c r="I194" s="443"/>
      <c r="J194" s="443"/>
      <c r="K194" s="443"/>
      <c r="L194" s="443"/>
      <c r="M194" s="443"/>
      <c r="N194" s="444"/>
    </row>
    <row r="195" spans="1:14" ht="15" customHeight="1" x14ac:dyDescent="0.25">
      <c r="A195" s="382"/>
      <c r="B195" s="391"/>
      <c r="C195" s="442"/>
      <c r="D195" s="443"/>
      <c r="E195" s="443"/>
      <c r="F195" s="443"/>
      <c r="G195" s="443"/>
      <c r="H195" s="443"/>
      <c r="I195" s="443"/>
      <c r="J195" s="443"/>
      <c r="K195" s="443"/>
      <c r="L195" s="443"/>
      <c r="M195" s="443"/>
      <c r="N195" s="444"/>
    </row>
    <row r="196" spans="1:14" ht="15" customHeight="1" x14ac:dyDescent="0.25">
      <c r="A196" s="382"/>
      <c r="B196" s="391"/>
      <c r="C196" s="442"/>
      <c r="D196" s="443"/>
      <c r="E196" s="443"/>
      <c r="F196" s="443"/>
      <c r="G196" s="443"/>
      <c r="H196" s="443"/>
      <c r="I196" s="443"/>
      <c r="J196" s="443"/>
      <c r="K196" s="443"/>
      <c r="L196" s="443"/>
      <c r="M196" s="443"/>
      <c r="N196" s="444"/>
    </row>
    <row r="197" spans="1:14" ht="15" customHeight="1" x14ac:dyDescent="0.25">
      <c r="A197" s="382"/>
      <c r="B197" s="391"/>
      <c r="C197" s="442"/>
      <c r="D197" s="443"/>
      <c r="E197" s="443"/>
      <c r="F197" s="443"/>
      <c r="G197" s="443"/>
      <c r="H197" s="443"/>
      <c r="I197" s="443"/>
      <c r="J197" s="443"/>
      <c r="K197" s="443"/>
      <c r="L197" s="443"/>
      <c r="M197" s="443"/>
      <c r="N197" s="444"/>
    </row>
    <row r="198" spans="1:14" ht="15" customHeight="1" x14ac:dyDescent="0.25">
      <c r="A198" s="382"/>
      <c r="B198" s="391"/>
      <c r="C198" s="442"/>
      <c r="D198" s="443"/>
      <c r="E198" s="443"/>
      <c r="F198" s="443"/>
      <c r="G198" s="443"/>
      <c r="H198" s="443"/>
      <c r="I198" s="443"/>
      <c r="J198" s="443"/>
      <c r="K198" s="443"/>
      <c r="L198" s="443"/>
      <c r="M198" s="443"/>
      <c r="N198" s="444"/>
    </row>
    <row r="199" spans="1:14" ht="15" customHeight="1" x14ac:dyDescent="0.25">
      <c r="A199" s="382"/>
      <c r="B199" s="391"/>
      <c r="C199" s="442"/>
      <c r="D199" s="443"/>
      <c r="E199" s="443"/>
      <c r="F199" s="443"/>
      <c r="G199" s="443"/>
      <c r="H199" s="443"/>
      <c r="I199" s="443"/>
      <c r="J199" s="443"/>
      <c r="K199" s="443"/>
      <c r="L199" s="443"/>
      <c r="M199" s="443"/>
      <c r="N199" s="444"/>
    </row>
    <row r="200" spans="1:14" ht="15" customHeight="1" x14ac:dyDescent="0.25">
      <c r="A200" s="382"/>
      <c r="B200" s="391"/>
      <c r="C200" s="442"/>
      <c r="D200" s="443"/>
      <c r="E200" s="443"/>
      <c r="F200" s="443"/>
      <c r="G200" s="443"/>
      <c r="H200" s="443"/>
      <c r="I200" s="443"/>
      <c r="J200" s="443"/>
      <c r="K200" s="443"/>
      <c r="L200" s="443"/>
      <c r="M200" s="443"/>
      <c r="N200" s="444"/>
    </row>
    <row r="201" spans="1:14" ht="15" customHeight="1" x14ac:dyDescent="0.25">
      <c r="A201" s="382"/>
      <c r="B201" s="391"/>
      <c r="C201" s="442"/>
      <c r="D201" s="443"/>
      <c r="E201" s="443"/>
      <c r="F201" s="443"/>
      <c r="G201" s="443"/>
      <c r="H201" s="443"/>
      <c r="I201" s="443"/>
      <c r="J201" s="443"/>
      <c r="K201" s="443"/>
      <c r="L201" s="443"/>
      <c r="M201" s="443"/>
      <c r="N201" s="444"/>
    </row>
    <row r="202" spans="1:14" ht="15" customHeight="1" x14ac:dyDescent="0.25">
      <c r="A202" s="382"/>
      <c r="B202" s="391"/>
      <c r="C202" s="442"/>
      <c r="D202" s="443"/>
      <c r="E202" s="443"/>
      <c r="F202" s="443"/>
      <c r="G202" s="443"/>
      <c r="H202" s="443"/>
      <c r="I202" s="443"/>
      <c r="J202" s="443"/>
      <c r="K202" s="443"/>
      <c r="L202" s="443"/>
      <c r="M202" s="443"/>
      <c r="N202" s="444"/>
    </row>
    <row r="203" spans="1:14" ht="15" customHeight="1" x14ac:dyDescent="0.25">
      <c r="A203" s="382"/>
      <c r="B203" s="391"/>
      <c r="C203" s="442"/>
      <c r="D203" s="443"/>
      <c r="E203" s="443"/>
      <c r="F203" s="443"/>
      <c r="G203" s="443"/>
      <c r="H203" s="443"/>
      <c r="I203" s="443"/>
      <c r="J203" s="443"/>
      <c r="K203" s="443"/>
      <c r="L203" s="443"/>
      <c r="M203" s="443"/>
      <c r="N203" s="444"/>
    </row>
    <row r="204" spans="1:14" ht="15" customHeight="1" x14ac:dyDescent="0.25">
      <c r="A204" s="382"/>
      <c r="B204" s="391"/>
      <c r="C204" s="442"/>
      <c r="D204" s="443"/>
      <c r="E204" s="443"/>
      <c r="F204" s="443"/>
      <c r="G204" s="443"/>
      <c r="H204" s="443"/>
      <c r="I204" s="443"/>
      <c r="J204" s="443"/>
      <c r="K204" s="443"/>
      <c r="L204" s="443"/>
      <c r="M204" s="443"/>
      <c r="N204" s="444"/>
    </row>
    <row r="205" spans="1:14" ht="15" customHeight="1" x14ac:dyDescent="0.25">
      <c r="A205" s="382"/>
      <c r="B205" s="391"/>
      <c r="C205" s="442"/>
      <c r="D205" s="443"/>
      <c r="E205" s="443"/>
      <c r="F205" s="443"/>
      <c r="G205" s="443"/>
      <c r="H205" s="443"/>
      <c r="I205" s="443"/>
      <c r="J205" s="443"/>
      <c r="K205" s="443"/>
      <c r="L205" s="443"/>
      <c r="M205" s="443"/>
      <c r="N205" s="444"/>
    </row>
    <row r="206" spans="1:14" ht="15" customHeight="1" x14ac:dyDescent="0.25">
      <c r="A206" s="382"/>
      <c r="B206" s="391"/>
      <c r="C206" s="442"/>
      <c r="D206" s="443"/>
      <c r="E206" s="443"/>
      <c r="F206" s="443"/>
      <c r="G206" s="443"/>
      <c r="H206" s="443"/>
      <c r="I206" s="443"/>
      <c r="J206" s="443"/>
      <c r="K206" s="443"/>
      <c r="L206" s="443"/>
      <c r="M206" s="443"/>
      <c r="N206" s="444"/>
    </row>
    <row r="207" spans="1:14" ht="15" customHeight="1" x14ac:dyDescent="0.25">
      <c r="A207" s="382"/>
      <c r="B207" s="391"/>
      <c r="C207" s="442"/>
      <c r="D207" s="443"/>
      <c r="E207" s="443"/>
      <c r="F207" s="443"/>
      <c r="G207" s="443"/>
      <c r="H207" s="443"/>
      <c r="I207" s="443"/>
      <c r="J207" s="443"/>
      <c r="K207" s="443"/>
      <c r="L207" s="443"/>
      <c r="M207" s="443"/>
      <c r="N207" s="444"/>
    </row>
    <row r="208" spans="1:14" ht="15" customHeight="1" x14ac:dyDescent="0.25">
      <c r="A208" s="382"/>
      <c r="B208" s="391"/>
      <c r="C208" s="442"/>
      <c r="D208" s="443"/>
      <c r="E208" s="443"/>
      <c r="F208" s="443"/>
      <c r="G208" s="443"/>
      <c r="H208" s="443"/>
      <c r="I208" s="443"/>
      <c r="J208" s="443"/>
      <c r="K208" s="443"/>
      <c r="L208" s="443"/>
      <c r="M208" s="443"/>
      <c r="N208" s="444"/>
    </row>
    <row r="209" spans="1:14" ht="15" customHeight="1" x14ac:dyDescent="0.25">
      <c r="A209" s="382"/>
      <c r="B209" s="391"/>
      <c r="C209" s="442"/>
      <c r="D209" s="443"/>
      <c r="E209" s="443"/>
      <c r="F209" s="443"/>
      <c r="G209" s="443"/>
      <c r="H209" s="443"/>
      <c r="I209" s="443"/>
      <c r="J209" s="443"/>
      <c r="K209" s="443"/>
      <c r="L209" s="443"/>
      <c r="M209" s="443"/>
      <c r="N209" s="444"/>
    </row>
    <row r="210" spans="1:14" ht="15" customHeight="1" x14ac:dyDescent="0.25">
      <c r="A210" s="382"/>
      <c r="B210" s="391"/>
      <c r="C210" s="442"/>
      <c r="D210" s="443"/>
      <c r="E210" s="443"/>
      <c r="F210" s="443"/>
      <c r="G210" s="443"/>
      <c r="H210" s="443"/>
      <c r="I210" s="443"/>
      <c r="J210" s="443"/>
      <c r="K210" s="443"/>
      <c r="L210" s="443"/>
      <c r="M210" s="443"/>
      <c r="N210" s="444"/>
    </row>
    <row r="211" spans="1:14" ht="15.75" customHeight="1" thickBot="1" x14ac:dyDescent="0.3">
      <c r="A211" s="383"/>
      <c r="B211" s="392"/>
      <c r="C211" s="442"/>
      <c r="D211" s="443"/>
      <c r="E211" s="443"/>
      <c r="F211" s="443"/>
      <c r="G211" s="443"/>
      <c r="H211" s="443"/>
      <c r="I211" s="443"/>
      <c r="J211" s="443"/>
      <c r="K211" s="443"/>
      <c r="L211" s="443"/>
      <c r="M211" s="443"/>
      <c r="N211" s="444"/>
    </row>
    <row r="212" spans="1:14" ht="15" customHeight="1" x14ac:dyDescent="0.25">
      <c r="A212" s="407">
        <v>10</v>
      </c>
      <c r="B212" s="390" t="str">
        <f>VLOOKUP(A212,PROPONENTES!$A$10:$B$42,2)</f>
        <v xml:space="preserve">CONSORCIO KENNEDY 013 2024	</v>
      </c>
      <c r="C212" s="393"/>
      <c r="D212" s="394"/>
      <c r="E212" s="394"/>
      <c r="F212" s="394"/>
      <c r="G212" s="394"/>
      <c r="H212" s="394"/>
      <c r="I212" s="394"/>
      <c r="J212" s="394"/>
      <c r="K212" s="394"/>
      <c r="L212" s="394"/>
      <c r="M212" s="394"/>
      <c r="N212" s="395"/>
    </row>
    <row r="213" spans="1:14" ht="15" customHeight="1" x14ac:dyDescent="0.25">
      <c r="A213" s="408"/>
      <c r="B213" s="391"/>
      <c r="C213" s="396"/>
      <c r="D213" s="388"/>
      <c r="E213" s="388"/>
      <c r="F213" s="388"/>
      <c r="G213" s="388"/>
      <c r="H213" s="388"/>
      <c r="I213" s="388"/>
      <c r="J213" s="388"/>
      <c r="K213" s="388"/>
      <c r="L213" s="388"/>
      <c r="M213" s="388"/>
      <c r="N213" s="397"/>
    </row>
    <row r="214" spans="1:14" ht="15" customHeight="1" x14ac:dyDescent="0.25">
      <c r="A214" s="408"/>
      <c r="B214" s="391"/>
      <c r="C214" s="396"/>
      <c r="D214" s="388"/>
      <c r="E214" s="388"/>
      <c r="F214" s="388"/>
      <c r="G214" s="388"/>
      <c r="H214" s="388"/>
      <c r="I214" s="388"/>
      <c r="J214" s="388"/>
      <c r="K214" s="388"/>
      <c r="L214" s="388"/>
      <c r="M214" s="388"/>
      <c r="N214" s="397"/>
    </row>
    <row r="215" spans="1:14" ht="15" customHeight="1" x14ac:dyDescent="0.25">
      <c r="A215" s="408"/>
      <c r="B215" s="391"/>
      <c r="C215" s="396"/>
      <c r="D215" s="388"/>
      <c r="E215" s="388"/>
      <c r="F215" s="388"/>
      <c r="G215" s="388"/>
      <c r="H215" s="388"/>
      <c r="I215" s="388"/>
      <c r="J215" s="388"/>
      <c r="K215" s="388"/>
      <c r="L215" s="388"/>
      <c r="M215" s="388"/>
      <c r="N215" s="397"/>
    </row>
    <row r="216" spans="1:14" ht="15" customHeight="1" x14ac:dyDescent="0.25">
      <c r="A216" s="408"/>
      <c r="B216" s="391"/>
      <c r="C216" s="396"/>
      <c r="D216" s="388"/>
      <c r="E216" s="388"/>
      <c r="F216" s="388"/>
      <c r="G216" s="388"/>
      <c r="H216" s="388"/>
      <c r="I216" s="388"/>
      <c r="J216" s="388"/>
      <c r="K216" s="388"/>
      <c r="L216" s="388"/>
      <c r="M216" s="388"/>
      <c r="N216" s="397"/>
    </row>
    <row r="217" spans="1:14" ht="15" customHeight="1" x14ac:dyDescent="0.25">
      <c r="A217" s="408"/>
      <c r="B217" s="391"/>
      <c r="C217" s="396"/>
      <c r="D217" s="388"/>
      <c r="E217" s="388"/>
      <c r="F217" s="388"/>
      <c r="G217" s="388"/>
      <c r="H217" s="388"/>
      <c r="I217" s="388"/>
      <c r="J217" s="388"/>
      <c r="K217" s="388"/>
      <c r="L217" s="388"/>
      <c r="M217" s="388"/>
      <c r="N217" s="397"/>
    </row>
    <row r="218" spans="1:14" ht="15" customHeight="1" x14ac:dyDescent="0.25">
      <c r="A218" s="408"/>
      <c r="B218" s="391"/>
      <c r="C218" s="396"/>
      <c r="D218" s="388"/>
      <c r="E218" s="388"/>
      <c r="F218" s="388"/>
      <c r="G218" s="388"/>
      <c r="H218" s="388"/>
      <c r="I218" s="388"/>
      <c r="J218" s="388"/>
      <c r="K218" s="388"/>
      <c r="L218" s="388"/>
      <c r="M218" s="388"/>
      <c r="N218" s="397"/>
    </row>
    <row r="219" spans="1:14" ht="15" customHeight="1" x14ac:dyDescent="0.25">
      <c r="A219" s="408"/>
      <c r="B219" s="391"/>
      <c r="C219" s="396"/>
      <c r="D219" s="388"/>
      <c r="E219" s="388"/>
      <c r="F219" s="388"/>
      <c r="G219" s="388"/>
      <c r="H219" s="388"/>
      <c r="I219" s="388"/>
      <c r="J219" s="388"/>
      <c r="K219" s="388"/>
      <c r="L219" s="388"/>
      <c r="M219" s="388"/>
      <c r="N219" s="397"/>
    </row>
    <row r="220" spans="1:14" ht="15" customHeight="1" x14ac:dyDescent="0.25">
      <c r="A220" s="408"/>
      <c r="B220" s="391"/>
      <c r="C220" s="396"/>
      <c r="D220" s="388"/>
      <c r="E220" s="388"/>
      <c r="F220" s="388"/>
      <c r="G220" s="388"/>
      <c r="H220" s="388"/>
      <c r="I220" s="388"/>
      <c r="J220" s="388"/>
      <c r="K220" s="388"/>
      <c r="L220" s="388"/>
      <c r="M220" s="388"/>
      <c r="N220" s="397"/>
    </row>
    <row r="221" spans="1:14" ht="15" customHeight="1" x14ac:dyDescent="0.25">
      <c r="A221" s="408"/>
      <c r="B221" s="391"/>
      <c r="C221" s="396"/>
      <c r="D221" s="388"/>
      <c r="E221" s="388"/>
      <c r="F221" s="388"/>
      <c r="G221" s="388"/>
      <c r="H221" s="388"/>
      <c r="I221" s="388"/>
      <c r="J221" s="388"/>
      <c r="K221" s="388"/>
      <c r="L221" s="388"/>
      <c r="M221" s="388"/>
      <c r="N221" s="397"/>
    </row>
    <row r="222" spans="1:14" ht="15" customHeight="1" x14ac:dyDescent="0.25">
      <c r="A222" s="408"/>
      <c r="B222" s="391"/>
      <c r="C222" s="396"/>
      <c r="D222" s="388"/>
      <c r="E222" s="388"/>
      <c r="F222" s="388"/>
      <c r="G222" s="388"/>
      <c r="H222" s="388"/>
      <c r="I222" s="388"/>
      <c r="J222" s="388"/>
      <c r="K222" s="388"/>
      <c r="L222" s="388"/>
      <c r="M222" s="388"/>
      <c r="N222" s="397"/>
    </row>
    <row r="223" spans="1:14" ht="15" customHeight="1" x14ac:dyDescent="0.25">
      <c r="A223" s="408"/>
      <c r="B223" s="391"/>
      <c r="C223" s="396"/>
      <c r="D223" s="388"/>
      <c r="E223" s="388"/>
      <c r="F223" s="388"/>
      <c r="G223" s="388"/>
      <c r="H223" s="388"/>
      <c r="I223" s="388"/>
      <c r="J223" s="388"/>
      <c r="K223" s="388"/>
      <c r="L223" s="388"/>
      <c r="M223" s="388"/>
      <c r="N223" s="397"/>
    </row>
    <row r="224" spans="1:14" ht="15" customHeight="1" x14ac:dyDescent="0.25">
      <c r="A224" s="408"/>
      <c r="B224" s="391"/>
      <c r="C224" s="396"/>
      <c r="D224" s="388"/>
      <c r="E224" s="388"/>
      <c r="F224" s="388"/>
      <c r="G224" s="388"/>
      <c r="H224" s="388"/>
      <c r="I224" s="388"/>
      <c r="J224" s="388"/>
      <c r="K224" s="388"/>
      <c r="L224" s="388"/>
      <c r="M224" s="388"/>
      <c r="N224" s="397"/>
    </row>
    <row r="225" spans="1:14" ht="15" customHeight="1" x14ac:dyDescent="0.25">
      <c r="A225" s="408"/>
      <c r="B225" s="391"/>
      <c r="C225" s="396"/>
      <c r="D225" s="388"/>
      <c r="E225" s="388"/>
      <c r="F225" s="388"/>
      <c r="G225" s="388"/>
      <c r="H225" s="388"/>
      <c r="I225" s="388"/>
      <c r="J225" s="388"/>
      <c r="K225" s="388"/>
      <c r="L225" s="388"/>
      <c r="M225" s="388"/>
      <c r="N225" s="397"/>
    </row>
    <row r="226" spans="1:14" ht="15" customHeight="1" x14ac:dyDescent="0.25">
      <c r="A226" s="408"/>
      <c r="B226" s="391"/>
      <c r="C226" s="396"/>
      <c r="D226" s="388"/>
      <c r="E226" s="388"/>
      <c r="F226" s="388"/>
      <c r="G226" s="388"/>
      <c r="H226" s="388"/>
      <c r="I226" s="388"/>
      <c r="J226" s="388"/>
      <c r="K226" s="388"/>
      <c r="L226" s="388"/>
      <c r="M226" s="388"/>
      <c r="N226" s="397"/>
    </row>
    <row r="227" spans="1:14" ht="15" customHeight="1" x14ac:dyDescent="0.25">
      <c r="A227" s="408"/>
      <c r="B227" s="391"/>
      <c r="C227" s="396"/>
      <c r="D227" s="388"/>
      <c r="E227" s="388"/>
      <c r="F227" s="388"/>
      <c r="G227" s="388"/>
      <c r="H227" s="388"/>
      <c r="I227" s="388"/>
      <c r="J227" s="388"/>
      <c r="K227" s="388"/>
      <c r="L227" s="388"/>
      <c r="M227" s="388"/>
      <c r="N227" s="397"/>
    </row>
    <row r="228" spans="1:14" ht="15" customHeight="1" x14ac:dyDescent="0.25">
      <c r="A228" s="408"/>
      <c r="B228" s="391"/>
      <c r="C228" s="396"/>
      <c r="D228" s="388"/>
      <c r="E228" s="388"/>
      <c r="F228" s="388"/>
      <c r="G228" s="388"/>
      <c r="H228" s="388"/>
      <c r="I228" s="388"/>
      <c r="J228" s="388"/>
      <c r="K228" s="388"/>
      <c r="L228" s="388"/>
      <c r="M228" s="388"/>
      <c r="N228" s="397"/>
    </row>
    <row r="229" spans="1:14" ht="15" customHeight="1" x14ac:dyDescent="0.25">
      <c r="A229" s="408"/>
      <c r="B229" s="391"/>
      <c r="C229" s="396"/>
      <c r="D229" s="388"/>
      <c r="E229" s="388"/>
      <c r="F229" s="388"/>
      <c r="G229" s="388"/>
      <c r="H229" s="388"/>
      <c r="I229" s="388"/>
      <c r="J229" s="388"/>
      <c r="K229" s="388"/>
      <c r="L229" s="388"/>
      <c r="M229" s="388"/>
      <c r="N229" s="397"/>
    </row>
    <row r="230" spans="1:14" ht="15" customHeight="1" x14ac:dyDescent="0.25">
      <c r="A230" s="408"/>
      <c r="B230" s="391"/>
      <c r="C230" s="396"/>
      <c r="D230" s="388"/>
      <c r="E230" s="388"/>
      <c r="F230" s="388"/>
      <c r="G230" s="388"/>
      <c r="H230" s="388"/>
      <c r="I230" s="388"/>
      <c r="J230" s="388"/>
      <c r="K230" s="388"/>
      <c r="L230" s="388"/>
      <c r="M230" s="388"/>
      <c r="N230" s="397"/>
    </row>
    <row r="231" spans="1:14" ht="15" customHeight="1" x14ac:dyDescent="0.25">
      <c r="A231" s="408"/>
      <c r="B231" s="391"/>
      <c r="C231" s="396"/>
      <c r="D231" s="388"/>
      <c r="E231" s="388"/>
      <c r="F231" s="388"/>
      <c r="G231" s="388"/>
      <c r="H231" s="388"/>
      <c r="I231" s="388"/>
      <c r="J231" s="388"/>
      <c r="K231" s="388"/>
      <c r="L231" s="388"/>
      <c r="M231" s="388"/>
      <c r="N231" s="397"/>
    </row>
    <row r="232" spans="1:14" ht="15" customHeight="1" x14ac:dyDescent="0.25">
      <c r="A232" s="408"/>
      <c r="B232" s="391"/>
      <c r="C232" s="396"/>
      <c r="D232" s="388"/>
      <c r="E232" s="388"/>
      <c r="F232" s="388"/>
      <c r="G232" s="388"/>
      <c r="H232" s="388"/>
      <c r="I232" s="388"/>
      <c r="J232" s="388"/>
      <c r="K232" s="388"/>
      <c r="L232" s="388"/>
      <c r="M232" s="388"/>
      <c r="N232" s="397"/>
    </row>
    <row r="233" spans="1:14" ht="15" customHeight="1" x14ac:dyDescent="0.25">
      <c r="A233" s="408"/>
      <c r="B233" s="391"/>
      <c r="C233" s="396"/>
      <c r="D233" s="388"/>
      <c r="E233" s="388"/>
      <c r="F233" s="388"/>
      <c r="G233" s="388"/>
      <c r="H233" s="388"/>
      <c r="I233" s="388"/>
      <c r="J233" s="388"/>
      <c r="K233" s="388"/>
      <c r="L233" s="388"/>
      <c r="M233" s="388"/>
      <c r="N233" s="397"/>
    </row>
    <row r="234" spans="1:14" ht="15.75" customHeight="1" thickBot="1" x14ac:dyDescent="0.3">
      <c r="A234" s="409"/>
      <c r="B234" s="392"/>
      <c r="C234" s="398"/>
      <c r="D234" s="399"/>
      <c r="E234" s="399"/>
      <c r="F234" s="399"/>
      <c r="G234" s="399"/>
      <c r="H234" s="399"/>
      <c r="I234" s="399"/>
      <c r="J234" s="399"/>
      <c r="K234" s="399"/>
      <c r="L234" s="399"/>
      <c r="M234" s="399"/>
      <c r="N234" s="400"/>
    </row>
    <row r="235" spans="1:14" ht="15" customHeight="1" x14ac:dyDescent="0.25">
      <c r="A235" s="381">
        <v>11</v>
      </c>
      <c r="B235" s="390" t="str">
        <f>VLOOKUP(A235,PROPONENTES!$A$10:$B$42,2)</f>
        <v>CONSORCIO PARQUES KD E&amp;E 2024</v>
      </c>
      <c r="C235" s="393"/>
      <c r="D235" s="394"/>
      <c r="E235" s="394"/>
      <c r="F235" s="394"/>
      <c r="G235" s="394"/>
      <c r="H235" s="394"/>
      <c r="I235" s="394"/>
      <c r="J235" s="394"/>
      <c r="K235" s="394"/>
      <c r="L235" s="394"/>
      <c r="M235" s="394"/>
      <c r="N235" s="395"/>
    </row>
    <row r="236" spans="1:14" ht="15" customHeight="1" x14ac:dyDescent="0.25">
      <c r="A236" s="382"/>
      <c r="B236" s="391"/>
      <c r="C236" s="396"/>
      <c r="D236" s="388"/>
      <c r="E236" s="388"/>
      <c r="F236" s="388"/>
      <c r="G236" s="388"/>
      <c r="H236" s="388"/>
      <c r="I236" s="388"/>
      <c r="J236" s="388"/>
      <c r="K236" s="388"/>
      <c r="L236" s="388"/>
      <c r="M236" s="388"/>
      <c r="N236" s="397"/>
    </row>
    <row r="237" spans="1:14" ht="15" customHeight="1" x14ac:dyDescent="0.25">
      <c r="A237" s="382"/>
      <c r="B237" s="391"/>
      <c r="C237" s="396"/>
      <c r="D237" s="388"/>
      <c r="E237" s="388"/>
      <c r="F237" s="388"/>
      <c r="G237" s="388"/>
      <c r="H237" s="388"/>
      <c r="I237" s="388"/>
      <c r="J237" s="388"/>
      <c r="K237" s="388"/>
      <c r="L237" s="388"/>
      <c r="M237" s="388"/>
      <c r="N237" s="397"/>
    </row>
    <row r="238" spans="1:14" ht="15" customHeight="1" x14ac:dyDescent="0.25">
      <c r="A238" s="382"/>
      <c r="B238" s="391"/>
      <c r="C238" s="396"/>
      <c r="D238" s="388"/>
      <c r="E238" s="388"/>
      <c r="F238" s="388"/>
      <c r="G238" s="388"/>
      <c r="H238" s="388"/>
      <c r="I238" s="388"/>
      <c r="J238" s="388"/>
      <c r="K238" s="388"/>
      <c r="L238" s="388"/>
      <c r="M238" s="388"/>
      <c r="N238" s="397"/>
    </row>
    <row r="239" spans="1:14" ht="15" customHeight="1" x14ac:dyDescent="0.25">
      <c r="A239" s="382"/>
      <c r="B239" s="391"/>
      <c r="C239" s="396"/>
      <c r="D239" s="388"/>
      <c r="E239" s="388"/>
      <c r="F239" s="388"/>
      <c r="G239" s="388"/>
      <c r="H239" s="388"/>
      <c r="I239" s="388"/>
      <c r="J239" s="388"/>
      <c r="K239" s="388"/>
      <c r="L239" s="388"/>
      <c r="M239" s="388"/>
      <c r="N239" s="397"/>
    </row>
    <row r="240" spans="1:14" ht="15" customHeight="1" x14ac:dyDescent="0.25">
      <c r="A240" s="382"/>
      <c r="B240" s="391"/>
      <c r="C240" s="396"/>
      <c r="D240" s="388"/>
      <c r="E240" s="388"/>
      <c r="F240" s="388"/>
      <c r="G240" s="388"/>
      <c r="H240" s="388"/>
      <c r="I240" s="388"/>
      <c r="J240" s="388"/>
      <c r="K240" s="388"/>
      <c r="L240" s="388"/>
      <c r="M240" s="388"/>
      <c r="N240" s="397"/>
    </row>
    <row r="241" spans="1:14" ht="15" customHeight="1" x14ac:dyDescent="0.25">
      <c r="A241" s="382"/>
      <c r="B241" s="391"/>
      <c r="C241" s="396"/>
      <c r="D241" s="388"/>
      <c r="E241" s="388"/>
      <c r="F241" s="388"/>
      <c r="G241" s="388"/>
      <c r="H241" s="388"/>
      <c r="I241" s="388"/>
      <c r="J241" s="388"/>
      <c r="K241" s="388"/>
      <c r="L241" s="388"/>
      <c r="M241" s="388"/>
      <c r="N241" s="397"/>
    </row>
    <row r="242" spans="1:14" ht="15" customHeight="1" x14ac:dyDescent="0.25">
      <c r="A242" s="382"/>
      <c r="B242" s="391"/>
      <c r="C242" s="396"/>
      <c r="D242" s="388"/>
      <c r="E242" s="388"/>
      <c r="F242" s="388"/>
      <c r="G242" s="388"/>
      <c r="H242" s="388"/>
      <c r="I242" s="388"/>
      <c r="J242" s="388"/>
      <c r="K242" s="388"/>
      <c r="L242" s="388"/>
      <c r="M242" s="388"/>
      <c r="N242" s="397"/>
    </row>
    <row r="243" spans="1:14" ht="15" customHeight="1" x14ac:dyDescent="0.25">
      <c r="A243" s="382"/>
      <c r="B243" s="391"/>
      <c r="C243" s="396"/>
      <c r="D243" s="388"/>
      <c r="E243" s="388"/>
      <c r="F243" s="388"/>
      <c r="G243" s="388"/>
      <c r="H243" s="388"/>
      <c r="I243" s="388"/>
      <c r="J243" s="388"/>
      <c r="K243" s="388"/>
      <c r="L243" s="388"/>
      <c r="M243" s="388"/>
      <c r="N243" s="397"/>
    </row>
    <row r="244" spans="1:14" ht="15" customHeight="1" x14ac:dyDescent="0.25">
      <c r="A244" s="382"/>
      <c r="B244" s="391"/>
      <c r="C244" s="396"/>
      <c r="D244" s="388"/>
      <c r="E244" s="388"/>
      <c r="F244" s="388"/>
      <c r="G244" s="388"/>
      <c r="H244" s="388"/>
      <c r="I244" s="388"/>
      <c r="J244" s="388"/>
      <c r="K244" s="388"/>
      <c r="L244" s="388"/>
      <c r="M244" s="388"/>
      <c r="N244" s="397"/>
    </row>
    <row r="245" spans="1:14" ht="15" customHeight="1" x14ac:dyDescent="0.25">
      <c r="A245" s="382"/>
      <c r="B245" s="391"/>
      <c r="C245" s="396"/>
      <c r="D245" s="388"/>
      <c r="E245" s="388"/>
      <c r="F245" s="388"/>
      <c r="G245" s="388"/>
      <c r="H245" s="388"/>
      <c r="I245" s="388"/>
      <c r="J245" s="388"/>
      <c r="K245" s="388"/>
      <c r="L245" s="388"/>
      <c r="M245" s="388"/>
      <c r="N245" s="397"/>
    </row>
    <row r="246" spans="1:14" ht="15" customHeight="1" x14ac:dyDescent="0.25">
      <c r="A246" s="382"/>
      <c r="B246" s="391"/>
      <c r="C246" s="396"/>
      <c r="D246" s="388"/>
      <c r="E246" s="388"/>
      <c r="F246" s="388"/>
      <c r="G246" s="388"/>
      <c r="H246" s="388"/>
      <c r="I246" s="388"/>
      <c r="J246" s="388"/>
      <c r="K246" s="388"/>
      <c r="L246" s="388"/>
      <c r="M246" s="388"/>
      <c r="N246" s="397"/>
    </row>
    <row r="247" spans="1:14" ht="15" customHeight="1" x14ac:dyDescent="0.25">
      <c r="A247" s="382"/>
      <c r="B247" s="391"/>
      <c r="C247" s="396"/>
      <c r="D247" s="388"/>
      <c r="E247" s="388"/>
      <c r="F247" s="388"/>
      <c r="G247" s="388"/>
      <c r="H247" s="388"/>
      <c r="I247" s="388"/>
      <c r="J247" s="388"/>
      <c r="K247" s="388"/>
      <c r="L247" s="388"/>
      <c r="M247" s="388"/>
      <c r="N247" s="397"/>
    </row>
    <row r="248" spans="1:14" ht="15" customHeight="1" x14ac:dyDescent="0.25">
      <c r="A248" s="382"/>
      <c r="B248" s="391"/>
      <c r="C248" s="396"/>
      <c r="D248" s="388"/>
      <c r="E248" s="388"/>
      <c r="F248" s="388"/>
      <c r="G248" s="388"/>
      <c r="H248" s="388"/>
      <c r="I248" s="388"/>
      <c r="J248" s="388"/>
      <c r="K248" s="388"/>
      <c r="L248" s="388"/>
      <c r="M248" s="388"/>
      <c r="N248" s="397"/>
    </row>
    <row r="249" spans="1:14" ht="15" customHeight="1" x14ac:dyDescent="0.25">
      <c r="A249" s="382"/>
      <c r="B249" s="391"/>
      <c r="C249" s="396"/>
      <c r="D249" s="388"/>
      <c r="E249" s="388"/>
      <c r="F249" s="388"/>
      <c r="G249" s="388"/>
      <c r="H249" s="388"/>
      <c r="I249" s="388"/>
      <c r="J249" s="388"/>
      <c r="K249" s="388"/>
      <c r="L249" s="388"/>
      <c r="M249" s="388"/>
      <c r="N249" s="397"/>
    </row>
    <row r="250" spans="1:14" ht="15" customHeight="1" x14ac:dyDescent="0.25">
      <c r="A250" s="382"/>
      <c r="B250" s="391"/>
      <c r="C250" s="396"/>
      <c r="D250" s="388"/>
      <c r="E250" s="388"/>
      <c r="F250" s="388"/>
      <c r="G250" s="388"/>
      <c r="H250" s="388"/>
      <c r="I250" s="388"/>
      <c r="J250" s="388"/>
      <c r="K250" s="388"/>
      <c r="L250" s="388"/>
      <c r="M250" s="388"/>
      <c r="N250" s="397"/>
    </row>
    <row r="251" spans="1:14" ht="15" customHeight="1" x14ac:dyDescent="0.25">
      <c r="A251" s="382"/>
      <c r="B251" s="391"/>
      <c r="C251" s="396"/>
      <c r="D251" s="388"/>
      <c r="E251" s="388"/>
      <c r="F251" s="388"/>
      <c r="G251" s="388"/>
      <c r="H251" s="388"/>
      <c r="I251" s="388"/>
      <c r="J251" s="388"/>
      <c r="K251" s="388"/>
      <c r="L251" s="388"/>
      <c r="M251" s="388"/>
      <c r="N251" s="397"/>
    </row>
    <row r="252" spans="1:14" ht="15" customHeight="1" x14ac:dyDescent="0.25">
      <c r="A252" s="382"/>
      <c r="B252" s="391"/>
      <c r="C252" s="396"/>
      <c r="D252" s="388"/>
      <c r="E252" s="388"/>
      <c r="F252" s="388"/>
      <c r="G252" s="388"/>
      <c r="H252" s="388"/>
      <c r="I252" s="388"/>
      <c r="J252" s="388"/>
      <c r="K252" s="388"/>
      <c r="L252" s="388"/>
      <c r="M252" s="388"/>
      <c r="N252" s="397"/>
    </row>
    <row r="253" spans="1:14" ht="15" customHeight="1" x14ac:dyDescent="0.25">
      <c r="A253" s="382"/>
      <c r="B253" s="391"/>
      <c r="C253" s="396"/>
      <c r="D253" s="388"/>
      <c r="E253" s="388"/>
      <c r="F253" s="388"/>
      <c r="G253" s="388"/>
      <c r="H253" s="388"/>
      <c r="I253" s="388"/>
      <c r="J253" s="388"/>
      <c r="K253" s="388"/>
      <c r="L253" s="388"/>
      <c r="M253" s="388"/>
      <c r="N253" s="397"/>
    </row>
    <row r="254" spans="1:14" ht="15" customHeight="1" x14ac:dyDescent="0.25">
      <c r="A254" s="382"/>
      <c r="B254" s="391"/>
      <c r="C254" s="396"/>
      <c r="D254" s="388"/>
      <c r="E254" s="388"/>
      <c r="F254" s="388"/>
      <c r="G254" s="388"/>
      <c r="H254" s="388"/>
      <c r="I254" s="388"/>
      <c r="J254" s="388"/>
      <c r="K254" s="388"/>
      <c r="L254" s="388"/>
      <c r="M254" s="388"/>
      <c r="N254" s="397"/>
    </row>
    <row r="255" spans="1:14" ht="15" customHeight="1" x14ac:dyDescent="0.25">
      <c r="A255" s="382"/>
      <c r="B255" s="391"/>
      <c r="C255" s="396"/>
      <c r="D255" s="388"/>
      <c r="E255" s="388"/>
      <c r="F255" s="388"/>
      <c r="G255" s="388"/>
      <c r="H255" s="388"/>
      <c r="I255" s="388"/>
      <c r="J255" s="388"/>
      <c r="K255" s="388"/>
      <c r="L255" s="388"/>
      <c r="M255" s="388"/>
      <c r="N255" s="397"/>
    </row>
    <row r="256" spans="1:14" ht="15" customHeight="1" x14ac:dyDescent="0.25">
      <c r="A256" s="382"/>
      <c r="B256" s="391"/>
      <c r="C256" s="396"/>
      <c r="D256" s="388"/>
      <c r="E256" s="388"/>
      <c r="F256" s="388"/>
      <c r="G256" s="388"/>
      <c r="H256" s="388"/>
      <c r="I256" s="388"/>
      <c r="J256" s="388"/>
      <c r="K256" s="388"/>
      <c r="L256" s="388"/>
      <c r="M256" s="388"/>
      <c r="N256" s="397"/>
    </row>
    <row r="257" spans="1:14" ht="15.75" customHeight="1" thickBot="1" x14ac:dyDescent="0.3">
      <c r="A257" s="383"/>
      <c r="B257" s="392"/>
      <c r="C257" s="398"/>
      <c r="D257" s="399"/>
      <c r="E257" s="399"/>
      <c r="F257" s="399"/>
      <c r="G257" s="399"/>
      <c r="H257" s="399"/>
      <c r="I257" s="399"/>
      <c r="J257" s="399"/>
      <c r="K257" s="399"/>
      <c r="L257" s="399"/>
      <c r="M257" s="399"/>
      <c r="N257" s="400"/>
    </row>
    <row r="258" spans="1:14" ht="15" customHeight="1" x14ac:dyDescent="0.25">
      <c r="A258" s="381">
        <v>12</v>
      </c>
      <c r="B258" s="390" t="str">
        <f>VLOOKUP(A258,PROPONENTES!$A$10:$B$42,2)</f>
        <v>CONSORCIO RC-B - FDLK-LP-013-2024</v>
      </c>
      <c r="C258" s="438"/>
      <c r="D258" s="394"/>
      <c r="E258" s="394"/>
      <c r="F258" s="394"/>
      <c r="G258" s="394"/>
      <c r="H258" s="394"/>
      <c r="I258" s="394"/>
      <c r="J258" s="394"/>
      <c r="K258" s="394"/>
      <c r="L258" s="394"/>
      <c r="M258" s="394"/>
      <c r="N258" s="395"/>
    </row>
    <row r="259" spans="1:14" ht="15" customHeight="1" x14ac:dyDescent="0.25">
      <c r="A259" s="382"/>
      <c r="B259" s="391"/>
      <c r="C259" s="396"/>
      <c r="D259" s="388"/>
      <c r="E259" s="388"/>
      <c r="F259" s="388"/>
      <c r="G259" s="388"/>
      <c r="H259" s="388"/>
      <c r="I259" s="388"/>
      <c r="J259" s="388"/>
      <c r="K259" s="388"/>
      <c r="L259" s="388"/>
      <c r="M259" s="388"/>
      <c r="N259" s="397"/>
    </row>
    <row r="260" spans="1:14" ht="15" customHeight="1" x14ac:dyDescent="0.25">
      <c r="A260" s="382"/>
      <c r="B260" s="391"/>
      <c r="C260" s="396"/>
      <c r="D260" s="388"/>
      <c r="E260" s="388"/>
      <c r="F260" s="388"/>
      <c r="G260" s="388"/>
      <c r="H260" s="388"/>
      <c r="I260" s="388"/>
      <c r="J260" s="388"/>
      <c r="K260" s="388"/>
      <c r="L260" s="388"/>
      <c r="M260" s="388"/>
      <c r="N260" s="397"/>
    </row>
    <row r="261" spans="1:14" ht="15" customHeight="1" x14ac:dyDescent="0.25">
      <c r="A261" s="382"/>
      <c r="B261" s="391"/>
      <c r="C261" s="396"/>
      <c r="D261" s="388"/>
      <c r="E261" s="388"/>
      <c r="F261" s="388"/>
      <c r="G261" s="388"/>
      <c r="H261" s="388"/>
      <c r="I261" s="388"/>
      <c r="J261" s="388"/>
      <c r="K261" s="388"/>
      <c r="L261" s="388"/>
      <c r="M261" s="388"/>
      <c r="N261" s="397"/>
    </row>
    <row r="262" spans="1:14" ht="15" customHeight="1" x14ac:dyDescent="0.25">
      <c r="A262" s="382"/>
      <c r="B262" s="391"/>
      <c r="C262" s="396"/>
      <c r="D262" s="388"/>
      <c r="E262" s="388"/>
      <c r="F262" s="388"/>
      <c r="G262" s="388"/>
      <c r="H262" s="388"/>
      <c r="I262" s="388"/>
      <c r="J262" s="388"/>
      <c r="K262" s="388"/>
      <c r="L262" s="388"/>
      <c r="M262" s="388"/>
      <c r="N262" s="397"/>
    </row>
    <row r="263" spans="1:14" ht="15" customHeight="1" x14ac:dyDescent="0.25">
      <c r="A263" s="382"/>
      <c r="B263" s="391"/>
      <c r="C263" s="396"/>
      <c r="D263" s="388"/>
      <c r="E263" s="388"/>
      <c r="F263" s="388"/>
      <c r="G263" s="388"/>
      <c r="H263" s="388"/>
      <c r="I263" s="388"/>
      <c r="J263" s="388"/>
      <c r="K263" s="388"/>
      <c r="L263" s="388"/>
      <c r="M263" s="388"/>
      <c r="N263" s="397"/>
    </row>
    <row r="264" spans="1:14" ht="15" customHeight="1" x14ac:dyDescent="0.25">
      <c r="A264" s="382"/>
      <c r="B264" s="391"/>
      <c r="C264" s="396"/>
      <c r="D264" s="388"/>
      <c r="E264" s="388"/>
      <c r="F264" s="388"/>
      <c r="G264" s="388"/>
      <c r="H264" s="388"/>
      <c r="I264" s="388"/>
      <c r="J264" s="388"/>
      <c r="K264" s="388"/>
      <c r="L264" s="388"/>
      <c r="M264" s="388"/>
      <c r="N264" s="397"/>
    </row>
    <row r="265" spans="1:14" ht="15" customHeight="1" x14ac:dyDescent="0.25">
      <c r="A265" s="382"/>
      <c r="B265" s="391"/>
      <c r="C265" s="396"/>
      <c r="D265" s="388"/>
      <c r="E265" s="388"/>
      <c r="F265" s="388"/>
      <c r="G265" s="388"/>
      <c r="H265" s="388"/>
      <c r="I265" s="388"/>
      <c r="J265" s="388"/>
      <c r="K265" s="388"/>
      <c r="L265" s="388"/>
      <c r="M265" s="388"/>
      <c r="N265" s="397"/>
    </row>
    <row r="266" spans="1:14" ht="15" customHeight="1" x14ac:dyDescent="0.25">
      <c r="A266" s="382"/>
      <c r="B266" s="391"/>
      <c r="C266" s="396"/>
      <c r="D266" s="388"/>
      <c r="E266" s="388"/>
      <c r="F266" s="388"/>
      <c r="G266" s="388"/>
      <c r="H266" s="388"/>
      <c r="I266" s="388"/>
      <c r="J266" s="388"/>
      <c r="K266" s="388"/>
      <c r="L266" s="388"/>
      <c r="M266" s="388"/>
      <c r="N266" s="397"/>
    </row>
    <row r="267" spans="1:14" ht="15" customHeight="1" x14ac:dyDescent="0.25">
      <c r="A267" s="382"/>
      <c r="B267" s="391"/>
      <c r="C267" s="396"/>
      <c r="D267" s="388"/>
      <c r="E267" s="388"/>
      <c r="F267" s="388"/>
      <c r="G267" s="388"/>
      <c r="H267" s="388"/>
      <c r="I267" s="388"/>
      <c r="J267" s="388"/>
      <c r="K267" s="388"/>
      <c r="L267" s="388"/>
      <c r="M267" s="388"/>
      <c r="N267" s="397"/>
    </row>
    <row r="268" spans="1:14" ht="15" customHeight="1" x14ac:dyDescent="0.25">
      <c r="A268" s="382"/>
      <c r="B268" s="391"/>
      <c r="C268" s="396"/>
      <c r="D268" s="388"/>
      <c r="E268" s="388"/>
      <c r="F268" s="388"/>
      <c r="G268" s="388"/>
      <c r="H268" s="388"/>
      <c r="I268" s="388"/>
      <c r="J268" s="388"/>
      <c r="K268" s="388"/>
      <c r="L268" s="388"/>
      <c r="M268" s="388"/>
      <c r="N268" s="397"/>
    </row>
    <row r="269" spans="1:14" ht="15" customHeight="1" x14ac:dyDescent="0.25">
      <c r="A269" s="382"/>
      <c r="B269" s="391"/>
      <c r="C269" s="396"/>
      <c r="D269" s="388"/>
      <c r="E269" s="388"/>
      <c r="F269" s="388"/>
      <c r="G269" s="388"/>
      <c r="H269" s="388"/>
      <c r="I269" s="388"/>
      <c r="J269" s="388"/>
      <c r="K269" s="388"/>
      <c r="L269" s="388"/>
      <c r="M269" s="388"/>
      <c r="N269" s="397"/>
    </row>
    <row r="270" spans="1:14" ht="15" customHeight="1" x14ac:dyDescent="0.25">
      <c r="A270" s="382"/>
      <c r="B270" s="391"/>
      <c r="C270" s="396"/>
      <c r="D270" s="388"/>
      <c r="E270" s="388"/>
      <c r="F270" s="388"/>
      <c r="G270" s="388"/>
      <c r="H270" s="388"/>
      <c r="I270" s="388"/>
      <c r="J270" s="388"/>
      <c r="K270" s="388"/>
      <c r="L270" s="388"/>
      <c r="M270" s="388"/>
      <c r="N270" s="397"/>
    </row>
    <row r="271" spans="1:14" ht="15" customHeight="1" x14ac:dyDescent="0.25">
      <c r="A271" s="382"/>
      <c r="B271" s="391"/>
      <c r="C271" s="396"/>
      <c r="D271" s="388"/>
      <c r="E271" s="388"/>
      <c r="F271" s="388"/>
      <c r="G271" s="388"/>
      <c r="H271" s="388"/>
      <c r="I271" s="388"/>
      <c r="J271" s="388"/>
      <c r="K271" s="388"/>
      <c r="L271" s="388"/>
      <c r="M271" s="388"/>
      <c r="N271" s="397"/>
    </row>
    <row r="272" spans="1:14" ht="15" customHeight="1" x14ac:dyDescent="0.25">
      <c r="A272" s="382"/>
      <c r="B272" s="391"/>
      <c r="C272" s="396"/>
      <c r="D272" s="388"/>
      <c r="E272" s="388"/>
      <c r="F272" s="388"/>
      <c r="G272" s="388"/>
      <c r="H272" s="388"/>
      <c r="I272" s="388"/>
      <c r="J272" s="388"/>
      <c r="K272" s="388"/>
      <c r="L272" s="388"/>
      <c r="M272" s="388"/>
      <c r="N272" s="397"/>
    </row>
    <row r="273" spans="1:14" ht="15" customHeight="1" x14ac:dyDescent="0.25">
      <c r="A273" s="382"/>
      <c r="B273" s="391"/>
      <c r="C273" s="396"/>
      <c r="D273" s="388"/>
      <c r="E273" s="388"/>
      <c r="F273" s="388"/>
      <c r="G273" s="388"/>
      <c r="H273" s="388"/>
      <c r="I273" s="388"/>
      <c r="J273" s="388"/>
      <c r="K273" s="388"/>
      <c r="L273" s="388"/>
      <c r="M273" s="388"/>
      <c r="N273" s="397"/>
    </row>
    <row r="274" spans="1:14" ht="15" customHeight="1" x14ac:dyDescent="0.25">
      <c r="A274" s="382"/>
      <c r="B274" s="391"/>
      <c r="C274" s="396"/>
      <c r="D274" s="388"/>
      <c r="E274" s="388"/>
      <c r="F274" s="388"/>
      <c r="G274" s="388"/>
      <c r="H274" s="388"/>
      <c r="I274" s="388"/>
      <c r="J274" s="388"/>
      <c r="K274" s="388"/>
      <c r="L274" s="388"/>
      <c r="M274" s="388"/>
      <c r="N274" s="397"/>
    </row>
    <row r="275" spans="1:14" ht="15" customHeight="1" x14ac:dyDescent="0.25">
      <c r="A275" s="382"/>
      <c r="B275" s="391"/>
      <c r="C275" s="396"/>
      <c r="D275" s="388"/>
      <c r="E275" s="388"/>
      <c r="F275" s="388"/>
      <c r="G275" s="388"/>
      <c r="H275" s="388"/>
      <c r="I275" s="388"/>
      <c r="J275" s="388"/>
      <c r="K275" s="388"/>
      <c r="L275" s="388"/>
      <c r="M275" s="388"/>
      <c r="N275" s="397"/>
    </row>
    <row r="276" spans="1:14" ht="15" customHeight="1" x14ac:dyDescent="0.25">
      <c r="A276" s="382"/>
      <c r="B276" s="391"/>
      <c r="C276" s="396"/>
      <c r="D276" s="388"/>
      <c r="E276" s="388"/>
      <c r="F276" s="388"/>
      <c r="G276" s="388"/>
      <c r="H276" s="388"/>
      <c r="I276" s="388"/>
      <c r="J276" s="388"/>
      <c r="K276" s="388"/>
      <c r="L276" s="388"/>
      <c r="M276" s="388"/>
      <c r="N276" s="397"/>
    </row>
    <row r="277" spans="1:14" ht="15" customHeight="1" x14ac:dyDescent="0.25">
      <c r="A277" s="382"/>
      <c r="B277" s="391"/>
      <c r="C277" s="396"/>
      <c r="D277" s="388"/>
      <c r="E277" s="388"/>
      <c r="F277" s="388"/>
      <c r="G277" s="388"/>
      <c r="H277" s="388"/>
      <c r="I277" s="388"/>
      <c r="J277" s="388"/>
      <c r="K277" s="388"/>
      <c r="L277" s="388"/>
      <c r="M277" s="388"/>
      <c r="N277" s="397"/>
    </row>
    <row r="278" spans="1:14" ht="15" customHeight="1" x14ac:dyDescent="0.25">
      <c r="A278" s="382"/>
      <c r="B278" s="391"/>
      <c r="C278" s="396"/>
      <c r="D278" s="388"/>
      <c r="E278" s="388"/>
      <c r="F278" s="388"/>
      <c r="G278" s="388"/>
      <c r="H278" s="388"/>
      <c r="I278" s="388"/>
      <c r="J278" s="388"/>
      <c r="K278" s="388"/>
      <c r="L278" s="388"/>
      <c r="M278" s="388"/>
      <c r="N278" s="397"/>
    </row>
    <row r="279" spans="1:14" ht="15" customHeight="1" x14ac:dyDescent="0.25">
      <c r="A279" s="382"/>
      <c r="B279" s="391"/>
      <c r="C279" s="396"/>
      <c r="D279" s="388"/>
      <c r="E279" s="388"/>
      <c r="F279" s="388"/>
      <c r="G279" s="388"/>
      <c r="H279" s="388"/>
      <c r="I279" s="388"/>
      <c r="J279" s="388"/>
      <c r="K279" s="388"/>
      <c r="L279" s="388"/>
      <c r="M279" s="388"/>
      <c r="N279" s="397"/>
    </row>
    <row r="280" spans="1:14" ht="15.75" customHeight="1" thickBot="1" x14ac:dyDescent="0.3">
      <c r="A280" s="383"/>
      <c r="B280" s="392"/>
      <c r="C280" s="398"/>
      <c r="D280" s="399"/>
      <c r="E280" s="399"/>
      <c r="F280" s="399"/>
      <c r="G280" s="399"/>
      <c r="H280" s="399"/>
      <c r="I280" s="399"/>
      <c r="J280" s="399"/>
      <c r="K280" s="399"/>
      <c r="L280" s="399"/>
      <c r="M280" s="399"/>
      <c r="N280" s="400"/>
    </row>
    <row r="281" spans="1:14" ht="15" customHeight="1" x14ac:dyDescent="0.25">
      <c r="A281" s="407">
        <v>13</v>
      </c>
      <c r="B281" s="390" t="str">
        <f>VLOOKUP(A281,PROPONENTES!$A$10:$B$42,2)</f>
        <v>CONSORCIO KENNEPARK BQ 2024</v>
      </c>
      <c r="C281" s="393"/>
      <c r="D281" s="394"/>
      <c r="E281" s="394"/>
      <c r="F281" s="394"/>
      <c r="G281" s="394"/>
      <c r="H281" s="394"/>
      <c r="I281" s="394"/>
      <c r="J281" s="394"/>
      <c r="K281" s="394"/>
      <c r="L281" s="394"/>
      <c r="M281" s="394"/>
      <c r="N281" s="395"/>
    </row>
    <row r="282" spans="1:14" ht="15" customHeight="1" x14ac:dyDescent="0.25">
      <c r="A282" s="408"/>
      <c r="B282" s="391"/>
      <c r="C282" s="396"/>
      <c r="D282" s="388"/>
      <c r="E282" s="388"/>
      <c r="F282" s="388"/>
      <c r="G282" s="388"/>
      <c r="H282" s="388"/>
      <c r="I282" s="388"/>
      <c r="J282" s="388"/>
      <c r="K282" s="388"/>
      <c r="L282" s="388"/>
      <c r="M282" s="388"/>
      <c r="N282" s="397"/>
    </row>
    <row r="283" spans="1:14" ht="15" customHeight="1" x14ac:dyDescent="0.25">
      <c r="A283" s="408"/>
      <c r="B283" s="391"/>
      <c r="C283" s="396"/>
      <c r="D283" s="388"/>
      <c r="E283" s="388"/>
      <c r="F283" s="388"/>
      <c r="G283" s="388"/>
      <c r="H283" s="388"/>
      <c r="I283" s="388"/>
      <c r="J283" s="388"/>
      <c r="K283" s="388"/>
      <c r="L283" s="388"/>
      <c r="M283" s="388"/>
      <c r="N283" s="397"/>
    </row>
    <row r="284" spans="1:14" ht="15" customHeight="1" x14ac:dyDescent="0.25">
      <c r="A284" s="408"/>
      <c r="B284" s="391"/>
      <c r="C284" s="396"/>
      <c r="D284" s="388"/>
      <c r="E284" s="388"/>
      <c r="F284" s="388"/>
      <c r="G284" s="388"/>
      <c r="H284" s="388"/>
      <c r="I284" s="388"/>
      <c r="J284" s="388"/>
      <c r="K284" s="388"/>
      <c r="L284" s="388"/>
      <c r="M284" s="388"/>
      <c r="N284" s="397"/>
    </row>
    <row r="285" spans="1:14" ht="15" customHeight="1" x14ac:dyDescent="0.25">
      <c r="A285" s="408"/>
      <c r="B285" s="391"/>
      <c r="C285" s="396"/>
      <c r="D285" s="388"/>
      <c r="E285" s="388"/>
      <c r="F285" s="388"/>
      <c r="G285" s="388"/>
      <c r="H285" s="388"/>
      <c r="I285" s="388"/>
      <c r="J285" s="388"/>
      <c r="K285" s="388"/>
      <c r="L285" s="388"/>
      <c r="M285" s="388"/>
      <c r="N285" s="397"/>
    </row>
    <row r="286" spans="1:14" ht="15" customHeight="1" x14ac:dyDescent="0.25">
      <c r="A286" s="408"/>
      <c r="B286" s="391"/>
      <c r="C286" s="396"/>
      <c r="D286" s="388"/>
      <c r="E286" s="388"/>
      <c r="F286" s="388"/>
      <c r="G286" s="388"/>
      <c r="H286" s="388"/>
      <c r="I286" s="388"/>
      <c r="J286" s="388"/>
      <c r="K286" s="388"/>
      <c r="L286" s="388"/>
      <c r="M286" s="388"/>
      <c r="N286" s="397"/>
    </row>
    <row r="287" spans="1:14" ht="15" customHeight="1" x14ac:dyDescent="0.25">
      <c r="A287" s="408"/>
      <c r="B287" s="391"/>
      <c r="C287" s="396"/>
      <c r="D287" s="388"/>
      <c r="E287" s="388"/>
      <c r="F287" s="388"/>
      <c r="G287" s="388"/>
      <c r="H287" s="388"/>
      <c r="I287" s="388"/>
      <c r="J287" s="388"/>
      <c r="K287" s="388"/>
      <c r="L287" s="388"/>
      <c r="M287" s="388"/>
      <c r="N287" s="397"/>
    </row>
    <row r="288" spans="1:14" ht="15" customHeight="1" x14ac:dyDescent="0.25">
      <c r="A288" s="408"/>
      <c r="B288" s="391"/>
      <c r="C288" s="396"/>
      <c r="D288" s="388"/>
      <c r="E288" s="388"/>
      <c r="F288" s="388"/>
      <c r="G288" s="388"/>
      <c r="H288" s="388"/>
      <c r="I288" s="388"/>
      <c r="J288" s="388"/>
      <c r="K288" s="388"/>
      <c r="L288" s="388"/>
      <c r="M288" s="388"/>
      <c r="N288" s="397"/>
    </row>
    <row r="289" spans="1:14" ht="15" customHeight="1" x14ac:dyDescent="0.25">
      <c r="A289" s="408"/>
      <c r="B289" s="391"/>
      <c r="C289" s="396"/>
      <c r="D289" s="388"/>
      <c r="E289" s="388"/>
      <c r="F289" s="388"/>
      <c r="G289" s="388"/>
      <c r="H289" s="388"/>
      <c r="I289" s="388"/>
      <c r="J289" s="388"/>
      <c r="K289" s="388"/>
      <c r="L289" s="388"/>
      <c r="M289" s="388"/>
      <c r="N289" s="397"/>
    </row>
    <row r="290" spans="1:14" ht="15" customHeight="1" x14ac:dyDescent="0.25">
      <c r="A290" s="408"/>
      <c r="B290" s="391"/>
      <c r="C290" s="396"/>
      <c r="D290" s="388"/>
      <c r="E290" s="388"/>
      <c r="F290" s="388"/>
      <c r="G290" s="388"/>
      <c r="H290" s="388"/>
      <c r="I290" s="388"/>
      <c r="J290" s="388"/>
      <c r="K290" s="388"/>
      <c r="L290" s="388"/>
      <c r="M290" s="388"/>
      <c r="N290" s="397"/>
    </row>
    <row r="291" spans="1:14" ht="15" customHeight="1" x14ac:dyDescent="0.25">
      <c r="A291" s="408"/>
      <c r="B291" s="391"/>
      <c r="C291" s="396"/>
      <c r="D291" s="388"/>
      <c r="E291" s="388"/>
      <c r="F291" s="388"/>
      <c r="G291" s="388"/>
      <c r="H291" s="388"/>
      <c r="I291" s="388"/>
      <c r="J291" s="388"/>
      <c r="K291" s="388"/>
      <c r="L291" s="388"/>
      <c r="M291" s="388"/>
      <c r="N291" s="397"/>
    </row>
    <row r="292" spans="1:14" ht="15" customHeight="1" x14ac:dyDescent="0.25">
      <c r="A292" s="408"/>
      <c r="B292" s="391"/>
      <c r="C292" s="396"/>
      <c r="D292" s="388"/>
      <c r="E292" s="388"/>
      <c r="F292" s="388"/>
      <c r="G292" s="388"/>
      <c r="H292" s="388"/>
      <c r="I292" s="388"/>
      <c r="J292" s="388"/>
      <c r="K292" s="388"/>
      <c r="L292" s="388"/>
      <c r="M292" s="388"/>
      <c r="N292" s="397"/>
    </row>
    <row r="293" spans="1:14" ht="15" customHeight="1" x14ac:dyDescent="0.25">
      <c r="A293" s="408"/>
      <c r="B293" s="391"/>
      <c r="C293" s="396"/>
      <c r="D293" s="388"/>
      <c r="E293" s="388"/>
      <c r="F293" s="388"/>
      <c r="G293" s="388"/>
      <c r="H293" s="388"/>
      <c r="I293" s="388"/>
      <c r="J293" s="388"/>
      <c r="K293" s="388"/>
      <c r="L293" s="388"/>
      <c r="M293" s="388"/>
      <c r="N293" s="397"/>
    </row>
    <row r="294" spans="1:14" ht="15" customHeight="1" x14ac:dyDescent="0.25">
      <c r="A294" s="408"/>
      <c r="B294" s="391"/>
      <c r="C294" s="396"/>
      <c r="D294" s="388"/>
      <c r="E294" s="388"/>
      <c r="F294" s="388"/>
      <c r="G294" s="388"/>
      <c r="H294" s="388"/>
      <c r="I294" s="388"/>
      <c r="J294" s="388"/>
      <c r="K294" s="388"/>
      <c r="L294" s="388"/>
      <c r="M294" s="388"/>
      <c r="N294" s="397"/>
    </row>
    <row r="295" spans="1:14" ht="15" customHeight="1" x14ac:dyDescent="0.25">
      <c r="A295" s="408"/>
      <c r="B295" s="391"/>
      <c r="C295" s="396"/>
      <c r="D295" s="388"/>
      <c r="E295" s="388"/>
      <c r="F295" s="388"/>
      <c r="G295" s="388"/>
      <c r="H295" s="388"/>
      <c r="I295" s="388"/>
      <c r="J295" s="388"/>
      <c r="K295" s="388"/>
      <c r="L295" s="388"/>
      <c r="M295" s="388"/>
      <c r="N295" s="397"/>
    </row>
    <row r="296" spans="1:14" ht="15" customHeight="1" x14ac:dyDescent="0.25">
      <c r="A296" s="408"/>
      <c r="B296" s="391"/>
      <c r="C296" s="396"/>
      <c r="D296" s="388"/>
      <c r="E296" s="388"/>
      <c r="F296" s="388"/>
      <c r="G296" s="388"/>
      <c r="H296" s="388"/>
      <c r="I296" s="388"/>
      <c r="J296" s="388"/>
      <c r="K296" s="388"/>
      <c r="L296" s="388"/>
      <c r="M296" s="388"/>
      <c r="N296" s="397"/>
    </row>
    <row r="297" spans="1:14" ht="15" customHeight="1" x14ac:dyDescent="0.25">
      <c r="A297" s="408"/>
      <c r="B297" s="391"/>
      <c r="C297" s="396"/>
      <c r="D297" s="388"/>
      <c r="E297" s="388"/>
      <c r="F297" s="388"/>
      <c r="G297" s="388"/>
      <c r="H297" s="388"/>
      <c r="I297" s="388"/>
      <c r="J297" s="388"/>
      <c r="K297" s="388"/>
      <c r="L297" s="388"/>
      <c r="M297" s="388"/>
      <c r="N297" s="397"/>
    </row>
    <row r="298" spans="1:14" ht="15" customHeight="1" x14ac:dyDescent="0.25">
      <c r="A298" s="408"/>
      <c r="B298" s="391"/>
      <c r="C298" s="396"/>
      <c r="D298" s="388"/>
      <c r="E298" s="388"/>
      <c r="F298" s="388"/>
      <c r="G298" s="388"/>
      <c r="H298" s="388"/>
      <c r="I298" s="388"/>
      <c r="J298" s="388"/>
      <c r="K298" s="388"/>
      <c r="L298" s="388"/>
      <c r="M298" s="388"/>
      <c r="N298" s="397"/>
    </row>
    <row r="299" spans="1:14" ht="15" customHeight="1" x14ac:dyDescent="0.25">
      <c r="A299" s="408"/>
      <c r="B299" s="391"/>
      <c r="C299" s="396"/>
      <c r="D299" s="388"/>
      <c r="E299" s="388"/>
      <c r="F299" s="388"/>
      <c r="G299" s="388"/>
      <c r="H299" s="388"/>
      <c r="I299" s="388"/>
      <c r="J299" s="388"/>
      <c r="K299" s="388"/>
      <c r="L299" s="388"/>
      <c r="M299" s="388"/>
      <c r="N299" s="397"/>
    </row>
    <row r="300" spans="1:14" ht="15" customHeight="1" x14ac:dyDescent="0.25">
      <c r="A300" s="408"/>
      <c r="B300" s="391"/>
      <c r="C300" s="396"/>
      <c r="D300" s="388"/>
      <c r="E300" s="388"/>
      <c r="F300" s="388"/>
      <c r="G300" s="388"/>
      <c r="H300" s="388"/>
      <c r="I300" s="388"/>
      <c r="J300" s="388"/>
      <c r="K300" s="388"/>
      <c r="L300" s="388"/>
      <c r="M300" s="388"/>
      <c r="N300" s="397"/>
    </row>
    <row r="301" spans="1:14" ht="15" customHeight="1" x14ac:dyDescent="0.25">
      <c r="A301" s="408"/>
      <c r="B301" s="391"/>
      <c r="C301" s="396"/>
      <c r="D301" s="388"/>
      <c r="E301" s="388"/>
      <c r="F301" s="388"/>
      <c r="G301" s="388"/>
      <c r="H301" s="388"/>
      <c r="I301" s="388"/>
      <c r="J301" s="388"/>
      <c r="K301" s="388"/>
      <c r="L301" s="388"/>
      <c r="M301" s="388"/>
      <c r="N301" s="397"/>
    </row>
    <row r="302" spans="1:14" ht="15" customHeight="1" x14ac:dyDescent="0.25">
      <c r="A302" s="408"/>
      <c r="B302" s="391"/>
      <c r="C302" s="396"/>
      <c r="D302" s="388"/>
      <c r="E302" s="388"/>
      <c r="F302" s="388"/>
      <c r="G302" s="388"/>
      <c r="H302" s="388"/>
      <c r="I302" s="388"/>
      <c r="J302" s="388"/>
      <c r="K302" s="388"/>
      <c r="L302" s="388"/>
      <c r="M302" s="388"/>
      <c r="N302" s="397"/>
    </row>
    <row r="303" spans="1:14" ht="15.75" customHeight="1" thickBot="1" x14ac:dyDescent="0.3">
      <c r="A303" s="409"/>
      <c r="B303" s="392"/>
      <c r="C303" s="398"/>
      <c r="D303" s="399"/>
      <c r="E303" s="399"/>
      <c r="F303" s="399"/>
      <c r="G303" s="399"/>
      <c r="H303" s="399"/>
      <c r="I303" s="399"/>
      <c r="J303" s="399"/>
      <c r="K303" s="399"/>
      <c r="L303" s="399"/>
      <c r="M303" s="399"/>
      <c r="N303" s="400"/>
    </row>
    <row r="304" spans="1:14" ht="15" customHeight="1" x14ac:dyDescent="0.25">
      <c r="A304" s="381">
        <v>14</v>
      </c>
      <c r="B304" s="390" t="str">
        <f>VLOOKUP(A304,PROPONENTES!$A$10:$B$42,2)</f>
        <v>CONSORCIO PARQUES ARM 2024</v>
      </c>
      <c r="C304" s="431"/>
      <c r="D304" s="432"/>
      <c r="E304" s="432"/>
      <c r="F304" s="432"/>
      <c r="G304" s="432"/>
      <c r="H304" s="432"/>
      <c r="I304" s="432"/>
      <c r="J304" s="432"/>
      <c r="K304" s="432"/>
      <c r="L304" s="432"/>
      <c r="M304" s="432"/>
      <c r="N304" s="437"/>
    </row>
    <row r="305" spans="1:14" ht="15" customHeight="1" x14ac:dyDescent="0.25">
      <c r="A305" s="382"/>
      <c r="B305" s="391"/>
      <c r="C305" s="431"/>
      <c r="D305" s="432"/>
      <c r="E305" s="432"/>
      <c r="F305" s="432"/>
      <c r="G305" s="432"/>
      <c r="H305" s="432"/>
      <c r="I305" s="432"/>
      <c r="J305" s="432"/>
      <c r="K305" s="432"/>
      <c r="L305" s="432"/>
      <c r="M305" s="432"/>
      <c r="N305" s="437"/>
    </row>
    <row r="306" spans="1:14" ht="15" customHeight="1" x14ac:dyDescent="0.25">
      <c r="A306" s="382"/>
      <c r="B306" s="391"/>
      <c r="C306" s="431"/>
      <c r="D306" s="432"/>
      <c r="E306" s="432"/>
      <c r="F306" s="432"/>
      <c r="G306" s="432"/>
      <c r="H306" s="432"/>
      <c r="I306" s="432"/>
      <c r="J306" s="432"/>
      <c r="K306" s="432"/>
      <c r="L306" s="432"/>
      <c r="M306" s="432"/>
      <c r="N306" s="437"/>
    </row>
    <row r="307" spans="1:14" ht="31.5" customHeight="1" x14ac:dyDescent="0.25">
      <c r="A307" s="382"/>
      <c r="B307" s="391"/>
      <c r="C307" s="431"/>
      <c r="D307" s="432"/>
      <c r="E307" s="432"/>
      <c r="F307" s="432"/>
      <c r="G307" s="432"/>
      <c r="H307" s="432"/>
      <c r="I307" s="432"/>
      <c r="J307" s="432"/>
      <c r="K307" s="432"/>
      <c r="L307" s="432"/>
      <c r="M307" s="432"/>
      <c r="N307" s="437"/>
    </row>
    <row r="308" spans="1:14" ht="15" customHeight="1" x14ac:dyDescent="0.25">
      <c r="A308" s="382"/>
      <c r="B308" s="391"/>
      <c r="C308" s="431"/>
      <c r="D308" s="432"/>
      <c r="E308" s="432"/>
      <c r="F308" s="432"/>
      <c r="G308" s="432"/>
      <c r="H308" s="432"/>
      <c r="I308" s="432"/>
      <c r="J308" s="432"/>
      <c r="K308" s="432"/>
      <c r="L308" s="432"/>
      <c r="M308" s="432"/>
      <c r="N308" s="437"/>
    </row>
    <row r="309" spans="1:14" ht="15" customHeight="1" x14ac:dyDescent="0.25">
      <c r="A309" s="382"/>
      <c r="B309" s="391"/>
      <c r="C309" s="431"/>
      <c r="D309" s="432"/>
      <c r="E309" s="432"/>
      <c r="F309" s="432"/>
      <c r="G309" s="432"/>
      <c r="H309" s="432"/>
      <c r="I309" s="432"/>
      <c r="J309" s="432"/>
      <c r="K309" s="432"/>
      <c r="L309" s="432"/>
      <c r="M309" s="432"/>
      <c r="N309" s="437"/>
    </row>
    <row r="310" spans="1:14" ht="18" customHeight="1" x14ac:dyDescent="0.25">
      <c r="A310" s="382"/>
      <c r="B310" s="391"/>
      <c r="C310" s="431"/>
      <c r="D310" s="432"/>
      <c r="E310" s="432"/>
      <c r="F310" s="432"/>
      <c r="G310" s="432"/>
      <c r="H310" s="432"/>
      <c r="I310" s="432"/>
      <c r="J310" s="432"/>
      <c r="K310" s="432"/>
      <c r="L310" s="432"/>
      <c r="M310" s="432"/>
      <c r="N310" s="437"/>
    </row>
    <row r="311" spans="1:14" ht="15" customHeight="1" x14ac:dyDescent="0.25">
      <c r="A311" s="382"/>
      <c r="B311" s="391"/>
      <c r="C311" s="431"/>
      <c r="D311" s="432"/>
      <c r="E311" s="432"/>
      <c r="F311" s="432"/>
      <c r="G311" s="432"/>
      <c r="H311" s="432"/>
      <c r="I311" s="432"/>
      <c r="J311" s="432"/>
      <c r="K311" s="432"/>
      <c r="L311" s="432"/>
      <c r="M311" s="432"/>
      <c r="N311" s="437"/>
    </row>
    <row r="312" spans="1:14" ht="15" customHeight="1" x14ac:dyDescent="0.25">
      <c r="A312" s="382"/>
      <c r="B312" s="391"/>
      <c r="C312" s="431"/>
      <c r="D312" s="432"/>
      <c r="E312" s="432"/>
      <c r="F312" s="432"/>
      <c r="G312" s="432"/>
      <c r="H312" s="432"/>
      <c r="I312" s="432"/>
      <c r="J312" s="432"/>
      <c r="K312" s="432"/>
      <c r="L312" s="432"/>
      <c r="M312" s="432"/>
      <c r="N312" s="437"/>
    </row>
    <row r="313" spans="1:14" ht="15" customHeight="1" x14ac:dyDescent="0.25">
      <c r="A313" s="382"/>
      <c r="B313" s="391"/>
      <c r="C313" s="431"/>
      <c r="D313" s="432"/>
      <c r="E313" s="432"/>
      <c r="F313" s="432"/>
      <c r="G313" s="432"/>
      <c r="H313" s="432"/>
      <c r="I313" s="432"/>
      <c r="J313" s="432"/>
      <c r="K313" s="432"/>
      <c r="L313" s="432"/>
      <c r="M313" s="432"/>
      <c r="N313" s="437"/>
    </row>
    <row r="314" spans="1:14" ht="15" customHeight="1" x14ac:dyDescent="0.25">
      <c r="A314" s="382"/>
      <c r="B314" s="391"/>
      <c r="C314" s="431"/>
      <c r="D314" s="432"/>
      <c r="E314" s="432"/>
      <c r="F314" s="432"/>
      <c r="G314" s="432"/>
      <c r="H314" s="432"/>
      <c r="I314" s="432"/>
      <c r="J314" s="432"/>
      <c r="K314" s="432"/>
      <c r="L314" s="432"/>
      <c r="M314" s="432"/>
      <c r="N314" s="437"/>
    </row>
    <row r="315" spans="1:14" ht="15" customHeight="1" x14ac:dyDescent="0.25">
      <c r="A315" s="382"/>
      <c r="B315" s="391"/>
      <c r="C315" s="431"/>
      <c r="D315" s="432"/>
      <c r="E315" s="432"/>
      <c r="F315" s="432"/>
      <c r="G315" s="432"/>
      <c r="H315" s="432"/>
      <c r="I315" s="432"/>
      <c r="J315" s="432"/>
      <c r="K315" s="432"/>
      <c r="L315" s="432"/>
      <c r="M315" s="432"/>
      <c r="N315" s="437"/>
    </row>
    <row r="316" spans="1:14" ht="15" customHeight="1" x14ac:dyDescent="0.25">
      <c r="A316" s="382"/>
      <c r="B316" s="391"/>
      <c r="C316" s="431"/>
      <c r="D316" s="432"/>
      <c r="E316" s="432"/>
      <c r="F316" s="432"/>
      <c r="G316" s="432"/>
      <c r="H316" s="432"/>
      <c r="I316" s="432"/>
      <c r="J316" s="432"/>
      <c r="K316" s="432"/>
      <c r="L316" s="432"/>
      <c r="M316" s="432"/>
      <c r="N316" s="437"/>
    </row>
    <row r="317" spans="1:14" ht="15" customHeight="1" x14ac:dyDescent="0.25">
      <c r="A317" s="382"/>
      <c r="B317" s="391"/>
      <c r="C317" s="431"/>
      <c r="D317" s="432"/>
      <c r="E317" s="432"/>
      <c r="F317" s="432"/>
      <c r="G317" s="432"/>
      <c r="H317" s="432"/>
      <c r="I317" s="432"/>
      <c r="J317" s="432"/>
      <c r="K317" s="432"/>
      <c r="L317" s="432"/>
      <c r="M317" s="432"/>
      <c r="N317" s="437"/>
    </row>
    <row r="318" spans="1:14" ht="15" customHeight="1" x14ac:dyDescent="0.25">
      <c r="A318" s="382"/>
      <c r="B318" s="391"/>
      <c r="C318" s="431"/>
      <c r="D318" s="432"/>
      <c r="E318" s="432"/>
      <c r="F318" s="432"/>
      <c r="G318" s="432"/>
      <c r="H318" s="432"/>
      <c r="I318" s="432"/>
      <c r="J318" s="432"/>
      <c r="K318" s="432"/>
      <c r="L318" s="432"/>
      <c r="M318" s="432"/>
      <c r="N318" s="437"/>
    </row>
    <row r="319" spans="1:14" ht="15" customHeight="1" x14ac:dyDescent="0.25">
      <c r="A319" s="382"/>
      <c r="B319" s="391"/>
      <c r="C319" s="431"/>
      <c r="D319" s="432"/>
      <c r="E319" s="432"/>
      <c r="F319" s="432"/>
      <c r="G319" s="432"/>
      <c r="H319" s="432"/>
      <c r="I319" s="432"/>
      <c r="J319" s="432"/>
      <c r="K319" s="432"/>
      <c r="L319" s="432"/>
      <c r="M319" s="432"/>
      <c r="N319" s="437"/>
    </row>
    <row r="320" spans="1:14" ht="15" customHeight="1" x14ac:dyDescent="0.25">
      <c r="A320" s="382"/>
      <c r="B320" s="391"/>
      <c r="C320" s="431"/>
      <c r="D320" s="432"/>
      <c r="E320" s="432"/>
      <c r="F320" s="432"/>
      <c r="G320" s="432"/>
      <c r="H320" s="432"/>
      <c r="I320" s="432"/>
      <c r="J320" s="432"/>
      <c r="K320" s="432"/>
      <c r="L320" s="432"/>
      <c r="M320" s="432"/>
      <c r="N320" s="437"/>
    </row>
    <row r="321" spans="1:14" ht="15" customHeight="1" x14ac:dyDescent="0.25">
      <c r="A321" s="382"/>
      <c r="B321" s="391"/>
      <c r="C321" s="431"/>
      <c r="D321" s="432"/>
      <c r="E321" s="432"/>
      <c r="F321" s="432"/>
      <c r="G321" s="432"/>
      <c r="H321" s="432"/>
      <c r="I321" s="432"/>
      <c r="J321" s="432"/>
      <c r="K321" s="432"/>
      <c r="L321" s="432"/>
      <c r="M321" s="432"/>
      <c r="N321" s="437"/>
    </row>
    <row r="322" spans="1:14" ht="15" customHeight="1" x14ac:dyDescent="0.25">
      <c r="A322" s="382"/>
      <c r="B322" s="391"/>
      <c r="C322" s="431"/>
      <c r="D322" s="432"/>
      <c r="E322" s="432"/>
      <c r="F322" s="432"/>
      <c r="G322" s="432"/>
      <c r="H322" s="432"/>
      <c r="I322" s="432"/>
      <c r="J322" s="432"/>
      <c r="K322" s="432"/>
      <c r="L322" s="432"/>
      <c r="M322" s="432"/>
      <c r="N322" s="437"/>
    </row>
    <row r="323" spans="1:14" ht="15" customHeight="1" x14ac:dyDescent="0.25">
      <c r="A323" s="382"/>
      <c r="B323" s="391"/>
      <c r="C323" s="431"/>
      <c r="D323" s="432"/>
      <c r="E323" s="432"/>
      <c r="F323" s="432"/>
      <c r="G323" s="432"/>
      <c r="H323" s="432"/>
      <c r="I323" s="432"/>
      <c r="J323" s="432"/>
      <c r="K323" s="432"/>
      <c r="L323" s="432"/>
      <c r="M323" s="432"/>
      <c r="N323" s="437"/>
    </row>
    <row r="324" spans="1:14" ht="15" customHeight="1" x14ac:dyDescent="0.25">
      <c r="A324" s="382"/>
      <c r="B324" s="391"/>
      <c r="C324" s="431"/>
      <c r="D324" s="432"/>
      <c r="E324" s="432"/>
      <c r="F324" s="432"/>
      <c r="G324" s="432"/>
      <c r="H324" s="432"/>
      <c r="I324" s="432"/>
      <c r="J324" s="432"/>
      <c r="K324" s="432"/>
      <c r="L324" s="432"/>
      <c r="M324" s="432"/>
      <c r="N324" s="437"/>
    </row>
    <row r="325" spans="1:14" ht="15" customHeight="1" x14ac:dyDescent="0.25">
      <c r="A325" s="382"/>
      <c r="B325" s="391"/>
      <c r="C325" s="431"/>
      <c r="D325" s="432"/>
      <c r="E325" s="432"/>
      <c r="F325" s="432"/>
      <c r="G325" s="432"/>
      <c r="H325" s="432"/>
      <c r="I325" s="432"/>
      <c r="J325" s="432"/>
      <c r="K325" s="432"/>
      <c r="L325" s="432"/>
      <c r="M325" s="432"/>
      <c r="N325" s="437"/>
    </row>
    <row r="326" spans="1:14" ht="15.75" customHeight="1" thickBot="1" x14ac:dyDescent="0.3">
      <c r="A326" s="383"/>
      <c r="B326" s="392"/>
      <c r="C326" s="431"/>
      <c r="D326" s="432"/>
      <c r="E326" s="432"/>
      <c r="F326" s="432"/>
      <c r="G326" s="432"/>
      <c r="H326" s="432"/>
      <c r="I326" s="432"/>
      <c r="J326" s="432"/>
      <c r="K326" s="432"/>
      <c r="L326" s="432"/>
      <c r="M326" s="432"/>
      <c r="N326" s="437"/>
    </row>
    <row r="327" spans="1:14" ht="15" customHeight="1" x14ac:dyDescent="0.25">
      <c r="A327" s="381">
        <v>15</v>
      </c>
      <c r="B327" s="390" t="str">
        <f>VLOOKUP(A327,PROPONENTES!$A$10:$B$42,2)</f>
        <v>CONSORCIO MANTENIMIENTO PARKS</v>
      </c>
      <c r="C327" s="401"/>
      <c r="D327" s="420"/>
      <c r="E327" s="420"/>
      <c r="F327" s="420"/>
      <c r="G327" s="420"/>
      <c r="H327" s="420"/>
      <c r="I327" s="420"/>
      <c r="J327" s="420"/>
      <c r="K327" s="420"/>
      <c r="L327" s="420"/>
      <c r="M327" s="420"/>
      <c r="N327" s="421"/>
    </row>
    <row r="328" spans="1:14" ht="15" customHeight="1" x14ac:dyDescent="0.25">
      <c r="A328" s="382"/>
      <c r="B328" s="391"/>
      <c r="C328" s="422"/>
      <c r="D328" s="423"/>
      <c r="E328" s="423"/>
      <c r="F328" s="423"/>
      <c r="G328" s="423"/>
      <c r="H328" s="423"/>
      <c r="I328" s="423"/>
      <c r="J328" s="423"/>
      <c r="K328" s="423"/>
      <c r="L328" s="423"/>
      <c r="M328" s="423"/>
      <c r="N328" s="424"/>
    </row>
    <row r="329" spans="1:14" ht="15" customHeight="1" x14ac:dyDescent="0.25">
      <c r="A329" s="382"/>
      <c r="B329" s="391"/>
      <c r="C329" s="422"/>
      <c r="D329" s="423"/>
      <c r="E329" s="423"/>
      <c r="F329" s="423"/>
      <c r="G329" s="423"/>
      <c r="H329" s="423"/>
      <c r="I329" s="423"/>
      <c r="J329" s="423"/>
      <c r="K329" s="423"/>
      <c r="L329" s="423"/>
      <c r="M329" s="423"/>
      <c r="N329" s="424"/>
    </row>
    <row r="330" spans="1:14" ht="15" customHeight="1" x14ac:dyDescent="0.25">
      <c r="A330" s="382"/>
      <c r="B330" s="391"/>
      <c r="C330" s="422"/>
      <c r="D330" s="423"/>
      <c r="E330" s="423"/>
      <c r="F330" s="423"/>
      <c r="G330" s="423"/>
      <c r="H330" s="423"/>
      <c r="I330" s="423"/>
      <c r="J330" s="423"/>
      <c r="K330" s="423"/>
      <c r="L330" s="423"/>
      <c r="M330" s="423"/>
      <c r="N330" s="424"/>
    </row>
    <row r="331" spans="1:14" ht="15" customHeight="1" x14ac:dyDescent="0.25">
      <c r="A331" s="382"/>
      <c r="B331" s="391"/>
      <c r="C331" s="422"/>
      <c r="D331" s="423"/>
      <c r="E331" s="423"/>
      <c r="F331" s="423"/>
      <c r="G331" s="423"/>
      <c r="H331" s="423"/>
      <c r="I331" s="423"/>
      <c r="J331" s="423"/>
      <c r="K331" s="423"/>
      <c r="L331" s="423"/>
      <c r="M331" s="423"/>
      <c r="N331" s="424"/>
    </row>
    <row r="332" spans="1:14" ht="15" customHeight="1" x14ac:dyDescent="0.25">
      <c r="A332" s="382"/>
      <c r="B332" s="391"/>
      <c r="C332" s="422"/>
      <c r="D332" s="423"/>
      <c r="E332" s="423"/>
      <c r="F332" s="423"/>
      <c r="G332" s="423"/>
      <c r="H332" s="423"/>
      <c r="I332" s="423"/>
      <c r="J332" s="423"/>
      <c r="K332" s="423"/>
      <c r="L332" s="423"/>
      <c r="M332" s="423"/>
      <c r="N332" s="424"/>
    </row>
    <row r="333" spans="1:14" ht="15" customHeight="1" x14ac:dyDescent="0.25">
      <c r="A333" s="382"/>
      <c r="B333" s="391"/>
      <c r="C333" s="422"/>
      <c r="D333" s="423"/>
      <c r="E333" s="423"/>
      <c r="F333" s="423"/>
      <c r="G333" s="423"/>
      <c r="H333" s="423"/>
      <c r="I333" s="423"/>
      <c r="J333" s="423"/>
      <c r="K333" s="423"/>
      <c r="L333" s="423"/>
      <c r="M333" s="423"/>
      <c r="N333" s="424"/>
    </row>
    <row r="334" spans="1:14" ht="15" customHeight="1" x14ac:dyDescent="0.25">
      <c r="A334" s="382"/>
      <c r="B334" s="391"/>
      <c r="C334" s="422"/>
      <c r="D334" s="423"/>
      <c r="E334" s="423"/>
      <c r="F334" s="423"/>
      <c r="G334" s="423"/>
      <c r="H334" s="423"/>
      <c r="I334" s="423"/>
      <c r="J334" s="423"/>
      <c r="K334" s="423"/>
      <c r="L334" s="423"/>
      <c r="M334" s="423"/>
      <c r="N334" s="424"/>
    </row>
    <row r="335" spans="1:14" ht="15" customHeight="1" x14ac:dyDescent="0.25">
      <c r="A335" s="382"/>
      <c r="B335" s="391"/>
      <c r="C335" s="422"/>
      <c r="D335" s="423"/>
      <c r="E335" s="423"/>
      <c r="F335" s="423"/>
      <c r="G335" s="423"/>
      <c r="H335" s="423"/>
      <c r="I335" s="423"/>
      <c r="J335" s="423"/>
      <c r="K335" s="423"/>
      <c r="L335" s="423"/>
      <c r="M335" s="423"/>
      <c r="N335" s="424"/>
    </row>
    <row r="336" spans="1:14" ht="15" customHeight="1" x14ac:dyDescent="0.25">
      <c r="A336" s="382"/>
      <c r="B336" s="391"/>
      <c r="C336" s="422"/>
      <c r="D336" s="423"/>
      <c r="E336" s="423"/>
      <c r="F336" s="423"/>
      <c r="G336" s="423"/>
      <c r="H336" s="423"/>
      <c r="I336" s="423"/>
      <c r="J336" s="423"/>
      <c r="K336" s="423"/>
      <c r="L336" s="423"/>
      <c r="M336" s="423"/>
      <c r="N336" s="424"/>
    </row>
    <row r="337" spans="1:14" ht="15" customHeight="1" x14ac:dyDescent="0.25">
      <c r="A337" s="382"/>
      <c r="B337" s="391"/>
      <c r="C337" s="422"/>
      <c r="D337" s="423"/>
      <c r="E337" s="423"/>
      <c r="F337" s="423"/>
      <c r="G337" s="423"/>
      <c r="H337" s="423"/>
      <c r="I337" s="423"/>
      <c r="J337" s="423"/>
      <c r="K337" s="423"/>
      <c r="L337" s="423"/>
      <c r="M337" s="423"/>
      <c r="N337" s="424"/>
    </row>
    <row r="338" spans="1:14" ht="15" customHeight="1" x14ac:dyDescent="0.25">
      <c r="A338" s="382"/>
      <c r="B338" s="391"/>
      <c r="C338" s="422"/>
      <c r="D338" s="423"/>
      <c r="E338" s="423"/>
      <c r="F338" s="423"/>
      <c r="G338" s="423"/>
      <c r="H338" s="423"/>
      <c r="I338" s="423"/>
      <c r="J338" s="423"/>
      <c r="K338" s="423"/>
      <c r="L338" s="423"/>
      <c r="M338" s="423"/>
      <c r="N338" s="424"/>
    </row>
    <row r="339" spans="1:14" ht="15" customHeight="1" x14ac:dyDescent="0.25">
      <c r="A339" s="382"/>
      <c r="B339" s="391"/>
      <c r="C339" s="422"/>
      <c r="D339" s="423"/>
      <c r="E339" s="423"/>
      <c r="F339" s="423"/>
      <c r="G339" s="423"/>
      <c r="H339" s="423"/>
      <c r="I339" s="423"/>
      <c r="J339" s="423"/>
      <c r="K339" s="423"/>
      <c r="L339" s="423"/>
      <c r="M339" s="423"/>
      <c r="N339" s="424"/>
    </row>
    <row r="340" spans="1:14" ht="15" customHeight="1" x14ac:dyDescent="0.25">
      <c r="A340" s="382"/>
      <c r="B340" s="391"/>
      <c r="C340" s="422"/>
      <c r="D340" s="423"/>
      <c r="E340" s="423"/>
      <c r="F340" s="423"/>
      <c r="G340" s="423"/>
      <c r="H340" s="423"/>
      <c r="I340" s="423"/>
      <c r="J340" s="423"/>
      <c r="K340" s="423"/>
      <c r="L340" s="423"/>
      <c r="M340" s="423"/>
      <c r="N340" s="424"/>
    </row>
    <row r="341" spans="1:14" ht="15" customHeight="1" x14ac:dyDescent="0.25">
      <c r="A341" s="382"/>
      <c r="B341" s="391"/>
      <c r="C341" s="422"/>
      <c r="D341" s="423"/>
      <c r="E341" s="423"/>
      <c r="F341" s="423"/>
      <c r="G341" s="423"/>
      <c r="H341" s="423"/>
      <c r="I341" s="423"/>
      <c r="J341" s="423"/>
      <c r="K341" s="423"/>
      <c r="L341" s="423"/>
      <c r="M341" s="423"/>
      <c r="N341" s="424"/>
    </row>
    <row r="342" spans="1:14" ht="15" customHeight="1" x14ac:dyDescent="0.25">
      <c r="A342" s="382"/>
      <c r="B342" s="391"/>
      <c r="C342" s="422"/>
      <c r="D342" s="423"/>
      <c r="E342" s="423"/>
      <c r="F342" s="423"/>
      <c r="G342" s="423"/>
      <c r="H342" s="423"/>
      <c r="I342" s="423"/>
      <c r="J342" s="423"/>
      <c r="K342" s="423"/>
      <c r="L342" s="423"/>
      <c r="M342" s="423"/>
      <c r="N342" s="424"/>
    </row>
    <row r="343" spans="1:14" ht="15" customHeight="1" x14ac:dyDescent="0.25">
      <c r="A343" s="382"/>
      <c r="B343" s="391"/>
      <c r="C343" s="422"/>
      <c r="D343" s="423"/>
      <c r="E343" s="423"/>
      <c r="F343" s="423"/>
      <c r="G343" s="423"/>
      <c r="H343" s="423"/>
      <c r="I343" s="423"/>
      <c r="J343" s="423"/>
      <c r="K343" s="423"/>
      <c r="L343" s="423"/>
      <c r="M343" s="423"/>
      <c r="N343" s="424"/>
    </row>
    <row r="344" spans="1:14" ht="15" customHeight="1" x14ac:dyDescent="0.25">
      <c r="A344" s="382"/>
      <c r="B344" s="391"/>
      <c r="C344" s="422"/>
      <c r="D344" s="423"/>
      <c r="E344" s="423"/>
      <c r="F344" s="423"/>
      <c r="G344" s="423"/>
      <c r="H344" s="423"/>
      <c r="I344" s="423"/>
      <c r="J344" s="423"/>
      <c r="K344" s="423"/>
      <c r="L344" s="423"/>
      <c r="M344" s="423"/>
      <c r="N344" s="424"/>
    </row>
    <row r="345" spans="1:14" ht="15" customHeight="1" x14ac:dyDescent="0.25">
      <c r="A345" s="382"/>
      <c r="B345" s="391"/>
      <c r="C345" s="422"/>
      <c r="D345" s="423"/>
      <c r="E345" s="423"/>
      <c r="F345" s="423"/>
      <c r="G345" s="423"/>
      <c r="H345" s="423"/>
      <c r="I345" s="423"/>
      <c r="J345" s="423"/>
      <c r="K345" s="423"/>
      <c r="L345" s="423"/>
      <c r="M345" s="423"/>
      <c r="N345" s="424"/>
    </row>
    <row r="346" spans="1:14" ht="15" customHeight="1" x14ac:dyDescent="0.25">
      <c r="A346" s="382"/>
      <c r="B346" s="391"/>
      <c r="C346" s="422"/>
      <c r="D346" s="423"/>
      <c r="E346" s="423"/>
      <c r="F346" s="423"/>
      <c r="G346" s="423"/>
      <c r="H346" s="423"/>
      <c r="I346" s="423"/>
      <c r="J346" s="423"/>
      <c r="K346" s="423"/>
      <c r="L346" s="423"/>
      <c r="M346" s="423"/>
      <c r="N346" s="424"/>
    </row>
    <row r="347" spans="1:14" ht="15" customHeight="1" x14ac:dyDescent="0.25">
      <c r="A347" s="382"/>
      <c r="B347" s="391"/>
      <c r="C347" s="422"/>
      <c r="D347" s="423"/>
      <c r="E347" s="423"/>
      <c r="F347" s="423"/>
      <c r="G347" s="423"/>
      <c r="H347" s="423"/>
      <c r="I347" s="423"/>
      <c r="J347" s="423"/>
      <c r="K347" s="423"/>
      <c r="L347" s="423"/>
      <c r="M347" s="423"/>
      <c r="N347" s="424"/>
    </row>
    <row r="348" spans="1:14" ht="15" customHeight="1" x14ac:dyDescent="0.25">
      <c r="A348" s="382"/>
      <c r="B348" s="391"/>
      <c r="C348" s="422"/>
      <c r="D348" s="423"/>
      <c r="E348" s="423"/>
      <c r="F348" s="423"/>
      <c r="G348" s="423"/>
      <c r="H348" s="423"/>
      <c r="I348" s="423"/>
      <c r="J348" s="423"/>
      <c r="K348" s="423"/>
      <c r="L348" s="423"/>
      <c r="M348" s="423"/>
      <c r="N348" s="424"/>
    </row>
    <row r="349" spans="1:14" ht="15.75" customHeight="1" thickBot="1" x14ac:dyDescent="0.3">
      <c r="A349" s="383"/>
      <c r="B349" s="392"/>
      <c r="C349" s="425"/>
      <c r="D349" s="426"/>
      <c r="E349" s="426"/>
      <c r="F349" s="426"/>
      <c r="G349" s="426"/>
      <c r="H349" s="426"/>
      <c r="I349" s="426"/>
      <c r="J349" s="426"/>
      <c r="K349" s="426"/>
      <c r="L349" s="426"/>
      <c r="M349" s="426"/>
      <c r="N349" s="427"/>
    </row>
    <row r="350" spans="1:14" ht="15" customHeight="1" x14ac:dyDescent="0.25">
      <c r="A350" s="381">
        <v>16</v>
      </c>
      <c r="B350" s="390" t="str">
        <f>VLOOKUP(A350,PROPONENTES!$A$10:$B$42,2)</f>
        <v>CONSORCIO SAN LORENZO</v>
      </c>
      <c r="C350" s="401"/>
      <c r="D350" s="420"/>
      <c r="E350" s="420"/>
      <c r="F350" s="420"/>
      <c r="G350" s="420"/>
      <c r="H350" s="420"/>
      <c r="I350" s="420"/>
      <c r="J350" s="420"/>
      <c r="K350" s="420"/>
      <c r="L350" s="420"/>
      <c r="M350" s="420"/>
      <c r="N350" s="421"/>
    </row>
    <row r="351" spans="1:14" ht="15" customHeight="1" x14ac:dyDescent="0.25">
      <c r="A351" s="382"/>
      <c r="B351" s="391"/>
      <c r="C351" s="422"/>
      <c r="D351" s="423"/>
      <c r="E351" s="423"/>
      <c r="F351" s="423"/>
      <c r="G351" s="423"/>
      <c r="H351" s="423"/>
      <c r="I351" s="423"/>
      <c r="J351" s="423"/>
      <c r="K351" s="423"/>
      <c r="L351" s="423"/>
      <c r="M351" s="423"/>
      <c r="N351" s="424"/>
    </row>
    <row r="352" spans="1:14" ht="15" customHeight="1" x14ac:dyDescent="0.25">
      <c r="A352" s="382"/>
      <c r="B352" s="391"/>
      <c r="C352" s="422"/>
      <c r="D352" s="423"/>
      <c r="E352" s="423"/>
      <c r="F352" s="423"/>
      <c r="G352" s="423"/>
      <c r="H352" s="423"/>
      <c r="I352" s="423"/>
      <c r="J352" s="423"/>
      <c r="K352" s="423"/>
      <c r="L352" s="423"/>
      <c r="M352" s="423"/>
      <c r="N352" s="424"/>
    </row>
    <row r="353" spans="1:14" ht="15" customHeight="1" x14ac:dyDescent="0.25">
      <c r="A353" s="382"/>
      <c r="B353" s="391"/>
      <c r="C353" s="422"/>
      <c r="D353" s="423"/>
      <c r="E353" s="423"/>
      <c r="F353" s="423"/>
      <c r="G353" s="423"/>
      <c r="H353" s="423"/>
      <c r="I353" s="423"/>
      <c r="J353" s="423"/>
      <c r="K353" s="423"/>
      <c r="L353" s="423"/>
      <c r="M353" s="423"/>
      <c r="N353" s="424"/>
    </row>
    <row r="354" spans="1:14" ht="15" customHeight="1" x14ac:dyDescent="0.25">
      <c r="A354" s="382"/>
      <c r="B354" s="391"/>
      <c r="C354" s="422"/>
      <c r="D354" s="423"/>
      <c r="E354" s="423"/>
      <c r="F354" s="423"/>
      <c r="G354" s="423"/>
      <c r="H354" s="423"/>
      <c r="I354" s="423"/>
      <c r="J354" s="423"/>
      <c r="K354" s="423"/>
      <c r="L354" s="423"/>
      <c r="M354" s="423"/>
      <c r="N354" s="424"/>
    </row>
    <row r="355" spans="1:14" ht="15" customHeight="1" x14ac:dyDescent="0.25">
      <c r="A355" s="382"/>
      <c r="B355" s="391"/>
      <c r="C355" s="422"/>
      <c r="D355" s="423"/>
      <c r="E355" s="423"/>
      <c r="F355" s="423"/>
      <c r="G355" s="423"/>
      <c r="H355" s="423"/>
      <c r="I355" s="423"/>
      <c r="J355" s="423"/>
      <c r="K355" s="423"/>
      <c r="L355" s="423"/>
      <c r="M355" s="423"/>
      <c r="N355" s="424"/>
    </row>
    <row r="356" spans="1:14" ht="15" customHeight="1" x14ac:dyDescent="0.25">
      <c r="A356" s="382"/>
      <c r="B356" s="391"/>
      <c r="C356" s="422"/>
      <c r="D356" s="423"/>
      <c r="E356" s="423"/>
      <c r="F356" s="423"/>
      <c r="G356" s="423"/>
      <c r="H356" s="423"/>
      <c r="I356" s="423"/>
      <c r="J356" s="423"/>
      <c r="K356" s="423"/>
      <c r="L356" s="423"/>
      <c r="M356" s="423"/>
      <c r="N356" s="424"/>
    </row>
    <row r="357" spans="1:14" ht="15" customHeight="1" x14ac:dyDescent="0.25">
      <c r="A357" s="382"/>
      <c r="B357" s="391"/>
      <c r="C357" s="422"/>
      <c r="D357" s="423"/>
      <c r="E357" s="423"/>
      <c r="F357" s="423"/>
      <c r="G357" s="423"/>
      <c r="H357" s="423"/>
      <c r="I357" s="423"/>
      <c r="J357" s="423"/>
      <c r="K357" s="423"/>
      <c r="L357" s="423"/>
      <c r="M357" s="423"/>
      <c r="N357" s="424"/>
    </row>
    <row r="358" spans="1:14" ht="15" customHeight="1" x14ac:dyDescent="0.25">
      <c r="A358" s="382"/>
      <c r="B358" s="391"/>
      <c r="C358" s="422"/>
      <c r="D358" s="423"/>
      <c r="E358" s="423"/>
      <c r="F358" s="423"/>
      <c r="G358" s="423"/>
      <c r="H358" s="423"/>
      <c r="I358" s="423"/>
      <c r="J358" s="423"/>
      <c r="K358" s="423"/>
      <c r="L358" s="423"/>
      <c r="M358" s="423"/>
      <c r="N358" s="424"/>
    </row>
    <row r="359" spans="1:14" ht="15" customHeight="1" x14ac:dyDescent="0.25">
      <c r="A359" s="382"/>
      <c r="B359" s="391"/>
      <c r="C359" s="422"/>
      <c r="D359" s="423"/>
      <c r="E359" s="423"/>
      <c r="F359" s="423"/>
      <c r="G359" s="423"/>
      <c r="H359" s="423"/>
      <c r="I359" s="423"/>
      <c r="J359" s="423"/>
      <c r="K359" s="423"/>
      <c r="L359" s="423"/>
      <c r="M359" s="423"/>
      <c r="N359" s="424"/>
    </row>
    <row r="360" spans="1:14" ht="15" customHeight="1" x14ac:dyDescent="0.25">
      <c r="A360" s="382"/>
      <c r="B360" s="391"/>
      <c r="C360" s="422"/>
      <c r="D360" s="423"/>
      <c r="E360" s="423"/>
      <c r="F360" s="423"/>
      <c r="G360" s="423"/>
      <c r="H360" s="423"/>
      <c r="I360" s="423"/>
      <c r="J360" s="423"/>
      <c r="K360" s="423"/>
      <c r="L360" s="423"/>
      <c r="M360" s="423"/>
      <c r="N360" s="424"/>
    </row>
    <row r="361" spans="1:14" ht="15" customHeight="1" x14ac:dyDescent="0.25">
      <c r="A361" s="382"/>
      <c r="B361" s="391"/>
      <c r="C361" s="422"/>
      <c r="D361" s="423"/>
      <c r="E361" s="423"/>
      <c r="F361" s="423"/>
      <c r="G361" s="423"/>
      <c r="H361" s="423"/>
      <c r="I361" s="423"/>
      <c r="J361" s="423"/>
      <c r="K361" s="423"/>
      <c r="L361" s="423"/>
      <c r="M361" s="423"/>
      <c r="N361" s="424"/>
    </row>
    <row r="362" spans="1:14" ht="15" customHeight="1" x14ac:dyDescent="0.25">
      <c r="A362" s="382"/>
      <c r="B362" s="391"/>
      <c r="C362" s="422"/>
      <c r="D362" s="423"/>
      <c r="E362" s="423"/>
      <c r="F362" s="423"/>
      <c r="G362" s="423"/>
      <c r="H362" s="423"/>
      <c r="I362" s="423"/>
      <c r="J362" s="423"/>
      <c r="K362" s="423"/>
      <c r="L362" s="423"/>
      <c r="M362" s="423"/>
      <c r="N362" s="424"/>
    </row>
    <row r="363" spans="1:14" ht="15" customHeight="1" x14ac:dyDescent="0.25">
      <c r="A363" s="382"/>
      <c r="B363" s="391"/>
      <c r="C363" s="422"/>
      <c r="D363" s="423"/>
      <c r="E363" s="423"/>
      <c r="F363" s="423"/>
      <c r="G363" s="423"/>
      <c r="H363" s="423"/>
      <c r="I363" s="423"/>
      <c r="J363" s="423"/>
      <c r="K363" s="423"/>
      <c r="L363" s="423"/>
      <c r="M363" s="423"/>
      <c r="N363" s="424"/>
    </row>
    <row r="364" spans="1:14" ht="15" customHeight="1" x14ac:dyDescent="0.25">
      <c r="A364" s="382"/>
      <c r="B364" s="391"/>
      <c r="C364" s="422"/>
      <c r="D364" s="423"/>
      <c r="E364" s="423"/>
      <c r="F364" s="423"/>
      <c r="G364" s="423"/>
      <c r="H364" s="423"/>
      <c r="I364" s="423"/>
      <c r="J364" s="423"/>
      <c r="K364" s="423"/>
      <c r="L364" s="423"/>
      <c r="M364" s="423"/>
      <c r="N364" s="424"/>
    </row>
    <row r="365" spans="1:14" ht="15" customHeight="1" x14ac:dyDescent="0.25">
      <c r="A365" s="382"/>
      <c r="B365" s="391"/>
      <c r="C365" s="422"/>
      <c r="D365" s="423"/>
      <c r="E365" s="423"/>
      <c r="F365" s="423"/>
      <c r="G365" s="423"/>
      <c r="H365" s="423"/>
      <c r="I365" s="423"/>
      <c r="J365" s="423"/>
      <c r="K365" s="423"/>
      <c r="L365" s="423"/>
      <c r="M365" s="423"/>
      <c r="N365" s="424"/>
    </row>
    <row r="366" spans="1:14" ht="15" customHeight="1" x14ac:dyDescent="0.25">
      <c r="A366" s="382"/>
      <c r="B366" s="391"/>
      <c r="C366" s="422"/>
      <c r="D366" s="423"/>
      <c r="E366" s="423"/>
      <c r="F366" s="423"/>
      <c r="G366" s="423"/>
      <c r="H366" s="423"/>
      <c r="I366" s="423"/>
      <c r="J366" s="423"/>
      <c r="K366" s="423"/>
      <c r="L366" s="423"/>
      <c r="M366" s="423"/>
      <c r="N366" s="424"/>
    </row>
    <row r="367" spans="1:14" ht="15" customHeight="1" x14ac:dyDescent="0.25">
      <c r="A367" s="382"/>
      <c r="B367" s="391"/>
      <c r="C367" s="422"/>
      <c r="D367" s="423"/>
      <c r="E367" s="423"/>
      <c r="F367" s="423"/>
      <c r="G367" s="423"/>
      <c r="H367" s="423"/>
      <c r="I367" s="423"/>
      <c r="J367" s="423"/>
      <c r="K367" s="423"/>
      <c r="L367" s="423"/>
      <c r="M367" s="423"/>
      <c r="N367" s="424"/>
    </row>
    <row r="368" spans="1:14" ht="15" customHeight="1" x14ac:dyDescent="0.25">
      <c r="A368" s="382"/>
      <c r="B368" s="391"/>
      <c r="C368" s="422"/>
      <c r="D368" s="423"/>
      <c r="E368" s="423"/>
      <c r="F368" s="423"/>
      <c r="G368" s="423"/>
      <c r="H368" s="423"/>
      <c r="I368" s="423"/>
      <c r="J368" s="423"/>
      <c r="K368" s="423"/>
      <c r="L368" s="423"/>
      <c r="M368" s="423"/>
      <c r="N368" s="424"/>
    </row>
    <row r="369" spans="1:14" ht="15" customHeight="1" x14ac:dyDescent="0.25">
      <c r="A369" s="382"/>
      <c r="B369" s="391"/>
      <c r="C369" s="422"/>
      <c r="D369" s="423"/>
      <c r="E369" s="423"/>
      <c r="F369" s="423"/>
      <c r="G369" s="423"/>
      <c r="H369" s="423"/>
      <c r="I369" s="423"/>
      <c r="J369" s="423"/>
      <c r="K369" s="423"/>
      <c r="L369" s="423"/>
      <c r="M369" s="423"/>
      <c r="N369" s="424"/>
    </row>
    <row r="370" spans="1:14" ht="15" customHeight="1" x14ac:dyDescent="0.25">
      <c r="A370" s="382"/>
      <c r="B370" s="391"/>
      <c r="C370" s="422"/>
      <c r="D370" s="423"/>
      <c r="E370" s="423"/>
      <c r="F370" s="423"/>
      <c r="G370" s="423"/>
      <c r="H370" s="423"/>
      <c r="I370" s="423"/>
      <c r="J370" s="423"/>
      <c r="K370" s="423"/>
      <c r="L370" s="423"/>
      <c r="M370" s="423"/>
      <c r="N370" s="424"/>
    </row>
    <row r="371" spans="1:14" ht="15" customHeight="1" x14ac:dyDescent="0.25">
      <c r="A371" s="382"/>
      <c r="B371" s="391"/>
      <c r="C371" s="422"/>
      <c r="D371" s="423"/>
      <c r="E371" s="423"/>
      <c r="F371" s="423"/>
      <c r="G371" s="423"/>
      <c r="H371" s="423"/>
      <c r="I371" s="423"/>
      <c r="J371" s="423"/>
      <c r="K371" s="423"/>
      <c r="L371" s="423"/>
      <c r="M371" s="423"/>
      <c r="N371" s="424"/>
    </row>
    <row r="372" spans="1:14" ht="15.75" customHeight="1" thickBot="1" x14ac:dyDescent="0.3">
      <c r="A372" s="383"/>
      <c r="B372" s="392"/>
      <c r="C372" s="425"/>
      <c r="D372" s="426"/>
      <c r="E372" s="426"/>
      <c r="F372" s="426"/>
      <c r="G372" s="426"/>
      <c r="H372" s="426"/>
      <c r="I372" s="426"/>
      <c r="J372" s="426"/>
      <c r="K372" s="426"/>
      <c r="L372" s="426"/>
      <c r="M372" s="426"/>
      <c r="N372" s="427"/>
    </row>
    <row r="373" spans="1:14" ht="33" customHeight="1" x14ac:dyDescent="0.25">
      <c r="A373" s="381">
        <v>17</v>
      </c>
      <c r="B373" s="390" t="str">
        <f>VLOOKUP(A373,PROPONENTES!$A$10:$B$42,2)</f>
        <v>CONSORCIO KENNEDY AVANZA</v>
      </c>
      <c r="C373" s="428" t="s">
        <v>585</v>
      </c>
      <c r="D373" s="429"/>
      <c r="E373" s="429"/>
      <c r="F373" s="429"/>
      <c r="G373" s="429"/>
      <c r="H373" s="429"/>
      <c r="I373" s="429"/>
      <c r="J373" s="429"/>
      <c r="K373" s="429"/>
      <c r="L373" s="429"/>
      <c r="M373" s="429"/>
      <c r="N373" s="430"/>
    </row>
    <row r="374" spans="1:14" ht="38.25" customHeight="1" x14ac:dyDescent="0.25">
      <c r="A374" s="382"/>
      <c r="B374" s="391"/>
      <c r="C374" s="431"/>
      <c r="D374" s="432"/>
      <c r="E374" s="432"/>
      <c r="F374" s="432"/>
      <c r="G374" s="432"/>
      <c r="H374" s="432"/>
      <c r="I374" s="432"/>
      <c r="J374" s="432"/>
      <c r="K374" s="432"/>
      <c r="L374" s="432"/>
      <c r="M374" s="432"/>
      <c r="N374" s="433"/>
    </row>
    <row r="375" spans="1:14" ht="21.75" customHeight="1" x14ac:dyDescent="0.25">
      <c r="A375" s="382"/>
      <c r="B375" s="391"/>
      <c r="C375" s="431"/>
      <c r="D375" s="432"/>
      <c r="E375" s="432"/>
      <c r="F375" s="432"/>
      <c r="G375" s="432"/>
      <c r="H375" s="432"/>
      <c r="I375" s="432"/>
      <c r="J375" s="432"/>
      <c r="K375" s="432"/>
      <c r="L375" s="432"/>
      <c r="M375" s="432"/>
      <c r="N375" s="433"/>
    </row>
    <row r="376" spans="1:14" ht="15" customHeight="1" x14ac:dyDescent="0.25">
      <c r="A376" s="382"/>
      <c r="B376" s="391"/>
      <c r="C376" s="431"/>
      <c r="D376" s="432"/>
      <c r="E376" s="432"/>
      <c r="F376" s="432"/>
      <c r="G376" s="432"/>
      <c r="H376" s="432"/>
      <c r="I376" s="432"/>
      <c r="J376" s="432"/>
      <c r="K376" s="432"/>
      <c r="L376" s="432"/>
      <c r="M376" s="432"/>
      <c r="N376" s="433"/>
    </row>
    <row r="377" spans="1:14" ht="15" customHeight="1" x14ac:dyDescent="0.25">
      <c r="A377" s="382"/>
      <c r="B377" s="391"/>
      <c r="C377" s="431"/>
      <c r="D377" s="432"/>
      <c r="E377" s="432"/>
      <c r="F377" s="432"/>
      <c r="G377" s="432"/>
      <c r="H377" s="432"/>
      <c r="I377" s="432"/>
      <c r="J377" s="432"/>
      <c r="K377" s="432"/>
      <c r="L377" s="432"/>
      <c r="M377" s="432"/>
      <c r="N377" s="433"/>
    </row>
    <row r="378" spans="1:14" ht="15" customHeight="1" x14ac:dyDescent="0.25">
      <c r="A378" s="382"/>
      <c r="B378" s="391"/>
      <c r="C378" s="431"/>
      <c r="D378" s="432"/>
      <c r="E378" s="432"/>
      <c r="F378" s="432"/>
      <c r="G378" s="432"/>
      <c r="H378" s="432"/>
      <c r="I378" s="432"/>
      <c r="J378" s="432"/>
      <c r="K378" s="432"/>
      <c r="L378" s="432"/>
      <c r="M378" s="432"/>
      <c r="N378" s="433"/>
    </row>
    <row r="379" spans="1:14" ht="15" customHeight="1" x14ac:dyDescent="0.25">
      <c r="A379" s="382"/>
      <c r="B379" s="391"/>
      <c r="C379" s="431"/>
      <c r="D379" s="432"/>
      <c r="E379" s="432"/>
      <c r="F379" s="432"/>
      <c r="G379" s="432"/>
      <c r="H379" s="432"/>
      <c r="I379" s="432"/>
      <c r="J379" s="432"/>
      <c r="K379" s="432"/>
      <c r="L379" s="432"/>
      <c r="M379" s="432"/>
      <c r="N379" s="433"/>
    </row>
    <row r="380" spans="1:14" ht="15" customHeight="1" x14ac:dyDescent="0.25">
      <c r="A380" s="382"/>
      <c r="B380" s="391"/>
      <c r="C380" s="431"/>
      <c r="D380" s="432"/>
      <c r="E380" s="432"/>
      <c r="F380" s="432"/>
      <c r="G380" s="432"/>
      <c r="H380" s="432"/>
      <c r="I380" s="432"/>
      <c r="J380" s="432"/>
      <c r="K380" s="432"/>
      <c r="L380" s="432"/>
      <c r="M380" s="432"/>
      <c r="N380" s="433"/>
    </row>
    <row r="381" spans="1:14" ht="15" customHeight="1" x14ac:dyDescent="0.25">
      <c r="A381" s="382"/>
      <c r="B381" s="391"/>
      <c r="C381" s="431"/>
      <c r="D381" s="432"/>
      <c r="E381" s="432"/>
      <c r="F381" s="432"/>
      <c r="G381" s="432"/>
      <c r="H381" s="432"/>
      <c r="I381" s="432"/>
      <c r="J381" s="432"/>
      <c r="K381" s="432"/>
      <c r="L381" s="432"/>
      <c r="M381" s="432"/>
      <c r="N381" s="433"/>
    </row>
    <row r="382" spans="1:14" ht="15" customHeight="1" x14ac:dyDescent="0.25">
      <c r="A382" s="382"/>
      <c r="B382" s="391"/>
      <c r="C382" s="431"/>
      <c r="D382" s="432"/>
      <c r="E382" s="432"/>
      <c r="F382" s="432"/>
      <c r="G382" s="432"/>
      <c r="H382" s="432"/>
      <c r="I382" s="432"/>
      <c r="J382" s="432"/>
      <c r="K382" s="432"/>
      <c r="L382" s="432"/>
      <c r="M382" s="432"/>
      <c r="N382" s="433"/>
    </row>
    <row r="383" spans="1:14" ht="15" customHeight="1" x14ac:dyDescent="0.25">
      <c r="A383" s="382"/>
      <c r="B383" s="391"/>
      <c r="C383" s="431"/>
      <c r="D383" s="432"/>
      <c r="E383" s="432"/>
      <c r="F383" s="432"/>
      <c r="G383" s="432"/>
      <c r="H383" s="432"/>
      <c r="I383" s="432"/>
      <c r="J383" s="432"/>
      <c r="K383" s="432"/>
      <c r="L383" s="432"/>
      <c r="M383" s="432"/>
      <c r="N383" s="433"/>
    </row>
    <row r="384" spans="1:14" ht="15" customHeight="1" x14ac:dyDescent="0.25">
      <c r="A384" s="382"/>
      <c r="B384" s="391"/>
      <c r="C384" s="431"/>
      <c r="D384" s="432"/>
      <c r="E384" s="432"/>
      <c r="F384" s="432"/>
      <c r="G384" s="432"/>
      <c r="H384" s="432"/>
      <c r="I384" s="432"/>
      <c r="J384" s="432"/>
      <c r="K384" s="432"/>
      <c r="L384" s="432"/>
      <c r="M384" s="432"/>
      <c r="N384" s="433"/>
    </row>
    <row r="385" spans="1:14" ht="15" customHeight="1" x14ac:dyDescent="0.25">
      <c r="A385" s="382"/>
      <c r="B385" s="391"/>
      <c r="C385" s="431"/>
      <c r="D385" s="432"/>
      <c r="E385" s="432"/>
      <c r="F385" s="432"/>
      <c r="G385" s="432"/>
      <c r="H385" s="432"/>
      <c r="I385" s="432"/>
      <c r="J385" s="432"/>
      <c r="K385" s="432"/>
      <c r="L385" s="432"/>
      <c r="M385" s="432"/>
      <c r="N385" s="433"/>
    </row>
    <row r="386" spans="1:14" ht="15" customHeight="1" x14ac:dyDescent="0.25">
      <c r="A386" s="382"/>
      <c r="B386" s="391"/>
      <c r="C386" s="431"/>
      <c r="D386" s="432"/>
      <c r="E386" s="432"/>
      <c r="F386" s="432"/>
      <c r="G386" s="432"/>
      <c r="H386" s="432"/>
      <c r="I386" s="432"/>
      <c r="J386" s="432"/>
      <c r="K386" s="432"/>
      <c r="L386" s="432"/>
      <c r="M386" s="432"/>
      <c r="N386" s="433"/>
    </row>
    <row r="387" spans="1:14" ht="15" customHeight="1" x14ac:dyDescent="0.25">
      <c r="A387" s="382"/>
      <c r="B387" s="391"/>
      <c r="C387" s="431"/>
      <c r="D387" s="432"/>
      <c r="E387" s="432"/>
      <c r="F387" s="432"/>
      <c r="G387" s="432"/>
      <c r="H387" s="432"/>
      <c r="I387" s="432"/>
      <c r="J387" s="432"/>
      <c r="K387" s="432"/>
      <c r="L387" s="432"/>
      <c r="M387" s="432"/>
      <c r="N387" s="433"/>
    </row>
    <row r="388" spans="1:14" ht="15" customHeight="1" x14ac:dyDescent="0.25">
      <c r="A388" s="382"/>
      <c r="B388" s="391"/>
      <c r="C388" s="431"/>
      <c r="D388" s="432"/>
      <c r="E388" s="432"/>
      <c r="F388" s="432"/>
      <c r="G388" s="432"/>
      <c r="H388" s="432"/>
      <c r="I388" s="432"/>
      <c r="J388" s="432"/>
      <c r="K388" s="432"/>
      <c r="L388" s="432"/>
      <c r="M388" s="432"/>
      <c r="N388" s="433"/>
    </row>
    <row r="389" spans="1:14" ht="15" customHeight="1" x14ac:dyDescent="0.25">
      <c r="A389" s="382"/>
      <c r="B389" s="391"/>
      <c r="C389" s="431"/>
      <c r="D389" s="432"/>
      <c r="E389" s="432"/>
      <c r="F389" s="432"/>
      <c r="G389" s="432"/>
      <c r="H389" s="432"/>
      <c r="I389" s="432"/>
      <c r="J389" s="432"/>
      <c r="K389" s="432"/>
      <c r="L389" s="432"/>
      <c r="M389" s="432"/>
      <c r="N389" s="433"/>
    </row>
    <row r="390" spans="1:14" ht="15" customHeight="1" x14ac:dyDescent="0.25">
      <c r="A390" s="382"/>
      <c r="B390" s="391"/>
      <c r="C390" s="431"/>
      <c r="D390" s="432"/>
      <c r="E390" s="432"/>
      <c r="F390" s="432"/>
      <c r="G390" s="432"/>
      <c r="H390" s="432"/>
      <c r="I390" s="432"/>
      <c r="J390" s="432"/>
      <c r="K390" s="432"/>
      <c r="L390" s="432"/>
      <c r="M390" s="432"/>
      <c r="N390" s="433"/>
    </row>
    <row r="391" spans="1:14" ht="15" customHeight="1" x14ac:dyDescent="0.25">
      <c r="A391" s="382"/>
      <c r="B391" s="391"/>
      <c r="C391" s="431"/>
      <c r="D391" s="432"/>
      <c r="E391" s="432"/>
      <c r="F391" s="432"/>
      <c r="G391" s="432"/>
      <c r="H391" s="432"/>
      <c r="I391" s="432"/>
      <c r="J391" s="432"/>
      <c r="K391" s="432"/>
      <c r="L391" s="432"/>
      <c r="M391" s="432"/>
      <c r="N391" s="433"/>
    </row>
    <row r="392" spans="1:14" ht="15" customHeight="1" x14ac:dyDescent="0.25">
      <c r="A392" s="382"/>
      <c r="B392" s="391"/>
      <c r="C392" s="431"/>
      <c r="D392" s="432"/>
      <c r="E392" s="432"/>
      <c r="F392" s="432"/>
      <c r="G392" s="432"/>
      <c r="H392" s="432"/>
      <c r="I392" s="432"/>
      <c r="J392" s="432"/>
      <c r="K392" s="432"/>
      <c r="L392" s="432"/>
      <c r="M392" s="432"/>
      <c r="N392" s="433"/>
    </row>
    <row r="393" spans="1:14" ht="15" customHeight="1" x14ac:dyDescent="0.25">
      <c r="A393" s="382"/>
      <c r="B393" s="391"/>
      <c r="C393" s="431"/>
      <c r="D393" s="432"/>
      <c r="E393" s="432"/>
      <c r="F393" s="432"/>
      <c r="G393" s="432"/>
      <c r="H393" s="432"/>
      <c r="I393" s="432"/>
      <c r="J393" s="432"/>
      <c r="K393" s="432"/>
      <c r="L393" s="432"/>
      <c r="M393" s="432"/>
      <c r="N393" s="433"/>
    </row>
    <row r="394" spans="1:14" ht="15" customHeight="1" x14ac:dyDescent="0.25">
      <c r="A394" s="382"/>
      <c r="B394" s="391"/>
      <c r="C394" s="431"/>
      <c r="D394" s="432"/>
      <c r="E394" s="432"/>
      <c r="F394" s="432"/>
      <c r="G394" s="432"/>
      <c r="H394" s="432"/>
      <c r="I394" s="432"/>
      <c r="J394" s="432"/>
      <c r="K394" s="432"/>
      <c r="L394" s="432"/>
      <c r="M394" s="432"/>
      <c r="N394" s="433"/>
    </row>
    <row r="395" spans="1:14" ht="15.75" customHeight="1" thickBot="1" x14ac:dyDescent="0.3">
      <c r="A395" s="383"/>
      <c r="B395" s="392"/>
      <c r="C395" s="434"/>
      <c r="D395" s="435"/>
      <c r="E395" s="435"/>
      <c r="F395" s="435"/>
      <c r="G395" s="435"/>
      <c r="H395" s="435"/>
      <c r="I395" s="435"/>
      <c r="J395" s="435"/>
      <c r="K395" s="435"/>
      <c r="L395" s="435"/>
      <c r="M395" s="435"/>
      <c r="N395" s="436"/>
    </row>
    <row r="396" spans="1:14" ht="15" customHeight="1" x14ac:dyDescent="0.25">
      <c r="A396" s="381">
        <v>18</v>
      </c>
      <c r="B396" s="390" t="str">
        <f>VLOOKUP(A396,PROPONENTES!$A$10:$B$42,2)</f>
        <v>CONSORCIO MAB KENN PARQUES</v>
      </c>
      <c r="C396" s="384"/>
      <c r="D396" s="385"/>
      <c r="E396" s="385"/>
      <c r="F396" s="385"/>
      <c r="G396" s="385"/>
      <c r="H396" s="385"/>
      <c r="I396" s="385"/>
      <c r="J396" s="385"/>
      <c r="K396" s="385"/>
      <c r="L396" s="385"/>
      <c r="M396" s="385"/>
      <c r="N396" s="416"/>
    </row>
    <row r="397" spans="1:14" ht="15" customHeight="1" x14ac:dyDescent="0.25">
      <c r="A397" s="382"/>
      <c r="B397" s="391"/>
      <c r="C397" s="387"/>
      <c r="D397" s="388"/>
      <c r="E397" s="388"/>
      <c r="F397" s="388"/>
      <c r="G397" s="388"/>
      <c r="H397" s="388"/>
      <c r="I397" s="388"/>
      <c r="J397" s="388"/>
      <c r="K397" s="388"/>
      <c r="L397" s="388"/>
      <c r="M397" s="388"/>
      <c r="N397" s="397"/>
    </row>
    <row r="398" spans="1:14" ht="15" customHeight="1" x14ac:dyDescent="0.25">
      <c r="A398" s="382"/>
      <c r="B398" s="391"/>
      <c r="C398" s="387"/>
      <c r="D398" s="388"/>
      <c r="E398" s="388"/>
      <c r="F398" s="388"/>
      <c r="G398" s="388"/>
      <c r="H398" s="388"/>
      <c r="I398" s="388"/>
      <c r="J398" s="388"/>
      <c r="K398" s="388"/>
      <c r="L398" s="388"/>
      <c r="M398" s="388"/>
      <c r="N398" s="397"/>
    </row>
    <row r="399" spans="1:14" ht="15" customHeight="1" x14ac:dyDescent="0.25">
      <c r="A399" s="382"/>
      <c r="B399" s="391"/>
      <c r="C399" s="387"/>
      <c r="D399" s="388"/>
      <c r="E399" s="388"/>
      <c r="F399" s="388"/>
      <c r="G399" s="388"/>
      <c r="H399" s="388"/>
      <c r="I399" s="388"/>
      <c r="J399" s="388"/>
      <c r="K399" s="388"/>
      <c r="L399" s="388"/>
      <c r="M399" s="388"/>
      <c r="N399" s="397"/>
    </row>
    <row r="400" spans="1:14" ht="15" customHeight="1" x14ac:dyDescent="0.25">
      <c r="A400" s="382"/>
      <c r="B400" s="391"/>
      <c r="C400" s="387"/>
      <c r="D400" s="388"/>
      <c r="E400" s="388"/>
      <c r="F400" s="388"/>
      <c r="G400" s="388"/>
      <c r="H400" s="388"/>
      <c r="I400" s="388"/>
      <c r="J400" s="388"/>
      <c r="K400" s="388"/>
      <c r="L400" s="388"/>
      <c r="M400" s="388"/>
      <c r="N400" s="397"/>
    </row>
    <row r="401" spans="1:14" ht="15" customHeight="1" x14ac:dyDescent="0.25">
      <c r="A401" s="382"/>
      <c r="B401" s="391"/>
      <c r="C401" s="387"/>
      <c r="D401" s="388"/>
      <c r="E401" s="388"/>
      <c r="F401" s="388"/>
      <c r="G401" s="388"/>
      <c r="H401" s="388"/>
      <c r="I401" s="388"/>
      <c r="J401" s="388"/>
      <c r="K401" s="388"/>
      <c r="L401" s="388"/>
      <c r="M401" s="388"/>
      <c r="N401" s="397"/>
    </row>
    <row r="402" spans="1:14" ht="15" customHeight="1" x14ac:dyDescent="0.25">
      <c r="A402" s="382"/>
      <c r="B402" s="391"/>
      <c r="C402" s="387"/>
      <c r="D402" s="388"/>
      <c r="E402" s="388"/>
      <c r="F402" s="388"/>
      <c r="G402" s="388"/>
      <c r="H402" s="388"/>
      <c r="I402" s="388"/>
      <c r="J402" s="388"/>
      <c r="K402" s="388"/>
      <c r="L402" s="388"/>
      <c r="M402" s="388"/>
      <c r="N402" s="397"/>
    </row>
    <row r="403" spans="1:14" ht="15" customHeight="1" x14ac:dyDescent="0.25">
      <c r="A403" s="382"/>
      <c r="B403" s="391"/>
      <c r="C403" s="387"/>
      <c r="D403" s="388"/>
      <c r="E403" s="388"/>
      <c r="F403" s="388"/>
      <c r="G403" s="388"/>
      <c r="H403" s="388"/>
      <c r="I403" s="388"/>
      <c r="J403" s="388"/>
      <c r="K403" s="388"/>
      <c r="L403" s="388"/>
      <c r="M403" s="388"/>
      <c r="N403" s="397"/>
    </row>
    <row r="404" spans="1:14" ht="15" customHeight="1" x14ac:dyDescent="0.25">
      <c r="A404" s="382"/>
      <c r="B404" s="391"/>
      <c r="C404" s="387"/>
      <c r="D404" s="388"/>
      <c r="E404" s="388"/>
      <c r="F404" s="388"/>
      <c r="G404" s="388"/>
      <c r="H404" s="388"/>
      <c r="I404" s="388"/>
      <c r="J404" s="388"/>
      <c r="K404" s="388"/>
      <c r="L404" s="388"/>
      <c r="M404" s="388"/>
      <c r="N404" s="397"/>
    </row>
    <row r="405" spans="1:14" ht="15" customHeight="1" x14ac:dyDescent="0.25">
      <c r="A405" s="382"/>
      <c r="B405" s="391"/>
      <c r="C405" s="387"/>
      <c r="D405" s="388"/>
      <c r="E405" s="388"/>
      <c r="F405" s="388"/>
      <c r="G405" s="388"/>
      <c r="H405" s="388"/>
      <c r="I405" s="388"/>
      <c r="J405" s="388"/>
      <c r="K405" s="388"/>
      <c r="L405" s="388"/>
      <c r="M405" s="388"/>
      <c r="N405" s="397"/>
    </row>
    <row r="406" spans="1:14" ht="15" customHeight="1" x14ac:dyDescent="0.25">
      <c r="A406" s="382"/>
      <c r="B406" s="391"/>
      <c r="C406" s="387"/>
      <c r="D406" s="388"/>
      <c r="E406" s="388"/>
      <c r="F406" s="388"/>
      <c r="G406" s="388"/>
      <c r="H406" s="388"/>
      <c r="I406" s="388"/>
      <c r="J406" s="388"/>
      <c r="K406" s="388"/>
      <c r="L406" s="388"/>
      <c r="M406" s="388"/>
      <c r="N406" s="397"/>
    </row>
    <row r="407" spans="1:14" ht="15" customHeight="1" x14ac:dyDescent="0.25">
      <c r="A407" s="382"/>
      <c r="B407" s="391"/>
      <c r="C407" s="387"/>
      <c r="D407" s="388"/>
      <c r="E407" s="388"/>
      <c r="F407" s="388"/>
      <c r="G407" s="388"/>
      <c r="H407" s="388"/>
      <c r="I407" s="388"/>
      <c r="J407" s="388"/>
      <c r="K407" s="388"/>
      <c r="L407" s="388"/>
      <c r="M407" s="388"/>
      <c r="N407" s="397"/>
    </row>
    <row r="408" spans="1:14" ht="15" customHeight="1" x14ac:dyDescent="0.25">
      <c r="A408" s="382"/>
      <c r="B408" s="391"/>
      <c r="C408" s="387"/>
      <c r="D408" s="388"/>
      <c r="E408" s="388"/>
      <c r="F408" s="388"/>
      <c r="G408" s="388"/>
      <c r="H408" s="388"/>
      <c r="I408" s="388"/>
      <c r="J408" s="388"/>
      <c r="K408" s="388"/>
      <c r="L408" s="388"/>
      <c r="M408" s="388"/>
      <c r="N408" s="397"/>
    </row>
    <row r="409" spans="1:14" ht="15" customHeight="1" x14ac:dyDescent="0.25">
      <c r="A409" s="382"/>
      <c r="B409" s="391"/>
      <c r="C409" s="387"/>
      <c r="D409" s="388"/>
      <c r="E409" s="388"/>
      <c r="F409" s="388"/>
      <c r="G409" s="388"/>
      <c r="H409" s="388"/>
      <c r="I409" s="388"/>
      <c r="J409" s="388"/>
      <c r="K409" s="388"/>
      <c r="L409" s="388"/>
      <c r="M409" s="388"/>
      <c r="N409" s="397"/>
    </row>
    <row r="410" spans="1:14" ht="15" customHeight="1" x14ac:dyDescent="0.25">
      <c r="A410" s="382"/>
      <c r="B410" s="391"/>
      <c r="C410" s="387"/>
      <c r="D410" s="388"/>
      <c r="E410" s="388"/>
      <c r="F410" s="388"/>
      <c r="G410" s="388"/>
      <c r="H410" s="388"/>
      <c r="I410" s="388"/>
      <c r="J410" s="388"/>
      <c r="K410" s="388"/>
      <c r="L410" s="388"/>
      <c r="M410" s="388"/>
      <c r="N410" s="397"/>
    </row>
    <row r="411" spans="1:14" ht="15" customHeight="1" x14ac:dyDescent="0.25">
      <c r="A411" s="382"/>
      <c r="B411" s="391"/>
      <c r="C411" s="387"/>
      <c r="D411" s="388"/>
      <c r="E411" s="388"/>
      <c r="F411" s="388"/>
      <c r="G411" s="388"/>
      <c r="H411" s="388"/>
      <c r="I411" s="388"/>
      <c r="J411" s="388"/>
      <c r="K411" s="388"/>
      <c r="L411" s="388"/>
      <c r="M411" s="388"/>
      <c r="N411" s="397"/>
    </row>
    <row r="412" spans="1:14" ht="15" customHeight="1" x14ac:dyDescent="0.25">
      <c r="A412" s="382"/>
      <c r="B412" s="391"/>
      <c r="C412" s="387"/>
      <c r="D412" s="388"/>
      <c r="E412" s="388"/>
      <c r="F412" s="388"/>
      <c r="G412" s="388"/>
      <c r="H412" s="388"/>
      <c r="I412" s="388"/>
      <c r="J412" s="388"/>
      <c r="K412" s="388"/>
      <c r="L412" s="388"/>
      <c r="M412" s="388"/>
      <c r="N412" s="397"/>
    </row>
    <row r="413" spans="1:14" ht="15" customHeight="1" x14ac:dyDescent="0.25">
      <c r="A413" s="382"/>
      <c r="B413" s="391"/>
      <c r="C413" s="387"/>
      <c r="D413" s="388"/>
      <c r="E413" s="388"/>
      <c r="F413" s="388"/>
      <c r="G413" s="388"/>
      <c r="H413" s="388"/>
      <c r="I413" s="388"/>
      <c r="J413" s="388"/>
      <c r="K413" s="388"/>
      <c r="L413" s="388"/>
      <c r="M413" s="388"/>
      <c r="N413" s="397"/>
    </row>
    <row r="414" spans="1:14" ht="15" customHeight="1" x14ac:dyDescent="0.25">
      <c r="A414" s="382"/>
      <c r="B414" s="391"/>
      <c r="C414" s="387"/>
      <c r="D414" s="388"/>
      <c r="E414" s="388"/>
      <c r="F414" s="388"/>
      <c r="G414" s="388"/>
      <c r="H414" s="388"/>
      <c r="I414" s="388"/>
      <c r="J414" s="388"/>
      <c r="K414" s="388"/>
      <c r="L414" s="388"/>
      <c r="M414" s="388"/>
      <c r="N414" s="397"/>
    </row>
    <row r="415" spans="1:14" ht="15" customHeight="1" x14ac:dyDescent="0.25">
      <c r="A415" s="382"/>
      <c r="B415" s="391"/>
      <c r="C415" s="387"/>
      <c r="D415" s="388"/>
      <c r="E415" s="388"/>
      <c r="F415" s="388"/>
      <c r="G415" s="388"/>
      <c r="H415" s="388"/>
      <c r="I415" s="388"/>
      <c r="J415" s="388"/>
      <c r="K415" s="388"/>
      <c r="L415" s="388"/>
      <c r="M415" s="388"/>
      <c r="N415" s="397"/>
    </row>
    <row r="416" spans="1:14" ht="15" customHeight="1" x14ac:dyDescent="0.25">
      <c r="A416" s="382"/>
      <c r="B416" s="391"/>
      <c r="C416" s="387"/>
      <c r="D416" s="388"/>
      <c r="E416" s="388"/>
      <c r="F416" s="388"/>
      <c r="G416" s="388"/>
      <c r="H416" s="388"/>
      <c r="I416" s="388"/>
      <c r="J416" s="388"/>
      <c r="K416" s="388"/>
      <c r="L416" s="388"/>
      <c r="M416" s="388"/>
      <c r="N416" s="397"/>
    </row>
    <row r="417" spans="1:14" ht="15" customHeight="1" x14ac:dyDescent="0.25">
      <c r="A417" s="382"/>
      <c r="B417" s="391"/>
      <c r="C417" s="387"/>
      <c r="D417" s="388"/>
      <c r="E417" s="388"/>
      <c r="F417" s="388"/>
      <c r="G417" s="388"/>
      <c r="H417" s="388"/>
      <c r="I417" s="388"/>
      <c r="J417" s="388"/>
      <c r="K417" s="388"/>
      <c r="L417" s="388"/>
      <c r="M417" s="388"/>
      <c r="N417" s="397"/>
    </row>
    <row r="418" spans="1:14" ht="15.75" customHeight="1" thickBot="1" x14ac:dyDescent="0.3">
      <c r="A418" s="383"/>
      <c r="B418" s="392"/>
      <c r="C418" s="417"/>
      <c r="D418" s="418"/>
      <c r="E418" s="418"/>
      <c r="F418" s="418"/>
      <c r="G418" s="418"/>
      <c r="H418" s="418"/>
      <c r="I418" s="418"/>
      <c r="J418" s="418"/>
      <c r="K418" s="418"/>
      <c r="L418" s="418"/>
      <c r="M418" s="418"/>
      <c r="N418" s="419"/>
    </row>
    <row r="419" spans="1:14" ht="15" customHeight="1" x14ac:dyDescent="0.25">
      <c r="A419" s="381">
        <v>19</v>
      </c>
      <c r="B419" s="390" t="str">
        <f>VLOOKUP(A419,PROPONENTES!$A$10:$B$42,2)</f>
        <v>PROMCIVILES S.A.S.</v>
      </c>
      <c r="C419" s="410"/>
      <c r="D419" s="411"/>
      <c r="E419" s="411"/>
      <c r="F419" s="411"/>
      <c r="G419" s="411"/>
      <c r="H419" s="411"/>
      <c r="I419" s="411"/>
      <c r="J419" s="411"/>
      <c r="K419" s="411"/>
      <c r="L419" s="411"/>
      <c r="M419" s="411"/>
      <c r="N419" s="412"/>
    </row>
    <row r="420" spans="1:14" ht="15" customHeight="1" x14ac:dyDescent="0.25">
      <c r="A420" s="382"/>
      <c r="B420" s="391"/>
      <c r="C420" s="413"/>
      <c r="D420" s="414"/>
      <c r="E420" s="414"/>
      <c r="F420" s="414"/>
      <c r="G420" s="414"/>
      <c r="H420" s="414"/>
      <c r="I420" s="414"/>
      <c r="J420" s="414"/>
      <c r="K420" s="414"/>
      <c r="L420" s="414"/>
      <c r="M420" s="414"/>
      <c r="N420" s="415"/>
    </row>
    <row r="421" spans="1:14" ht="15" customHeight="1" x14ac:dyDescent="0.25">
      <c r="A421" s="382"/>
      <c r="B421" s="391"/>
      <c r="C421" s="413"/>
      <c r="D421" s="414"/>
      <c r="E421" s="414"/>
      <c r="F421" s="414"/>
      <c r="G421" s="414"/>
      <c r="H421" s="414"/>
      <c r="I421" s="414"/>
      <c r="J421" s="414"/>
      <c r="K421" s="414"/>
      <c r="L421" s="414"/>
      <c r="M421" s="414"/>
      <c r="N421" s="415"/>
    </row>
    <row r="422" spans="1:14" ht="15" customHeight="1" x14ac:dyDescent="0.25">
      <c r="A422" s="382"/>
      <c r="B422" s="391"/>
      <c r="C422" s="413"/>
      <c r="D422" s="414"/>
      <c r="E422" s="414"/>
      <c r="F422" s="414"/>
      <c r="G422" s="414"/>
      <c r="H422" s="414"/>
      <c r="I422" s="414"/>
      <c r="J422" s="414"/>
      <c r="K422" s="414"/>
      <c r="L422" s="414"/>
      <c r="M422" s="414"/>
      <c r="N422" s="415"/>
    </row>
    <row r="423" spans="1:14" ht="15" customHeight="1" x14ac:dyDescent="0.25">
      <c r="A423" s="382"/>
      <c r="B423" s="391"/>
      <c r="C423" s="413"/>
      <c r="D423" s="414"/>
      <c r="E423" s="414"/>
      <c r="F423" s="414"/>
      <c r="G423" s="414"/>
      <c r="H423" s="414"/>
      <c r="I423" s="414"/>
      <c r="J423" s="414"/>
      <c r="K423" s="414"/>
      <c r="L423" s="414"/>
      <c r="M423" s="414"/>
      <c r="N423" s="415"/>
    </row>
    <row r="424" spans="1:14" ht="15" customHeight="1" x14ac:dyDescent="0.25">
      <c r="A424" s="382"/>
      <c r="B424" s="391"/>
      <c r="C424" s="413"/>
      <c r="D424" s="414"/>
      <c r="E424" s="414"/>
      <c r="F424" s="414"/>
      <c r="G424" s="414"/>
      <c r="H424" s="414"/>
      <c r="I424" s="414"/>
      <c r="J424" s="414"/>
      <c r="K424" s="414"/>
      <c r="L424" s="414"/>
      <c r="M424" s="414"/>
      <c r="N424" s="415"/>
    </row>
    <row r="425" spans="1:14" ht="15" customHeight="1" x14ac:dyDescent="0.25">
      <c r="A425" s="382"/>
      <c r="B425" s="391"/>
      <c r="C425" s="413"/>
      <c r="D425" s="414"/>
      <c r="E425" s="414"/>
      <c r="F425" s="414"/>
      <c r="G425" s="414"/>
      <c r="H425" s="414"/>
      <c r="I425" s="414"/>
      <c r="J425" s="414"/>
      <c r="K425" s="414"/>
      <c r="L425" s="414"/>
      <c r="M425" s="414"/>
      <c r="N425" s="415"/>
    </row>
    <row r="426" spans="1:14" ht="15" customHeight="1" x14ac:dyDescent="0.25">
      <c r="A426" s="382"/>
      <c r="B426" s="391"/>
      <c r="C426" s="413"/>
      <c r="D426" s="414"/>
      <c r="E426" s="414"/>
      <c r="F426" s="414"/>
      <c r="G426" s="414"/>
      <c r="H426" s="414"/>
      <c r="I426" s="414"/>
      <c r="J426" s="414"/>
      <c r="K426" s="414"/>
      <c r="L426" s="414"/>
      <c r="M426" s="414"/>
      <c r="N426" s="415"/>
    </row>
    <row r="427" spans="1:14" ht="15" customHeight="1" x14ac:dyDescent="0.25">
      <c r="A427" s="382"/>
      <c r="B427" s="391"/>
      <c r="C427" s="413"/>
      <c r="D427" s="414"/>
      <c r="E427" s="414"/>
      <c r="F427" s="414"/>
      <c r="G427" s="414"/>
      <c r="H427" s="414"/>
      <c r="I427" s="414"/>
      <c r="J427" s="414"/>
      <c r="K427" s="414"/>
      <c r="L427" s="414"/>
      <c r="M427" s="414"/>
      <c r="N427" s="415"/>
    </row>
    <row r="428" spans="1:14" ht="15" customHeight="1" x14ac:dyDescent="0.25">
      <c r="A428" s="382"/>
      <c r="B428" s="391"/>
      <c r="C428" s="413"/>
      <c r="D428" s="414"/>
      <c r="E428" s="414"/>
      <c r="F428" s="414"/>
      <c r="G428" s="414"/>
      <c r="H428" s="414"/>
      <c r="I428" s="414"/>
      <c r="J428" s="414"/>
      <c r="K428" s="414"/>
      <c r="L428" s="414"/>
      <c r="M428" s="414"/>
      <c r="N428" s="415"/>
    </row>
    <row r="429" spans="1:14" ht="15" customHeight="1" x14ac:dyDescent="0.25">
      <c r="A429" s="382"/>
      <c r="B429" s="391"/>
      <c r="C429" s="413"/>
      <c r="D429" s="414"/>
      <c r="E429" s="414"/>
      <c r="F429" s="414"/>
      <c r="G429" s="414"/>
      <c r="H429" s="414"/>
      <c r="I429" s="414"/>
      <c r="J429" s="414"/>
      <c r="K429" s="414"/>
      <c r="L429" s="414"/>
      <c r="M429" s="414"/>
      <c r="N429" s="415"/>
    </row>
    <row r="430" spans="1:14" ht="15" customHeight="1" x14ac:dyDescent="0.25">
      <c r="A430" s="382"/>
      <c r="B430" s="391"/>
      <c r="C430" s="413"/>
      <c r="D430" s="414"/>
      <c r="E430" s="414"/>
      <c r="F430" s="414"/>
      <c r="G430" s="414"/>
      <c r="H430" s="414"/>
      <c r="I430" s="414"/>
      <c r="J430" s="414"/>
      <c r="K430" s="414"/>
      <c r="L430" s="414"/>
      <c r="M430" s="414"/>
      <c r="N430" s="415"/>
    </row>
    <row r="431" spans="1:14" ht="15" customHeight="1" x14ac:dyDescent="0.25">
      <c r="A431" s="382"/>
      <c r="B431" s="391"/>
      <c r="C431" s="413"/>
      <c r="D431" s="414"/>
      <c r="E431" s="414"/>
      <c r="F431" s="414"/>
      <c r="G431" s="414"/>
      <c r="H431" s="414"/>
      <c r="I431" s="414"/>
      <c r="J431" s="414"/>
      <c r="K431" s="414"/>
      <c r="L431" s="414"/>
      <c r="M431" s="414"/>
      <c r="N431" s="415"/>
    </row>
    <row r="432" spans="1:14" ht="15" customHeight="1" x14ac:dyDescent="0.25">
      <c r="A432" s="382"/>
      <c r="B432" s="391"/>
      <c r="C432" s="413"/>
      <c r="D432" s="414"/>
      <c r="E432" s="414"/>
      <c r="F432" s="414"/>
      <c r="G432" s="414"/>
      <c r="H432" s="414"/>
      <c r="I432" s="414"/>
      <c r="J432" s="414"/>
      <c r="K432" s="414"/>
      <c r="L432" s="414"/>
      <c r="M432" s="414"/>
      <c r="N432" s="415"/>
    </row>
    <row r="433" spans="1:14" ht="15" customHeight="1" x14ac:dyDescent="0.25">
      <c r="A433" s="382"/>
      <c r="B433" s="391"/>
      <c r="C433" s="413"/>
      <c r="D433" s="414"/>
      <c r="E433" s="414"/>
      <c r="F433" s="414"/>
      <c r="G433" s="414"/>
      <c r="H433" s="414"/>
      <c r="I433" s="414"/>
      <c r="J433" s="414"/>
      <c r="K433" s="414"/>
      <c r="L433" s="414"/>
      <c r="M433" s="414"/>
      <c r="N433" s="415"/>
    </row>
    <row r="434" spans="1:14" ht="15" customHeight="1" x14ac:dyDescent="0.25">
      <c r="A434" s="382"/>
      <c r="B434" s="391"/>
      <c r="C434" s="413"/>
      <c r="D434" s="414"/>
      <c r="E434" s="414"/>
      <c r="F434" s="414"/>
      <c r="G434" s="414"/>
      <c r="H434" s="414"/>
      <c r="I434" s="414"/>
      <c r="J434" s="414"/>
      <c r="K434" s="414"/>
      <c r="L434" s="414"/>
      <c r="M434" s="414"/>
      <c r="N434" s="415"/>
    </row>
    <row r="435" spans="1:14" ht="15" customHeight="1" x14ac:dyDescent="0.25">
      <c r="A435" s="382"/>
      <c r="B435" s="391"/>
      <c r="C435" s="413"/>
      <c r="D435" s="414"/>
      <c r="E435" s="414"/>
      <c r="F435" s="414"/>
      <c r="G435" s="414"/>
      <c r="H435" s="414"/>
      <c r="I435" s="414"/>
      <c r="J435" s="414"/>
      <c r="K435" s="414"/>
      <c r="L435" s="414"/>
      <c r="M435" s="414"/>
      <c r="N435" s="415"/>
    </row>
    <row r="436" spans="1:14" ht="15" customHeight="1" x14ac:dyDescent="0.25">
      <c r="A436" s="382"/>
      <c r="B436" s="391"/>
      <c r="C436" s="413"/>
      <c r="D436" s="414"/>
      <c r="E436" s="414"/>
      <c r="F436" s="414"/>
      <c r="G436" s="414"/>
      <c r="H436" s="414"/>
      <c r="I436" s="414"/>
      <c r="J436" s="414"/>
      <c r="K436" s="414"/>
      <c r="L436" s="414"/>
      <c r="M436" s="414"/>
      <c r="N436" s="415"/>
    </row>
    <row r="437" spans="1:14" ht="15" customHeight="1" x14ac:dyDescent="0.25">
      <c r="A437" s="382"/>
      <c r="B437" s="391"/>
      <c r="C437" s="413"/>
      <c r="D437" s="414"/>
      <c r="E437" s="414"/>
      <c r="F437" s="414"/>
      <c r="G437" s="414"/>
      <c r="H437" s="414"/>
      <c r="I437" s="414"/>
      <c r="J437" s="414"/>
      <c r="K437" s="414"/>
      <c r="L437" s="414"/>
      <c r="M437" s="414"/>
      <c r="N437" s="415"/>
    </row>
    <row r="438" spans="1:14" ht="15" customHeight="1" x14ac:dyDescent="0.25">
      <c r="A438" s="382"/>
      <c r="B438" s="391"/>
      <c r="C438" s="413"/>
      <c r="D438" s="414"/>
      <c r="E438" s="414"/>
      <c r="F438" s="414"/>
      <c r="G438" s="414"/>
      <c r="H438" s="414"/>
      <c r="I438" s="414"/>
      <c r="J438" s="414"/>
      <c r="K438" s="414"/>
      <c r="L438" s="414"/>
      <c r="M438" s="414"/>
      <c r="N438" s="415"/>
    </row>
    <row r="439" spans="1:14" ht="15" customHeight="1" x14ac:dyDescent="0.25">
      <c r="A439" s="382"/>
      <c r="B439" s="391"/>
      <c r="C439" s="413"/>
      <c r="D439" s="414"/>
      <c r="E439" s="414"/>
      <c r="F439" s="414"/>
      <c r="G439" s="414"/>
      <c r="H439" s="414"/>
      <c r="I439" s="414"/>
      <c r="J439" s="414"/>
      <c r="K439" s="414"/>
      <c r="L439" s="414"/>
      <c r="M439" s="414"/>
      <c r="N439" s="415"/>
    </row>
    <row r="440" spans="1:14" ht="15" customHeight="1" x14ac:dyDescent="0.25">
      <c r="A440" s="382"/>
      <c r="B440" s="391"/>
      <c r="C440" s="413"/>
      <c r="D440" s="414"/>
      <c r="E440" s="414"/>
      <c r="F440" s="414"/>
      <c r="G440" s="414"/>
      <c r="H440" s="414"/>
      <c r="I440" s="414"/>
      <c r="J440" s="414"/>
      <c r="K440" s="414"/>
      <c r="L440" s="414"/>
      <c r="M440" s="414"/>
      <c r="N440" s="415"/>
    </row>
    <row r="441" spans="1:14" ht="15.75" customHeight="1" thickBot="1" x14ac:dyDescent="0.3">
      <c r="A441" s="383"/>
      <c r="B441" s="392"/>
      <c r="C441" s="413"/>
      <c r="D441" s="414"/>
      <c r="E441" s="414"/>
      <c r="F441" s="414"/>
      <c r="G441" s="414"/>
      <c r="H441" s="414"/>
      <c r="I441" s="414"/>
      <c r="J441" s="414"/>
      <c r="K441" s="414"/>
      <c r="L441" s="414"/>
      <c r="M441" s="414"/>
      <c r="N441" s="415"/>
    </row>
    <row r="442" spans="1:14" ht="15" customHeight="1" x14ac:dyDescent="0.25">
      <c r="A442" s="407">
        <v>20</v>
      </c>
      <c r="B442" s="390" t="str">
        <f>VLOOKUP(A442,PROPONENTES!$A$10:$B$42,2)</f>
        <v>UNION TEMPORAL PARQUES KENNEDY VE</v>
      </c>
      <c r="C442" s="410" t="s">
        <v>586</v>
      </c>
      <c r="D442" s="411"/>
      <c r="E442" s="411"/>
      <c r="F442" s="411"/>
      <c r="G442" s="411"/>
      <c r="H442" s="411"/>
      <c r="I442" s="411"/>
      <c r="J442" s="411"/>
      <c r="K442" s="411"/>
      <c r="L442" s="411"/>
      <c r="M442" s="411"/>
      <c r="N442" s="412"/>
    </row>
    <row r="443" spans="1:14" ht="15" customHeight="1" x14ac:dyDescent="0.25">
      <c r="A443" s="408"/>
      <c r="B443" s="391"/>
      <c r="C443" s="413"/>
      <c r="D443" s="414"/>
      <c r="E443" s="414"/>
      <c r="F443" s="414"/>
      <c r="G443" s="414"/>
      <c r="H443" s="414"/>
      <c r="I443" s="414"/>
      <c r="J443" s="414"/>
      <c r="K443" s="414"/>
      <c r="L443" s="414"/>
      <c r="M443" s="414"/>
      <c r="N443" s="415"/>
    </row>
    <row r="444" spans="1:14" ht="28.5" customHeight="1" x14ac:dyDescent="0.25">
      <c r="A444" s="408"/>
      <c r="B444" s="391"/>
      <c r="C444" s="413"/>
      <c r="D444" s="414"/>
      <c r="E444" s="414"/>
      <c r="F444" s="414"/>
      <c r="G444" s="414"/>
      <c r="H444" s="414"/>
      <c r="I444" s="414"/>
      <c r="J444" s="414"/>
      <c r="K444" s="414"/>
      <c r="L444" s="414"/>
      <c r="M444" s="414"/>
      <c r="N444" s="415"/>
    </row>
    <row r="445" spans="1:14" ht="15" customHeight="1" x14ac:dyDescent="0.25">
      <c r="A445" s="408"/>
      <c r="B445" s="391"/>
      <c r="C445" s="413"/>
      <c r="D445" s="414"/>
      <c r="E445" s="414"/>
      <c r="F445" s="414"/>
      <c r="G445" s="414"/>
      <c r="H445" s="414"/>
      <c r="I445" s="414"/>
      <c r="J445" s="414"/>
      <c r="K445" s="414"/>
      <c r="L445" s="414"/>
      <c r="M445" s="414"/>
      <c r="N445" s="415"/>
    </row>
    <row r="446" spans="1:14" ht="24.75" customHeight="1" x14ac:dyDescent="0.25">
      <c r="A446" s="408"/>
      <c r="B446" s="391"/>
      <c r="C446" s="413"/>
      <c r="D446" s="414"/>
      <c r="E446" s="414"/>
      <c r="F446" s="414"/>
      <c r="G446" s="414"/>
      <c r="H446" s="414"/>
      <c r="I446" s="414"/>
      <c r="J446" s="414"/>
      <c r="K446" s="414"/>
      <c r="L446" s="414"/>
      <c r="M446" s="414"/>
      <c r="N446" s="415"/>
    </row>
    <row r="447" spans="1:14" ht="15" customHeight="1" x14ac:dyDescent="0.25">
      <c r="A447" s="408"/>
      <c r="B447" s="391"/>
      <c r="C447" s="413"/>
      <c r="D447" s="414"/>
      <c r="E447" s="414"/>
      <c r="F447" s="414"/>
      <c r="G447" s="414"/>
      <c r="H447" s="414"/>
      <c r="I447" s="414"/>
      <c r="J447" s="414"/>
      <c r="K447" s="414"/>
      <c r="L447" s="414"/>
      <c r="M447" s="414"/>
      <c r="N447" s="415"/>
    </row>
    <row r="448" spans="1:14" ht="23.25" customHeight="1" x14ac:dyDescent="0.25">
      <c r="A448" s="408"/>
      <c r="B448" s="391"/>
      <c r="C448" s="413"/>
      <c r="D448" s="414"/>
      <c r="E448" s="414"/>
      <c r="F448" s="414"/>
      <c r="G448" s="414"/>
      <c r="H448" s="414"/>
      <c r="I448" s="414"/>
      <c r="J448" s="414"/>
      <c r="K448" s="414"/>
      <c r="L448" s="414"/>
      <c r="M448" s="414"/>
      <c r="N448" s="415"/>
    </row>
    <row r="449" spans="1:14" ht="15" customHeight="1" x14ac:dyDescent="0.25">
      <c r="A449" s="408"/>
      <c r="B449" s="391"/>
      <c r="C449" s="413"/>
      <c r="D449" s="414"/>
      <c r="E449" s="414"/>
      <c r="F449" s="414"/>
      <c r="G449" s="414"/>
      <c r="H449" s="414"/>
      <c r="I449" s="414"/>
      <c r="J449" s="414"/>
      <c r="K449" s="414"/>
      <c r="L449" s="414"/>
      <c r="M449" s="414"/>
      <c r="N449" s="415"/>
    </row>
    <row r="450" spans="1:14" ht="15" customHeight="1" x14ac:dyDescent="0.25">
      <c r="A450" s="408"/>
      <c r="B450" s="391"/>
      <c r="C450" s="413"/>
      <c r="D450" s="414"/>
      <c r="E450" s="414"/>
      <c r="F450" s="414"/>
      <c r="G450" s="414"/>
      <c r="H450" s="414"/>
      <c r="I450" s="414"/>
      <c r="J450" s="414"/>
      <c r="K450" s="414"/>
      <c r="L450" s="414"/>
      <c r="M450" s="414"/>
      <c r="N450" s="415"/>
    </row>
    <row r="451" spans="1:14" ht="15" customHeight="1" x14ac:dyDescent="0.25">
      <c r="A451" s="408"/>
      <c r="B451" s="391"/>
      <c r="C451" s="413"/>
      <c r="D451" s="414"/>
      <c r="E451" s="414"/>
      <c r="F451" s="414"/>
      <c r="G451" s="414"/>
      <c r="H451" s="414"/>
      <c r="I451" s="414"/>
      <c r="J451" s="414"/>
      <c r="K451" s="414"/>
      <c r="L451" s="414"/>
      <c r="M451" s="414"/>
      <c r="N451" s="415"/>
    </row>
    <row r="452" spans="1:14" ht="15" customHeight="1" x14ac:dyDescent="0.25">
      <c r="A452" s="408"/>
      <c r="B452" s="391"/>
      <c r="C452" s="413"/>
      <c r="D452" s="414"/>
      <c r="E452" s="414"/>
      <c r="F452" s="414"/>
      <c r="G452" s="414"/>
      <c r="H452" s="414"/>
      <c r="I452" s="414"/>
      <c r="J452" s="414"/>
      <c r="K452" s="414"/>
      <c r="L452" s="414"/>
      <c r="M452" s="414"/>
      <c r="N452" s="415"/>
    </row>
    <row r="453" spans="1:14" ht="15" customHeight="1" x14ac:dyDescent="0.25">
      <c r="A453" s="408"/>
      <c r="B453" s="391"/>
      <c r="C453" s="413"/>
      <c r="D453" s="414"/>
      <c r="E453" s="414"/>
      <c r="F453" s="414"/>
      <c r="G453" s="414"/>
      <c r="H453" s="414"/>
      <c r="I453" s="414"/>
      <c r="J453" s="414"/>
      <c r="K453" s="414"/>
      <c r="L453" s="414"/>
      <c r="M453" s="414"/>
      <c r="N453" s="415"/>
    </row>
    <row r="454" spans="1:14" ht="15" customHeight="1" x14ac:dyDescent="0.25">
      <c r="A454" s="408"/>
      <c r="B454" s="391"/>
      <c r="C454" s="413"/>
      <c r="D454" s="414"/>
      <c r="E454" s="414"/>
      <c r="F454" s="414"/>
      <c r="G454" s="414"/>
      <c r="H454" s="414"/>
      <c r="I454" s="414"/>
      <c r="J454" s="414"/>
      <c r="K454" s="414"/>
      <c r="L454" s="414"/>
      <c r="M454" s="414"/>
      <c r="N454" s="415"/>
    </row>
    <row r="455" spans="1:14" ht="15" customHeight="1" x14ac:dyDescent="0.25">
      <c r="A455" s="408"/>
      <c r="B455" s="391"/>
      <c r="C455" s="413"/>
      <c r="D455" s="414"/>
      <c r="E455" s="414"/>
      <c r="F455" s="414"/>
      <c r="G455" s="414"/>
      <c r="H455" s="414"/>
      <c r="I455" s="414"/>
      <c r="J455" s="414"/>
      <c r="K455" s="414"/>
      <c r="L455" s="414"/>
      <c r="M455" s="414"/>
      <c r="N455" s="415"/>
    </row>
    <row r="456" spans="1:14" ht="15" customHeight="1" x14ac:dyDescent="0.25">
      <c r="A456" s="408"/>
      <c r="B456" s="391"/>
      <c r="C456" s="413"/>
      <c r="D456" s="414"/>
      <c r="E456" s="414"/>
      <c r="F456" s="414"/>
      <c r="G456" s="414"/>
      <c r="H456" s="414"/>
      <c r="I456" s="414"/>
      <c r="J456" s="414"/>
      <c r="K456" s="414"/>
      <c r="L456" s="414"/>
      <c r="M456" s="414"/>
      <c r="N456" s="415"/>
    </row>
    <row r="457" spans="1:14" ht="15" customHeight="1" x14ac:dyDescent="0.25">
      <c r="A457" s="408"/>
      <c r="B457" s="391"/>
      <c r="C457" s="413"/>
      <c r="D457" s="414"/>
      <c r="E457" s="414"/>
      <c r="F457" s="414"/>
      <c r="G457" s="414"/>
      <c r="H457" s="414"/>
      <c r="I457" s="414"/>
      <c r="J457" s="414"/>
      <c r="K457" s="414"/>
      <c r="L457" s="414"/>
      <c r="M457" s="414"/>
      <c r="N457" s="415"/>
    </row>
    <row r="458" spans="1:14" ht="15" customHeight="1" x14ac:dyDescent="0.25">
      <c r="A458" s="408"/>
      <c r="B458" s="391"/>
      <c r="C458" s="413"/>
      <c r="D458" s="414"/>
      <c r="E458" s="414"/>
      <c r="F458" s="414"/>
      <c r="G458" s="414"/>
      <c r="H458" s="414"/>
      <c r="I458" s="414"/>
      <c r="J458" s="414"/>
      <c r="K458" s="414"/>
      <c r="L458" s="414"/>
      <c r="M458" s="414"/>
      <c r="N458" s="415"/>
    </row>
    <row r="459" spans="1:14" ht="15" customHeight="1" x14ac:dyDescent="0.25">
      <c r="A459" s="408"/>
      <c r="B459" s="391"/>
      <c r="C459" s="413"/>
      <c r="D459" s="414"/>
      <c r="E459" s="414"/>
      <c r="F459" s="414"/>
      <c r="G459" s="414"/>
      <c r="H459" s="414"/>
      <c r="I459" s="414"/>
      <c r="J459" s="414"/>
      <c r="K459" s="414"/>
      <c r="L459" s="414"/>
      <c r="M459" s="414"/>
      <c r="N459" s="415"/>
    </row>
    <row r="460" spans="1:14" ht="15" customHeight="1" x14ac:dyDescent="0.25">
      <c r="A460" s="408"/>
      <c r="B460" s="391"/>
      <c r="C460" s="413"/>
      <c r="D460" s="414"/>
      <c r="E460" s="414"/>
      <c r="F460" s="414"/>
      <c r="G460" s="414"/>
      <c r="H460" s="414"/>
      <c r="I460" s="414"/>
      <c r="J460" s="414"/>
      <c r="K460" s="414"/>
      <c r="L460" s="414"/>
      <c r="M460" s="414"/>
      <c r="N460" s="415"/>
    </row>
    <row r="461" spans="1:14" ht="15" customHeight="1" x14ac:dyDescent="0.25">
      <c r="A461" s="408"/>
      <c r="B461" s="391"/>
      <c r="C461" s="413"/>
      <c r="D461" s="414"/>
      <c r="E461" s="414"/>
      <c r="F461" s="414"/>
      <c r="G461" s="414"/>
      <c r="H461" s="414"/>
      <c r="I461" s="414"/>
      <c r="J461" s="414"/>
      <c r="K461" s="414"/>
      <c r="L461" s="414"/>
      <c r="M461" s="414"/>
      <c r="N461" s="415"/>
    </row>
    <row r="462" spans="1:14" ht="15" customHeight="1" x14ac:dyDescent="0.25">
      <c r="A462" s="408"/>
      <c r="B462" s="391"/>
      <c r="C462" s="413"/>
      <c r="D462" s="414"/>
      <c r="E462" s="414"/>
      <c r="F462" s="414"/>
      <c r="G462" s="414"/>
      <c r="H462" s="414"/>
      <c r="I462" s="414"/>
      <c r="J462" s="414"/>
      <c r="K462" s="414"/>
      <c r="L462" s="414"/>
      <c r="M462" s="414"/>
      <c r="N462" s="415"/>
    </row>
    <row r="463" spans="1:14" ht="15" customHeight="1" x14ac:dyDescent="0.25">
      <c r="A463" s="408"/>
      <c r="B463" s="391"/>
      <c r="C463" s="413"/>
      <c r="D463" s="414"/>
      <c r="E463" s="414"/>
      <c r="F463" s="414"/>
      <c r="G463" s="414"/>
      <c r="H463" s="414"/>
      <c r="I463" s="414"/>
      <c r="J463" s="414"/>
      <c r="K463" s="414"/>
      <c r="L463" s="414"/>
      <c r="M463" s="414"/>
      <c r="N463" s="415"/>
    </row>
    <row r="464" spans="1:14" ht="15.75" customHeight="1" thickBot="1" x14ac:dyDescent="0.3">
      <c r="A464" s="409"/>
      <c r="B464" s="392"/>
      <c r="C464" s="413"/>
      <c r="D464" s="414"/>
      <c r="E464" s="414"/>
      <c r="F464" s="414"/>
      <c r="G464" s="414"/>
      <c r="H464" s="414"/>
      <c r="I464" s="414"/>
      <c r="J464" s="414"/>
      <c r="K464" s="414"/>
      <c r="L464" s="414"/>
      <c r="M464" s="414"/>
      <c r="N464" s="415"/>
    </row>
    <row r="465" spans="1:14" ht="15" customHeight="1" x14ac:dyDescent="0.25">
      <c r="A465" s="381">
        <v>21</v>
      </c>
      <c r="B465" s="390" t="str">
        <f>VLOOKUP(A465,PROPONENTES!$A$10:$B$42,2)</f>
        <v>CONSORCIO INCITECO IP XXI</v>
      </c>
      <c r="C465" s="384"/>
      <c r="D465" s="385"/>
      <c r="E465" s="385"/>
      <c r="F465" s="385"/>
      <c r="G465" s="385"/>
      <c r="H465" s="385"/>
      <c r="I465" s="385"/>
      <c r="J465" s="385"/>
      <c r="K465" s="385"/>
      <c r="L465" s="385"/>
      <c r="M465" s="385"/>
      <c r="N465" s="386"/>
    </row>
    <row r="466" spans="1:14" ht="15" customHeight="1" x14ac:dyDescent="0.25">
      <c r="A466" s="382"/>
      <c r="B466" s="391"/>
      <c r="C466" s="387"/>
      <c r="D466" s="388"/>
      <c r="E466" s="388"/>
      <c r="F466" s="388"/>
      <c r="G466" s="388"/>
      <c r="H466" s="388"/>
      <c r="I466" s="388"/>
      <c r="J466" s="388"/>
      <c r="K466" s="388"/>
      <c r="L466" s="388"/>
      <c r="M466" s="388"/>
      <c r="N466" s="389"/>
    </row>
    <row r="467" spans="1:14" ht="15" customHeight="1" x14ac:dyDescent="0.25">
      <c r="A467" s="382"/>
      <c r="B467" s="391"/>
      <c r="C467" s="387"/>
      <c r="D467" s="388"/>
      <c r="E467" s="388"/>
      <c r="F467" s="388"/>
      <c r="G467" s="388"/>
      <c r="H467" s="388"/>
      <c r="I467" s="388"/>
      <c r="J467" s="388"/>
      <c r="K467" s="388"/>
      <c r="L467" s="388"/>
      <c r="M467" s="388"/>
      <c r="N467" s="389"/>
    </row>
    <row r="468" spans="1:14" ht="15" customHeight="1" x14ac:dyDescent="0.25">
      <c r="A468" s="382"/>
      <c r="B468" s="391"/>
      <c r="C468" s="387"/>
      <c r="D468" s="388"/>
      <c r="E468" s="388"/>
      <c r="F468" s="388"/>
      <c r="G468" s="388"/>
      <c r="H468" s="388"/>
      <c r="I468" s="388"/>
      <c r="J468" s="388"/>
      <c r="K468" s="388"/>
      <c r="L468" s="388"/>
      <c r="M468" s="388"/>
      <c r="N468" s="389"/>
    </row>
    <row r="469" spans="1:14" ht="15" customHeight="1" x14ac:dyDescent="0.25">
      <c r="A469" s="382"/>
      <c r="B469" s="391"/>
      <c r="C469" s="387"/>
      <c r="D469" s="388"/>
      <c r="E469" s="388"/>
      <c r="F469" s="388"/>
      <c r="G469" s="388"/>
      <c r="H469" s="388"/>
      <c r="I469" s="388"/>
      <c r="J469" s="388"/>
      <c r="K469" s="388"/>
      <c r="L469" s="388"/>
      <c r="M469" s="388"/>
      <c r="N469" s="389"/>
    </row>
    <row r="470" spans="1:14" ht="15" customHeight="1" x14ac:dyDescent="0.25">
      <c r="A470" s="382"/>
      <c r="B470" s="391"/>
      <c r="C470" s="387"/>
      <c r="D470" s="388"/>
      <c r="E470" s="388"/>
      <c r="F470" s="388"/>
      <c r="G470" s="388"/>
      <c r="H470" s="388"/>
      <c r="I470" s="388"/>
      <c r="J470" s="388"/>
      <c r="K470" s="388"/>
      <c r="L470" s="388"/>
      <c r="M470" s="388"/>
      <c r="N470" s="389"/>
    </row>
    <row r="471" spans="1:14" ht="15" customHeight="1" x14ac:dyDescent="0.25">
      <c r="A471" s="382"/>
      <c r="B471" s="391"/>
      <c r="C471" s="387"/>
      <c r="D471" s="388"/>
      <c r="E471" s="388"/>
      <c r="F471" s="388"/>
      <c r="G471" s="388"/>
      <c r="H471" s="388"/>
      <c r="I471" s="388"/>
      <c r="J471" s="388"/>
      <c r="K471" s="388"/>
      <c r="L471" s="388"/>
      <c r="M471" s="388"/>
      <c r="N471" s="389"/>
    </row>
    <row r="472" spans="1:14" ht="15" customHeight="1" x14ac:dyDescent="0.25">
      <c r="A472" s="382"/>
      <c r="B472" s="391"/>
      <c r="C472" s="387"/>
      <c r="D472" s="388"/>
      <c r="E472" s="388"/>
      <c r="F472" s="388"/>
      <c r="G472" s="388"/>
      <c r="H472" s="388"/>
      <c r="I472" s="388"/>
      <c r="J472" s="388"/>
      <c r="K472" s="388"/>
      <c r="L472" s="388"/>
      <c r="M472" s="388"/>
      <c r="N472" s="389"/>
    </row>
    <row r="473" spans="1:14" ht="15" customHeight="1" x14ac:dyDescent="0.25">
      <c r="A473" s="382"/>
      <c r="B473" s="391"/>
      <c r="C473" s="387"/>
      <c r="D473" s="388"/>
      <c r="E473" s="388"/>
      <c r="F473" s="388"/>
      <c r="G473" s="388"/>
      <c r="H473" s="388"/>
      <c r="I473" s="388"/>
      <c r="J473" s="388"/>
      <c r="K473" s="388"/>
      <c r="L473" s="388"/>
      <c r="M473" s="388"/>
      <c r="N473" s="389"/>
    </row>
    <row r="474" spans="1:14" ht="15" customHeight="1" x14ac:dyDescent="0.25">
      <c r="A474" s="382"/>
      <c r="B474" s="391"/>
      <c r="C474" s="387"/>
      <c r="D474" s="388"/>
      <c r="E474" s="388"/>
      <c r="F474" s="388"/>
      <c r="G474" s="388"/>
      <c r="H474" s="388"/>
      <c r="I474" s="388"/>
      <c r="J474" s="388"/>
      <c r="K474" s="388"/>
      <c r="L474" s="388"/>
      <c r="M474" s="388"/>
      <c r="N474" s="389"/>
    </row>
    <row r="475" spans="1:14" ht="15" customHeight="1" x14ac:dyDescent="0.25">
      <c r="A475" s="382"/>
      <c r="B475" s="391"/>
      <c r="C475" s="387"/>
      <c r="D475" s="388"/>
      <c r="E475" s="388"/>
      <c r="F475" s="388"/>
      <c r="G475" s="388"/>
      <c r="H475" s="388"/>
      <c r="I475" s="388"/>
      <c r="J475" s="388"/>
      <c r="K475" s="388"/>
      <c r="L475" s="388"/>
      <c r="M475" s="388"/>
      <c r="N475" s="389"/>
    </row>
    <row r="476" spans="1:14" ht="15" customHeight="1" x14ac:dyDescent="0.25">
      <c r="A476" s="382"/>
      <c r="B476" s="391"/>
      <c r="C476" s="387"/>
      <c r="D476" s="388"/>
      <c r="E476" s="388"/>
      <c r="F476" s="388"/>
      <c r="G476" s="388"/>
      <c r="H476" s="388"/>
      <c r="I476" s="388"/>
      <c r="J476" s="388"/>
      <c r="K476" s="388"/>
      <c r="L476" s="388"/>
      <c r="M476" s="388"/>
      <c r="N476" s="389"/>
    </row>
    <row r="477" spans="1:14" ht="15" customHeight="1" x14ac:dyDescent="0.25">
      <c r="A477" s="382"/>
      <c r="B477" s="391"/>
      <c r="C477" s="387"/>
      <c r="D477" s="388"/>
      <c r="E477" s="388"/>
      <c r="F477" s="388"/>
      <c r="G477" s="388"/>
      <c r="H477" s="388"/>
      <c r="I477" s="388"/>
      <c r="J477" s="388"/>
      <c r="K477" s="388"/>
      <c r="L477" s="388"/>
      <c r="M477" s="388"/>
      <c r="N477" s="389"/>
    </row>
    <row r="478" spans="1:14" ht="15" customHeight="1" x14ac:dyDescent="0.25">
      <c r="A478" s="382"/>
      <c r="B478" s="391"/>
      <c r="C478" s="387"/>
      <c r="D478" s="388"/>
      <c r="E478" s="388"/>
      <c r="F478" s="388"/>
      <c r="G478" s="388"/>
      <c r="H478" s="388"/>
      <c r="I478" s="388"/>
      <c r="J478" s="388"/>
      <c r="K478" s="388"/>
      <c r="L478" s="388"/>
      <c r="M478" s="388"/>
      <c r="N478" s="389"/>
    </row>
    <row r="479" spans="1:14" ht="15" customHeight="1" x14ac:dyDescent="0.25">
      <c r="A479" s="382"/>
      <c r="B479" s="391"/>
      <c r="C479" s="387"/>
      <c r="D479" s="388"/>
      <c r="E479" s="388"/>
      <c r="F479" s="388"/>
      <c r="G479" s="388"/>
      <c r="H479" s="388"/>
      <c r="I479" s="388"/>
      <c r="J479" s="388"/>
      <c r="K479" s="388"/>
      <c r="L479" s="388"/>
      <c r="M479" s="388"/>
      <c r="N479" s="389"/>
    </row>
    <row r="480" spans="1:14" ht="15" customHeight="1" x14ac:dyDescent="0.25">
      <c r="A480" s="382"/>
      <c r="B480" s="391"/>
      <c r="C480" s="387"/>
      <c r="D480" s="388"/>
      <c r="E480" s="388"/>
      <c r="F480" s="388"/>
      <c r="G480" s="388"/>
      <c r="H480" s="388"/>
      <c r="I480" s="388"/>
      <c r="J480" s="388"/>
      <c r="K480" s="388"/>
      <c r="L480" s="388"/>
      <c r="M480" s="388"/>
      <c r="N480" s="389"/>
    </row>
    <row r="481" spans="1:14" ht="15" customHeight="1" x14ac:dyDescent="0.25">
      <c r="A481" s="382"/>
      <c r="B481" s="391"/>
      <c r="C481" s="387"/>
      <c r="D481" s="388"/>
      <c r="E481" s="388"/>
      <c r="F481" s="388"/>
      <c r="G481" s="388"/>
      <c r="H481" s="388"/>
      <c r="I481" s="388"/>
      <c r="J481" s="388"/>
      <c r="K481" s="388"/>
      <c r="L481" s="388"/>
      <c r="M481" s="388"/>
      <c r="N481" s="389"/>
    </row>
    <row r="482" spans="1:14" ht="15" customHeight="1" x14ac:dyDescent="0.25">
      <c r="A482" s="382"/>
      <c r="B482" s="391"/>
      <c r="C482" s="387"/>
      <c r="D482" s="388"/>
      <c r="E482" s="388"/>
      <c r="F482" s="388"/>
      <c r="G482" s="388"/>
      <c r="H482" s="388"/>
      <c r="I482" s="388"/>
      <c r="J482" s="388"/>
      <c r="K482" s="388"/>
      <c r="L482" s="388"/>
      <c r="M482" s="388"/>
      <c r="N482" s="389"/>
    </row>
    <row r="483" spans="1:14" ht="15" customHeight="1" x14ac:dyDescent="0.25">
      <c r="A483" s="382"/>
      <c r="B483" s="391"/>
      <c r="C483" s="387"/>
      <c r="D483" s="388"/>
      <c r="E483" s="388"/>
      <c r="F483" s="388"/>
      <c r="G483" s="388"/>
      <c r="H483" s="388"/>
      <c r="I483" s="388"/>
      <c r="J483" s="388"/>
      <c r="K483" s="388"/>
      <c r="L483" s="388"/>
      <c r="M483" s="388"/>
      <c r="N483" s="389"/>
    </row>
    <row r="484" spans="1:14" ht="15" customHeight="1" x14ac:dyDescent="0.25">
      <c r="A484" s="382"/>
      <c r="B484" s="391"/>
      <c r="C484" s="387"/>
      <c r="D484" s="388"/>
      <c r="E484" s="388"/>
      <c r="F484" s="388"/>
      <c r="G484" s="388"/>
      <c r="H484" s="388"/>
      <c r="I484" s="388"/>
      <c r="J484" s="388"/>
      <c r="K484" s="388"/>
      <c r="L484" s="388"/>
      <c r="M484" s="388"/>
      <c r="N484" s="389"/>
    </row>
    <row r="485" spans="1:14" ht="15" customHeight="1" x14ac:dyDescent="0.25">
      <c r="A485" s="382"/>
      <c r="B485" s="391"/>
      <c r="C485" s="387"/>
      <c r="D485" s="388"/>
      <c r="E485" s="388"/>
      <c r="F485" s="388"/>
      <c r="G485" s="388"/>
      <c r="H485" s="388"/>
      <c r="I485" s="388"/>
      <c r="J485" s="388"/>
      <c r="K485" s="388"/>
      <c r="L485" s="388"/>
      <c r="M485" s="388"/>
      <c r="N485" s="389"/>
    </row>
    <row r="486" spans="1:14" ht="15" customHeight="1" x14ac:dyDescent="0.25">
      <c r="A486" s="382"/>
      <c r="B486" s="391"/>
      <c r="C486" s="387"/>
      <c r="D486" s="388"/>
      <c r="E486" s="388"/>
      <c r="F486" s="388"/>
      <c r="G486" s="388"/>
      <c r="H486" s="388"/>
      <c r="I486" s="388"/>
      <c r="J486" s="388"/>
      <c r="K486" s="388"/>
      <c r="L486" s="388"/>
      <c r="M486" s="388"/>
      <c r="N486" s="389"/>
    </row>
    <row r="487" spans="1:14" ht="15.75" customHeight="1" thickBot="1" x14ac:dyDescent="0.3">
      <c r="A487" s="383"/>
      <c r="B487" s="392"/>
      <c r="C487" s="387"/>
      <c r="D487" s="388"/>
      <c r="E487" s="388"/>
      <c r="F487" s="388"/>
      <c r="G487" s="388"/>
      <c r="H487" s="388"/>
      <c r="I487" s="388"/>
      <c r="J487" s="388"/>
      <c r="K487" s="388"/>
      <c r="L487" s="388"/>
      <c r="M487" s="388"/>
      <c r="N487" s="389"/>
    </row>
    <row r="488" spans="1:14" ht="15" customHeight="1" x14ac:dyDescent="0.25">
      <c r="A488" s="381">
        <v>22</v>
      </c>
      <c r="B488" s="390" t="str">
        <f>VLOOKUP(A488,PROPONENTES!$A$10:$B$42,2)</f>
        <v>PROJECTING DESIGNING AND BUILDING LTDA</v>
      </c>
      <c r="C488" s="401"/>
      <c r="D488" s="402"/>
      <c r="E488" s="402"/>
      <c r="F488" s="402"/>
      <c r="G488" s="402"/>
      <c r="H488" s="402"/>
      <c r="I488" s="402"/>
      <c r="J488" s="402"/>
      <c r="K488" s="402"/>
      <c r="L488" s="402"/>
      <c r="M488" s="402"/>
      <c r="N488" s="403"/>
    </row>
    <row r="489" spans="1:14" ht="15" customHeight="1" x14ac:dyDescent="0.25">
      <c r="A489" s="382"/>
      <c r="B489" s="391"/>
      <c r="C489" s="404"/>
      <c r="D489" s="405"/>
      <c r="E489" s="405"/>
      <c r="F489" s="405"/>
      <c r="G489" s="405"/>
      <c r="H489" s="405"/>
      <c r="I489" s="405"/>
      <c r="J489" s="405"/>
      <c r="K489" s="405"/>
      <c r="L489" s="405"/>
      <c r="M489" s="405"/>
      <c r="N489" s="406"/>
    </row>
    <row r="490" spans="1:14" ht="15" customHeight="1" x14ac:dyDescent="0.25">
      <c r="A490" s="382"/>
      <c r="B490" s="391"/>
      <c r="C490" s="404"/>
      <c r="D490" s="405"/>
      <c r="E490" s="405"/>
      <c r="F490" s="405"/>
      <c r="G490" s="405"/>
      <c r="H490" s="405"/>
      <c r="I490" s="405"/>
      <c r="J490" s="405"/>
      <c r="K490" s="405"/>
      <c r="L490" s="405"/>
      <c r="M490" s="405"/>
      <c r="N490" s="406"/>
    </row>
    <row r="491" spans="1:14" ht="15" customHeight="1" x14ac:dyDescent="0.25">
      <c r="A491" s="382"/>
      <c r="B491" s="391"/>
      <c r="C491" s="404"/>
      <c r="D491" s="405"/>
      <c r="E491" s="405"/>
      <c r="F491" s="405"/>
      <c r="G491" s="405"/>
      <c r="H491" s="405"/>
      <c r="I491" s="405"/>
      <c r="J491" s="405"/>
      <c r="K491" s="405"/>
      <c r="L491" s="405"/>
      <c r="M491" s="405"/>
      <c r="N491" s="406"/>
    </row>
    <row r="492" spans="1:14" ht="15" customHeight="1" x14ac:dyDescent="0.25">
      <c r="A492" s="382"/>
      <c r="B492" s="391"/>
      <c r="C492" s="404"/>
      <c r="D492" s="405"/>
      <c r="E492" s="405"/>
      <c r="F492" s="405"/>
      <c r="G492" s="405"/>
      <c r="H492" s="405"/>
      <c r="I492" s="405"/>
      <c r="J492" s="405"/>
      <c r="K492" s="405"/>
      <c r="L492" s="405"/>
      <c r="M492" s="405"/>
      <c r="N492" s="406"/>
    </row>
    <row r="493" spans="1:14" ht="15" customHeight="1" x14ac:dyDescent="0.25">
      <c r="A493" s="382"/>
      <c r="B493" s="391"/>
      <c r="C493" s="404"/>
      <c r="D493" s="405"/>
      <c r="E493" s="405"/>
      <c r="F493" s="405"/>
      <c r="G493" s="405"/>
      <c r="H493" s="405"/>
      <c r="I493" s="405"/>
      <c r="J493" s="405"/>
      <c r="K493" s="405"/>
      <c r="L493" s="405"/>
      <c r="M493" s="405"/>
      <c r="N493" s="406"/>
    </row>
    <row r="494" spans="1:14" ht="15" customHeight="1" x14ac:dyDescent="0.25">
      <c r="A494" s="382"/>
      <c r="B494" s="391"/>
      <c r="C494" s="404"/>
      <c r="D494" s="405"/>
      <c r="E494" s="405"/>
      <c r="F494" s="405"/>
      <c r="G494" s="405"/>
      <c r="H494" s="405"/>
      <c r="I494" s="405"/>
      <c r="J494" s="405"/>
      <c r="K494" s="405"/>
      <c r="L494" s="405"/>
      <c r="M494" s="405"/>
      <c r="N494" s="406"/>
    </row>
    <row r="495" spans="1:14" ht="15" customHeight="1" x14ac:dyDescent="0.25">
      <c r="A495" s="382"/>
      <c r="B495" s="391"/>
      <c r="C495" s="404"/>
      <c r="D495" s="405"/>
      <c r="E495" s="405"/>
      <c r="F495" s="405"/>
      <c r="G495" s="405"/>
      <c r="H495" s="405"/>
      <c r="I495" s="405"/>
      <c r="J495" s="405"/>
      <c r="K495" s="405"/>
      <c r="L495" s="405"/>
      <c r="M495" s="405"/>
      <c r="N495" s="406"/>
    </row>
    <row r="496" spans="1:14" ht="15" customHeight="1" x14ac:dyDescent="0.25">
      <c r="A496" s="382"/>
      <c r="B496" s="391"/>
      <c r="C496" s="404"/>
      <c r="D496" s="405"/>
      <c r="E496" s="405"/>
      <c r="F496" s="405"/>
      <c r="G496" s="405"/>
      <c r="H496" s="405"/>
      <c r="I496" s="405"/>
      <c r="J496" s="405"/>
      <c r="K496" s="405"/>
      <c r="L496" s="405"/>
      <c r="M496" s="405"/>
      <c r="N496" s="406"/>
    </row>
    <row r="497" spans="1:14" ht="15" customHeight="1" x14ac:dyDescent="0.25">
      <c r="A497" s="382"/>
      <c r="B497" s="391"/>
      <c r="C497" s="404"/>
      <c r="D497" s="405"/>
      <c r="E497" s="405"/>
      <c r="F497" s="405"/>
      <c r="G497" s="405"/>
      <c r="H497" s="405"/>
      <c r="I497" s="405"/>
      <c r="J497" s="405"/>
      <c r="K497" s="405"/>
      <c r="L497" s="405"/>
      <c r="M497" s="405"/>
      <c r="N497" s="406"/>
    </row>
    <row r="498" spans="1:14" ht="15" customHeight="1" x14ac:dyDescent="0.25">
      <c r="A498" s="382"/>
      <c r="B498" s="391"/>
      <c r="C498" s="404"/>
      <c r="D498" s="405"/>
      <c r="E498" s="405"/>
      <c r="F498" s="405"/>
      <c r="G498" s="405"/>
      <c r="H498" s="405"/>
      <c r="I498" s="405"/>
      <c r="J498" s="405"/>
      <c r="K498" s="405"/>
      <c r="L498" s="405"/>
      <c r="M498" s="405"/>
      <c r="N498" s="406"/>
    </row>
    <row r="499" spans="1:14" ht="15" customHeight="1" x14ac:dyDescent="0.25">
      <c r="A499" s="382"/>
      <c r="B499" s="391"/>
      <c r="C499" s="404"/>
      <c r="D499" s="405"/>
      <c r="E499" s="405"/>
      <c r="F499" s="405"/>
      <c r="G499" s="405"/>
      <c r="H499" s="405"/>
      <c r="I499" s="405"/>
      <c r="J499" s="405"/>
      <c r="K499" s="405"/>
      <c r="L499" s="405"/>
      <c r="M499" s="405"/>
      <c r="N499" s="406"/>
    </row>
    <row r="500" spans="1:14" ht="15" customHeight="1" x14ac:dyDescent="0.25">
      <c r="A500" s="382"/>
      <c r="B500" s="391"/>
      <c r="C500" s="404"/>
      <c r="D500" s="405"/>
      <c r="E500" s="405"/>
      <c r="F500" s="405"/>
      <c r="G500" s="405"/>
      <c r="H500" s="405"/>
      <c r="I500" s="405"/>
      <c r="J500" s="405"/>
      <c r="K500" s="405"/>
      <c r="L500" s="405"/>
      <c r="M500" s="405"/>
      <c r="N500" s="406"/>
    </row>
    <row r="501" spans="1:14" ht="15" customHeight="1" x14ac:dyDescent="0.25">
      <c r="A501" s="382"/>
      <c r="B501" s="391"/>
      <c r="C501" s="404"/>
      <c r="D501" s="405"/>
      <c r="E501" s="405"/>
      <c r="F501" s="405"/>
      <c r="G501" s="405"/>
      <c r="H501" s="405"/>
      <c r="I501" s="405"/>
      <c r="J501" s="405"/>
      <c r="K501" s="405"/>
      <c r="L501" s="405"/>
      <c r="M501" s="405"/>
      <c r="N501" s="406"/>
    </row>
    <row r="502" spans="1:14" ht="15" customHeight="1" x14ac:dyDescent="0.25">
      <c r="A502" s="382"/>
      <c r="B502" s="391"/>
      <c r="C502" s="404"/>
      <c r="D502" s="405"/>
      <c r="E502" s="405"/>
      <c r="F502" s="405"/>
      <c r="G502" s="405"/>
      <c r="H502" s="405"/>
      <c r="I502" s="405"/>
      <c r="J502" s="405"/>
      <c r="K502" s="405"/>
      <c r="L502" s="405"/>
      <c r="M502" s="405"/>
      <c r="N502" s="406"/>
    </row>
    <row r="503" spans="1:14" ht="15" customHeight="1" x14ac:dyDescent="0.25">
      <c r="A503" s="382"/>
      <c r="B503" s="391"/>
      <c r="C503" s="404"/>
      <c r="D503" s="405"/>
      <c r="E503" s="405"/>
      <c r="F503" s="405"/>
      <c r="G503" s="405"/>
      <c r="H503" s="405"/>
      <c r="I503" s="405"/>
      <c r="J503" s="405"/>
      <c r="K503" s="405"/>
      <c r="L503" s="405"/>
      <c r="M503" s="405"/>
      <c r="N503" s="406"/>
    </row>
    <row r="504" spans="1:14" ht="15" customHeight="1" x14ac:dyDescent="0.25">
      <c r="A504" s="382"/>
      <c r="B504" s="391"/>
      <c r="C504" s="404"/>
      <c r="D504" s="405"/>
      <c r="E504" s="405"/>
      <c r="F504" s="405"/>
      <c r="G504" s="405"/>
      <c r="H504" s="405"/>
      <c r="I504" s="405"/>
      <c r="J504" s="405"/>
      <c r="K504" s="405"/>
      <c r="L504" s="405"/>
      <c r="M504" s="405"/>
      <c r="N504" s="406"/>
    </row>
    <row r="505" spans="1:14" ht="15" customHeight="1" x14ac:dyDescent="0.25">
      <c r="A505" s="382"/>
      <c r="B505" s="391"/>
      <c r="C505" s="404"/>
      <c r="D505" s="405"/>
      <c r="E505" s="405"/>
      <c r="F505" s="405"/>
      <c r="G505" s="405"/>
      <c r="H505" s="405"/>
      <c r="I505" s="405"/>
      <c r="J505" s="405"/>
      <c r="K505" s="405"/>
      <c r="L505" s="405"/>
      <c r="M505" s="405"/>
      <c r="N505" s="406"/>
    </row>
    <row r="506" spans="1:14" ht="15" customHeight="1" x14ac:dyDescent="0.25">
      <c r="A506" s="382"/>
      <c r="B506" s="391"/>
      <c r="C506" s="404"/>
      <c r="D506" s="405"/>
      <c r="E506" s="405"/>
      <c r="F506" s="405"/>
      <c r="G506" s="405"/>
      <c r="H506" s="405"/>
      <c r="I506" s="405"/>
      <c r="J506" s="405"/>
      <c r="K506" s="405"/>
      <c r="L506" s="405"/>
      <c r="M506" s="405"/>
      <c r="N506" s="406"/>
    </row>
    <row r="507" spans="1:14" ht="15" customHeight="1" x14ac:dyDescent="0.25">
      <c r="A507" s="382"/>
      <c r="B507" s="391"/>
      <c r="C507" s="404"/>
      <c r="D507" s="405"/>
      <c r="E507" s="405"/>
      <c r="F507" s="405"/>
      <c r="G507" s="405"/>
      <c r="H507" s="405"/>
      <c r="I507" s="405"/>
      <c r="J507" s="405"/>
      <c r="K507" s="405"/>
      <c r="L507" s="405"/>
      <c r="M507" s="405"/>
      <c r="N507" s="406"/>
    </row>
    <row r="508" spans="1:14" ht="15" customHeight="1" x14ac:dyDescent="0.25">
      <c r="A508" s="382"/>
      <c r="B508" s="391"/>
      <c r="C508" s="404"/>
      <c r="D508" s="405"/>
      <c r="E508" s="405"/>
      <c r="F508" s="405"/>
      <c r="G508" s="405"/>
      <c r="H508" s="405"/>
      <c r="I508" s="405"/>
      <c r="J508" s="405"/>
      <c r="K508" s="405"/>
      <c r="L508" s="405"/>
      <c r="M508" s="405"/>
      <c r="N508" s="406"/>
    </row>
    <row r="509" spans="1:14" ht="15" customHeight="1" x14ac:dyDescent="0.25">
      <c r="A509" s="382"/>
      <c r="B509" s="391"/>
      <c r="C509" s="404"/>
      <c r="D509" s="405"/>
      <c r="E509" s="405"/>
      <c r="F509" s="405"/>
      <c r="G509" s="405"/>
      <c r="H509" s="405"/>
      <c r="I509" s="405"/>
      <c r="J509" s="405"/>
      <c r="K509" s="405"/>
      <c r="L509" s="405"/>
      <c r="M509" s="405"/>
      <c r="N509" s="406"/>
    </row>
    <row r="510" spans="1:14" ht="15.75" customHeight="1" thickBot="1" x14ac:dyDescent="0.3">
      <c r="A510" s="383"/>
      <c r="B510" s="392"/>
      <c r="C510" s="404"/>
      <c r="D510" s="405"/>
      <c r="E510" s="405"/>
      <c r="F510" s="405"/>
      <c r="G510" s="405"/>
      <c r="H510" s="405"/>
      <c r="I510" s="405"/>
      <c r="J510" s="405"/>
      <c r="K510" s="405"/>
      <c r="L510" s="405"/>
      <c r="M510" s="405"/>
      <c r="N510" s="406"/>
    </row>
    <row r="511" spans="1:14" ht="15" customHeight="1" x14ac:dyDescent="0.25">
      <c r="A511" s="381">
        <v>23</v>
      </c>
      <c r="B511" s="390" t="str">
        <f>VLOOKUP(A511,PROPONENTES!$A$10:$B$42,2)</f>
        <v>UNIOBRAS SAS</v>
      </c>
      <c r="C511" s="384"/>
      <c r="D511" s="385"/>
      <c r="E511" s="385"/>
      <c r="F511" s="385"/>
      <c r="G511" s="385"/>
      <c r="H511" s="385"/>
      <c r="I511" s="385"/>
      <c r="J511" s="385"/>
      <c r="K511" s="385"/>
      <c r="L511" s="385"/>
      <c r="M511" s="385"/>
      <c r="N511" s="386"/>
    </row>
    <row r="512" spans="1:14" ht="15" customHeight="1" x14ac:dyDescent="0.25">
      <c r="A512" s="382"/>
      <c r="B512" s="391"/>
      <c r="C512" s="387"/>
      <c r="D512" s="388"/>
      <c r="E512" s="388"/>
      <c r="F512" s="388"/>
      <c r="G512" s="388"/>
      <c r="H512" s="388"/>
      <c r="I512" s="388"/>
      <c r="J512" s="388"/>
      <c r="K512" s="388"/>
      <c r="L512" s="388"/>
      <c r="M512" s="388"/>
      <c r="N512" s="389"/>
    </row>
    <row r="513" spans="1:14" ht="15" customHeight="1" x14ac:dyDescent="0.25">
      <c r="A513" s="382"/>
      <c r="B513" s="391"/>
      <c r="C513" s="387"/>
      <c r="D513" s="388"/>
      <c r="E513" s="388"/>
      <c r="F513" s="388"/>
      <c r="G513" s="388"/>
      <c r="H513" s="388"/>
      <c r="I513" s="388"/>
      <c r="J513" s="388"/>
      <c r="K513" s="388"/>
      <c r="L513" s="388"/>
      <c r="M513" s="388"/>
      <c r="N513" s="389"/>
    </row>
    <row r="514" spans="1:14" ht="15" customHeight="1" x14ac:dyDescent="0.25">
      <c r="A514" s="382"/>
      <c r="B514" s="391"/>
      <c r="C514" s="387"/>
      <c r="D514" s="388"/>
      <c r="E514" s="388"/>
      <c r="F514" s="388"/>
      <c r="G514" s="388"/>
      <c r="H514" s="388"/>
      <c r="I514" s="388"/>
      <c r="J514" s="388"/>
      <c r="K514" s="388"/>
      <c r="L514" s="388"/>
      <c r="M514" s="388"/>
      <c r="N514" s="389"/>
    </row>
    <row r="515" spans="1:14" ht="15" customHeight="1" x14ac:dyDescent="0.25">
      <c r="A515" s="382"/>
      <c r="B515" s="391"/>
      <c r="C515" s="387"/>
      <c r="D515" s="388"/>
      <c r="E515" s="388"/>
      <c r="F515" s="388"/>
      <c r="G515" s="388"/>
      <c r="H515" s="388"/>
      <c r="I515" s="388"/>
      <c r="J515" s="388"/>
      <c r="K515" s="388"/>
      <c r="L515" s="388"/>
      <c r="M515" s="388"/>
      <c r="N515" s="389"/>
    </row>
    <row r="516" spans="1:14" ht="15" customHeight="1" x14ac:dyDescent="0.25">
      <c r="A516" s="382"/>
      <c r="B516" s="391"/>
      <c r="C516" s="387"/>
      <c r="D516" s="388"/>
      <c r="E516" s="388"/>
      <c r="F516" s="388"/>
      <c r="G516" s="388"/>
      <c r="H516" s="388"/>
      <c r="I516" s="388"/>
      <c r="J516" s="388"/>
      <c r="K516" s="388"/>
      <c r="L516" s="388"/>
      <c r="M516" s="388"/>
      <c r="N516" s="389"/>
    </row>
    <row r="517" spans="1:14" ht="15" customHeight="1" x14ac:dyDescent="0.25">
      <c r="A517" s="382"/>
      <c r="B517" s="391"/>
      <c r="C517" s="387"/>
      <c r="D517" s="388"/>
      <c r="E517" s="388"/>
      <c r="F517" s="388"/>
      <c r="G517" s="388"/>
      <c r="H517" s="388"/>
      <c r="I517" s="388"/>
      <c r="J517" s="388"/>
      <c r="K517" s="388"/>
      <c r="L517" s="388"/>
      <c r="M517" s="388"/>
      <c r="N517" s="389"/>
    </row>
    <row r="518" spans="1:14" ht="15" customHeight="1" x14ac:dyDescent="0.25">
      <c r="A518" s="382"/>
      <c r="B518" s="391"/>
      <c r="C518" s="387"/>
      <c r="D518" s="388"/>
      <c r="E518" s="388"/>
      <c r="F518" s="388"/>
      <c r="G518" s="388"/>
      <c r="H518" s="388"/>
      <c r="I518" s="388"/>
      <c r="J518" s="388"/>
      <c r="K518" s="388"/>
      <c r="L518" s="388"/>
      <c r="M518" s="388"/>
      <c r="N518" s="389"/>
    </row>
    <row r="519" spans="1:14" ht="15" customHeight="1" x14ac:dyDescent="0.25">
      <c r="A519" s="382"/>
      <c r="B519" s="391"/>
      <c r="C519" s="387"/>
      <c r="D519" s="388"/>
      <c r="E519" s="388"/>
      <c r="F519" s="388"/>
      <c r="G519" s="388"/>
      <c r="H519" s="388"/>
      <c r="I519" s="388"/>
      <c r="J519" s="388"/>
      <c r="K519" s="388"/>
      <c r="L519" s="388"/>
      <c r="M519" s="388"/>
      <c r="N519" s="389"/>
    </row>
    <row r="520" spans="1:14" ht="15" customHeight="1" x14ac:dyDescent="0.25">
      <c r="A520" s="382"/>
      <c r="B520" s="391"/>
      <c r="C520" s="387"/>
      <c r="D520" s="388"/>
      <c r="E520" s="388"/>
      <c r="F520" s="388"/>
      <c r="G520" s="388"/>
      <c r="H520" s="388"/>
      <c r="I520" s="388"/>
      <c r="J520" s="388"/>
      <c r="K520" s="388"/>
      <c r="L520" s="388"/>
      <c r="M520" s="388"/>
      <c r="N520" s="389"/>
    </row>
    <row r="521" spans="1:14" ht="15" customHeight="1" x14ac:dyDescent="0.25">
      <c r="A521" s="382"/>
      <c r="B521" s="391"/>
      <c r="C521" s="387"/>
      <c r="D521" s="388"/>
      <c r="E521" s="388"/>
      <c r="F521" s="388"/>
      <c r="G521" s="388"/>
      <c r="H521" s="388"/>
      <c r="I521" s="388"/>
      <c r="J521" s="388"/>
      <c r="K521" s="388"/>
      <c r="L521" s="388"/>
      <c r="M521" s="388"/>
      <c r="N521" s="389"/>
    </row>
    <row r="522" spans="1:14" ht="15" customHeight="1" x14ac:dyDescent="0.25">
      <c r="A522" s="382"/>
      <c r="B522" s="391"/>
      <c r="C522" s="387"/>
      <c r="D522" s="388"/>
      <c r="E522" s="388"/>
      <c r="F522" s="388"/>
      <c r="G522" s="388"/>
      <c r="H522" s="388"/>
      <c r="I522" s="388"/>
      <c r="J522" s="388"/>
      <c r="K522" s="388"/>
      <c r="L522" s="388"/>
      <c r="M522" s="388"/>
      <c r="N522" s="389"/>
    </row>
    <row r="523" spans="1:14" ht="15" customHeight="1" x14ac:dyDescent="0.25">
      <c r="A523" s="382"/>
      <c r="B523" s="391"/>
      <c r="C523" s="387"/>
      <c r="D523" s="388"/>
      <c r="E523" s="388"/>
      <c r="F523" s="388"/>
      <c r="G523" s="388"/>
      <c r="H523" s="388"/>
      <c r="I523" s="388"/>
      <c r="J523" s="388"/>
      <c r="K523" s="388"/>
      <c r="L523" s="388"/>
      <c r="M523" s="388"/>
      <c r="N523" s="389"/>
    </row>
    <row r="524" spans="1:14" ht="15" customHeight="1" x14ac:dyDescent="0.25">
      <c r="A524" s="382"/>
      <c r="B524" s="391"/>
      <c r="C524" s="387"/>
      <c r="D524" s="388"/>
      <c r="E524" s="388"/>
      <c r="F524" s="388"/>
      <c r="G524" s="388"/>
      <c r="H524" s="388"/>
      <c r="I524" s="388"/>
      <c r="J524" s="388"/>
      <c r="K524" s="388"/>
      <c r="L524" s="388"/>
      <c r="M524" s="388"/>
      <c r="N524" s="389"/>
    </row>
    <row r="525" spans="1:14" ht="15" customHeight="1" x14ac:dyDescent="0.25">
      <c r="A525" s="382"/>
      <c r="B525" s="391"/>
      <c r="C525" s="387"/>
      <c r="D525" s="388"/>
      <c r="E525" s="388"/>
      <c r="F525" s="388"/>
      <c r="G525" s="388"/>
      <c r="H525" s="388"/>
      <c r="I525" s="388"/>
      <c r="J525" s="388"/>
      <c r="K525" s="388"/>
      <c r="L525" s="388"/>
      <c r="M525" s="388"/>
      <c r="N525" s="389"/>
    </row>
    <row r="526" spans="1:14" ht="15" customHeight="1" x14ac:dyDescent="0.25">
      <c r="A526" s="382"/>
      <c r="B526" s="391"/>
      <c r="C526" s="387"/>
      <c r="D526" s="388"/>
      <c r="E526" s="388"/>
      <c r="F526" s="388"/>
      <c r="G526" s="388"/>
      <c r="H526" s="388"/>
      <c r="I526" s="388"/>
      <c r="J526" s="388"/>
      <c r="K526" s="388"/>
      <c r="L526" s="388"/>
      <c r="M526" s="388"/>
      <c r="N526" s="389"/>
    </row>
    <row r="527" spans="1:14" ht="15" customHeight="1" x14ac:dyDescent="0.25">
      <c r="A527" s="382"/>
      <c r="B527" s="391"/>
      <c r="C527" s="387"/>
      <c r="D527" s="388"/>
      <c r="E527" s="388"/>
      <c r="F527" s="388"/>
      <c r="G527" s="388"/>
      <c r="H527" s="388"/>
      <c r="I527" s="388"/>
      <c r="J527" s="388"/>
      <c r="K527" s="388"/>
      <c r="L527" s="388"/>
      <c r="M527" s="388"/>
      <c r="N527" s="389"/>
    </row>
    <row r="528" spans="1:14" ht="15" customHeight="1" x14ac:dyDescent="0.25">
      <c r="A528" s="382"/>
      <c r="B528" s="391"/>
      <c r="C528" s="387"/>
      <c r="D528" s="388"/>
      <c r="E528" s="388"/>
      <c r="F528" s="388"/>
      <c r="G528" s="388"/>
      <c r="H528" s="388"/>
      <c r="I528" s="388"/>
      <c r="J528" s="388"/>
      <c r="K528" s="388"/>
      <c r="L528" s="388"/>
      <c r="M528" s="388"/>
      <c r="N528" s="389"/>
    </row>
    <row r="529" spans="1:14" ht="15" customHeight="1" x14ac:dyDescent="0.25">
      <c r="A529" s="382"/>
      <c r="B529" s="391"/>
      <c r="C529" s="387"/>
      <c r="D529" s="388"/>
      <c r="E529" s="388"/>
      <c r="F529" s="388"/>
      <c r="G529" s="388"/>
      <c r="H529" s="388"/>
      <c r="I529" s="388"/>
      <c r="J529" s="388"/>
      <c r="K529" s="388"/>
      <c r="L529" s="388"/>
      <c r="M529" s="388"/>
      <c r="N529" s="389"/>
    </row>
    <row r="530" spans="1:14" ht="15" customHeight="1" x14ac:dyDescent="0.25">
      <c r="A530" s="382"/>
      <c r="B530" s="391"/>
      <c r="C530" s="387"/>
      <c r="D530" s="388"/>
      <c r="E530" s="388"/>
      <c r="F530" s="388"/>
      <c r="G530" s="388"/>
      <c r="H530" s="388"/>
      <c r="I530" s="388"/>
      <c r="J530" s="388"/>
      <c r="K530" s="388"/>
      <c r="L530" s="388"/>
      <c r="M530" s="388"/>
      <c r="N530" s="389"/>
    </row>
    <row r="531" spans="1:14" ht="15" customHeight="1" x14ac:dyDescent="0.25">
      <c r="A531" s="382"/>
      <c r="B531" s="391"/>
      <c r="C531" s="387"/>
      <c r="D531" s="388"/>
      <c r="E531" s="388"/>
      <c r="F531" s="388"/>
      <c r="G531" s="388"/>
      <c r="H531" s="388"/>
      <c r="I531" s="388"/>
      <c r="J531" s="388"/>
      <c r="K531" s="388"/>
      <c r="L531" s="388"/>
      <c r="M531" s="388"/>
      <c r="N531" s="389"/>
    </row>
    <row r="532" spans="1:14" ht="15" customHeight="1" x14ac:dyDescent="0.25">
      <c r="A532" s="382"/>
      <c r="B532" s="391"/>
      <c r="C532" s="387"/>
      <c r="D532" s="388"/>
      <c r="E532" s="388"/>
      <c r="F532" s="388"/>
      <c r="G532" s="388"/>
      <c r="H532" s="388"/>
      <c r="I532" s="388"/>
      <c r="J532" s="388"/>
      <c r="K532" s="388"/>
      <c r="L532" s="388"/>
      <c r="M532" s="388"/>
      <c r="N532" s="389"/>
    </row>
    <row r="533" spans="1:14" ht="15.75" customHeight="1" thickBot="1" x14ac:dyDescent="0.3">
      <c r="A533" s="383"/>
      <c r="B533" s="392"/>
      <c r="C533" s="387"/>
      <c r="D533" s="388"/>
      <c r="E533" s="388"/>
      <c r="F533" s="388"/>
      <c r="G533" s="388"/>
      <c r="H533" s="388"/>
      <c r="I533" s="388"/>
      <c r="J533" s="388"/>
      <c r="K533" s="388"/>
      <c r="L533" s="388"/>
      <c r="M533" s="388"/>
      <c r="N533" s="389"/>
    </row>
    <row r="534" spans="1:14" ht="15" customHeight="1" x14ac:dyDescent="0.25">
      <c r="A534" s="407">
        <v>24</v>
      </c>
      <c r="B534" s="390" t="str">
        <f>VLOOKUP(A534,PROPONENTES!$A$10:$B$42,2)</f>
        <v>CONSORCIO T&amp;G PARQUES IV</v>
      </c>
      <c r="C534" s="401"/>
      <c r="D534" s="402"/>
      <c r="E534" s="402"/>
      <c r="F534" s="402"/>
      <c r="G534" s="402"/>
      <c r="H534" s="402"/>
      <c r="I534" s="402"/>
      <c r="J534" s="402"/>
      <c r="K534" s="402"/>
      <c r="L534" s="402"/>
      <c r="M534" s="402"/>
      <c r="N534" s="403"/>
    </row>
    <row r="535" spans="1:14" ht="15" customHeight="1" x14ac:dyDescent="0.25">
      <c r="A535" s="408"/>
      <c r="B535" s="391"/>
      <c r="C535" s="404"/>
      <c r="D535" s="405"/>
      <c r="E535" s="405"/>
      <c r="F535" s="405"/>
      <c r="G535" s="405"/>
      <c r="H535" s="405"/>
      <c r="I535" s="405"/>
      <c r="J535" s="405"/>
      <c r="K535" s="405"/>
      <c r="L535" s="405"/>
      <c r="M535" s="405"/>
      <c r="N535" s="406"/>
    </row>
    <row r="536" spans="1:14" ht="15" customHeight="1" x14ac:dyDescent="0.25">
      <c r="A536" s="408"/>
      <c r="B536" s="391"/>
      <c r="C536" s="404"/>
      <c r="D536" s="405"/>
      <c r="E536" s="405"/>
      <c r="F536" s="405"/>
      <c r="G536" s="405"/>
      <c r="H536" s="405"/>
      <c r="I536" s="405"/>
      <c r="J536" s="405"/>
      <c r="K536" s="405"/>
      <c r="L536" s="405"/>
      <c r="M536" s="405"/>
      <c r="N536" s="406"/>
    </row>
    <row r="537" spans="1:14" ht="15" customHeight="1" x14ac:dyDescent="0.25">
      <c r="A537" s="408"/>
      <c r="B537" s="391"/>
      <c r="C537" s="404"/>
      <c r="D537" s="405"/>
      <c r="E537" s="405"/>
      <c r="F537" s="405"/>
      <c r="G537" s="405"/>
      <c r="H537" s="405"/>
      <c r="I537" s="405"/>
      <c r="J537" s="405"/>
      <c r="K537" s="405"/>
      <c r="L537" s="405"/>
      <c r="M537" s="405"/>
      <c r="N537" s="406"/>
    </row>
    <row r="538" spans="1:14" ht="15" customHeight="1" x14ac:dyDescent="0.25">
      <c r="A538" s="408"/>
      <c r="B538" s="391"/>
      <c r="C538" s="404"/>
      <c r="D538" s="405"/>
      <c r="E538" s="405"/>
      <c r="F538" s="405"/>
      <c r="G538" s="405"/>
      <c r="H538" s="405"/>
      <c r="I538" s="405"/>
      <c r="J538" s="405"/>
      <c r="K538" s="405"/>
      <c r="L538" s="405"/>
      <c r="M538" s="405"/>
      <c r="N538" s="406"/>
    </row>
    <row r="539" spans="1:14" ht="15" customHeight="1" x14ac:dyDescent="0.25">
      <c r="A539" s="408"/>
      <c r="B539" s="391"/>
      <c r="C539" s="404"/>
      <c r="D539" s="405"/>
      <c r="E539" s="405"/>
      <c r="F539" s="405"/>
      <c r="G539" s="405"/>
      <c r="H539" s="405"/>
      <c r="I539" s="405"/>
      <c r="J539" s="405"/>
      <c r="K539" s="405"/>
      <c r="L539" s="405"/>
      <c r="M539" s="405"/>
      <c r="N539" s="406"/>
    </row>
    <row r="540" spans="1:14" ht="15" customHeight="1" x14ac:dyDescent="0.25">
      <c r="A540" s="408"/>
      <c r="B540" s="391"/>
      <c r="C540" s="404"/>
      <c r="D540" s="405"/>
      <c r="E540" s="405"/>
      <c r="F540" s="405"/>
      <c r="G540" s="405"/>
      <c r="H540" s="405"/>
      <c r="I540" s="405"/>
      <c r="J540" s="405"/>
      <c r="K540" s="405"/>
      <c r="L540" s="405"/>
      <c r="M540" s="405"/>
      <c r="N540" s="406"/>
    </row>
    <row r="541" spans="1:14" ht="15" customHeight="1" x14ac:dyDescent="0.25">
      <c r="A541" s="408"/>
      <c r="B541" s="391"/>
      <c r="C541" s="404"/>
      <c r="D541" s="405"/>
      <c r="E541" s="405"/>
      <c r="F541" s="405"/>
      <c r="G541" s="405"/>
      <c r="H541" s="405"/>
      <c r="I541" s="405"/>
      <c r="J541" s="405"/>
      <c r="K541" s="405"/>
      <c r="L541" s="405"/>
      <c r="M541" s="405"/>
      <c r="N541" s="406"/>
    </row>
    <row r="542" spans="1:14" ht="15" customHeight="1" x14ac:dyDescent="0.25">
      <c r="A542" s="408"/>
      <c r="B542" s="391"/>
      <c r="C542" s="404"/>
      <c r="D542" s="405"/>
      <c r="E542" s="405"/>
      <c r="F542" s="405"/>
      <c r="G542" s="405"/>
      <c r="H542" s="405"/>
      <c r="I542" s="405"/>
      <c r="J542" s="405"/>
      <c r="K542" s="405"/>
      <c r="L542" s="405"/>
      <c r="M542" s="405"/>
      <c r="N542" s="406"/>
    </row>
    <row r="543" spans="1:14" ht="15" customHeight="1" x14ac:dyDescent="0.25">
      <c r="A543" s="408"/>
      <c r="B543" s="391"/>
      <c r="C543" s="404"/>
      <c r="D543" s="405"/>
      <c r="E543" s="405"/>
      <c r="F543" s="405"/>
      <c r="G543" s="405"/>
      <c r="H543" s="405"/>
      <c r="I543" s="405"/>
      <c r="J543" s="405"/>
      <c r="K543" s="405"/>
      <c r="L543" s="405"/>
      <c r="M543" s="405"/>
      <c r="N543" s="406"/>
    </row>
    <row r="544" spans="1:14" ht="15" customHeight="1" x14ac:dyDescent="0.25">
      <c r="A544" s="408"/>
      <c r="B544" s="391"/>
      <c r="C544" s="404"/>
      <c r="D544" s="405"/>
      <c r="E544" s="405"/>
      <c r="F544" s="405"/>
      <c r="G544" s="405"/>
      <c r="H544" s="405"/>
      <c r="I544" s="405"/>
      <c r="J544" s="405"/>
      <c r="K544" s="405"/>
      <c r="L544" s="405"/>
      <c r="M544" s="405"/>
      <c r="N544" s="406"/>
    </row>
    <row r="545" spans="1:14" ht="15" customHeight="1" x14ac:dyDescent="0.25">
      <c r="A545" s="408"/>
      <c r="B545" s="391"/>
      <c r="C545" s="404"/>
      <c r="D545" s="405"/>
      <c r="E545" s="405"/>
      <c r="F545" s="405"/>
      <c r="G545" s="405"/>
      <c r="H545" s="405"/>
      <c r="I545" s="405"/>
      <c r="J545" s="405"/>
      <c r="K545" s="405"/>
      <c r="L545" s="405"/>
      <c r="M545" s="405"/>
      <c r="N545" s="406"/>
    </row>
    <row r="546" spans="1:14" ht="15" customHeight="1" x14ac:dyDescent="0.25">
      <c r="A546" s="408"/>
      <c r="B546" s="391"/>
      <c r="C546" s="404"/>
      <c r="D546" s="405"/>
      <c r="E546" s="405"/>
      <c r="F546" s="405"/>
      <c r="G546" s="405"/>
      <c r="H546" s="405"/>
      <c r="I546" s="405"/>
      <c r="J546" s="405"/>
      <c r="K546" s="405"/>
      <c r="L546" s="405"/>
      <c r="M546" s="405"/>
      <c r="N546" s="406"/>
    </row>
    <row r="547" spans="1:14" ht="15" customHeight="1" x14ac:dyDescent="0.25">
      <c r="A547" s="408"/>
      <c r="B547" s="391"/>
      <c r="C547" s="404"/>
      <c r="D547" s="405"/>
      <c r="E547" s="405"/>
      <c r="F547" s="405"/>
      <c r="G547" s="405"/>
      <c r="H547" s="405"/>
      <c r="I547" s="405"/>
      <c r="J547" s="405"/>
      <c r="K547" s="405"/>
      <c r="L547" s="405"/>
      <c r="M547" s="405"/>
      <c r="N547" s="406"/>
    </row>
    <row r="548" spans="1:14" ht="15" customHeight="1" x14ac:dyDescent="0.25">
      <c r="A548" s="408"/>
      <c r="B548" s="391"/>
      <c r="C548" s="404"/>
      <c r="D548" s="405"/>
      <c r="E548" s="405"/>
      <c r="F548" s="405"/>
      <c r="G548" s="405"/>
      <c r="H548" s="405"/>
      <c r="I548" s="405"/>
      <c r="J548" s="405"/>
      <c r="K548" s="405"/>
      <c r="L548" s="405"/>
      <c r="M548" s="405"/>
      <c r="N548" s="406"/>
    </row>
    <row r="549" spans="1:14" ht="15" customHeight="1" x14ac:dyDescent="0.25">
      <c r="A549" s="408"/>
      <c r="B549" s="391"/>
      <c r="C549" s="404"/>
      <c r="D549" s="405"/>
      <c r="E549" s="405"/>
      <c r="F549" s="405"/>
      <c r="G549" s="405"/>
      <c r="H549" s="405"/>
      <c r="I549" s="405"/>
      <c r="J549" s="405"/>
      <c r="K549" s="405"/>
      <c r="L549" s="405"/>
      <c r="M549" s="405"/>
      <c r="N549" s="406"/>
    </row>
    <row r="550" spans="1:14" ht="15" customHeight="1" x14ac:dyDescent="0.25">
      <c r="A550" s="408"/>
      <c r="B550" s="391"/>
      <c r="C550" s="404"/>
      <c r="D550" s="405"/>
      <c r="E550" s="405"/>
      <c r="F550" s="405"/>
      <c r="G550" s="405"/>
      <c r="H550" s="405"/>
      <c r="I550" s="405"/>
      <c r="J550" s="405"/>
      <c r="K550" s="405"/>
      <c r="L550" s="405"/>
      <c r="M550" s="405"/>
      <c r="N550" s="406"/>
    </row>
    <row r="551" spans="1:14" ht="15" customHeight="1" x14ac:dyDescent="0.25">
      <c r="A551" s="408"/>
      <c r="B551" s="391"/>
      <c r="C551" s="404"/>
      <c r="D551" s="405"/>
      <c r="E551" s="405"/>
      <c r="F551" s="405"/>
      <c r="G551" s="405"/>
      <c r="H551" s="405"/>
      <c r="I551" s="405"/>
      <c r="J551" s="405"/>
      <c r="K551" s="405"/>
      <c r="L551" s="405"/>
      <c r="M551" s="405"/>
      <c r="N551" s="406"/>
    </row>
    <row r="552" spans="1:14" ht="15" customHeight="1" x14ac:dyDescent="0.25">
      <c r="A552" s="408"/>
      <c r="B552" s="391"/>
      <c r="C552" s="404"/>
      <c r="D552" s="405"/>
      <c r="E552" s="405"/>
      <c r="F552" s="405"/>
      <c r="G552" s="405"/>
      <c r="H552" s="405"/>
      <c r="I552" s="405"/>
      <c r="J552" s="405"/>
      <c r="K552" s="405"/>
      <c r="L552" s="405"/>
      <c r="M552" s="405"/>
      <c r="N552" s="406"/>
    </row>
    <row r="553" spans="1:14" ht="15" customHeight="1" x14ac:dyDescent="0.25">
      <c r="A553" s="408"/>
      <c r="B553" s="391"/>
      <c r="C553" s="404"/>
      <c r="D553" s="405"/>
      <c r="E553" s="405"/>
      <c r="F553" s="405"/>
      <c r="G553" s="405"/>
      <c r="H553" s="405"/>
      <c r="I553" s="405"/>
      <c r="J553" s="405"/>
      <c r="K553" s="405"/>
      <c r="L553" s="405"/>
      <c r="M553" s="405"/>
      <c r="N553" s="406"/>
    </row>
    <row r="554" spans="1:14" ht="15" customHeight="1" x14ac:dyDescent="0.25">
      <c r="A554" s="408"/>
      <c r="B554" s="391"/>
      <c r="C554" s="404"/>
      <c r="D554" s="405"/>
      <c r="E554" s="405"/>
      <c r="F554" s="405"/>
      <c r="G554" s="405"/>
      <c r="H554" s="405"/>
      <c r="I554" s="405"/>
      <c r="J554" s="405"/>
      <c r="K554" s="405"/>
      <c r="L554" s="405"/>
      <c r="M554" s="405"/>
      <c r="N554" s="406"/>
    </row>
    <row r="555" spans="1:14" ht="15" customHeight="1" x14ac:dyDescent="0.25">
      <c r="A555" s="408"/>
      <c r="B555" s="391"/>
      <c r="C555" s="404"/>
      <c r="D555" s="405"/>
      <c r="E555" s="405"/>
      <c r="F555" s="405"/>
      <c r="G555" s="405"/>
      <c r="H555" s="405"/>
      <c r="I555" s="405"/>
      <c r="J555" s="405"/>
      <c r="K555" s="405"/>
      <c r="L555" s="405"/>
      <c r="M555" s="405"/>
      <c r="N555" s="406"/>
    </row>
    <row r="556" spans="1:14" ht="15.75" customHeight="1" thickBot="1" x14ac:dyDescent="0.3">
      <c r="A556" s="409"/>
      <c r="B556" s="392"/>
      <c r="C556" s="404"/>
      <c r="D556" s="405"/>
      <c r="E556" s="405"/>
      <c r="F556" s="405"/>
      <c r="G556" s="405"/>
      <c r="H556" s="405"/>
      <c r="I556" s="405"/>
      <c r="J556" s="405"/>
      <c r="K556" s="405"/>
      <c r="L556" s="405"/>
      <c r="M556" s="405"/>
      <c r="N556" s="406"/>
    </row>
    <row r="557" spans="1:14" ht="15" customHeight="1" x14ac:dyDescent="0.25">
      <c r="A557" s="381">
        <v>25</v>
      </c>
      <c r="B557" s="390" t="str">
        <f>VLOOKUP(A557,PROPONENTES!$A$10:$B$42,2)</f>
        <v>CONSORCIO JH KENNEDY</v>
      </c>
      <c r="C557" s="401"/>
      <c r="D557" s="402"/>
      <c r="E557" s="402"/>
      <c r="F557" s="402"/>
      <c r="G557" s="402"/>
      <c r="H557" s="402"/>
      <c r="I557" s="402"/>
      <c r="J557" s="402"/>
      <c r="K557" s="402"/>
      <c r="L557" s="402"/>
      <c r="M557" s="402"/>
      <c r="N557" s="403"/>
    </row>
    <row r="558" spans="1:14" ht="15" customHeight="1" x14ac:dyDescent="0.25">
      <c r="A558" s="382"/>
      <c r="B558" s="391"/>
      <c r="C558" s="404"/>
      <c r="D558" s="405"/>
      <c r="E558" s="405"/>
      <c r="F558" s="405"/>
      <c r="G558" s="405"/>
      <c r="H558" s="405"/>
      <c r="I558" s="405"/>
      <c r="J558" s="405"/>
      <c r="K558" s="405"/>
      <c r="L558" s="405"/>
      <c r="M558" s="405"/>
      <c r="N558" s="406"/>
    </row>
    <row r="559" spans="1:14" ht="15" customHeight="1" x14ac:dyDescent="0.25">
      <c r="A559" s="382"/>
      <c r="B559" s="391"/>
      <c r="C559" s="404"/>
      <c r="D559" s="405"/>
      <c r="E559" s="405"/>
      <c r="F559" s="405"/>
      <c r="G559" s="405"/>
      <c r="H559" s="405"/>
      <c r="I559" s="405"/>
      <c r="J559" s="405"/>
      <c r="K559" s="405"/>
      <c r="L559" s="405"/>
      <c r="M559" s="405"/>
      <c r="N559" s="406"/>
    </row>
    <row r="560" spans="1:14" ht="15" customHeight="1" x14ac:dyDescent="0.25">
      <c r="A560" s="382"/>
      <c r="B560" s="391"/>
      <c r="C560" s="404"/>
      <c r="D560" s="405"/>
      <c r="E560" s="405"/>
      <c r="F560" s="405"/>
      <c r="G560" s="405"/>
      <c r="H560" s="405"/>
      <c r="I560" s="405"/>
      <c r="J560" s="405"/>
      <c r="K560" s="405"/>
      <c r="L560" s="405"/>
      <c r="M560" s="405"/>
      <c r="N560" s="406"/>
    </row>
    <row r="561" spans="1:14" ht="15" customHeight="1" x14ac:dyDescent="0.25">
      <c r="A561" s="382"/>
      <c r="B561" s="391"/>
      <c r="C561" s="404"/>
      <c r="D561" s="405"/>
      <c r="E561" s="405"/>
      <c r="F561" s="405"/>
      <c r="G561" s="405"/>
      <c r="H561" s="405"/>
      <c r="I561" s="405"/>
      <c r="J561" s="405"/>
      <c r="K561" s="405"/>
      <c r="L561" s="405"/>
      <c r="M561" s="405"/>
      <c r="N561" s="406"/>
    </row>
    <row r="562" spans="1:14" ht="15" customHeight="1" x14ac:dyDescent="0.25">
      <c r="A562" s="382"/>
      <c r="B562" s="391"/>
      <c r="C562" s="404"/>
      <c r="D562" s="405"/>
      <c r="E562" s="405"/>
      <c r="F562" s="405"/>
      <c r="G562" s="405"/>
      <c r="H562" s="405"/>
      <c r="I562" s="405"/>
      <c r="J562" s="405"/>
      <c r="K562" s="405"/>
      <c r="L562" s="405"/>
      <c r="M562" s="405"/>
      <c r="N562" s="406"/>
    </row>
    <row r="563" spans="1:14" ht="15" customHeight="1" x14ac:dyDescent="0.25">
      <c r="A563" s="382"/>
      <c r="B563" s="391"/>
      <c r="C563" s="404"/>
      <c r="D563" s="405"/>
      <c r="E563" s="405"/>
      <c r="F563" s="405"/>
      <c r="G563" s="405"/>
      <c r="H563" s="405"/>
      <c r="I563" s="405"/>
      <c r="J563" s="405"/>
      <c r="K563" s="405"/>
      <c r="L563" s="405"/>
      <c r="M563" s="405"/>
      <c r="N563" s="406"/>
    </row>
    <row r="564" spans="1:14" ht="15" customHeight="1" x14ac:dyDescent="0.25">
      <c r="A564" s="382"/>
      <c r="B564" s="391"/>
      <c r="C564" s="404"/>
      <c r="D564" s="405"/>
      <c r="E564" s="405"/>
      <c r="F564" s="405"/>
      <c r="G564" s="405"/>
      <c r="H564" s="405"/>
      <c r="I564" s="405"/>
      <c r="J564" s="405"/>
      <c r="K564" s="405"/>
      <c r="L564" s="405"/>
      <c r="M564" s="405"/>
      <c r="N564" s="406"/>
    </row>
    <row r="565" spans="1:14" ht="15" customHeight="1" x14ac:dyDescent="0.25">
      <c r="A565" s="382"/>
      <c r="B565" s="391"/>
      <c r="C565" s="404"/>
      <c r="D565" s="405"/>
      <c r="E565" s="405"/>
      <c r="F565" s="405"/>
      <c r="G565" s="405"/>
      <c r="H565" s="405"/>
      <c r="I565" s="405"/>
      <c r="J565" s="405"/>
      <c r="K565" s="405"/>
      <c r="L565" s="405"/>
      <c r="M565" s="405"/>
      <c r="N565" s="406"/>
    </row>
    <row r="566" spans="1:14" ht="15" customHeight="1" x14ac:dyDescent="0.25">
      <c r="A566" s="382"/>
      <c r="B566" s="391"/>
      <c r="C566" s="404"/>
      <c r="D566" s="405"/>
      <c r="E566" s="405"/>
      <c r="F566" s="405"/>
      <c r="G566" s="405"/>
      <c r="H566" s="405"/>
      <c r="I566" s="405"/>
      <c r="J566" s="405"/>
      <c r="K566" s="405"/>
      <c r="L566" s="405"/>
      <c r="M566" s="405"/>
      <c r="N566" s="406"/>
    </row>
    <row r="567" spans="1:14" ht="15" customHeight="1" x14ac:dyDescent="0.25">
      <c r="A567" s="382"/>
      <c r="B567" s="391"/>
      <c r="C567" s="404"/>
      <c r="D567" s="405"/>
      <c r="E567" s="405"/>
      <c r="F567" s="405"/>
      <c r="G567" s="405"/>
      <c r="H567" s="405"/>
      <c r="I567" s="405"/>
      <c r="J567" s="405"/>
      <c r="K567" s="405"/>
      <c r="L567" s="405"/>
      <c r="M567" s="405"/>
      <c r="N567" s="406"/>
    </row>
    <row r="568" spans="1:14" ht="15" customHeight="1" x14ac:dyDescent="0.25">
      <c r="A568" s="382"/>
      <c r="B568" s="391"/>
      <c r="C568" s="404"/>
      <c r="D568" s="405"/>
      <c r="E568" s="405"/>
      <c r="F568" s="405"/>
      <c r="G568" s="405"/>
      <c r="H568" s="405"/>
      <c r="I568" s="405"/>
      <c r="J568" s="405"/>
      <c r="K568" s="405"/>
      <c r="L568" s="405"/>
      <c r="M568" s="405"/>
      <c r="N568" s="406"/>
    </row>
    <row r="569" spans="1:14" ht="15" customHeight="1" x14ac:dyDescent="0.25">
      <c r="A569" s="382"/>
      <c r="B569" s="391"/>
      <c r="C569" s="404"/>
      <c r="D569" s="405"/>
      <c r="E569" s="405"/>
      <c r="F569" s="405"/>
      <c r="G569" s="405"/>
      <c r="H569" s="405"/>
      <c r="I569" s="405"/>
      <c r="J569" s="405"/>
      <c r="K569" s="405"/>
      <c r="L569" s="405"/>
      <c r="M569" s="405"/>
      <c r="N569" s="406"/>
    </row>
    <row r="570" spans="1:14" ht="15" customHeight="1" x14ac:dyDescent="0.25">
      <c r="A570" s="382"/>
      <c r="B570" s="391"/>
      <c r="C570" s="404"/>
      <c r="D570" s="405"/>
      <c r="E570" s="405"/>
      <c r="F570" s="405"/>
      <c r="G570" s="405"/>
      <c r="H570" s="405"/>
      <c r="I570" s="405"/>
      <c r="J570" s="405"/>
      <c r="K570" s="405"/>
      <c r="L570" s="405"/>
      <c r="M570" s="405"/>
      <c r="N570" s="406"/>
    </row>
    <row r="571" spans="1:14" ht="15" customHeight="1" x14ac:dyDescent="0.25">
      <c r="A571" s="382"/>
      <c r="B571" s="391"/>
      <c r="C571" s="404"/>
      <c r="D571" s="405"/>
      <c r="E571" s="405"/>
      <c r="F571" s="405"/>
      <c r="G571" s="405"/>
      <c r="H571" s="405"/>
      <c r="I571" s="405"/>
      <c r="J571" s="405"/>
      <c r="K571" s="405"/>
      <c r="L571" s="405"/>
      <c r="M571" s="405"/>
      <c r="N571" s="406"/>
    </row>
    <row r="572" spans="1:14" ht="15" customHeight="1" x14ac:dyDescent="0.25">
      <c r="A572" s="382"/>
      <c r="B572" s="391"/>
      <c r="C572" s="404"/>
      <c r="D572" s="405"/>
      <c r="E572" s="405"/>
      <c r="F572" s="405"/>
      <c r="G572" s="405"/>
      <c r="H572" s="405"/>
      <c r="I572" s="405"/>
      <c r="J572" s="405"/>
      <c r="K572" s="405"/>
      <c r="L572" s="405"/>
      <c r="M572" s="405"/>
      <c r="N572" s="406"/>
    </row>
    <row r="573" spans="1:14" ht="15" customHeight="1" x14ac:dyDescent="0.25">
      <c r="A573" s="382"/>
      <c r="B573" s="391"/>
      <c r="C573" s="404"/>
      <c r="D573" s="405"/>
      <c r="E573" s="405"/>
      <c r="F573" s="405"/>
      <c r="G573" s="405"/>
      <c r="H573" s="405"/>
      <c r="I573" s="405"/>
      <c r="J573" s="405"/>
      <c r="K573" s="405"/>
      <c r="L573" s="405"/>
      <c r="M573" s="405"/>
      <c r="N573" s="406"/>
    </row>
    <row r="574" spans="1:14" ht="15" customHeight="1" x14ac:dyDescent="0.25">
      <c r="A574" s="382"/>
      <c r="B574" s="391"/>
      <c r="C574" s="404"/>
      <c r="D574" s="405"/>
      <c r="E574" s="405"/>
      <c r="F574" s="405"/>
      <c r="G574" s="405"/>
      <c r="H574" s="405"/>
      <c r="I574" s="405"/>
      <c r="J574" s="405"/>
      <c r="K574" s="405"/>
      <c r="L574" s="405"/>
      <c r="M574" s="405"/>
      <c r="N574" s="406"/>
    </row>
    <row r="575" spans="1:14" ht="15" customHeight="1" x14ac:dyDescent="0.25">
      <c r="A575" s="382"/>
      <c r="B575" s="391"/>
      <c r="C575" s="404"/>
      <c r="D575" s="405"/>
      <c r="E575" s="405"/>
      <c r="F575" s="405"/>
      <c r="G575" s="405"/>
      <c r="H575" s="405"/>
      <c r="I575" s="405"/>
      <c r="J575" s="405"/>
      <c r="K575" s="405"/>
      <c r="L575" s="405"/>
      <c r="M575" s="405"/>
      <c r="N575" s="406"/>
    </row>
    <row r="576" spans="1:14" ht="15" customHeight="1" x14ac:dyDescent="0.25">
      <c r="A576" s="382"/>
      <c r="B576" s="391"/>
      <c r="C576" s="404"/>
      <c r="D576" s="405"/>
      <c r="E576" s="405"/>
      <c r="F576" s="405"/>
      <c r="G576" s="405"/>
      <c r="H576" s="405"/>
      <c r="I576" s="405"/>
      <c r="J576" s="405"/>
      <c r="K576" s="405"/>
      <c r="L576" s="405"/>
      <c r="M576" s="405"/>
      <c r="N576" s="406"/>
    </row>
    <row r="577" spans="1:14" ht="15" customHeight="1" x14ac:dyDescent="0.25">
      <c r="A577" s="382"/>
      <c r="B577" s="391"/>
      <c r="C577" s="404"/>
      <c r="D577" s="405"/>
      <c r="E577" s="405"/>
      <c r="F577" s="405"/>
      <c r="G577" s="405"/>
      <c r="H577" s="405"/>
      <c r="I577" s="405"/>
      <c r="J577" s="405"/>
      <c r="K577" s="405"/>
      <c r="L577" s="405"/>
      <c r="M577" s="405"/>
      <c r="N577" s="406"/>
    </row>
    <row r="578" spans="1:14" ht="15" customHeight="1" x14ac:dyDescent="0.25">
      <c r="A578" s="382"/>
      <c r="B578" s="391"/>
      <c r="C578" s="404"/>
      <c r="D578" s="405"/>
      <c r="E578" s="405"/>
      <c r="F578" s="405"/>
      <c r="G578" s="405"/>
      <c r="H578" s="405"/>
      <c r="I578" s="405"/>
      <c r="J578" s="405"/>
      <c r="K578" s="405"/>
      <c r="L578" s="405"/>
      <c r="M578" s="405"/>
      <c r="N578" s="406"/>
    </row>
    <row r="579" spans="1:14" ht="15.75" customHeight="1" thickBot="1" x14ac:dyDescent="0.3">
      <c r="A579" s="383"/>
      <c r="B579" s="392"/>
      <c r="C579" s="404"/>
      <c r="D579" s="405"/>
      <c r="E579" s="405"/>
      <c r="F579" s="405"/>
      <c r="G579" s="405"/>
      <c r="H579" s="405"/>
      <c r="I579" s="405"/>
      <c r="J579" s="405"/>
      <c r="K579" s="405"/>
      <c r="L579" s="405"/>
      <c r="M579" s="405"/>
      <c r="N579" s="406"/>
    </row>
    <row r="580" spans="1:14" ht="15" customHeight="1" x14ac:dyDescent="0.25">
      <c r="A580" s="381">
        <v>26</v>
      </c>
      <c r="B580" s="390" t="str">
        <f>VLOOKUP(A580,PROPONENTES!$A$10:$B$42,2)</f>
        <v>CONSORCIO PARQUES KENNEDY</v>
      </c>
      <c r="C580" s="401" t="s">
        <v>587</v>
      </c>
      <c r="D580" s="402"/>
      <c r="E580" s="402"/>
      <c r="F580" s="402"/>
      <c r="G580" s="402"/>
      <c r="H580" s="402"/>
      <c r="I580" s="402"/>
      <c r="J580" s="402"/>
      <c r="K580" s="402"/>
      <c r="L580" s="402"/>
      <c r="M580" s="402"/>
      <c r="N580" s="403"/>
    </row>
    <row r="581" spans="1:14" ht="15" customHeight="1" x14ac:dyDescent="0.25">
      <c r="A581" s="382"/>
      <c r="B581" s="391"/>
      <c r="C581" s="404"/>
      <c r="D581" s="405"/>
      <c r="E581" s="405"/>
      <c r="F581" s="405"/>
      <c r="G581" s="405"/>
      <c r="H581" s="405"/>
      <c r="I581" s="405"/>
      <c r="J581" s="405"/>
      <c r="K581" s="405"/>
      <c r="L581" s="405"/>
      <c r="M581" s="405"/>
      <c r="N581" s="406"/>
    </row>
    <row r="582" spans="1:14" ht="15" customHeight="1" x14ac:dyDescent="0.25">
      <c r="A582" s="382"/>
      <c r="B582" s="391"/>
      <c r="C582" s="404"/>
      <c r="D582" s="405"/>
      <c r="E582" s="405"/>
      <c r="F582" s="405"/>
      <c r="G582" s="405"/>
      <c r="H582" s="405"/>
      <c r="I582" s="405"/>
      <c r="J582" s="405"/>
      <c r="K582" s="405"/>
      <c r="L582" s="405"/>
      <c r="M582" s="405"/>
      <c r="N582" s="406"/>
    </row>
    <row r="583" spans="1:14" ht="15" customHeight="1" x14ac:dyDescent="0.25">
      <c r="A583" s="382"/>
      <c r="B583" s="391"/>
      <c r="C583" s="404"/>
      <c r="D583" s="405"/>
      <c r="E583" s="405"/>
      <c r="F583" s="405"/>
      <c r="G583" s="405"/>
      <c r="H583" s="405"/>
      <c r="I583" s="405"/>
      <c r="J583" s="405"/>
      <c r="K583" s="405"/>
      <c r="L583" s="405"/>
      <c r="M583" s="405"/>
      <c r="N583" s="406"/>
    </row>
    <row r="584" spans="1:14" ht="15" customHeight="1" x14ac:dyDescent="0.25">
      <c r="A584" s="382"/>
      <c r="B584" s="391"/>
      <c r="C584" s="404"/>
      <c r="D584" s="405"/>
      <c r="E584" s="405"/>
      <c r="F584" s="405"/>
      <c r="G584" s="405"/>
      <c r="H584" s="405"/>
      <c r="I584" s="405"/>
      <c r="J584" s="405"/>
      <c r="K584" s="405"/>
      <c r="L584" s="405"/>
      <c r="M584" s="405"/>
      <c r="N584" s="406"/>
    </row>
    <row r="585" spans="1:14" ht="15" customHeight="1" x14ac:dyDescent="0.25">
      <c r="A585" s="382"/>
      <c r="B585" s="391"/>
      <c r="C585" s="404"/>
      <c r="D585" s="405"/>
      <c r="E585" s="405"/>
      <c r="F585" s="405"/>
      <c r="G585" s="405"/>
      <c r="H585" s="405"/>
      <c r="I585" s="405"/>
      <c r="J585" s="405"/>
      <c r="K585" s="405"/>
      <c r="L585" s="405"/>
      <c r="M585" s="405"/>
      <c r="N585" s="406"/>
    </row>
    <row r="586" spans="1:14" ht="15" customHeight="1" x14ac:dyDescent="0.25">
      <c r="A586" s="382"/>
      <c r="B586" s="391"/>
      <c r="C586" s="404"/>
      <c r="D586" s="405"/>
      <c r="E586" s="405"/>
      <c r="F586" s="405"/>
      <c r="G586" s="405"/>
      <c r="H586" s="405"/>
      <c r="I586" s="405"/>
      <c r="J586" s="405"/>
      <c r="K586" s="405"/>
      <c r="L586" s="405"/>
      <c r="M586" s="405"/>
      <c r="N586" s="406"/>
    </row>
    <row r="587" spans="1:14" ht="15" customHeight="1" x14ac:dyDescent="0.25">
      <c r="A587" s="382"/>
      <c r="B587" s="391"/>
      <c r="C587" s="404"/>
      <c r="D587" s="405"/>
      <c r="E587" s="405"/>
      <c r="F587" s="405"/>
      <c r="G587" s="405"/>
      <c r="H587" s="405"/>
      <c r="I587" s="405"/>
      <c r="J587" s="405"/>
      <c r="K587" s="405"/>
      <c r="L587" s="405"/>
      <c r="M587" s="405"/>
      <c r="N587" s="406"/>
    </row>
    <row r="588" spans="1:14" ht="15" customHeight="1" x14ac:dyDescent="0.25">
      <c r="A588" s="382"/>
      <c r="B588" s="391"/>
      <c r="C588" s="404"/>
      <c r="D588" s="405"/>
      <c r="E588" s="405"/>
      <c r="F588" s="405"/>
      <c r="G588" s="405"/>
      <c r="H588" s="405"/>
      <c r="I588" s="405"/>
      <c r="J588" s="405"/>
      <c r="K588" s="405"/>
      <c r="L588" s="405"/>
      <c r="M588" s="405"/>
      <c r="N588" s="406"/>
    </row>
    <row r="589" spans="1:14" ht="15" customHeight="1" x14ac:dyDescent="0.25">
      <c r="A589" s="382"/>
      <c r="B589" s="391"/>
      <c r="C589" s="404"/>
      <c r="D589" s="405"/>
      <c r="E589" s="405"/>
      <c r="F589" s="405"/>
      <c r="G589" s="405"/>
      <c r="H589" s="405"/>
      <c r="I589" s="405"/>
      <c r="J589" s="405"/>
      <c r="K589" s="405"/>
      <c r="L589" s="405"/>
      <c r="M589" s="405"/>
      <c r="N589" s="406"/>
    </row>
    <row r="590" spans="1:14" ht="15" customHeight="1" x14ac:dyDescent="0.25">
      <c r="A590" s="382"/>
      <c r="B590" s="391"/>
      <c r="C590" s="404"/>
      <c r="D590" s="405"/>
      <c r="E590" s="405"/>
      <c r="F590" s="405"/>
      <c r="G590" s="405"/>
      <c r="H590" s="405"/>
      <c r="I590" s="405"/>
      <c r="J590" s="405"/>
      <c r="K590" s="405"/>
      <c r="L590" s="405"/>
      <c r="M590" s="405"/>
      <c r="N590" s="406"/>
    </row>
    <row r="591" spans="1:14" ht="15" customHeight="1" x14ac:dyDescent="0.25">
      <c r="A591" s="382"/>
      <c r="B591" s="391"/>
      <c r="C591" s="404"/>
      <c r="D591" s="405"/>
      <c r="E591" s="405"/>
      <c r="F591" s="405"/>
      <c r="G591" s="405"/>
      <c r="H591" s="405"/>
      <c r="I591" s="405"/>
      <c r="J591" s="405"/>
      <c r="K591" s="405"/>
      <c r="L591" s="405"/>
      <c r="M591" s="405"/>
      <c r="N591" s="406"/>
    </row>
    <row r="592" spans="1:14" ht="15" customHeight="1" x14ac:dyDescent="0.25">
      <c r="A592" s="382"/>
      <c r="B592" s="391"/>
      <c r="C592" s="404"/>
      <c r="D592" s="405"/>
      <c r="E592" s="405"/>
      <c r="F592" s="405"/>
      <c r="G592" s="405"/>
      <c r="H592" s="405"/>
      <c r="I592" s="405"/>
      <c r="J592" s="405"/>
      <c r="K592" s="405"/>
      <c r="L592" s="405"/>
      <c r="M592" s="405"/>
      <c r="N592" s="406"/>
    </row>
    <row r="593" spans="1:14" ht="15" customHeight="1" x14ac:dyDescent="0.25">
      <c r="A593" s="382"/>
      <c r="B593" s="391"/>
      <c r="C593" s="404"/>
      <c r="D593" s="405"/>
      <c r="E593" s="405"/>
      <c r="F593" s="405"/>
      <c r="G593" s="405"/>
      <c r="H593" s="405"/>
      <c r="I593" s="405"/>
      <c r="J593" s="405"/>
      <c r="K593" s="405"/>
      <c r="L593" s="405"/>
      <c r="M593" s="405"/>
      <c r="N593" s="406"/>
    </row>
    <row r="594" spans="1:14" ht="15" customHeight="1" x14ac:dyDescent="0.25">
      <c r="A594" s="382"/>
      <c r="B594" s="391"/>
      <c r="C594" s="404"/>
      <c r="D594" s="405"/>
      <c r="E594" s="405"/>
      <c r="F594" s="405"/>
      <c r="G594" s="405"/>
      <c r="H594" s="405"/>
      <c r="I594" s="405"/>
      <c r="J594" s="405"/>
      <c r="K594" s="405"/>
      <c r="L594" s="405"/>
      <c r="M594" s="405"/>
      <c r="N594" s="406"/>
    </row>
    <row r="595" spans="1:14" ht="15" customHeight="1" x14ac:dyDescent="0.25">
      <c r="A595" s="382"/>
      <c r="B595" s="391"/>
      <c r="C595" s="404"/>
      <c r="D595" s="405"/>
      <c r="E595" s="405"/>
      <c r="F595" s="405"/>
      <c r="G595" s="405"/>
      <c r="H595" s="405"/>
      <c r="I595" s="405"/>
      <c r="J595" s="405"/>
      <c r="K595" s="405"/>
      <c r="L595" s="405"/>
      <c r="M595" s="405"/>
      <c r="N595" s="406"/>
    </row>
    <row r="596" spans="1:14" ht="15" customHeight="1" x14ac:dyDescent="0.25">
      <c r="A596" s="382"/>
      <c r="B596" s="391"/>
      <c r="C596" s="404"/>
      <c r="D596" s="405"/>
      <c r="E596" s="405"/>
      <c r="F596" s="405"/>
      <c r="G596" s="405"/>
      <c r="H596" s="405"/>
      <c r="I596" s="405"/>
      <c r="J596" s="405"/>
      <c r="K596" s="405"/>
      <c r="L596" s="405"/>
      <c r="M596" s="405"/>
      <c r="N596" s="406"/>
    </row>
    <row r="597" spans="1:14" ht="15" customHeight="1" x14ac:dyDescent="0.25">
      <c r="A597" s="382"/>
      <c r="B597" s="391"/>
      <c r="C597" s="404"/>
      <c r="D597" s="405"/>
      <c r="E597" s="405"/>
      <c r="F597" s="405"/>
      <c r="G597" s="405"/>
      <c r="H597" s="405"/>
      <c r="I597" s="405"/>
      <c r="J597" s="405"/>
      <c r="K597" s="405"/>
      <c r="L597" s="405"/>
      <c r="M597" s="405"/>
      <c r="N597" s="406"/>
    </row>
    <row r="598" spans="1:14" ht="15" customHeight="1" x14ac:dyDescent="0.25">
      <c r="A598" s="382"/>
      <c r="B598" s="391"/>
      <c r="C598" s="404"/>
      <c r="D598" s="405"/>
      <c r="E598" s="405"/>
      <c r="F598" s="405"/>
      <c r="G598" s="405"/>
      <c r="H598" s="405"/>
      <c r="I598" s="405"/>
      <c r="J598" s="405"/>
      <c r="K598" s="405"/>
      <c r="L598" s="405"/>
      <c r="M598" s="405"/>
      <c r="N598" s="406"/>
    </row>
    <row r="599" spans="1:14" ht="15" customHeight="1" x14ac:dyDescent="0.25">
      <c r="A599" s="382"/>
      <c r="B599" s="391"/>
      <c r="C599" s="404"/>
      <c r="D599" s="405"/>
      <c r="E599" s="405"/>
      <c r="F599" s="405"/>
      <c r="G599" s="405"/>
      <c r="H599" s="405"/>
      <c r="I599" s="405"/>
      <c r="J599" s="405"/>
      <c r="K599" s="405"/>
      <c r="L599" s="405"/>
      <c r="M599" s="405"/>
      <c r="N599" s="406"/>
    </row>
    <row r="600" spans="1:14" ht="15" customHeight="1" x14ac:dyDescent="0.25">
      <c r="A600" s="382"/>
      <c r="B600" s="391"/>
      <c r="C600" s="404"/>
      <c r="D600" s="405"/>
      <c r="E600" s="405"/>
      <c r="F600" s="405"/>
      <c r="G600" s="405"/>
      <c r="H600" s="405"/>
      <c r="I600" s="405"/>
      <c r="J600" s="405"/>
      <c r="K600" s="405"/>
      <c r="L600" s="405"/>
      <c r="M600" s="405"/>
      <c r="N600" s="406"/>
    </row>
    <row r="601" spans="1:14" ht="15" customHeight="1" x14ac:dyDescent="0.25">
      <c r="A601" s="382"/>
      <c r="B601" s="391"/>
      <c r="C601" s="404"/>
      <c r="D601" s="405"/>
      <c r="E601" s="405"/>
      <c r="F601" s="405"/>
      <c r="G601" s="405"/>
      <c r="H601" s="405"/>
      <c r="I601" s="405"/>
      <c r="J601" s="405"/>
      <c r="K601" s="405"/>
      <c r="L601" s="405"/>
      <c r="M601" s="405"/>
      <c r="N601" s="406"/>
    </row>
    <row r="602" spans="1:14" ht="15.75" customHeight="1" thickBot="1" x14ac:dyDescent="0.3">
      <c r="A602" s="383"/>
      <c r="B602" s="392"/>
      <c r="C602" s="404"/>
      <c r="D602" s="405"/>
      <c r="E602" s="405"/>
      <c r="F602" s="405"/>
      <c r="G602" s="405"/>
      <c r="H602" s="405"/>
      <c r="I602" s="405"/>
      <c r="J602" s="405"/>
      <c r="K602" s="405"/>
      <c r="L602" s="405"/>
      <c r="M602" s="405"/>
      <c r="N602" s="406"/>
    </row>
    <row r="603" spans="1:14" ht="15" customHeight="1" x14ac:dyDescent="0.25">
      <c r="A603" s="381">
        <v>27</v>
      </c>
      <c r="B603" s="390" t="str">
        <f>VLOOKUP(A603,PROPONENTES!$A$10:$B$42,2)</f>
        <v>CONSORCIO CGC 2024</v>
      </c>
      <c r="C603" s="401"/>
      <c r="D603" s="402"/>
      <c r="E603" s="402"/>
      <c r="F603" s="402"/>
      <c r="G603" s="402"/>
      <c r="H603" s="402"/>
      <c r="I603" s="402"/>
      <c r="J603" s="402"/>
      <c r="K603" s="402"/>
      <c r="L603" s="402"/>
      <c r="M603" s="402"/>
      <c r="N603" s="403"/>
    </row>
    <row r="604" spans="1:14" ht="15" customHeight="1" x14ac:dyDescent="0.25">
      <c r="A604" s="382"/>
      <c r="B604" s="391"/>
      <c r="C604" s="404"/>
      <c r="D604" s="405"/>
      <c r="E604" s="405"/>
      <c r="F604" s="405"/>
      <c r="G604" s="405"/>
      <c r="H604" s="405"/>
      <c r="I604" s="405"/>
      <c r="J604" s="405"/>
      <c r="K604" s="405"/>
      <c r="L604" s="405"/>
      <c r="M604" s="405"/>
      <c r="N604" s="406"/>
    </row>
    <row r="605" spans="1:14" ht="15" customHeight="1" x14ac:dyDescent="0.25">
      <c r="A605" s="382"/>
      <c r="B605" s="391"/>
      <c r="C605" s="404"/>
      <c r="D605" s="405"/>
      <c r="E605" s="405"/>
      <c r="F605" s="405"/>
      <c r="G605" s="405"/>
      <c r="H605" s="405"/>
      <c r="I605" s="405"/>
      <c r="J605" s="405"/>
      <c r="K605" s="405"/>
      <c r="L605" s="405"/>
      <c r="M605" s="405"/>
      <c r="N605" s="406"/>
    </row>
    <row r="606" spans="1:14" ht="15" customHeight="1" x14ac:dyDescent="0.25">
      <c r="A606" s="382"/>
      <c r="B606" s="391"/>
      <c r="C606" s="404"/>
      <c r="D606" s="405"/>
      <c r="E606" s="405"/>
      <c r="F606" s="405"/>
      <c r="G606" s="405"/>
      <c r="H606" s="405"/>
      <c r="I606" s="405"/>
      <c r="J606" s="405"/>
      <c r="K606" s="405"/>
      <c r="L606" s="405"/>
      <c r="M606" s="405"/>
      <c r="N606" s="406"/>
    </row>
    <row r="607" spans="1:14" ht="15" customHeight="1" x14ac:dyDescent="0.25">
      <c r="A607" s="382"/>
      <c r="B607" s="391"/>
      <c r="C607" s="404"/>
      <c r="D607" s="405"/>
      <c r="E607" s="405"/>
      <c r="F607" s="405"/>
      <c r="G607" s="405"/>
      <c r="H607" s="405"/>
      <c r="I607" s="405"/>
      <c r="J607" s="405"/>
      <c r="K607" s="405"/>
      <c r="L607" s="405"/>
      <c r="M607" s="405"/>
      <c r="N607" s="406"/>
    </row>
    <row r="608" spans="1:14" ht="15" customHeight="1" x14ac:dyDescent="0.25">
      <c r="A608" s="382"/>
      <c r="B608" s="391"/>
      <c r="C608" s="404"/>
      <c r="D608" s="405"/>
      <c r="E608" s="405"/>
      <c r="F608" s="405"/>
      <c r="G608" s="405"/>
      <c r="H608" s="405"/>
      <c r="I608" s="405"/>
      <c r="J608" s="405"/>
      <c r="K608" s="405"/>
      <c r="L608" s="405"/>
      <c r="M608" s="405"/>
      <c r="N608" s="406"/>
    </row>
    <row r="609" spans="1:14" ht="15" customHeight="1" x14ac:dyDescent="0.25">
      <c r="A609" s="382"/>
      <c r="B609" s="391"/>
      <c r="C609" s="404"/>
      <c r="D609" s="405"/>
      <c r="E609" s="405"/>
      <c r="F609" s="405"/>
      <c r="G609" s="405"/>
      <c r="H609" s="405"/>
      <c r="I609" s="405"/>
      <c r="J609" s="405"/>
      <c r="K609" s="405"/>
      <c r="L609" s="405"/>
      <c r="M609" s="405"/>
      <c r="N609" s="406"/>
    </row>
    <row r="610" spans="1:14" ht="15" customHeight="1" x14ac:dyDescent="0.25">
      <c r="A610" s="382"/>
      <c r="B610" s="391"/>
      <c r="C610" s="404"/>
      <c r="D610" s="405"/>
      <c r="E610" s="405"/>
      <c r="F610" s="405"/>
      <c r="G610" s="405"/>
      <c r="H610" s="405"/>
      <c r="I610" s="405"/>
      <c r="J610" s="405"/>
      <c r="K610" s="405"/>
      <c r="L610" s="405"/>
      <c r="M610" s="405"/>
      <c r="N610" s="406"/>
    </row>
    <row r="611" spans="1:14" ht="15" customHeight="1" x14ac:dyDescent="0.25">
      <c r="A611" s="382"/>
      <c r="B611" s="391"/>
      <c r="C611" s="404"/>
      <c r="D611" s="405"/>
      <c r="E611" s="405"/>
      <c r="F611" s="405"/>
      <c r="G611" s="405"/>
      <c r="H611" s="405"/>
      <c r="I611" s="405"/>
      <c r="J611" s="405"/>
      <c r="K611" s="405"/>
      <c r="L611" s="405"/>
      <c r="M611" s="405"/>
      <c r="N611" s="406"/>
    </row>
    <row r="612" spans="1:14" ht="15" customHeight="1" x14ac:dyDescent="0.25">
      <c r="A612" s="382"/>
      <c r="B612" s="391"/>
      <c r="C612" s="404"/>
      <c r="D612" s="405"/>
      <c r="E612" s="405"/>
      <c r="F612" s="405"/>
      <c r="G612" s="405"/>
      <c r="H612" s="405"/>
      <c r="I612" s="405"/>
      <c r="J612" s="405"/>
      <c r="K612" s="405"/>
      <c r="L612" s="405"/>
      <c r="M612" s="405"/>
      <c r="N612" s="406"/>
    </row>
    <row r="613" spans="1:14" ht="15" customHeight="1" x14ac:dyDescent="0.25">
      <c r="A613" s="382"/>
      <c r="B613" s="391"/>
      <c r="C613" s="404"/>
      <c r="D613" s="405"/>
      <c r="E613" s="405"/>
      <c r="F613" s="405"/>
      <c r="G613" s="405"/>
      <c r="H613" s="405"/>
      <c r="I613" s="405"/>
      <c r="J613" s="405"/>
      <c r="K613" s="405"/>
      <c r="L613" s="405"/>
      <c r="M613" s="405"/>
      <c r="N613" s="406"/>
    </row>
    <row r="614" spans="1:14" ht="15" customHeight="1" x14ac:dyDescent="0.25">
      <c r="A614" s="382"/>
      <c r="B614" s="391"/>
      <c r="C614" s="404"/>
      <c r="D614" s="405"/>
      <c r="E614" s="405"/>
      <c r="F614" s="405"/>
      <c r="G614" s="405"/>
      <c r="H614" s="405"/>
      <c r="I614" s="405"/>
      <c r="J614" s="405"/>
      <c r="K614" s="405"/>
      <c r="L614" s="405"/>
      <c r="M614" s="405"/>
      <c r="N614" s="406"/>
    </row>
    <row r="615" spans="1:14" ht="15" customHeight="1" x14ac:dyDescent="0.25">
      <c r="A615" s="382"/>
      <c r="B615" s="391"/>
      <c r="C615" s="404"/>
      <c r="D615" s="405"/>
      <c r="E615" s="405"/>
      <c r="F615" s="405"/>
      <c r="G615" s="405"/>
      <c r="H615" s="405"/>
      <c r="I615" s="405"/>
      <c r="J615" s="405"/>
      <c r="K615" s="405"/>
      <c r="L615" s="405"/>
      <c r="M615" s="405"/>
      <c r="N615" s="406"/>
    </row>
    <row r="616" spans="1:14" ht="15" customHeight="1" x14ac:dyDescent="0.25">
      <c r="A616" s="382"/>
      <c r="B616" s="391"/>
      <c r="C616" s="404"/>
      <c r="D616" s="405"/>
      <c r="E616" s="405"/>
      <c r="F616" s="405"/>
      <c r="G616" s="405"/>
      <c r="H616" s="405"/>
      <c r="I616" s="405"/>
      <c r="J616" s="405"/>
      <c r="K616" s="405"/>
      <c r="L616" s="405"/>
      <c r="M616" s="405"/>
      <c r="N616" s="406"/>
    </row>
    <row r="617" spans="1:14" ht="15" customHeight="1" x14ac:dyDescent="0.25">
      <c r="A617" s="382"/>
      <c r="B617" s="391"/>
      <c r="C617" s="404"/>
      <c r="D617" s="405"/>
      <c r="E617" s="405"/>
      <c r="F617" s="405"/>
      <c r="G617" s="405"/>
      <c r="H617" s="405"/>
      <c r="I617" s="405"/>
      <c r="J617" s="405"/>
      <c r="K617" s="405"/>
      <c r="L617" s="405"/>
      <c r="M617" s="405"/>
      <c r="N617" s="406"/>
    </row>
    <row r="618" spans="1:14" ht="15" customHeight="1" x14ac:dyDescent="0.25">
      <c r="A618" s="382"/>
      <c r="B618" s="391"/>
      <c r="C618" s="404"/>
      <c r="D618" s="405"/>
      <c r="E618" s="405"/>
      <c r="F618" s="405"/>
      <c r="G618" s="405"/>
      <c r="H618" s="405"/>
      <c r="I618" s="405"/>
      <c r="J618" s="405"/>
      <c r="K618" s="405"/>
      <c r="L618" s="405"/>
      <c r="M618" s="405"/>
      <c r="N618" s="406"/>
    </row>
    <row r="619" spans="1:14" ht="15" customHeight="1" x14ac:dyDescent="0.25">
      <c r="A619" s="382"/>
      <c r="B619" s="391"/>
      <c r="C619" s="404"/>
      <c r="D619" s="405"/>
      <c r="E619" s="405"/>
      <c r="F619" s="405"/>
      <c r="G619" s="405"/>
      <c r="H619" s="405"/>
      <c r="I619" s="405"/>
      <c r="J619" s="405"/>
      <c r="K619" s="405"/>
      <c r="L619" s="405"/>
      <c r="M619" s="405"/>
      <c r="N619" s="406"/>
    </row>
    <row r="620" spans="1:14" ht="15" customHeight="1" x14ac:dyDescent="0.25">
      <c r="A620" s="382"/>
      <c r="B620" s="391"/>
      <c r="C620" s="404"/>
      <c r="D620" s="405"/>
      <c r="E620" s="405"/>
      <c r="F620" s="405"/>
      <c r="G620" s="405"/>
      <c r="H620" s="405"/>
      <c r="I620" s="405"/>
      <c r="J620" s="405"/>
      <c r="K620" s="405"/>
      <c r="L620" s="405"/>
      <c r="M620" s="405"/>
      <c r="N620" s="406"/>
    </row>
    <row r="621" spans="1:14" ht="15" customHeight="1" x14ac:dyDescent="0.25">
      <c r="A621" s="382"/>
      <c r="B621" s="391"/>
      <c r="C621" s="404"/>
      <c r="D621" s="405"/>
      <c r="E621" s="405"/>
      <c r="F621" s="405"/>
      <c r="G621" s="405"/>
      <c r="H621" s="405"/>
      <c r="I621" s="405"/>
      <c r="J621" s="405"/>
      <c r="K621" s="405"/>
      <c r="L621" s="405"/>
      <c r="M621" s="405"/>
      <c r="N621" s="406"/>
    </row>
    <row r="622" spans="1:14" ht="15" customHeight="1" x14ac:dyDescent="0.25">
      <c r="A622" s="382"/>
      <c r="B622" s="391"/>
      <c r="C622" s="404"/>
      <c r="D622" s="405"/>
      <c r="E622" s="405"/>
      <c r="F622" s="405"/>
      <c r="G622" s="405"/>
      <c r="H622" s="405"/>
      <c r="I622" s="405"/>
      <c r="J622" s="405"/>
      <c r="K622" s="405"/>
      <c r="L622" s="405"/>
      <c r="M622" s="405"/>
      <c r="N622" s="406"/>
    </row>
    <row r="623" spans="1:14" ht="15" customHeight="1" x14ac:dyDescent="0.25">
      <c r="A623" s="382"/>
      <c r="B623" s="391"/>
      <c r="C623" s="404"/>
      <c r="D623" s="405"/>
      <c r="E623" s="405"/>
      <c r="F623" s="405"/>
      <c r="G623" s="405"/>
      <c r="H623" s="405"/>
      <c r="I623" s="405"/>
      <c r="J623" s="405"/>
      <c r="K623" s="405"/>
      <c r="L623" s="405"/>
      <c r="M623" s="405"/>
      <c r="N623" s="406"/>
    </row>
    <row r="624" spans="1:14" ht="15" customHeight="1" x14ac:dyDescent="0.25">
      <c r="A624" s="382"/>
      <c r="B624" s="391"/>
      <c r="C624" s="404"/>
      <c r="D624" s="405"/>
      <c r="E624" s="405"/>
      <c r="F624" s="405"/>
      <c r="G624" s="405"/>
      <c r="H624" s="405"/>
      <c r="I624" s="405"/>
      <c r="J624" s="405"/>
      <c r="K624" s="405"/>
      <c r="L624" s="405"/>
      <c r="M624" s="405"/>
      <c r="N624" s="406"/>
    </row>
    <row r="625" spans="1:14" ht="15.75" customHeight="1" thickBot="1" x14ac:dyDescent="0.3">
      <c r="A625" s="383"/>
      <c r="B625" s="392"/>
      <c r="C625" s="404"/>
      <c r="D625" s="405"/>
      <c r="E625" s="405"/>
      <c r="F625" s="405"/>
      <c r="G625" s="405"/>
      <c r="H625" s="405"/>
      <c r="I625" s="405"/>
      <c r="J625" s="405"/>
      <c r="K625" s="405"/>
      <c r="L625" s="405"/>
      <c r="M625" s="405"/>
      <c r="N625" s="406"/>
    </row>
    <row r="626" spans="1:14" ht="15" customHeight="1" x14ac:dyDescent="0.25">
      <c r="A626" s="381">
        <v>28</v>
      </c>
      <c r="B626" s="390" t="str">
        <f>VLOOKUP(A626,PROPONENTES!$A$10:$B$42,2)</f>
        <v>CONSORCIO PARQUES KASAF 2025</v>
      </c>
      <c r="C626" s="401"/>
      <c r="D626" s="402"/>
      <c r="E626" s="402"/>
      <c r="F626" s="402"/>
      <c r="G626" s="402"/>
      <c r="H626" s="402"/>
      <c r="I626" s="402"/>
      <c r="J626" s="402"/>
      <c r="K626" s="402"/>
      <c r="L626" s="402"/>
      <c r="M626" s="402"/>
      <c r="N626" s="403"/>
    </row>
    <row r="627" spans="1:14" ht="15" customHeight="1" x14ac:dyDescent="0.25">
      <c r="A627" s="382"/>
      <c r="B627" s="391"/>
      <c r="C627" s="404"/>
      <c r="D627" s="405"/>
      <c r="E627" s="405"/>
      <c r="F627" s="405"/>
      <c r="G627" s="405"/>
      <c r="H627" s="405"/>
      <c r="I627" s="405"/>
      <c r="J627" s="405"/>
      <c r="K627" s="405"/>
      <c r="L627" s="405"/>
      <c r="M627" s="405"/>
      <c r="N627" s="406"/>
    </row>
    <row r="628" spans="1:14" ht="15" customHeight="1" x14ac:dyDescent="0.25">
      <c r="A628" s="382"/>
      <c r="B628" s="391"/>
      <c r="C628" s="404"/>
      <c r="D628" s="405"/>
      <c r="E628" s="405"/>
      <c r="F628" s="405"/>
      <c r="G628" s="405"/>
      <c r="H628" s="405"/>
      <c r="I628" s="405"/>
      <c r="J628" s="405"/>
      <c r="K628" s="405"/>
      <c r="L628" s="405"/>
      <c r="M628" s="405"/>
      <c r="N628" s="406"/>
    </row>
    <row r="629" spans="1:14" ht="15" customHeight="1" x14ac:dyDescent="0.25">
      <c r="A629" s="382"/>
      <c r="B629" s="391"/>
      <c r="C629" s="404"/>
      <c r="D629" s="405"/>
      <c r="E629" s="405"/>
      <c r="F629" s="405"/>
      <c r="G629" s="405"/>
      <c r="H629" s="405"/>
      <c r="I629" s="405"/>
      <c r="J629" s="405"/>
      <c r="K629" s="405"/>
      <c r="L629" s="405"/>
      <c r="M629" s="405"/>
      <c r="N629" s="406"/>
    </row>
    <row r="630" spans="1:14" ht="15" customHeight="1" x14ac:dyDescent="0.25">
      <c r="A630" s="382"/>
      <c r="B630" s="391"/>
      <c r="C630" s="404"/>
      <c r="D630" s="405"/>
      <c r="E630" s="405"/>
      <c r="F630" s="405"/>
      <c r="G630" s="405"/>
      <c r="H630" s="405"/>
      <c r="I630" s="405"/>
      <c r="J630" s="405"/>
      <c r="K630" s="405"/>
      <c r="L630" s="405"/>
      <c r="M630" s="405"/>
      <c r="N630" s="406"/>
    </row>
    <row r="631" spans="1:14" ht="15" customHeight="1" x14ac:dyDescent="0.25">
      <c r="A631" s="382"/>
      <c r="B631" s="391"/>
      <c r="C631" s="404"/>
      <c r="D631" s="405"/>
      <c r="E631" s="405"/>
      <c r="F631" s="405"/>
      <c r="G631" s="405"/>
      <c r="H631" s="405"/>
      <c r="I631" s="405"/>
      <c r="J631" s="405"/>
      <c r="K631" s="405"/>
      <c r="L631" s="405"/>
      <c r="M631" s="405"/>
      <c r="N631" s="406"/>
    </row>
    <row r="632" spans="1:14" ht="15" customHeight="1" x14ac:dyDescent="0.25">
      <c r="A632" s="382"/>
      <c r="B632" s="391"/>
      <c r="C632" s="404"/>
      <c r="D632" s="405"/>
      <c r="E632" s="405"/>
      <c r="F632" s="405"/>
      <c r="G632" s="405"/>
      <c r="H632" s="405"/>
      <c r="I632" s="405"/>
      <c r="J632" s="405"/>
      <c r="K632" s="405"/>
      <c r="L632" s="405"/>
      <c r="M632" s="405"/>
      <c r="N632" s="406"/>
    </row>
    <row r="633" spans="1:14" ht="15" customHeight="1" x14ac:dyDescent="0.25">
      <c r="A633" s="382"/>
      <c r="B633" s="391"/>
      <c r="C633" s="404"/>
      <c r="D633" s="405"/>
      <c r="E633" s="405"/>
      <c r="F633" s="405"/>
      <c r="G633" s="405"/>
      <c r="H633" s="405"/>
      <c r="I633" s="405"/>
      <c r="J633" s="405"/>
      <c r="K633" s="405"/>
      <c r="L633" s="405"/>
      <c r="M633" s="405"/>
      <c r="N633" s="406"/>
    </row>
    <row r="634" spans="1:14" ht="15" customHeight="1" x14ac:dyDescent="0.25">
      <c r="A634" s="382"/>
      <c r="B634" s="391"/>
      <c r="C634" s="404"/>
      <c r="D634" s="405"/>
      <c r="E634" s="405"/>
      <c r="F634" s="405"/>
      <c r="G634" s="405"/>
      <c r="H634" s="405"/>
      <c r="I634" s="405"/>
      <c r="J634" s="405"/>
      <c r="K634" s="405"/>
      <c r="L634" s="405"/>
      <c r="M634" s="405"/>
      <c r="N634" s="406"/>
    </row>
    <row r="635" spans="1:14" ht="15" customHeight="1" x14ac:dyDescent="0.25">
      <c r="A635" s="382"/>
      <c r="B635" s="391"/>
      <c r="C635" s="404"/>
      <c r="D635" s="405"/>
      <c r="E635" s="405"/>
      <c r="F635" s="405"/>
      <c r="G635" s="405"/>
      <c r="H635" s="405"/>
      <c r="I635" s="405"/>
      <c r="J635" s="405"/>
      <c r="K635" s="405"/>
      <c r="L635" s="405"/>
      <c r="M635" s="405"/>
      <c r="N635" s="406"/>
    </row>
    <row r="636" spans="1:14" ht="15" customHeight="1" x14ac:dyDescent="0.25">
      <c r="A636" s="382"/>
      <c r="B636" s="391"/>
      <c r="C636" s="404"/>
      <c r="D636" s="405"/>
      <c r="E636" s="405"/>
      <c r="F636" s="405"/>
      <c r="G636" s="405"/>
      <c r="H636" s="405"/>
      <c r="I636" s="405"/>
      <c r="J636" s="405"/>
      <c r="K636" s="405"/>
      <c r="L636" s="405"/>
      <c r="M636" s="405"/>
      <c r="N636" s="406"/>
    </row>
    <row r="637" spans="1:14" ht="15" customHeight="1" x14ac:dyDescent="0.25">
      <c r="A637" s="382"/>
      <c r="B637" s="391"/>
      <c r="C637" s="404"/>
      <c r="D637" s="405"/>
      <c r="E637" s="405"/>
      <c r="F637" s="405"/>
      <c r="G637" s="405"/>
      <c r="H637" s="405"/>
      <c r="I637" s="405"/>
      <c r="J637" s="405"/>
      <c r="K637" s="405"/>
      <c r="L637" s="405"/>
      <c r="M637" s="405"/>
      <c r="N637" s="406"/>
    </row>
    <row r="638" spans="1:14" ht="15" customHeight="1" x14ac:dyDescent="0.25">
      <c r="A638" s="382"/>
      <c r="B638" s="391"/>
      <c r="C638" s="404"/>
      <c r="D638" s="405"/>
      <c r="E638" s="405"/>
      <c r="F638" s="405"/>
      <c r="G638" s="405"/>
      <c r="H638" s="405"/>
      <c r="I638" s="405"/>
      <c r="J638" s="405"/>
      <c r="K638" s="405"/>
      <c r="L638" s="405"/>
      <c r="M638" s="405"/>
      <c r="N638" s="406"/>
    </row>
    <row r="639" spans="1:14" ht="15" customHeight="1" x14ac:dyDescent="0.25">
      <c r="A639" s="382"/>
      <c r="B639" s="391"/>
      <c r="C639" s="404"/>
      <c r="D639" s="405"/>
      <c r="E639" s="405"/>
      <c r="F639" s="405"/>
      <c r="G639" s="405"/>
      <c r="H639" s="405"/>
      <c r="I639" s="405"/>
      <c r="J639" s="405"/>
      <c r="K639" s="405"/>
      <c r="L639" s="405"/>
      <c r="M639" s="405"/>
      <c r="N639" s="406"/>
    </row>
    <row r="640" spans="1:14" ht="15" customHeight="1" x14ac:dyDescent="0.25">
      <c r="A640" s="382"/>
      <c r="B640" s="391"/>
      <c r="C640" s="404"/>
      <c r="D640" s="405"/>
      <c r="E640" s="405"/>
      <c r="F640" s="405"/>
      <c r="G640" s="405"/>
      <c r="H640" s="405"/>
      <c r="I640" s="405"/>
      <c r="J640" s="405"/>
      <c r="K640" s="405"/>
      <c r="L640" s="405"/>
      <c r="M640" s="405"/>
      <c r="N640" s="406"/>
    </row>
    <row r="641" spans="1:14" ht="15" customHeight="1" x14ac:dyDescent="0.25">
      <c r="A641" s="382"/>
      <c r="B641" s="391"/>
      <c r="C641" s="404"/>
      <c r="D641" s="405"/>
      <c r="E641" s="405"/>
      <c r="F641" s="405"/>
      <c r="G641" s="405"/>
      <c r="H641" s="405"/>
      <c r="I641" s="405"/>
      <c r="J641" s="405"/>
      <c r="K641" s="405"/>
      <c r="L641" s="405"/>
      <c r="M641" s="405"/>
      <c r="N641" s="406"/>
    </row>
    <row r="642" spans="1:14" ht="15" customHeight="1" x14ac:dyDescent="0.25">
      <c r="A642" s="382"/>
      <c r="B642" s="391"/>
      <c r="C642" s="404"/>
      <c r="D642" s="405"/>
      <c r="E642" s="405"/>
      <c r="F642" s="405"/>
      <c r="G642" s="405"/>
      <c r="H642" s="405"/>
      <c r="I642" s="405"/>
      <c r="J642" s="405"/>
      <c r="K642" s="405"/>
      <c r="L642" s="405"/>
      <c r="M642" s="405"/>
      <c r="N642" s="406"/>
    </row>
    <row r="643" spans="1:14" ht="15" customHeight="1" x14ac:dyDescent="0.25">
      <c r="A643" s="382"/>
      <c r="B643" s="391"/>
      <c r="C643" s="404"/>
      <c r="D643" s="405"/>
      <c r="E643" s="405"/>
      <c r="F643" s="405"/>
      <c r="G643" s="405"/>
      <c r="H643" s="405"/>
      <c r="I643" s="405"/>
      <c r="J643" s="405"/>
      <c r="K643" s="405"/>
      <c r="L643" s="405"/>
      <c r="M643" s="405"/>
      <c r="N643" s="406"/>
    </row>
    <row r="644" spans="1:14" ht="15" customHeight="1" x14ac:dyDescent="0.25">
      <c r="A644" s="382"/>
      <c r="B644" s="391"/>
      <c r="C644" s="404"/>
      <c r="D644" s="405"/>
      <c r="E644" s="405"/>
      <c r="F644" s="405"/>
      <c r="G644" s="405"/>
      <c r="H644" s="405"/>
      <c r="I644" s="405"/>
      <c r="J644" s="405"/>
      <c r="K644" s="405"/>
      <c r="L644" s="405"/>
      <c r="M644" s="405"/>
      <c r="N644" s="406"/>
    </row>
    <row r="645" spans="1:14" ht="15" customHeight="1" x14ac:dyDescent="0.25">
      <c r="A645" s="382"/>
      <c r="B645" s="391"/>
      <c r="C645" s="404"/>
      <c r="D645" s="405"/>
      <c r="E645" s="405"/>
      <c r="F645" s="405"/>
      <c r="G645" s="405"/>
      <c r="H645" s="405"/>
      <c r="I645" s="405"/>
      <c r="J645" s="405"/>
      <c r="K645" s="405"/>
      <c r="L645" s="405"/>
      <c r="M645" s="405"/>
      <c r="N645" s="406"/>
    </row>
    <row r="646" spans="1:14" ht="15" customHeight="1" x14ac:dyDescent="0.25">
      <c r="A646" s="382"/>
      <c r="B646" s="391"/>
      <c r="C646" s="404"/>
      <c r="D646" s="405"/>
      <c r="E646" s="405"/>
      <c r="F646" s="405"/>
      <c r="G646" s="405"/>
      <c r="H646" s="405"/>
      <c r="I646" s="405"/>
      <c r="J646" s="405"/>
      <c r="K646" s="405"/>
      <c r="L646" s="405"/>
      <c r="M646" s="405"/>
      <c r="N646" s="406"/>
    </row>
    <row r="647" spans="1:14" ht="15" customHeight="1" x14ac:dyDescent="0.25">
      <c r="A647" s="382"/>
      <c r="B647" s="391"/>
      <c r="C647" s="404"/>
      <c r="D647" s="405"/>
      <c r="E647" s="405"/>
      <c r="F647" s="405"/>
      <c r="G647" s="405"/>
      <c r="H647" s="405"/>
      <c r="I647" s="405"/>
      <c r="J647" s="405"/>
      <c r="K647" s="405"/>
      <c r="L647" s="405"/>
      <c r="M647" s="405"/>
      <c r="N647" s="406"/>
    </row>
    <row r="648" spans="1:14" ht="15.75" customHeight="1" thickBot="1" x14ac:dyDescent="0.3">
      <c r="A648" s="383"/>
      <c r="B648" s="392"/>
      <c r="C648" s="404"/>
      <c r="D648" s="405"/>
      <c r="E648" s="405"/>
      <c r="F648" s="405"/>
      <c r="G648" s="405"/>
      <c r="H648" s="405"/>
      <c r="I648" s="405"/>
      <c r="J648" s="405"/>
      <c r="K648" s="405"/>
      <c r="L648" s="405"/>
      <c r="M648" s="405"/>
      <c r="N648" s="406"/>
    </row>
    <row r="649" spans="1:14" ht="15" customHeight="1" x14ac:dyDescent="0.25">
      <c r="A649" s="381">
        <v>29</v>
      </c>
      <c r="B649" s="390" t="str">
        <f>VLOOKUP(A649,PROPONENTES!$A$10:$B$42,2)</f>
        <v xml:space="preserve">CONSORCIO PARQUES K. 24	</v>
      </c>
      <c r="C649" s="401" t="s">
        <v>589</v>
      </c>
      <c r="D649" s="402"/>
      <c r="E649" s="402"/>
      <c r="F649" s="402"/>
      <c r="G649" s="402"/>
      <c r="H649" s="402"/>
      <c r="I649" s="402"/>
      <c r="J649" s="402"/>
      <c r="K649" s="402"/>
      <c r="L649" s="402"/>
      <c r="M649" s="402"/>
      <c r="N649" s="403"/>
    </row>
    <row r="650" spans="1:14" ht="15" customHeight="1" x14ac:dyDescent="0.25">
      <c r="A650" s="382"/>
      <c r="B650" s="391"/>
      <c r="C650" s="404"/>
      <c r="D650" s="405"/>
      <c r="E650" s="405"/>
      <c r="F650" s="405"/>
      <c r="G650" s="405"/>
      <c r="H650" s="405"/>
      <c r="I650" s="405"/>
      <c r="J650" s="405"/>
      <c r="K650" s="405"/>
      <c r="L650" s="405"/>
      <c r="M650" s="405"/>
      <c r="N650" s="406"/>
    </row>
    <row r="651" spans="1:14" ht="15" customHeight="1" x14ac:dyDescent="0.25">
      <c r="A651" s="382"/>
      <c r="B651" s="391"/>
      <c r="C651" s="404"/>
      <c r="D651" s="405"/>
      <c r="E651" s="405"/>
      <c r="F651" s="405"/>
      <c r="G651" s="405"/>
      <c r="H651" s="405"/>
      <c r="I651" s="405"/>
      <c r="J651" s="405"/>
      <c r="K651" s="405"/>
      <c r="L651" s="405"/>
      <c r="M651" s="405"/>
      <c r="N651" s="406"/>
    </row>
    <row r="652" spans="1:14" ht="15" customHeight="1" x14ac:dyDescent="0.25">
      <c r="A652" s="382"/>
      <c r="B652" s="391"/>
      <c r="C652" s="404"/>
      <c r="D652" s="405"/>
      <c r="E652" s="405"/>
      <c r="F652" s="405"/>
      <c r="G652" s="405"/>
      <c r="H652" s="405"/>
      <c r="I652" s="405"/>
      <c r="J652" s="405"/>
      <c r="K652" s="405"/>
      <c r="L652" s="405"/>
      <c r="M652" s="405"/>
      <c r="N652" s="406"/>
    </row>
    <row r="653" spans="1:14" ht="15" customHeight="1" x14ac:dyDescent="0.25">
      <c r="A653" s="382"/>
      <c r="B653" s="391"/>
      <c r="C653" s="404"/>
      <c r="D653" s="405"/>
      <c r="E653" s="405"/>
      <c r="F653" s="405"/>
      <c r="G653" s="405"/>
      <c r="H653" s="405"/>
      <c r="I653" s="405"/>
      <c r="J653" s="405"/>
      <c r="K653" s="405"/>
      <c r="L653" s="405"/>
      <c r="M653" s="405"/>
      <c r="N653" s="406"/>
    </row>
    <row r="654" spans="1:14" ht="15" customHeight="1" x14ac:dyDescent="0.25">
      <c r="A654" s="382"/>
      <c r="B654" s="391"/>
      <c r="C654" s="404"/>
      <c r="D654" s="405"/>
      <c r="E654" s="405"/>
      <c r="F654" s="405"/>
      <c r="G654" s="405"/>
      <c r="H654" s="405"/>
      <c r="I654" s="405"/>
      <c r="J654" s="405"/>
      <c r="K654" s="405"/>
      <c r="L654" s="405"/>
      <c r="M654" s="405"/>
      <c r="N654" s="406"/>
    </row>
    <row r="655" spans="1:14" ht="15" customHeight="1" x14ac:dyDescent="0.25">
      <c r="A655" s="382"/>
      <c r="B655" s="391"/>
      <c r="C655" s="404"/>
      <c r="D655" s="405"/>
      <c r="E655" s="405"/>
      <c r="F655" s="405"/>
      <c r="G655" s="405"/>
      <c r="H655" s="405"/>
      <c r="I655" s="405"/>
      <c r="J655" s="405"/>
      <c r="K655" s="405"/>
      <c r="L655" s="405"/>
      <c r="M655" s="405"/>
      <c r="N655" s="406"/>
    </row>
    <row r="656" spans="1:14" ht="15" customHeight="1" x14ac:dyDescent="0.25">
      <c r="A656" s="382"/>
      <c r="B656" s="391"/>
      <c r="C656" s="404"/>
      <c r="D656" s="405"/>
      <c r="E656" s="405"/>
      <c r="F656" s="405"/>
      <c r="G656" s="405"/>
      <c r="H656" s="405"/>
      <c r="I656" s="405"/>
      <c r="J656" s="405"/>
      <c r="K656" s="405"/>
      <c r="L656" s="405"/>
      <c r="M656" s="405"/>
      <c r="N656" s="406"/>
    </row>
    <row r="657" spans="1:14" ht="15" customHeight="1" x14ac:dyDescent="0.25">
      <c r="A657" s="382"/>
      <c r="B657" s="391"/>
      <c r="C657" s="404"/>
      <c r="D657" s="405"/>
      <c r="E657" s="405"/>
      <c r="F657" s="405"/>
      <c r="G657" s="405"/>
      <c r="H657" s="405"/>
      <c r="I657" s="405"/>
      <c r="J657" s="405"/>
      <c r="K657" s="405"/>
      <c r="L657" s="405"/>
      <c r="M657" s="405"/>
      <c r="N657" s="406"/>
    </row>
    <row r="658" spans="1:14" ht="15" customHeight="1" x14ac:dyDescent="0.25">
      <c r="A658" s="382"/>
      <c r="B658" s="391"/>
      <c r="C658" s="404"/>
      <c r="D658" s="405"/>
      <c r="E658" s="405"/>
      <c r="F658" s="405"/>
      <c r="G658" s="405"/>
      <c r="H658" s="405"/>
      <c r="I658" s="405"/>
      <c r="J658" s="405"/>
      <c r="K658" s="405"/>
      <c r="L658" s="405"/>
      <c r="M658" s="405"/>
      <c r="N658" s="406"/>
    </row>
    <row r="659" spans="1:14" ht="15" customHeight="1" x14ac:dyDescent="0.25">
      <c r="A659" s="382"/>
      <c r="B659" s="391"/>
      <c r="C659" s="404"/>
      <c r="D659" s="405"/>
      <c r="E659" s="405"/>
      <c r="F659" s="405"/>
      <c r="G659" s="405"/>
      <c r="H659" s="405"/>
      <c r="I659" s="405"/>
      <c r="J659" s="405"/>
      <c r="K659" s="405"/>
      <c r="L659" s="405"/>
      <c r="M659" s="405"/>
      <c r="N659" s="406"/>
    </row>
    <row r="660" spans="1:14" ht="15" customHeight="1" x14ac:dyDescent="0.25">
      <c r="A660" s="382"/>
      <c r="B660" s="391"/>
      <c r="C660" s="404"/>
      <c r="D660" s="405"/>
      <c r="E660" s="405"/>
      <c r="F660" s="405"/>
      <c r="G660" s="405"/>
      <c r="H660" s="405"/>
      <c r="I660" s="405"/>
      <c r="J660" s="405"/>
      <c r="K660" s="405"/>
      <c r="L660" s="405"/>
      <c r="M660" s="405"/>
      <c r="N660" s="406"/>
    </row>
    <row r="661" spans="1:14" ht="15" customHeight="1" x14ac:dyDescent="0.25">
      <c r="A661" s="382"/>
      <c r="B661" s="391"/>
      <c r="C661" s="404"/>
      <c r="D661" s="405"/>
      <c r="E661" s="405"/>
      <c r="F661" s="405"/>
      <c r="G661" s="405"/>
      <c r="H661" s="405"/>
      <c r="I661" s="405"/>
      <c r="J661" s="405"/>
      <c r="K661" s="405"/>
      <c r="L661" s="405"/>
      <c r="M661" s="405"/>
      <c r="N661" s="406"/>
    </row>
    <row r="662" spans="1:14" ht="15" customHeight="1" x14ac:dyDescent="0.25">
      <c r="A662" s="382"/>
      <c r="B662" s="391"/>
      <c r="C662" s="404"/>
      <c r="D662" s="405"/>
      <c r="E662" s="405"/>
      <c r="F662" s="405"/>
      <c r="G662" s="405"/>
      <c r="H662" s="405"/>
      <c r="I662" s="405"/>
      <c r="J662" s="405"/>
      <c r="K662" s="405"/>
      <c r="L662" s="405"/>
      <c r="M662" s="405"/>
      <c r="N662" s="406"/>
    </row>
    <row r="663" spans="1:14" ht="15" customHeight="1" x14ac:dyDescent="0.25">
      <c r="A663" s="382"/>
      <c r="B663" s="391"/>
      <c r="C663" s="404"/>
      <c r="D663" s="405"/>
      <c r="E663" s="405"/>
      <c r="F663" s="405"/>
      <c r="G663" s="405"/>
      <c r="H663" s="405"/>
      <c r="I663" s="405"/>
      <c r="J663" s="405"/>
      <c r="K663" s="405"/>
      <c r="L663" s="405"/>
      <c r="M663" s="405"/>
      <c r="N663" s="406"/>
    </row>
    <row r="664" spans="1:14" ht="15" customHeight="1" x14ac:dyDescent="0.25">
      <c r="A664" s="382"/>
      <c r="B664" s="391"/>
      <c r="C664" s="404"/>
      <c r="D664" s="405"/>
      <c r="E664" s="405"/>
      <c r="F664" s="405"/>
      <c r="G664" s="405"/>
      <c r="H664" s="405"/>
      <c r="I664" s="405"/>
      <c r="J664" s="405"/>
      <c r="K664" s="405"/>
      <c r="L664" s="405"/>
      <c r="M664" s="405"/>
      <c r="N664" s="406"/>
    </row>
    <row r="665" spans="1:14" ht="15" customHeight="1" x14ac:dyDescent="0.25">
      <c r="A665" s="382"/>
      <c r="B665" s="391"/>
      <c r="C665" s="404"/>
      <c r="D665" s="405"/>
      <c r="E665" s="405"/>
      <c r="F665" s="405"/>
      <c r="G665" s="405"/>
      <c r="H665" s="405"/>
      <c r="I665" s="405"/>
      <c r="J665" s="405"/>
      <c r="K665" s="405"/>
      <c r="L665" s="405"/>
      <c r="M665" s="405"/>
      <c r="N665" s="406"/>
    </row>
    <row r="666" spans="1:14" ht="15" customHeight="1" x14ac:dyDescent="0.25">
      <c r="A666" s="382"/>
      <c r="B666" s="391"/>
      <c r="C666" s="404"/>
      <c r="D666" s="405"/>
      <c r="E666" s="405"/>
      <c r="F666" s="405"/>
      <c r="G666" s="405"/>
      <c r="H666" s="405"/>
      <c r="I666" s="405"/>
      <c r="J666" s="405"/>
      <c r="K666" s="405"/>
      <c r="L666" s="405"/>
      <c r="M666" s="405"/>
      <c r="N666" s="406"/>
    </row>
    <row r="667" spans="1:14" ht="15" customHeight="1" x14ac:dyDescent="0.25">
      <c r="A667" s="382"/>
      <c r="B667" s="391"/>
      <c r="C667" s="404"/>
      <c r="D667" s="405"/>
      <c r="E667" s="405"/>
      <c r="F667" s="405"/>
      <c r="G667" s="405"/>
      <c r="H667" s="405"/>
      <c r="I667" s="405"/>
      <c r="J667" s="405"/>
      <c r="K667" s="405"/>
      <c r="L667" s="405"/>
      <c r="M667" s="405"/>
      <c r="N667" s="406"/>
    </row>
    <row r="668" spans="1:14" ht="15" customHeight="1" x14ac:dyDescent="0.25">
      <c r="A668" s="382"/>
      <c r="B668" s="391"/>
      <c r="C668" s="404"/>
      <c r="D668" s="405"/>
      <c r="E668" s="405"/>
      <c r="F668" s="405"/>
      <c r="G668" s="405"/>
      <c r="H668" s="405"/>
      <c r="I668" s="405"/>
      <c r="J668" s="405"/>
      <c r="K668" s="405"/>
      <c r="L668" s="405"/>
      <c r="M668" s="405"/>
      <c r="N668" s="406"/>
    </row>
    <row r="669" spans="1:14" ht="15" customHeight="1" x14ac:dyDescent="0.25">
      <c r="A669" s="382"/>
      <c r="B669" s="391"/>
      <c r="C669" s="404"/>
      <c r="D669" s="405"/>
      <c r="E669" s="405"/>
      <c r="F669" s="405"/>
      <c r="G669" s="405"/>
      <c r="H669" s="405"/>
      <c r="I669" s="405"/>
      <c r="J669" s="405"/>
      <c r="K669" s="405"/>
      <c r="L669" s="405"/>
      <c r="M669" s="405"/>
      <c r="N669" s="406"/>
    </row>
    <row r="670" spans="1:14" ht="15" customHeight="1" x14ac:dyDescent="0.25">
      <c r="A670" s="382"/>
      <c r="B670" s="391"/>
      <c r="C670" s="404"/>
      <c r="D670" s="405"/>
      <c r="E670" s="405"/>
      <c r="F670" s="405"/>
      <c r="G670" s="405"/>
      <c r="H670" s="405"/>
      <c r="I670" s="405"/>
      <c r="J670" s="405"/>
      <c r="K670" s="405"/>
      <c r="L670" s="405"/>
      <c r="M670" s="405"/>
      <c r="N670" s="406"/>
    </row>
    <row r="671" spans="1:14" ht="15.75" customHeight="1" thickBot="1" x14ac:dyDescent="0.3">
      <c r="A671" s="383"/>
      <c r="B671" s="392"/>
      <c r="C671" s="404"/>
      <c r="D671" s="405"/>
      <c r="E671" s="405"/>
      <c r="F671" s="405"/>
      <c r="G671" s="405"/>
      <c r="H671" s="405"/>
      <c r="I671" s="405"/>
      <c r="J671" s="405"/>
      <c r="K671" s="405"/>
      <c r="L671" s="405"/>
      <c r="M671" s="405"/>
      <c r="N671" s="406"/>
    </row>
    <row r="672" spans="1:14" ht="15" customHeight="1" x14ac:dyDescent="0.25">
      <c r="A672" s="381">
        <v>30</v>
      </c>
      <c r="B672" s="390" t="str">
        <f>VLOOKUP(A672,PROPONENTES!$A$10:$B$42,2)</f>
        <v>GERMAN RAMIREZ BARBOSA</v>
      </c>
      <c r="C672" s="384"/>
      <c r="D672" s="385"/>
      <c r="E672" s="385"/>
      <c r="F672" s="385"/>
      <c r="G672" s="385"/>
      <c r="H672" s="385"/>
      <c r="I672" s="385"/>
      <c r="J672" s="385"/>
      <c r="K672" s="385"/>
      <c r="L672" s="385"/>
      <c r="M672" s="385"/>
      <c r="N672" s="386"/>
    </row>
    <row r="673" spans="1:14" ht="15" customHeight="1" x14ac:dyDescent="0.25">
      <c r="A673" s="382"/>
      <c r="B673" s="391"/>
      <c r="C673" s="387"/>
      <c r="D673" s="388"/>
      <c r="E673" s="388"/>
      <c r="F673" s="388"/>
      <c r="G673" s="388"/>
      <c r="H673" s="388"/>
      <c r="I673" s="388"/>
      <c r="J673" s="388"/>
      <c r="K673" s="388"/>
      <c r="L673" s="388"/>
      <c r="M673" s="388"/>
      <c r="N673" s="389"/>
    </row>
    <row r="674" spans="1:14" ht="15" customHeight="1" x14ac:dyDescent="0.25">
      <c r="A674" s="382"/>
      <c r="B674" s="391"/>
      <c r="C674" s="387"/>
      <c r="D674" s="388"/>
      <c r="E674" s="388"/>
      <c r="F674" s="388"/>
      <c r="G674" s="388"/>
      <c r="H674" s="388"/>
      <c r="I674" s="388"/>
      <c r="J674" s="388"/>
      <c r="K674" s="388"/>
      <c r="L674" s="388"/>
      <c r="M674" s="388"/>
      <c r="N674" s="389"/>
    </row>
    <row r="675" spans="1:14" ht="15" customHeight="1" x14ac:dyDescent="0.25">
      <c r="A675" s="382"/>
      <c r="B675" s="391"/>
      <c r="C675" s="387"/>
      <c r="D675" s="388"/>
      <c r="E675" s="388"/>
      <c r="F675" s="388"/>
      <c r="G675" s="388"/>
      <c r="H675" s="388"/>
      <c r="I675" s="388"/>
      <c r="J675" s="388"/>
      <c r="K675" s="388"/>
      <c r="L675" s="388"/>
      <c r="M675" s="388"/>
      <c r="N675" s="389"/>
    </row>
    <row r="676" spans="1:14" ht="15" customHeight="1" x14ac:dyDescent="0.25">
      <c r="A676" s="382"/>
      <c r="B676" s="391"/>
      <c r="C676" s="387"/>
      <c r="D676" s="388"/>
      <c r="E676" s="388"/>
      <c r="F676" s="388"/>
      <c r="G676" s="388"/>
      <c r="H676" s="388"/>
      <c r="I676" s="388"/>
      <c r="J676" s="388"/>
      <c r="K676" s="388"/>
      <c r="L676" s="388"/>
      <c r="M676" s="388"/>
      <c r="N676" s="389"/>
    </row>
    <row r="677" spans="1:14" ht="15" customHeight="1" x14ac:dyDescent="0.25">
      <c r="A677" s="382"/>
      <c r="B677" s="391"/>
      <c r="C677" s="387"/>
      <c r="D677" s="388"/>
      <c r="E677" s="388"/>
      <c r="F677" s="388"/>
      <c r="G677" s="388"/>
      <c r="H677" s="388"/>
      <c r="I677" s="388"/>
      <c r="J677" s="388"/>
      <c r="K677" s="388"/>
      <c r="L677" s="388"/>
      <c r="M677" s="388"/>
      <c r="N677" s="389"/>
    </row>
    <row r="678" spans="1:14" ht="15" customHeight="1" x14ac:dyDescent="0.25">
      <c r="A678" s="382"/>
      <c r="B678" s="391"/>
      <c r="C678" s="387"/>
      <c r="D678" s="388"/>
      <c r="E678" s="388"/>
      <c r="F678" s="388"/>
      <c r="G678" s="388"/>
      <c r="H678" s="388"/>
      <c r="I678" s="388"/>
      <c r="J678" s="388"/>
      <c r="K678" s="388"/>
      <c r="L678" s="388"/>
      <c r="M678" s="388"/>
      <c r="N678" s="389"/>
    </row>
    <row r="679" spans="1:14" ht="15" customHeight="1" x14ac:dyDescent="0.25">
      <c r="A679" s="382"/>
      <c r="B679" s="391"/>
      <c r="C679" s="387"/>
      <c r="D679" s="388"/>
      <c r="E679" s="388"/>
      <c r="F679" s="388"/>
      <c r="G679" s="388"/>
      <c r="H679" s="388"/>
      <c r="I679" s="388"/>
      <c r="J679" s="388"/>
      <c r="K679" s="388"/>
      <c r="L679" s="388"/>
      <c r="M679" s="388"/>
      <c r="N679" s="389"/>
    </row>
    <row r="680" spans="1:14" ht="15" customHeight="1" x14ac:dyDescent="0.25">
      <c r="A680" s="382"/>
      <c r="B680" s="391"/>
      <c r="C680" s="387"/>
      <c r="D680" s="388"/>
      <c r="E680" s="388"/>
      <c r="F680" s="388"/>
      <c r="G680" s="388"/>
      <c r="H680" s="388"/>
      <c r="I680" s="388"/>
      <c r="J680" s="388"/>
      <c r="K680" s="388"/>
      <c r="L680" s="388"/>
      <c r="M680" s="388"/>
      <c r="N680" s="389"/>
    </row>
    <row r="681" spans="1:14" ht="15" customHeight="1" x14ac:dyDescent="0.25">
      <c r="A681" s="382"/>
      <c r="B681" s="391"/>
      <c r="C681" s="387"/>
      <c r="D681" s="388"/>
      <c r="E681" s="388"/>
      <c r="F681" s="388"/>
      <c r="G681" s="388"/>
      <c r="H681" s="388"/>
      <c r="I681" s="388"/>
      <c r="J681" s="388"/>
      <c r="K681" s="388"/>
      <c r="L681" s="388"/>
      <c r="M681" s="388"/>
      <c r="N681" s="389"/>
    </row>
    <row r="682" spans="1:14" ht="15" customHeight="1" x14ac:dyDescent="0.25">
      <c r="A682" s="382"/>
      <c r="B682" s="391"/>
      <c r="C682" s="387"/>
      <c r="D682" s="388"/>
      <c r="E682" s="388"/>
      <c r="F682" s="388"/>
      <c r="G682" s="388"/>
      <c r="H682" s="388"/>
      <c r="I682" s="388"/>
      <c r="J682" s="388"/>
      <c r="K682" s="388"/>
      <c r="L682" s="388"/>
      <c r="M682" s="388"/>
      <c r="N682" s="389"/>
    </row>
    <row r="683" spans="1:14" ht="15" customHeight="1" x14ac:dyDescent="0.25">
      <c r="A683" s="382"/>
      <c r="B683" s="391"/>
      <c r="C683" s="387"/>
      <c r="D683" s="388"/>
      <c r="E683" s="388"/>
      <c r="F683" s="388"/>
      <c r="G683" s="388"/>
      <c r="H683" s="388"/>
      <c r="I683" s="388"/>
      <c r="J683" s="388"/>
      <c r="K683" s="388"/>
      <c r="L683" s="388"/>
      <c r="M683" s="388"/>
      <c r="N683" s="389"/>
    </row>
    <row r="684" spans="1:14" ht="15" customHeight="1" x14ac:dyDescent="0.25">
      <c r="A684" s="382"/>
      <c r="B684" s="391"/>
      <c r="C684" s="387"/>
      <c r="D684" s="388"/>
      <c r="E684" s="388"/>
      <c r="F684" s="388"/>
      <c r="G684" s="388"/>
      <c r="H684" s="388"/>
      <c r="I684" s="388"/>
      <c r="J684" s="388"/>
      <c r="K684" s="388"/>
      <c r="L684" s="388"/>
      <c r="M684" s="388"/>
      <c r="N684" s="389"/>
    </row>
    <row r="685" spans="1:14" ht="15" customHeight="1" x14ac:dyDescent="0.25">
      <c r="A685" s="382"/>
      <c r="B685" s="391"/>
      <c r="C685" s="387"/>
      <c r="D685" s="388"/>
      <c r="E685" s="388"/>
      <c r="F685" s="388"/>
      <c r="G685" s="388"/>
      <c r="H685" s="388"/>
      <c r="I685" s="388"/>
      <c r="J685" s="388"/>
      <c r="K685" s="388"/>
      <c r="L685" s="388"/>
      <c r="M685" s="388"/>
      <c r="N685" s="389"/>
    </row>
    <row r="686" spans="1:14" ht="15" customHeight="1" x14ac:dyDescent="0.25">
      <c r="A686" s="382"/>
      <c r="B686" s="391"/>
      <c r="C686" s="387"/>
      <c r="D686" s="388"/>
      <c r="E686" s="388"/>
      <c r="F686" s="388"/>
      <c r="G686" s="388"/>
      <c r="H686" s="388"/>
      <c r="I686" s="388"/>
      <c r="J686" s="388"/>
      <c r="K686" s="388"/>
      <c r="L686" s="388"/>
      <c r="M686" s="388"/>
      <c r="N686" s="389"/>
    </row>
    <row r="687" spans="1:14" ht="15" customHeight="1" x14ac:dyDescent="0.25">
      <c r="A687" s="382"/>
      <c r="B687" s="391"/>
      <c r="C687" s="387"/>
      <c r="D687" s="388"/>
      <c r="E687" s="388"/>
      <c r="F687" s="388"/>
      <c r="G687" s="388"/>
      <c r="H687" s="388"/>
      <c r="I687" s="388"/>
      <c r="J687" s="388"/>
      <c r="K687" s="388"/>
      <c r="L687" s="388"/>
      <c r="M687" s="388"/>
      <c r="N687" s="389"/>
    </row>
    <row r="688" spans="1:14" ht="15" customHeight="1" x14ac:dyDescent="0.25">
      <c r="A688" s="382"/>
      <c r="B688" s="391"/>
      <c r="C688" s="387"/>
      <c r="D688" s="388"/>
      <c r="E688" s="388"/>
      <c r="F688" s="388"/>
      <c r="G688" s="388"/>
      <c r="H688" s="388"/>
      <c r="I688" s="388"/>
      <c r="J688" s="388"/>
      <c r="K688" s="388"/>
      <c r="L688" s="388"/>
      <c r="M688" s="388"/>
      <c r="N688" s="389"/>
    </row>
    <row r="689" spans="1:14" ht="15" customHeight="1" x14ac:dyDescent="0.25">
      <c r="A689" s="382"/>
      <c r="B689" s="391"/>
      <c r="C689" s="387"/>
      <c r="D689" s="388"/>
      <c r="E689" s="388"/>
      <c r="F689" s="388"/>
      <c r="G689" s="388"/>
      <c r="H689" s="388"/>
      <c r="I689" s="388"/>
      <c r="J689" s="388"/>
      <c r="K689" s="388"/>
      <c r="L689" s="388"/>
      <c r="M689" s="388"/>
      <c r="N689" s="389"/>
    </row>
    <row r="690" spans="1:14" ht="15" customHeight="1" x14ac:dyDescent="0.25">
      <c r="A690" s="382"/>
      <c r="B690" s="391"/>
      <c r="C690" s="387"/>
      <c r="D690" s="388"/>
      <c r="E690" s="388"/>
      <c r="F690" s="388"/>
      <c r="G690" s="388"/>
      <c r="H690" s="388"/>
      <c r="I690" s="388"/>
      <c r="J690" s="388"/>
      <c r="K690" s="388"/>
      <c r="L690" s="388"/>
      <c r="M690" s="388"/>
      <c r="N690" s="389"/>
    </row>
    <row r="691" spans="1:14" ht="15" customHeight="1" x14ac:dyDescent="0.25">
      <c r="A691" s="382"/>
      <c r="B691" s="391"/>
      <c r="C691" s="387"/>
      <c r="D691" s="388"/>
      <c r="E691" s="388"/>
      <c r="F691" s="388"/>
      <c r="G691" s="388"/>
      <c r="H691" s="388"/>
      <c r="I691" s="388"/>
      <c r="J691" s="388"/>
      <c r="K691" s="388"/>
      <c r="L691" s="388"/>
      <c r="M691" s="388"/>
      <c r="N691" s="389"/>
    </row>
    <row r="692" spans="1:14" ht="15" customHeight="1" x14ac:dyDescent="0.25">
      <c r="A692" s="382"/>
      <c r="B692" s="391"/>
      <c r="C692" s="387"/>
      <c r="D692" s="388"/>
      <c r="E692" s="388"/>
      <c r="F692" s="388"/>
      <c r="G692" s="388"/>
      <c r="H692" s="388"/>
      <c r="I692" s="388"/>
      <c r="J692" s="388"/>
      <c r="K692" s="388"/>
      <c r="L692" s="388"/>
      <c r="M692" s="388"/>
      <c r="N692" s="389"/>
    </row>
    <row r="693" spans="1:14" ht="15" customHeight="1" x14ac:dyDescent="0.25">
      <c r="A693" s="382"/>
      <c r="B693" s="391"/>
      <c r="C693" s="387"/>
      <c r="D693" s="388"/>
      <c r="E693" s="388"/>
      <c r="F693" s="388"/>
      <c r="G693" s="388"/>
      <c r="H693" s="388"/>
      <c r="I693" s="388"/>
      <c r="J693" s="388"/>
      <c r="K693" s="388"/>
      <c r="L693" s="388"/>
      <c r="M693" s="388"/>
      <c r="N693" s="389"/>
    </row>
    <row r="694" spans="1:14" ht="15.75" customHeight="1" thickBot="1" x14ac:dyDescent="0.3">
      <c r="A694" s="383"/>
      <c r="B694" s="392"/>
      <c r="C694" s="387"/>
      <c r="D694" s="388"/>
      <c r="E694" s="388"/>
      <c r="F694" s="388"/>
      <c r="G694" s="388"/>
      <c r="H694" s="388"/>
      <c r="I694" s="388"/>
      <c r="J694" s="388"/>
      <c r="K694" s="388"/>
      <c r="L694" s="388"/>
      <c r="M694" s="388"/>
      <c r="N694" s="389"/>
    </row>
    <row r="695" spans="1:14" ht="15" customHeight="1" x14ac:dyDescent="0.25">
      <c r="A695" s="381">
        <v>31</v>
      </c>
      <c r="B695" s="390" t="str">
        <f>VLOOKUP(A695,PROPONENTES!$A$10:$B$42,2)</f>
        <v>CONSTRUCOL SAS</v>
      </c>
      <c r="C695" s="384"/>
      <c r="D695" s="385"/>
      <c r="E695" s="385"/>
      <c r="F695" s="385"/>
      <c r="G695" s="385"/>
      <c r="H695" s="385"/>
      <c r="I695" s="385"/>
      <c r="J695" s="385"/>
      <c r="K695" s="385"/>
      <c r="L695" s="385"/>
      <c r="M695" s="385"/>
      <c r="N695" s="386"/>
    </row>
    <row r="696" spans="1:14" ht="15" customHeight="1" x14ac:dyDescent="0.25">
      <c r="A696" s="382"/>
      <c r="B696" s="391"/>
      <c r="C696" s="387"/>
      <c r="D696" s="388"/>
      <c r="E696" s="388"/>
      <c r="F696" s="388"/>
      <c r="G696" s="388"/>
      <c r="H696" s="388"/>
      <c r="I696" s="388"/>
      <c r="J696" s="388"/>
      <c r="K696" s="388"/>
      <c r="L696" s="388"/>
      <c r="M696" s="388"/>
      <c r="N696" s="389"/>
    </row>
    <row r="697" spans="1:14" ht="15" customHeight="1" x14ac:dyDescent="0.25">
      <c r="A697" s="382"/>
      <c r="B697" s="391"/>
      <c r="C697" s="387"/>
      <c r="D697" s="388"/>
      <c r="E697" s="388"/>
      <c r="F697" s="388"/>
      <c r="G697" s="388"/>
      <c r="H697" s="388"/>
      <c r="I697" s="388"/>
      <c r="J697" s="388"/>
      <c r="K697" s="388"/>
      <c r="L697" s="388"/>
      <c r="M697" s="388"/>
      <c r="N697" s="389"/>
    </row>
    <row r="698" spans="1:14" ht="15" customHeight="1" x14ac:dyDescent="0.25">
      <c r="A698" s="382"/>
      <c r="B698" s="391"/>
      <c r="C698" s="387"/>
      <c r="D698" s="388"/>
      <c r="E698" s="388"/>
      <c r="F698" s="388"/>
      <c r="G698" s="388"/>
      <c r="H698" s="388"/>
      <c r="I698" s="388"/>
      <c r="J698" s="388"/>
      <c r="K698" s="388"/>
      <c r="L698" s="388"/>
      <c r="M698" s="388"/>
      <c r="N698" s="389"/>
    </row>
    <row r="699" spans="1:14" ht="15" customHeight="1" x14ac:dyDescent="0.25">
      <c r="A699" s="382"/>
      <c r="B699" s="391"/>
      <c r="C699" s="387"/>
      <c r="D699" s="388"/>
      <c r="E699" s="388"/>
      <c r="F699" s="388"/>
      <c r="G699" s="388"/>
      <c r="H699" s="388"/>
      <c r="I699" s="388"/>
      <c r="J699" s="388"/>
      <c r="K699" s="388"/>
      <c r="L699" s="388"/>
      <c r="M699" s="388"/>
      <c r="N699" s="389"/>
    </row>
    <row r="700" spans="1:14" ht="15" customHeight="1" x14ac:dyDescent="0.25">
      <c r="A700" s="382"/>
      <c r="B700" s="391"/>
      <c r="C700" s="387"/>
      <c r="D700" s="388"/>
      <c r="E700" s="388"/>
      <c r="F700" s="388"/>
      <c r="G700" s="388"/>
      <c r="H700" s="388"/>
      <c r="I700" s="388"/>
      <c r="J700" s="388"/>
      <c r="K700" s="388"/>
      <c r="L700" s="388"/>
      <c r="M700" s="388"/>
      <c r="N700" s="389"/>
    </row>
    <row r="701" spans="1:14" ht="15" customHeight="1" x14ac:dyDescent="0.25">
      <c r="A701" s="382"/>
      <c r="B701" s="391"/>
      <c r="C701" s="387"/>
      <c r="D701" s="388"/>
      <c r="E701" s="388"/>
      <c r="F701" s="388"/>
      <c r="G701" s="388"/>
      <c r="H701" s="388"/>
      <c r="I701" s="388"/>
      <c r="J701" s="388"/>
      <c r="K701" s="388"/>
      <c r="L701" s="388"/>
      <c r="M701" s="388"/>
      <c r="N701" s="389"/>
    </row>
    <row r="702" spans="1:14" ht="15" customHeight="1" x14ac:dyDescent="0.25">
      <c r="A702" s="382"/>
      <c r="B702" s="391"/>
      <c r="C702" s="387"/>
      <c r="D702" s="388"/>
      <c r="E702" s="388"/>
      <c r="F702" s="388"/>
      <c r="G702" s="388"/>
      <c r="H702" s="388"/>
      <c r="I702" s="388"/>
      <c r="J702" s="388"/>
      <c r="K702" s="388"/>
      <c r="L702" s="388"/>
      <c r="M702" s="388"/>
      <c r="N702" s="389"/>
    </row>
    <row r="703" spans="1:14" ht="15" customHeight="1" x14ac:dyDescent="0.25">
      <c r="A703" s="382"/>
      <c r="B703" s="391"/>
      <c r="C703" s="387"/>
      <c r="D703" s="388"/>
      <c r="E703" s="388"/>
      <c r="F703" s="388"/>
      <c r="G703" s="388"/>
      <c r="H703" s="388"/>
      <c r="I703" s="388"/>
      <c r="J703" s="388"/>
      <c r="K703" s="388"/>
      <c r="L703" s="388"/>
      <c r="M703" s="388"/>
      <c r="N703" s="389"/>
    </row>
    <row r="704" spans="1:14" ht="15" customHeight="1" x14ac:dyDescent="0.25">
      <c r="A704" s="382"/>
      <c r="B704" s="391"/>
      <c r="C704" s="387"/>
      <c r="D704" s="388"/>
      <c r="E704" s="388"/>
      <c r="F704" s="388"/>
      <c r="G704" s="388"/>
      <c r="H704" s="388"/>
      <c r="I704" s="388"/>
      <c r="J704" s="388"/>
      <c r="K704" s="388"/>
      <c r="L704" s="388"/>
      <c r="M704" s="388"/>
      <c r="N704" s="389"/>
    </row>
    <row r="705" spans="1:14" ht="15" customHeight="1" x14ac:dyDescent="0.25">
      <c r="A705" s="382"/>
      <c r="B705" s="391"/>
      <c r="C705" s="387"/>
      <c r="D705" s="388"/>
      <c r="E705" s="388"/>
      <c r="F705" s="388"/>
      <c r="G705" s="388"/>
      <c r="H705" s="388"/>
      <c r="I705" s="388"/>
      <c r="J705" s="388"/>
      <c r="K705" s="388"/>
      <c r="L705" s="388"/>
      <c r="M705" s="388"/>
      <c r="N705" s="389"/>
    </row>
    <row r="706" spans="1:14" ht="15" customHeight="1" x14ac:dyDescent="0.25">
      <c r="A706" s="382"/>
      <c r="B706" s="391"/>
      <c r="C706" s="387"/>
      <c r="D706" s="388"/>
      <c r="E706" s="388"/>
      <c r="F706" s="388"/>
      <c r="G706" s="388"/>
      <c r="H706" s="388"/>
      <c r="I706" s="388"/>
      <c r="J706" s="388"/>
      <c r="K706" s="388"/>
      <c r="L706" s="388"/>
      <c r="M706" s="388"/>
      <c r="N706" s="389"/>
    </row>
    <row r="707" spans="1:14" ht="15" customHeight="1" x14ac:dyDescent="0.25">
      <c r="A707" s="382"/>
      <c r="B707" s="391"/>
      <c r="C707" s="387"/>
      <c r="D707" s="388"/>
      <c r="E707" s="388"/>
      <c r="F707" s="388"/>
      <c r="G707" s="388"/>
      <c r="H707" s="388"/>
      <c r="I707" s="388"/>
      <c r="J707" s="388"/>
      <c r="K707" s="388"/>
      <c r="L707" s="388"/>
      <c r="M707" s="388"/>
      <c r="N707" s="389"/>
    </row>
    <row r="708" spans="1:14" ht="15" customHeight="1" x14ac:dyDescent="0.25">
      <c r="A708" s="382"/>
      <c r="B708" s="391"/>
      <c r="C708" s="387"/>
      <c r="D708" s="388"/>
      <c r="E708" s="388"/>
      <c r="F708" s="388"/>
      <c r="G708" s="388"/>
      <c r="H708" s="388"/>
      <c r="I708" s="388"/>
      <c r="J708" s="388"/>
      <c r="K708" s="388"/>
      <c r="L708" s="388"/>
      <c r="M708" s="388"/>
      <c r="N708" s="389"/>
    </row>
    <row r="709" spans="1:14" ht="15" customHeight="1" x14ac:dyDescent="0.25">
      <c r="A709" s="382"/>
      <c r="B709" s="391"/>
      <c r="C709" s="387"/>
      <c r="D709" s="388"/>
      <c r="E709" s="388"/>
      <c r="F709" s="388"/>
      <c r="G709" s="388"/>
      <c r="H709" s="388"/>
      <c r="I709" s="388"/>
      <c r="J709" s="388"/>
      <c r="K709" s="388"/>
      <c r="L709" s="388"/>
      <c r="M709" s="388"/>
      <c r="N709" s="389"/>
    </row>
    <row r="710" spans="1:14" ht="15" customHeight="1" x14ac:dyDescent="0.25">
      <c r="A710" s="382"/>
      <c r="B710" s="391"/>
      <c r="C710" s="387"/>
      <c r="D710" s="388"/>
      <c r="E710" s="388"/>
      <c r="F710" s="388"/>
      <c r="G710" s="388"/>
      <c r="H710" s="388"/>
      <c r="I710" s="388"/>
      <c r="J710" s="388"/>
      <c r="K710" s="388"/>
      <c r="L710" s="388"/>
      <c r="M710" s="388"/>
      <c r="N710" s="389"/>
    </row>
    <row r="711" spans="1:14" ht="15" customHeight="1" x14ac:dyDescent="0.25">
      <c r="A711" s="382"/>
      <c r="B711" s="391"/>
      <c r="C711" s="387"/>
      <c r="D711" s="388"/>
      <c r="E711" s="388"/>
      <c r="F711" s="388"/>
      <c r="G711" s="388"/>
      <c r="H711" s="388"/>
      <c r="I711" s="388"/>
      <c r="J711" s="388"/>
      <c r="K711" s="388"/>
      <c r="L711" s="388"/>
      <c r="M711" s="388"/>
      <c r="N711" s="389"/>
    </row>
    <row r="712" spans="1:14" ht="15" customHeight="1" x14ac:dyDescent="0.25">
      <c r="A712" s="382"/>
      <c r="B712" s="391"/>
      <c r="C712" s="387"/>
      <c r="D712" s="388"/>
      <c r="E712" s="388"/>
      <c r="F712" s="388"/>
      <c r="G712" s="388"/>
      <c r="H712" s="388"/>
      <c r="I712" s="388"/>
      <c r="J712" s="388"/>
      <c r="K712" s="388"/>
      <c r="L712" s="388"/>
      <c r="M712" s="388"/>
      <c r="N712" s="389"/>
    </row>
    <row r="713" spans="1:14" ht="15" customHeight="1" x14ac:dyDescent="0.25">
      <c r="A713" s="382"/>
      <c r="B713" s="391"/>
      <c r="C713" s="387"/>
      <c r="D713" s="388"/>
      <c r="E713" s="388"/>
      <c r="F713" s="388"/>
      <c r="G713" s="388"/>
      <c r="H713" s="388"/>
      <c r="I713" s="388"/>
      <c r="J713" s="388"/>
      <c r="K713" s="388"/>
      <c r="L713" s="388"/>
      <c r="M713" s="388"/>
      <c r="N713" s="389"/>
    </row>
    <row r="714" spans="1:14" ht="15" customHeight="1" x14ac:dyDescent="0.25">
      <c r="A714" s="382"/>
      <c r="B714" s="391"/>
      <c r="C714" s="387"/>
      <c r="D714" s="388"/>
      <c r="E714" s="388"/>
      <c r="F714" s="388"/>
      <c r="G714" s="388"/>
      <c r="H714" s="388"/>
      <c r="I714" s="388"/>
      <c r="J714" s="388"/>
      <c r="K714" s="388"/>
      <c r="L714" s="388"/>
      <c r="M714" s="388"/>
      <c r="N714" s="389"/>
    </row>
    <row r="715" spans="1:14" ht="15" customHeight="1" x14ac:dyDescent="0.25">
      <c r="A715" s="382"/>
      <c r="B715" s="391"/>
      <c r="C715" s="387"/>
      <c r="D715" s="388"/>
      <c r="E715" s="388"/>
      <c r="F715" s="388"/>
      <c r="G715" s="388"/>
      <c r="H715" s="388"/>
      <c r="I715" s="388"/>
      <c r="J715" s="388"/>
      <c r="K715" s="388"/>
      <c r="L715" s="388"/>
      <c r="M715" s="388"/>
      <c r="N715" s="389"/>
    </row>
    <row r="716" spans="1:14" ht="15" customHeight="1" x14ac:dyDescent="0.25">
      <c r="A716" s="382"/>
      <c r="B716" s="391"/>
      <c r="C716" s="387"/>
      <c r="D716" s="388"/>
      <c r="E716" s="388"/>
      <c r="F716" s="388"/>
      <c r="G716" s="388"/>
      <c r="H716" s="388"/>
      <c r="I716" s="388"/>
      <c r="J716" s="388"/>
      <c r="K716" s="388"/>
      <c r="L716" s="388"/>
      <c r="M716" s="388"/>
      <c r="N716" s="389"/>
    </row>
    <row r="717" spans="1:14" ht="15.75" customHeight="1" thickBot="1" x14ac:dyDescent="0.3">
      <c r="A717" s="383"/>
      <c r="B717" s="392"/>
      <c r="C717" s="387"/>
      <c r="D717" s="388"/>
      <c r="E717" s="388"/>
      <c r="F717" s="388"/>
      <c r="G717" s="388"/>
      <c r="H717" s="388"/>
      <c r="I717" s="388"/>
      <c r="J717" s="388"/>
      <c r="K717" s="388"/>
      <c r="L717" s="388"/>
      <c r="M717" s="388"/>
      <c r="N717" s="389"/>
    </row>
    <row r="718" spans="1:14" ht="15" customHeight="1" x14ac:dyDescent="0.25">
      <c r="A718" s="381">
        <v>32</v>
      </c>
      <c r="B718" s="390" t="str">
        <f>VLOOKUP(A718,PROPONENTES!$A$10:$B$42,2)</f>
        <v>CONSORCIO DISTRITAL-5G</v>
      </c>
      <c r="C718" s="384"/>
      <c r="D718" s="385"/>
      <c r="E718" s="385"/>
      <c r="F718" s="385"/>
      <c r="G718" s="385"/>
      <c r="H718" s="385"/>
      <c r="I718" s="385"/>
      <c r="J718" s="385"/>
      <c r="K718" s="385"/>
      <c r="L718" s="385"/>
      <c r="M718" s="385"/>
      <c r="N718" s="386"/>
    </row>
    <row r="719" spans="1:14" ht="15" customHeight="1" x14ac:dyDescent="0.25">
      <c r="A719" s="382"/>
      <c r="B719" s="391"/>
      <c r="C719" s="387"/>
      <c r="D719" s="388"/>
      <c r="E719" s="388"/>
      <c r="F719" s="388"/>
      <c r="G719" s="388"/>
      <c r="H719" s="388"/>
      <c r="I719" s="388"/>
      <c r="J719" s="388"/>
      <c r="K719" s="388"/>
      <c r="L719" s="388"/>
      <c r="M719" s="388"/>
      <c r="N719" s="389"/>
    </row>
    <row r="720" spans="1:14" ht="15" customHeight="1" x14ac:dyDescent="0.25">
      <c r="A720" s="382"/>
      <c r="B720" s="391"/>
      <c r="C720" s="387"/>
      <c r="D720" s="388"/>
      <c r="E720" s="388"/>
      <c r="F720" s="388"/>
      <c r="G720" s="388"/>
      <c r="H720" s="388"/>
      <c r="I720" s="388"/>
      <c r="J720" s="388"/>
      <c r="K720" s="388"/>
      <c r="L720" s="388"/>
      <c r="M720" s="388"/>
      <c r="N720" s="389"/>
    </row>
    <row r="721" spans="1:14" ht="15" customHeight="1" x14ac:dyDescent="0.25">
      <c r="A721" s="382"/>
      <c r="B721" s="391"/>
      <c r="C721" s="387"/>
      <c r="D721" s="388"/>
      <c r="E721" s="388"/>
      <c r="F721" s="388"/>
      <c r="G721" s="388"/>
      <c r="H721" s="388"/>
      <c r="I721" s="388"/>
      <c r="J721" s="388"/>
      <c r="K721" s="388"/>
      <c r="L721" s="388"/>
      <c r="M721" s="388"/>
      <c r="N721" s="389"/>
    </row>
    <row r="722" spans="1:14" ht="15" customHeight="1" x14ac:dyDescent="0.25">
      <c r="A722" s="382"/>
      <c r="B722" s="391"/>
      <c r="C722" s="387"/>
      <c r="D722" s="388"/>
      <c r="E722" s="388"/>
      <c r="F722" s="388"/>
      <c r="G722" s="388"/>
      <c r="H722" s="388"/>
      <c r="I722" s="388"/>
      <c r="J722" s="388"/>
      <c r="K722" s="388"/>
      <c r="L722" s="388"/>
      <c r="M722" s="388"/>
      <c r="N722" s="389"/>
    </row>
    <row r="723" spans="1:14" ht="15" customHeight="1" x14ac:dyDescent="0.25">
      <c r="A723" s="382"/>
      <c r="B723" s="391"/>
      <c r="C723" s="387"/>
      <c r="D723" s="388"/>
      <c r="E723" s="388"/>
      <c r="F723" s="388"/>
      <c r="G723" s="388"/>
      <c r="H723" s="388"/>
      <c r="I723" s="388"/>
      <c r="J723" s="388"/>
      <c r="K723" s="388"/>
      <c r="L723" s="388"/>
      <c r="M723" s="388"/>
      <c r="N723" s="389"/>
    </row>
    <row r="724" spans="1:14" ht="15" customHeight="1" x14ac:dyDescent="0.25">
      <c r="A724" s="382"/>
      <c r="B724" s="391"/>
      <c r="C724" s="387"/>
      <c r="D724" s="388"/>
      <c r="E724" s="388"/>
      <c r="F724" s="388"/>
      <c r="G724" s="388"/>
      <c r="H724" s="388"/>
      <c r="I724" s="388"/>
      <c r="J724" s="388"/>
      <c r="K724" s="388"/>
      <c r="L724" s="388"/>
      <c r="M724" s="388"/>
      <c r="N724" s="389"/>
    </row>
    <row r="725" spans="1:14" ht="15" customHeight="1" x14ac:dyDescent="0.25">
      <c r="A725" s="382"/>
      <c r="B725" s="391"/>
      <c r="C725" s="387"/>
      <c r="D725" s="388"/>
      <c r="E725" s="388"/>
      <c r="F725" s="388"/>
      <c r="G725" s="388"/>
      <c r="H725" s="388"/>
      <c r="I725" s="388"/>
      <c r="J725" s="388"/>
      <c r="K725" s="388"/>
      <c r="L725" s="388"/>
      <c r="M725" s="388"/>
      <c r="N725" s="389"/>
    </row>
    <row r="726" spans="1:14" ht="15" customHeight="1" x14ac:dyDescent="0.25">
      <c r="A726" s="382"/>
      <c r="B726" s="391"/>
      <c r="C726" s="387"/>
      <c r="D726" s="388"/>
      <c r="E726" s="388"/>
      <c r="F726" s="388"/>
      <c r="G726" s="388"/>
      <c r="H726" s="388"/>
      <c r="I726" s="388"/>
      <c r="J726" s="388"/>
      <c r="K726" s="388"/>
      <c r="L726" s="388"/>
      <c r="M726" s="388"/>
      <c r="N726" s="389"/>
    </row>
    <row r="727" spans="1:14" ht="15" customHeight="1" x14ac:dyDescent="0.25">
      <c r="A727" s="382"/>
      <c r="B727" s="391"/>
      <c r="C727" s="387"/>
      <c r="D727" s="388"/>
      <c r="E727" s="388"/>
      <c r="F727" s="388"/>
      <c r="G727" s="388"/>
      <c r="H727" s="388"/>
      <c r="I727" s="388"/>
      <c r="J727" s="388"/>
      <c r="K727" s="388"/>
      <c r="L727" s="388"/>
      <c r="M727" s="388"/>
      <c r="N727" s="389"/>
    </row>
    <row r="728" spans="1:14" ht="15" customHeight="1" x14ac:dyDescent="0.25">
      <c r="A728" s="382"/>
      <c r="B728" s="391"/>
      <c r="C728" s="387"/>
      <c r="D728" s="388"/>
      <c r="E728" s="388"/>
      <c r="F728" s="388"/>
      <c r="G728" s="388"/>
      <c r="H728" s="388"/>
      <c r="I728" s="388"/>
      <c r="J728" s="388"/>
      <c r="K728" s="388"/>
      <c r="L728" s="388"/>
      <c r="M728" s="388"/>
      <c r="N728" s="389"/>
    </row>
    <row r="729" spans="1:14" ht="15" customHeight="1" x14ac:dyDescent="0.25">
      <c r="A729" s="382"/>
      <c r="B729" s="391"/>
      <c r="C729" s="387"/>
      <c r="D729" s="388"/>
      <c r="E729" s="388"/>
      <c r="F729" s="388"/>
      <c r="G729" s="388"/>
      <c r="H729" s="388"/>
      <c r="I729" s="388"/>
      <c r="J729" s="388"/>
      <c r="K729" s="388"/>
      <c r="L729" s="388"/>
      <c r="M729" s="388"/>
      <c r="N729" s="389"/>
    </row>
    <row r="730" spans="1:14" ht="15" customHeight="1" x14ac:dyDescent="0.25">
      <c r="A730" s="382"/>
      <c r="B730" s="391"/>
      <c r="C730" s="387"/>
      <c r="D730" s="388"/>
      <c r="E730" s="388"/>
      <c r="F730" s="388"/>
      <c r="G730" s="388"/>
      <c r="H730" s="388"/>
      <c r="I730" s="388"/>
      <c r="J730" s="388"/>
      <c r="K730" s="388"/>
      <c r="L730" s="388"/>
      <c r="M730" s="388"/>
      <c r="N730" s="389"/>
    </row>
    <row r="731" spans="1:14" ht="15" customHeight="1" x14ac:dyDescent="0.25">
      <c r="A731" s="382"/>
      <c r="B731" s="391"/>
      <c r="C731" s="387"/>
      <c r="D731" s="388"/>
      <c r="E731" s="388"/>
      <c r="F731" s="388"/>
      <c r="G731" s="388"/>
      <c r="H731" s="388"/>
      <c r="I731" s="388"/>
      <c r="J731" s="388"/>
      <c r="K731" s="388"/>
      <c r="L731" s="388"/>
      <c r="M731" s="388"/>
      <c r="N731" s="389"/>
    </row>
    <row r="732" spans="1:14" ht="15" customHeight="1" x14ac:dyDescent="0.25">
      <c r="A732" s="382"/>
      <c r="B732" s="391"/>
      <c r="C732" s="387"/>
      <c r="D732" s="388"/>
      <c r="E732" s="388"/>
      <c r="F732" s="388"/>
      <c r="G732" s="388"/>
      <c r="H732" s="388"/>
      <c r="I732" s="388"/>
      <c r="J732" s="388"/>
      <c r="K732" s="388"/>
      <c r="L732" s="388"/>
      <c r="M732" s="388"/>
      <c r="N732" s="389"/>
    </row>
    <row r="733" spans="1:14" ht="15" customHeight="1" x14ac:dyDescent="0.25">
      <c r="A733" s="382"/>
      <c r="B733" s="391"/>
      <c r="C733" s="387"/>
      <c r="D733" s="388"/>
      <c r="E733" s="388"/>
      <c r="F733" s="388"/>
      <c r="G733" s="388"/>
      <c r="H733" s="388"/>
      <c r="I733" s="388"/>
      <c r="J733" s="388"/>
      <c r="K733" s="388"/>
      <c r="L733" s="388"/>
      <c r="M733" s="388"/>
      <c r="N733" s="389"/>
    </row>
    <row r="734" spans="1:14" ht="15" customHeight="1" x14ac:dyDescent="0.25">
      <c r="A734" s="382"/>
      <c r="B734" s="391"/>
      <c r="C734" s="387"/>
      <c r="D734" s="388"/>
      <c r="E734" s="388"/>
      <c r="F734" s="388"/>
      <c r="G734" s="388"/>
      <c r="H734" s="388"/>
      <c r="I734" s="388"/>
      <c r="J734" s="388"/>
      <c r="K734" s="388"/>
      <c r="L734" s="388"/>
      <c r="M734" s="388"/>
      <c r="N734" s="389"/>
    </row>
    <row r="735" spans="1:14" ht="15" customHeight="1" x14ac:dyDescent="0.25">
      <c r="A735" s="382"/>
      <c r="B735" s="391"/>
      <c r="C735" s="387"/>
      <c r="D735" s="388"/>
      <c r="E735" s="388"/>
      <c r="F735" s="388"/>
      <c r="G735" s="388"/>
      <c r="H735" s="388"/>
      <c r="I735" s="388"/>
      <c r="J735" s="388"/>
      <c r="K735" s="388"/>
      <c r="L735" s="388"/>
      <c r="M735" s="388"/>
      <c r="N735" s="389"/>
    </row>
    <row r="736" spans="1:14" ht="15" customHeight="1" x14ac:dyDescent="0.25">
      <c r="A736" s="382"/>
      <c r="B736" s="391"/>
      <c r="C736" s="387"/>
      <c r="D736" s="388"/>
      <c r="E736" s="388"/>
      <c r="F736" s="388"/>
      <c r="G736" s="388"/>
      <c r="H736" s="388"/>
      <c r="I736" s="388"/>
      <c r="J736" s="388"/>
      <c r="K736" s="388"/>
      <c r="L736" s="388"/>
      <c r="M736" s="388"/>
      <c r="N736" s="389"/>
    </row>
    <row r="737" spans="1:14" ht="15" customHeight="1" x14ac:dyDescent="0.25">
      <c r="A737" s="382"/>
      <c r="B737" s="391"/>
      <c r="C737" s="387"/>
      <c r="D737" s="388"/>
      <c r="E737" s="388"/>
      <c r="F737" s="388"/>
      <c r="G737" s="388"/>
      <c r="H737" s="388"/>
      <c r="I737" s="388"/>
      <c r="J737" s="388"/>
      <c r="K737" s="388"/>
      <c r="L737" s="388"/>
      <c r="M737" s="388"/>
      <c r="N737" s="389"/>
    </row>
    <row r="738" spans="1:14" ht="15" customHeight="1" x14ac:dyDescent="0.25">
      <c r="A738" s="382"/>
      <c r="B738" s="391"/>
      <c r="C738" s="387"/>
      <c r="D738" s="388"/>
      <c r="E738" s="388"/>
      <c r="F738" s="388"/>
      <c r="G738" s="388"/>
      <c r="H738" s="388"/>
      <c r="I738" s="388"/>
      <c r="J738" s="388"/>
      <c r="K738" s="388"/>
      <c r="L738" s="388"/>
      <c r="M738" s="388"/>
      <c r="N738" s="389"/>
    </row>
    <row r="739" spans="1:14" ht="15" customHeight="1" x14ac:dyDescent="0.25">
      <c r="A739" s="382"/>
      <c r="B739" s="391"/>
      <c r="C739" s="387"/>
      <c r="D739" s="388"/>
      <c r="E739" s="388"/>
      <c r="F739" s="388"/>
      <c r="G739" s="388"/>
      <c r="H739" s="388"/>
      <c r="I739" s="388"/>
      <c r="J739" s="388"/>
      <c r="K739" s="388"/>
      <c r="L739" s="388"/>
      <c r="M739" s="388"/>
      <c r="N739" s="389"/>
    </row>
    <row r="740" spans="1:14" ht="15.75" customHeight="1" thickBot="1" x14ac:dyDescent="0.3">
      <c r="A740" s="383"/>
      <c r="B740" s="392"/>
      <c r="C740" s="387"/>
      <c r="D740" s="388"/>
      <c r="E740" s="388"/>
      <c r="F740" s="388"/>
      <c r="G740" s="388"/>
      <c r="H740" s="388"/>
      <c r="I740" s="388"/>
      <c r="J740" s="388"/>
      <c r="K740" s="388"/>
      <c r="L740" s="388"/>
      <c r="M740" s="388"/>
      <c r="N740" s="389"/>
    </row>
    <row r="741" spans="1:14" ht="15" customHeight="1" x14ac:dyDescent="0.25">
      <c r="A741" s="381">
        <v>33</v>
      </c>
      <c r="B741" s="390" t="str">
        <f>VLOOKUP(A741,PROPONENTES!$A$10:$B$42,2)</f>
        <v>CONSORCIO PARQUES VECINALES 24</v>
      </c>
      <c r="C741" s="393"/>
      <c r="D741" s="394"/>
      <c r="E741" s="394"/>
      <c r="F741" s="394"/>
      <c r="G741" s="394"/>
      <c r="H741" s="394"/>
      <c r="I741" s="394"/>
      <c r="J741" s="394"/>
      <c r="K741" s="394"/>
      <c r="L741" s="394"/>
      <c r="M741" s="394"/>
      <c r="N741" s="395"/>
    </row>
    <row r="742" spans="1:14" ht="15" customHeight="1" x14ac:dyDescent="0.25">
      <c r="A742" s="382"/>
      <c r="B742" s="391"/>
      <c r="C742" s="396"/>
      <c r="D742" s="388"/>
      <c r="E742" s="388"/>
      <c r="F742" s="388"/>
      <c r="G742" s="388"/>
      <c r="H742" s="388"/>
      <c r="I742" s="388"/>
      <c r="J742" s="388"/>
      <c r="K742" s="388"/>
      <c r="L742" s="388"/>
      <c r="M742" s="388"/>
      <c r="N742" s="397"/>
    </row>
    <row r="743" spans="1:14" ht="15" customHeight="1" x14ac:dyDescent="0.25">
      <c r="A743" s="382"/>
      <c r="B743" s="391"/>
      <c r="C743" s="396"/>
      <c r="D743" s="388"/>
      <c r="E743" s="388"/>
      <c r="F743" s="388"/>
      <c r="G743" s="388"/>
      <c r="H743" s="388"/>
      <c r="I743" s="388"/>
      <c r="J743" s="388"/>
      <c r="K743" s="388"/>
      <c r="L743" s="388"/>
      <c r="M743" s="388"/>
      <c r="N743" s="397"/>
    </row>
    <row r="744" spans="1:14" ht="15" customHeight="1" x14ac:dyDescent="0.25">
      <c r="A744" s="382"/>
      <c r="B744" s="391"/>
      <c r="C744" s="396"/>
      <c r="D744" s="388"/>
      <c r="E744" s="388"/>
      <c r="F744" s="388"/>
      <c r="G744" s="388"/>
      <c r="H744" s="388"/>
      <c r="I744" s="388"/>
      <c r="J744" s="388"/>
      <c r="K744" s="388"/>
      <c r="L744" s="388"/>
      <c r="M744" s="388"/>
      <c r="N744" s="397"/>
    </row>
    <row r="745" spans="1:14" ht="15" customHeight="1" x14ac:dyDescent="0.25">
      <c r="A745" s="382"/>
      <c r="B745" s="391"/>
      <c r="C745" s="396"/>
      <c r="D745" s="388"/>
      <c r="E745" s="388"/>
      <c r="F745" s="388"/>
      <c r="G745" s="388"/>
      <c r="H745" s="388"/>
      <c r="I745" s="388"/>
      <c r="J745" s="388"/>
      <c r="K745" s="388"/>
      <c r="L745" s="388"/>
      <c r="M745" s="388"/>
      <c r="N745" s="397"/>
    </row>
    <row r="746" spans="1:14" ht="15" customHeight="1" x14ac:dyDescent="0.25">
      <c r="A746" s="382"/>
      <c r="B746" s="391"/>
      <c r="C746" s="396"/>
      <c r="D746" s="388"/>
      <c r="E746" s="388"/>
      <c r="F746" s="388"/>
      <c r="G746" s="388"/>
      <c r="H746" s="388"/>
      <c r="I746" s="388"/>
      <c r="J746" s="388"/>
      <c r="K746" s="388"/>
      <c r="L746" s="388"/>
      <c r="M746" s="388"/>
      <c r="N746" s="397"/>
    </row>
    <row r="747" spans="1:14" ht="15" customHeight="1" x14ac:dyDescent="0.25">
      <c r="A747" s="382"/>
      <c r="B747" s="391"/>
      <c r="C747" s="396"/>
      <c r="D747" s="388"/>
      <c r="E747" s="388"/>
      <c r="F747" s="388"/>
      <c r="G747" s="388"/>
      <c r="H747" s="388"/>
      <c r="I747" s="388"/>
      <c r="J747" s="388"/>
      <c r="K747" s="388"/>
      <c r="L747" s="388"/>
      <c r="M747" s="388"/>
      <c r="N747" s="397"/>
    </row>
    <row r="748" spans="1:14" ht="15" customHeight="1" x14ac:dyDescent="0.25">
      <c r="A748" s="382"/>
      <c r="B748" s="391"/>
      <c r="C748" s="396"/>
      <c r="D748" s="388"/>
      <c r="E748" s="388"/>
      <c r="F748" s="388"/>
      <c r="G748" s="388"/>
      <c r="H748" s="388"/>
      <c r="I748" s="388"/>
      <c r="J748" s="388"/>
      <c r="K748" s="388"/>
      <c r="L748" s="388"/>
      <c r="M748" s="388"/>
      <c r="N748" s="397"/>
    </row>
    <row r="749" spans="1:14" ht="15" customHeight="1" x14ac:dyDescent="0.25">
      <c r="A749" s="382"/>
      <c r="B749" s="391"/>
      <c r="C749" s="396"/>
      <c r="D749" s="388"/>
      <c r="E749" s="388"/>
      <c r="F749" s="388"/>
      <c r="G749" s="388"/>
      <c r="H749" s="388"/>
      <c r="I749" s="388"/>
      <c r="J749" s="388"/>
      <c r="K749" s="388"/>
      <c r="L749" s="388"/>
      <c r="M749" s="388"/>
      <c r="N749" s="397"/>
    </row>
    <row r="750" spans="1:14" ht="15" customHeight="1" x14ac:dyDescent="0.25">
      <c r="A750" s="382"/>
      <c r="B750" s="391"/>
      <c r="C750" s="396"/>
      <c r="D750" s="388"/>
      <c r="E750" s="388"/>
      <c r="F750" s="388"/>
      <c r="G750" s="388"/>
      <c r="H750" s="388"/>
      <c r="I750" s="388"/>
      <c r="J750" s="388"/>
      <c r="K750" s="388"/>
      <c r="L750" s="388"/>
      <c r="M750" s="388"/>
      <c r="N750" s="397"/>
    </row>
    <row r="751" spans="1:14" ht="15" customHeight="1" x14ac:dyDescent="0.25">
      <c r="A751" s="382"/>
      <c r="B751" s="391"/>
      <c r="C751" s="396"/>
      <c r="D751" s="388"/>
      <c r="E751" s="388"/>
      <c r="F751" s="388"/>
      <c r="G751" s="388"/>
      <c r="H751" s="388"/>
      <c r="I751" s="388"/>
      <c r="J751" s="388"/>
      <c r="K751" s="388"/>
      <c r="L751" s="388"/>
      <c r="M751" s="388"/>
      <c r="N751" s="397"/>
    </row>
    <row r="752" spans="1:14" ht="15" customHeight="1" x14ac:dyDescent="0.25">
      <c r="A752" s="382"/>
      <c r="B752" s="391"/>
      <c r="C752" s="396"/>
      <c r="D752" s="388"/>
      <c r="E752" s="388"/>
      <c r="F752" s="388"/>
      <c r="G752" s="388"/>
      <c r="H752" s="388"/>
      <c r="I752" s="388"/>
      <c r="J752" s="388"/>
      <c r="K752" s="388"/>
      <c r="L752" s="388"/>
      <c r="M752" s="388"/>
      <c r="N752" s="397"/>
    </row>
    <row r="753" spans="1:14" ht="15" customHeight="1" x14ac:dyDescent="0.25">
      <c r="A753" s="382"/>
      <c r="B753" s="391"/>
      <c r="C753" s="396"/>
      <c r="D753" s="388"/>
      <c r="E753" s="388"/>
      <c r="F753" s="388"/>
      <c r="G753" s="388"/>
      <c r="H753" s="388"/>
      <c r="I753" s="388"/>
      <c r="J753" s="388"/>
      <c r="K753" s="388"/>
      <c r="L753" s="388"/>
      <c r="M753" s="388"/>
      <c r="N753" s="397"/>
    </row>
    <row r="754" spans="1:14" ht="15" customHeight="1" x14ac:dyDescent="0.25">
      <c r="A754" s="382"/>
      <c r="B754" s="391"/>
      <c r="C754" s="396"/>
      <c r="D754" s="388"/>
      <c r="E754" s="388"/>
      <c r="F754" s="388"/>
      <c r="G754" s="388"/>
      <c r="H754" s="388"/>
      <c r="I754" s="388"/>
      <c r="J754" s="388"/>
      <c r="K754" s="388"/>
      <c r="L754" s="388"/>
      <c r="M754" s="388"/>
      <c r="N754" s="397"/>
    </row>
    <row r="755" spans="1:14" ht="15" customHeight="1" x14ac:dyDescent="0.25">
      <c r="A755" s="382"/>
      <c r="B755" s="391"/>
      <c r="C755" s="396"/>
      <c r="D755" s="388"/>
      <c r="E755" s="388"/>
      <c r="F755" s="388"/>
      <c r="G755" s="388"/>
      <c r="H755" s="388"/>
      <c r="I755" s="388"/>
      <c r="J755" s="388"/>
      <c r="K755" s="388"/>
      <c r="L755" s="388"/>
      <c r="M755" s="388"/>
      <c r="N755" s="397"/>
    </row>
    <row r="756" spans="1:14" ht="15" customHeight="1" x14ac:dyDescent="0.25">
      <c r="A756" s="382"/>
      <c r="B756" s="391"/>
      <c r="C756" s="396"/>
      <c r="D756" s="388"/>
      <c r="E756" s="388"/>
      <c r="F756" s="388"/>
      <c r="G756" s="388"/>
      <c r="H756" s="388"/>
      <c r="I756" s="388"/>
      <c r="J756" s="388"/>
      <c r="K756" s="388"/>
      <c r="L756" s="388"/>
      <c r="M756" s="388"/>
      <c r="N756" s="397"/>
    </row>
    <row r="757" spans="1:14" ht="15" customHeight="1" x14ac:dyDescent="0.25">
      <c r="A757" s="382"/>
      <c r="B757" s="391"/>
      <c r="C757" s="396"/>
      <c r="D757" s="388"/>
      <c r="E757" s="388"/>
      <c r="F757" s="388"/>
      <c r="G757" s="388"/>
      <c r="H757" s="388"/>
      <c r="I757" s="388"/>
      <c r="J757" s="388"/>
      <c r="K757" s="388"/>
      <c r="L757" s="388"/>
      <c r="M757" s="388"/>
      <c r="N757" s="397"/>
    </row>
    <row r="758" spans="1:14" ht="15" customHeight="1" x14ac:dyDescent="0.25">
      <c r="A758" s="382"/>
      <c r="B758" s="391"/>
      <c r="C758" s="396"/>
      <c r="D758" s="388"/>
      <c r="E758" s="388"/>
      <c r="F758" s="388"/>
      <c r="G758" s="388"/>
      <c r="H758" s="388"/>
      <c r="I758" s="388"/>
      <c r="J758" s="388"/>
      <c r="K758" s="388"/>
      <c r="L758" s="388"/>
      <c r="M758" s="388"/>
      <c r="N758" s="397"/>
    </row>
    <row r="759" spans="1:14" ht="15" customHeight="1" x14ac:dyDescent="0.25">
      <c r="A759" s="382"/>
      <c r="B759" s="391"/>
      <c r="C759" s="396"/>
      <c r="D759" s="388"/>
      <c r="E759" s="388"/>
      <c r="F759" s="388"/>
      <c r="G759" s="388"/>
      <c r="H759" s="388"/>
      <c r="I759" s="388"/>
      <c r="J759" s="388"/>
      <c r="K759" s="388"/>
      <c r="L759" s="388"/>
      <c r="M759" s="388"/>
      <c r="N759" s="397"/>
    </row>
    <row r="760" spans="1:14" ht="15" customHeight="1" x14ac:dyDescent="0.25">
      <c r="A760" s="382"/>
      <c r="B760" s="391"/>
      <c r="C760" s="396"/>
      <c r="D760" s="388"/>
      <c r="E760" s="388"/>
      <c r="F760" s="388"/>
      <c r="G760" s="388"/>
      <c r="H760" s="388"/>
      <c r="I760" s="388"/>
      <c r="J760" s="388"/>
      <c r="K760" s="388"/>
      <c r="L760" s="388"/>
      <c r="M760" s="388"/>
      <c r="N760" s="397"/>
    </row>
    <row r="761" spans="1:14" ht="15" customHeight="1" x14ac:dyDescent="0.25">
      <c r="A761" s="382"/>
      <c r="B761" s="391"/>
      <c r="C761" s="396"/>
      <c r="D761" s="388"/>
      <c r="E761" s="388"/>
      <c r="F761" s="388"/>
      <c r="G761" s="388"/>
      <c r="H761" s="388"/>
      <c r="I761" s="388"/>
      <c r="J761" s="388"/>
      <c r="K761" s="388"/>
      <c r="L761" s="388"/>
      <c r="M761" s="388"/>
      <c r="N761" s="397"/>
    </row>
    <row r="762" spans="1:14" ht="15" customHeight="1" x14ac:dyDescent="0.25">
      <c r="A762" s="382"/>
      <c r="B762" s="391"/>
      <c r="C762" s="396"/>
      <c r="D762" s="388"/>
      <c r="E762" s="388"/>
      <c r="F762" s="388"/>
      <c r="G762" s="388"/>
      <c r="H762" s="388"/>
      <c r="I762" s="388"/>
      <c r="J762" s="388"/>
      <c r="K762" s="388"/>
      <c r="L762" s="388"/>
      <c r="M762" s="388"/>
      <c r="N762" s="397"/>
    </row>
    <row r="763" spans="1:14" ht="15.75" customHeight="1" thickBot="1" x14ac:dyDescent="0.3">
      <c r="A763" s="383"/>
      <c r="B763" s="392"/>
      <c r="C763" s="398"/>
      <c r="D763" s="399"/>
      <c r="E763" s="399"/>
      <c r="F763" s="399"/>
      <c r="G763" s="399"/>
      <c r="H763" s="399"/>
      <c r="I763" s="399"/>
      <c r="J763" s="399"/>
      <c r="K763" s="399"/>
      <c r="L763" s="399"/>
      <c r="M763" s="399"/>
      <c r="N763" s="400"/>
    </row>
  </sheetData>
  <mergeCells count="102">
    <mergeCell ref="A1:N1"/>
    <mergeCell ref="A2:N2"/>
    <mergeCell ref="A3:N3"/>
    <mergeCell ref="A5:A27"/>
    <mergeCell ref="C5:N27"/>
    <mergeCell ref="B5:B27"/>
    <mergeCell ref="A74:A96"/>
    <mergeCell ref="C74:N96"/>
    <mergeCell ref="B74:B96"/>
    <mergeCell ref="A97:A119"/>
    <mergeCell ref="C97:N119"/>
    <mergeCell ref="B97:B119"/>
    <mergeCell ref="A28:A50"/>
    <mergeCell ref="C28:N50"/>
    <mergeCell ref="B28:B50"/>
    <mergeCell ref="A51:A73"/>
    <mergeCell ref="C51:N73"/>
    <mergeCell ref="B51:B73"/>
    <mergeCell ref="A166:A188"/>
    <mergeCell ref="C166:N188"/>
    <mergeCell ref="B166:B188"/>
    <mergeCell ref="A189:A211"/>
    <mergeCell ref="C189:N211"/>
    <mergeCell ref="B189:B211"/>
    <mergeCell ref="A120:A142"/>
    <mergeCell ref="C120:N142"/>
    <mergeCell ref="B120:B142"/>
    <mergeCell ref="A143:A165"/>
    <mergeCell ref="C143:N165"/>
    <mergeCell ref="B143:B165"/>
    <mergeCell ref="A258:A280"/>
    <mergeCell ref="C258:N280"/>
    <mergeCell ref="B258:B280"/>
    <mergeCell ref="A281:A303"/>
    <mergeCell ref="C281:N303"/>
    <mergeCell ref="B281:B303"/>
    <mergeCell ref="A212:A234"/>
    <mergeCell ref="C212:N234"/>
    <mergeCell ref="B212:B234"/>
    <mergeCell ref="A235:A257"/>
    <mergeCell ref="C235:N257"/>
    <mergeCell ref="B235:B257"/>
    <mergeCell ref="A350:A372"/>
    <mergeCell ref="C350:N372"/>
    <mergeCell ref="B350:B372"/>
    <mergeCell ref="A373:A395"/>
    <mergeCell ref="C373:N395"/>
    <mergeCell ref="B373:B395"/>
    <mergeCell ref="A304:A326"/>
    <mergeCell ref="C304:N326"/>
    <mergeCell ref="B304:B326"/>
    <mergeCell ref="A327:A349"/>
    <mergeCell ref="C327:N349"/>
    <mergeCell ref="B327:B349"/>
    <mergeCell ref="A442:A464"/>
    <mergeCell ref="C442:N464"/>
    <mergeCell ref="B442:B464"/>
    <mergeCell ref="A465:A487"/>
    <mergeCell ref="C465:N487"/>
    <mergeCell ref="B465:B487"/>
    <mergeCell ref="A396:A418"/>
    <mergeCell ref="C396:N418"/>
    <mergeCell ref="B396:B418"/>
    <mergeCell ref="A419:A441"/>
    <mergeCell ref="C419:N441"/>
    <mergeCell ref="B419:B441"/>
    <mergeCell ref="A534:A556"/>
    <mergeCell ref="C534:N556"/>
    <mergeCell ref="B534:B556"/>
    <mergeCell ref="A557:A579"/>
    <mergeCell ref="C557:N579"/>
    <mergeCell ref="B557:B579"/>
    <mergeCell ref="A488:A510"/>
    <mergeCell ref="C488:N510"/>
    <mergeCell ref="B488:B510"/>
    <mergeCell ref="A511:A533"/>
    <mergeCell ref="C511:N533"/>
    <mergeCell ref="B511:B533"/>
    <mergeCell ref="A626:A648"/>
    <mergeCell ref="C626:N648"/>
    <mergeCell ref="B626:B648"/>
    <mergeCell ref="A649:A671"/>
    <mergeCell ref="C649:N671"/>
    <mergeCell ref="B649:B671"/>
    <mergeCell ref="A580:A602"/>
    <mergeCell ref="C580:N602"/>
    <mergeCell ref="B580:B602"/>
    <mergeCell ref="A603:A625"/>
    <mergeCell ref="C603:N625"/>
    <mergeCell ref="B603:B625"/>
    <mergeCell ref="A718:A740"/>
    <mergeCell ref="C718:N740"/>
    <mergeCell ref="B718:B740"/>
    <mergeCell ref="A741:A763"/>
    <mergeCell ref="C741:N763"/>
    <mergeCell ref="B741:B763"/>
    <mergeCell ref="A672:A694"/>
    <mergeCell ref="C672:N694"/>
    <mergeCell ref="B672:B694"/>
    <mergeCell ref="A695:A717"/>
    <mergeCell ref="C695:N717"/>
    <mergeCell ref="B695:B7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36</vt:i4>
      </vt:variant>
    </vt:vector>
  </HeadingPairs>
  <TitlesOfParts>
    <vt:vector size="77" baseType="lpstr">
      <vt:lpstr>DATOS INICIALES</vt:lpstr>
      <vt:lpstr>PROPONENTES</vt:lpstr>
      <vt:lpstr>1</vt:lpstr>
      <vt:lpstr>K RESIDUAL DOCUMENTOS</vt:lpstr>
      <vt:lpstr>K RESIDUAL CALCULO</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CONSOLIDADO</vt:lpstr>
      <vt:lpstr>PUNTAJE</vt:lpstr>
      <vt:lpstr>PONDERACION</vt:lpstr>
      <vt:lpstr>K RESIDUAL</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'DATOS INICIALES'!Área_de_impresión</vt:lpstr>
      <vt:lpstr>PROPONENTES!Área_de_impresión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Miguel Andres Bejarano Alfonso</cp:lastModifiedBy>
  <cp:revision/>
  <cp:lastPrinted>2022-07-27T03:16:54Z</cp:lastPrinted>
  <dcterms:created xsi:type="dcterms:W3CDTF">2020-12-10T19:47:01Z</dcterms:created>
  <dcterms:modified xsi:type="dcterms:W3CDTF">2024-12-19T18:19:06Z</dcterms:modified>
  <cp:category/>
  <cp:contentStatus/>
</cp:coreProperties>
</file>