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carlosmonroyrodriguez/Library/CloudStorage/OneDrive-Personal/CARLOS/SECRETARIA/INTERVENTORIA/ETAPA 3/EVALUACION FINAL/"/>
    </mc:Choice>
  </mc:AlternateContent>
  <xr:revisionPtr revIDLastSave="0" documentId="13_ncr:1_{3A66E3AE-D928-3242-9F19-5821AA5D6AB3}" xr6:coauthVersionLast="47" xr6:coauthVersionMax="47" xr10:uidLastSave="{00000000-0000-0000-0000-000000000000}"/>
  <bookViews>
    <workbookView xWindow="4440" yWindow="740" windowWidth="24960" windowHeight="15100" tabRatio="806" activeTab="2" xr2:uid="{00000000-000D-0000-FFFF-FFFF00000000}"/>
  </bookViews>
  <sheets>
    <sheet name="Ref" sheetId="31" state="hidden" r:id="rId1"/>
    <sheet name="SMMLV" sheetId="53" state="hidden" r:id="rId2"/>
    <sheet name="CONSOLIDADO" sheetId="55" r:id="rId3"/>
    <sheet name="PONDERABLE" sheetId="61" r:id="rId4"/>
    <sheet name="O1" sheetId="62" r:id="rId5"/>
    <sheet name="O2" sheetId="63" r:id="rId6"/>
    <sheet name="O3" sheetId="64" r:id="rId7"/>
    <sheet name="O4" sheetId="65" r:id="rId8"/>
    <sheet name="O5" sheetId="66" r:id="rId9"/>
    <sheet name="O6" sheetId="71" r:id="rId10"/>
    <sheet name="O7" sheetId="68" r:id="rId11"/>
    <sheet name="O8" sheetId="69" r:id="rId12"/>
    <sheet name="Desempate" sheetId="70" r:id="rId13"/>
  </sheets>
  <externalReferences>
    <externalReference r:id="rId14"/>
  </externalReferences>
  <definedNames>
    <definedName name="_xlnm.Print_Area" localSheetId="4">'O1'!$A$1:$F$369</definedName>
    <definedName name="_xlnm.Print_Area" localSheetId="5">'O2'!$A$1:$F$369</definedName>
    <definedName name="_xlnm.Print_Area" localSheetId="6">'O3'!$A$1:$F$368</definedName>
    <definedName name="_xlnm.Print_Area" localSheetId="7">'O4'!$A$1:$F$368</definedName>
    <definedName name="_xlnm.Print_Area" localSheetId="8">'O5'!$A$1:$F$383</definedName>
    <definedName name="_xlnm.Print_Area" localSheetId="9">'O6'!$A$1:$F$377</definedName>
    <definedName name="_xlnm.Print_Area" localSheetId="10">'O7'!$A$1:$F$383</definedName>
    <definedName name="_xlnm.Print_Area" localSheetId="11">'O8'!$A$1:$F$383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70" l="1"/>
  <c r="E13" i="70"/>
  <c r="C13" i="70"/>
  <c r="B13" i="70"/>
  <c r="H13" i="61"/>
  <c r="G13" i="61"/>
  <c r="F13" i="61"/>
  <c r="E13" i="61"/>
  <c r="D13" i="61"/>
  <c r="C13" i="61"/>
  <c r="E10" i="55"/>
  <c r="D10" i="55"/>
  <c r="C10" i="55"/>
  <c r="B10" i="55"/>
  <c r="B5" i="71"/>
  <c r="E20" i="71"/>
  <c r="E22" i="71"/>
  <c r="E35" i="71" s="1"/>
  <c r="E23" i="71"/>
  <c r="D24" i="71"/>
  <c r="E24" i="71" s="1"/>
  <c r="E25" i="71"/>
  <c r="E26" i="71"/>
  <c r="E27" i="71"/>
  <c r="E28" i="71"/>
  <c r="E29" i="71"/>
  <c r="E30" i="71"/>
  <c r="E31" i="71"/>
  <c r="E32" i="71"/>
  <c r="E33" i="71"/>
  <c r="E34" i="71"/>
  <c r="E41" i="71"/>
  <c r="E43" i="71"/>
  <c r="E44" i="71"/>
  <c r="D45" i="71"/>
  <c r="E45" i="71" s="1"/>
  <c r="E46" i="71"/>
  <c r="E47" i="71"/>
  <c r="E48" i="71"/>
  <c r="E49" i="71"/>
  <c r="E50" i="71"/>
  <c r="E51" i="71"/>
  <c r="E52" i="71"/>
  <c r="E53" i="71"/>
  <c r="E54" i="71"/>
  <c r="E55" i="71"/>
  <c r="E62" i="71"/>
  <c r="E64" i="71"/>
  <c r="E77" i="71" s="1"/>
  <c r="E65" i="71"/>
  <c r="D66" i="71"/>
  <c r="E66" i="71" s="1"/>
  <c r="E67" i="71"/>
  <c r="E68" i="71"/>
  <c r="E69" i="71"/>
  <c r="E70" i="71"/>
  <c r="E71" i="71"/>
  <c r="E72" i="71"/>
  <c r="E73" i="71"/>
  <c r="E74" i="71"/>
  <c r="E75" i="71"/>
  <c r="E76" i="71"/>
  <c r="E83" i="71"/>
  <c r="E85" i="71"/>
  <c r="E86" i="71"/>
  <c r="D87" i="71"/>
  <c r="E87" i="71" s="1"/>
  <c r="E88" i="71"/>
  <c r="E89" i="71"/>
  <c r="E90" i="71"/>
  <c r="E91" i="71"/>
  <c r="E92" i="71"/>
  <c r="E93" i="71"/>
  <c r="E94" i="71"/>
  <c r="E95" i="71"/>
  <c r="E96" i="71"/>
  <c r="E97" i="71"/>
  <c r="E105" i="71"/>
  <c r="E107" i="71"/>
  <c r="E120" i="71" s="1"/>
  <c r="E108" i="71"/>
  <c r="D109" i="71"/>
  <c r="E109" i="71" s="1"/>
  <c r="E110" i="71"/>
  <c r="E111" i="71"/>
  <c r="E112" i="71"/>
  <c r="E113" i="71"/>
  <c r="E114" i="71"/>
  <c r="E115" i="71"/>
  <c r="E116" i="71"/>
  <c r="E117" i="71"/>
  <c r="E118" i="71"/>
  <c r="E119" i="71"/>
  <c r="F123" i="71"/>
  <c r="F126" i="71"/>
  <c r="F127" i="71"/>
  <c r="F138" i="71" s="1"/>
  <c r="F131" i="71"/>
  <c r="F135" i="71"/>
  <c r="E145" i="71"/>
  <c r="E146" i="71"/>
  <c r="E147" i="71"/>
  <c r="E148" i="71"/>
  <c r="E149" i="71"/>
  <c r="D150" i="71"/>
  <c r="E150" i="71" s="1"/>
  <c r="E151" i="71"/>
  <c r="E152" i="71"/>
  <c r="E153" i="71"/>
  <c r="E155" i="71"/>
  <c r="E156" i="71"/>
  <c r="E157" i="71"/>
  <c r="E158" i="71"/>
  <c r="E159" i="71"/>
  <c r="E160" i="71"/>
  <c r="E161" i="71"/>
  <c r="D162" i="71"/>
  <c r="F182" i="71" s="1"/>
  <c r="F183" i="71" s="1"/>
  <c r="E164" i="71"/>
  <c r="E165" i="71"/>
  <c r="E166" i="71"/>
  <c r="E167" i="71"/>
  <c r="E168" i="71"/>
  <c r="E169" i="71"/>
  <c r="E170" i="71"/>
  <c r="D171" i="71"/>
  <c r="E173" i="71"/>
  <c r="E174" i="71"/>
  <c r="E175" i="71"/>
  <c r="E176" i="71"/>
  <c r="E177" i="71"/>
  <c r="E178" i="71"/>
  <c r="E179" i="71"/>
  <c r="D180" i="71"/>
  <c r="E190" i="71"/>
  <c r="E191" i="71"/>
  <c r="E192" i="71"/>
  <c r="E193" i="71"/>
  <c r="E194" i="71"/>
  <c r="D195" i="71"/>
  <c r="E195" i="71"/>
  <c r="E196" i="71"/>
  <c r="E197" i="71"/>
  <c r="E198" i="71"/>
  <c r="E200" i="71"/>
  <c r="E201" i="71"/>
  <c r="E202" i="71"/>
  <c r="E203" i="71"/>
  <c r="E204" i="71"/>
  <c r="E205" i="71"/>
  <c r="E206" i="71"/>
  <c r="D207" i="71"/>
  <c r="E209" i="71"/>
  <c r="E210" i="71"/>
  <c r="E211" i="71"/>
  <c r="E212" i="71"/>
  <c r="E213" i="71"/>
  <c r="E214" i="71"/>
  <c r="E215" i="71"/>
  <c r="D216" i="71"/>
  <c r="F218" i="71"/>
  <c r="F219" i="71"/>
  <c r="F222" i="71"/>
  <c r="E226" i="71"/>
  <c r="E227" i="71"/>
  <c r="F258" i="71" s="1"/>
  <c r="E228" i="71"/>
  <c r="E229" i="71"/>
  <c r="E230" i="71"/>
  <c r="D231" i="71"/>
  <c r="E231" i="71"/>
  <c r="E232" i="71"/>
  <c r="E233" i="71"/>
  <c r="E234" i="71"/>
  <c r="E236" i="71"/>
  <c r="E237" i="71"/>
  <c r="E238" i="71"/>
  <c r="E239" i="71"/>
  <c r="E240" i="71"/>
  <c r="E241" i="71"/>
  <c r="E242" i="71"/>
  <c r="D243" i="71"/>
  <c r="E245" i="71"/>
  <c r="E246" i="71"/>
  <c r="E247" i="71"/>
  <c r="E248" i="71"/>
  <c r="E249" i="71"/>
  <c r="E250" i="71"/>
  <c r="E251" i="71"/>
  <c r="D252" i="71"/>
  <c r="F254" i="71"/>
  <c r="F255" i="71"/>
  <c r="F266" i="71"/>
  <c r="F269" i="71"/>
  <c r="E281" i="71"/>
  <c r="E292" i="71" s="1"/>
  <c r="E283" i="71"/>
  <c r="E284" i="71"/>
  <c r="D285" i="71"/>
  <c r="E285" i="71"/>
  <c r="E286" i="71"/>
  <c r="E287" i="71"/>
  <c r="E288" i="71"/>
  <c r="E289" i="71"/>
  <c r="E290" i="71"/>
  <c r="E291" i="71"/>
  <c r="E298" i="71"/>
  <c r="E309" i="71" s="1"/>
  <c r="E300" i="71"/>
  <c r="E301" i="71"/>
  <c r="D302" i="71"/>
  <c r="E302" i="71"/>
  <c r="E303" i="71"/>
  <c r="E304" i="71"/>
  <c r="E305" i="71"/>
  <c r="E306" i="71"/>
  <c r="E307" i="71"/>
  <c r="E308" i="71"/>
  <c r="F311" i="71"/>
  <c r="D313" i="71"/>
  <c r="E321" i="71"/>
  <c r="E322" i="71"/>
  <c r="E323" i="71"/>
  <c r="E324" i="71"/>
  <c r="E325" i="71"/>
  <c r="E326" i="71"/>
  <c r="E327" i="71"/>
  <c r="D328" i="71"/>
  <c r="E329" i="71"/>
  <c r="E330" i="71"/>
  <c r="E331" i="71"/>
  <c r="E332" i="71"/>
  <c r="E333" i="71"/>
  <c r="E334" i="71"/>
  <c r="E335" i="71"/>
  <c r="D336" i="71"/>
  <c r="F337" i="71"/>
  <c r="E339" i="71" s="1"/>
  <c r="E343" i="71"/>
  <c r="E348" i="71"/>
  <c r="D353" i="71"/>
  <c r="E353" i="71" s="1"/>
  <c r="D354" i="71"/>
  <c r="D355" i="71"/>
  <c r="D356" i="71"/>
  <c r="D361" i="71"/>
  <c r="D362" i="71"/>
  <c r="E361" i="71" s="1"/>
  <c r="D363" i="71"/>
  <c r="D364" i="71"/>
  <c r="D367" i="71"/>
  <c r="D368" i="71"/>
  <c r="E367" i="71" s="1"/>
  <c r="D369" i="71"/>
  <c r="D370" i="71"/>
  <c r="D371" i="71"/>
  <c r="F186" i="71" l="1"/>
  <c r="F260" i="71" s="1"/>
  <c r="F271" i="71" s="1"/>
  <c r="E376" i="71"/>
  <c r="E98" i="71"/>
  <c r="E56" i="71"/>
  <c r="C16" i="70" l="1"/>
  <c r="F11" i="70"/>
  <c r="E11" i="70"/>
  <c r="C12" i="70"/>
  <c r="C11" i="70"/>
  <c r="D15" i="70"/>
  <c r="D14" i="70"/>
  <c r="C15" i="70"/>
  <c r="C14" i="70"/>
  <c r="B16" i="70"/>
  <c r="B14" i="70"/>
  <c r="B12" i="70"/>
  <c r="B11" i="70"/>
  <c r="D168" i="62"/>
  <c r="B6" i="70" l="1"/>
  <c r="C6" i="70" s="1"/>
  <c r="E10" i="70"/>
  <c r="E9" i="70"/>
  <c r="D10" i="70"/>
  <c r="D9" i="70"/>
  <c r="C10" i="70"/>
  <c r="C9" i="70"/>
  <c r="B9" i="70"/>
  <c r="D209" i="64"/>
  <c r="E204" i="64"/>
  <c r="D167" i="64"/>
  <c r="E162" i="64"/>
  <c r="H328" i="64"/>
  <c r="H302" i="64"/>
  <c r="H258" i="64"/>
  <c r="H260" i="64" s="1"/>
  <c r="H249" i="64"/>
  <c r="H250" i="64" s="1"/>
  <c r="H252" i="64" s="1"/>
  <c r="H219" i="64"/>
  <c r="H221" i="64" s="1"/>
  <c r="H218" i="64"/>
  <c r="H254" i="64"/>
  <c r="H262" i="64" s="1"/>
  <c r="H329" i="62"/>
  <c r="H303" i="62"/>
  <c r="H259" i="62"/>
  <c r="H261" i="62" s="1"/>
  <c r="H250" i="62"/>
  <c r="H251" i="62" s="1"/>
  <c r="H253" i="62" s="1"/>
  <c r="F9" i="70" l="1"/>
  <c r="G9" i="70" s="1"/>
  <c r="H255" i="62"/>
  <c r="H263" i="62" s="1"/>
  <c r="D319" i="64"/>
  <c r="E8" i="70"/>
  <c r="E7" i="70"/>
  <c r="C8" i="70"/>
  <c r="C7" i="70"/>
  <c r="B7" i="70"/>
  <c r="D210" i="63"/>
  <c r="H329" i="63"/>
  <c r="H303" i="63"/>
  <c r="F7" i="70" l="1"/>
  <c r="G7" i="70"/>
  <c r="G10" i="70"/>
  <c r="G8" i="70"/>
  <c r="D249" i="63"/>
  <c r="B23" i="61"/>
  <c r="B24" i="61"/>
  <c r="C22" i="61"/>
  <c r="C23" i="61"/>
  <c r="C24" i="61"/>
  <c r="B22" i="61"/>
  <c r="B11" i="61"/>
  <c r="B14" i="61"/>
  <c r="E12" i="55"/>
  <c r="B8" i="55"/>
  <c r="B7" i="55"/>
  <c r="B10" i="61" s="1"/>
  <c r="B12" i="55"/>
  <c r="B15" i="61" s="1"/>
  <c r="B11" i="55"/>
  <c r="B13" i="61"/>
  <c r="B9" i="55"/>
  <c r="B12" i="61" s="1"/>
  <c r="D377" i="69"/>
  <c r="D376" i="69"/>
  <c r="D375" i="69"/>
  <c r="D374" i="69"/>
  <c r="D373" i="69"/>
  <c r="E373" i="69" s="1"/>
  <c r="D370" i="69"/>
  <c r="D369" i="69"/>
  <c r="D368" i="69"/>
  <c r="D367" i="69"/>
  <c r="E367" i="69" s="1"/>
  <c r="H15" i="61" s="1"/>
  <c r="D361" i="69"/>
  <c r="D360" i="69"/>
  <c r="D359" i="69"/>
  <c r="E354" i="69"/>
  <c r="F15" i="61" s="1"/>
  <c r="E349" i="69"/>
  <c r="E15" i="61" s="1"/>
  <c r="D342" i="69"/>
  <c r="E341" i="69"/>
  <c r="E340" i="69"/>
  <c r="E339" i="69"/>
  <c r="E338" i="69"/>
  <c r="E337" i="69"/>
  <c r="E336" i="69"/>
  <c r="E335" i="69"/>
  <c r="D334" i="69"/>
  <c r="F343" i="69" s="1"/>
  <c r="E345" i="69" s="1"/>
  <c r="D15" i="61" s="1"/>
  <c r="E333" i="69"/>
  <c r="E332" i="69"/>
  <c r="E331" i="69"/>
  <c r="E330" i="69"/>
  <c r="E329" i="69"/>
  <c r="E328" i="69"/>
  <c r="E327" i="69"/>
  <c r="E314" i="69"/>
  <c r="E313" i="69"/>
  <c r="E312" i="69"/>
  <c r="E311" i="69"/>
  <c r="E310" i="69"/>
  <c r="E309" i="69"/>
  <c r="D308" i="69"/>
  <c r="E308" i="69" s="1"/>
  <c r="E307" i="69"/>
  <c r="E306" i="69"/>
  <c r="E304" i="69"/>
  <c r="E297" i="69"/>
  <c r="E296" i="69"/>
  <c r="E295" i="69"/>
  <c r="E294" i="69"/>
  <c r="E293" i="69"/>
  <c r="E292" i="69"/>
  <c r="D291" i="69"/>
  <c r="E291" i="69" s="1"/>
  <c r="E290" i="69"/>
  <c r="E289" i="69"/>
  <c r="E287" i="69"/>
  <c r="F272" i="69"/>
  <c r="F275" i="69" s="1"/>
  <c r="D258" i="69"/>
  <c r="E257" i="69"/>
  <c r="E256" i="69"/>
  <c r="E255" i="69"/>
  <c r="E254" i="69"/>
  <c r="E253" i="69"/>
  <c r="E252" i="69"/>
  <c r="E251" i="69"/>
  <c r="D249" i="69"/>
  <c r="F260" i="69" s="1"/>
  <c r="F261" i="69" s="1"/>
  <c r="E248" i="69"/>
  <c r="E247" i="69"/>
  <c r="E246" i="69"/>
  <c r="E245" i="69"/>
  <c r="E244" i="69"/>
  <c r="E243" i="69"/>
  <c r="E242" i="69"/>
  <c r="E240" i="69"/>
  <c r="E239" i="69"/>
  <c r="E238" i="69"/>
  <c r="D237" i="69"/>
  <c r="E237" i="69" s="1"/>
  <c r="E236" i="69"/>
  <c r="E235" i="69"/>
  <c r="E234" i="69"/>
  <c r="E233" i="69"/>
  <c r="E232" i="69"/>
  <c r="D222" i="69"/>
  <c r="E221" i="69"/>
  <c r="E220" i="69"/>
  <c r="E219" i="69"/>
  <c r="E218" i="69"/>
  <c r="E217" i="69"/>
  <c r="E216" i="69"/>
  <c r="E215" i="69"/>
  <c r="D213" i="69"/>
  <c r="F224" i="69" s="1"/>
  <c r="F225" i="69" s="1"/>
  <c r="E212" i="69"/>
  <c r="E211" i="69"/>
  <c r="E210" i="69"/>
  <c r="E209" i="69"/>
  <c r="E208" i="69"/>
  <c r="E207" i="69"/>
  <c r="E206" i="69"/>
  <c r="E204" i="69"/>
  <c r="E203" i="69"/>
  <c r="E202" i="69"/>
  <c r="D201" i="69"/>
  <c r="E201" i="69" s="1"/>
  <c r="E200" i="69"/>
  <c r="E199" i="69"/>
  <c r="E198" i="69"/>
  <c r="E197" i="69"/>
  <c r="E196" i="69"/>
  <c r="D186" i="69"/>
  <c r="E185" i="69"/>
  <c r="E184" i="69"/>
  <c r="E183" i="69"/>
  <c r="E182" i="69"/>
  <c r="E181" i="69"/>
  <c r="E180" i="69"/>
  <c r="E179" i="69"/>
  <c r="D177" i="69"/>
  <c r="E176" i="69"/>
  <c r="E175" i="69"/>
  <c r="E174" i="69"/>
  <c r="E173" i="69"/>
  <c r="E172" i="69"/>
  <c r="E171" i="69"/>
  <c r="E170" i="69"/>
  <c r="D168" i="69"/>
  <c r="F188" i="69" s="1"/>
  <c r="F189" i="69" s="1"/>
  <c r="E167" i="69"/>
  <c r="E166" i="69"/>
  <c r="E165" i="69"/>
  <c r="E164" i="69"/>
  <c r="E163" i="69"/>
  <c r="E162" i="69"/>
  <c r="E161" i="69"/>
  <c r="E159" i="69"/>
  <c r="E158" i="69"/>
  <c r="E157" i="69"/>
  <c r="D156" i="69"/>
  <c r="E156" i="69" s="1"/>
  <c r="E155" i="69"/>
  <c r="E154" i="69"/>
  <c r="E153" i="69"/>
  <c r="E152" i="69"/>
  <c r="E151" i="69"/>
  <c r="F135" i="69"/>
  <c r="F131" i="69"/>
  <c r="F123" i="69"/>
  <c r="E119" i="69"/>
  <c r="E118" i="69"/>
  <c r="E117" i="69"/>
  <c r="E116" i="69"/>
  <c r="E115" i="69"/>
  <c r="E114" i="69"/>
  <c r="E113" i="69"/>
  <c r="E112" i="69"/>
  <c r="E111" i="69"/>
  <c r="E110" i="69"/>
  <c r="D109" i="69"/>
  <c r="E109" i="69" s="1"/>
  <c r="E108" i="69"/>
  <c r="E107" i="69"/>
  <c r="E105" i="69"/>
  <c r="E97" i="69"/>
  <c r="E96" i="69"/>
  <c r="E95" i="69"/>
  <c r="E94" i="69"/>
  <c r="E93" i="69"/>
  <c r="E92" i="69"/>
  <c r="E91" i="69"/>
  <c r="E90" i="69"/>
  <c r="E89" i="69"/>
  <c r="E88" i="69"/>
  <c r="D87" i="69"/>
  <c r="E87" i="69" s="1"/>
  <c r="E86" i="69"/>
  <c r="E85" i="69"/>
  <c r="E83" i="69"/>
  <c r="E76" i="69"/>
  <c r="E75" i="69"/>
  <c r="E74" i="69"/>
  <c r="E73" i="69"/>
  <c r="E72" i="69"/>
  <c r="E71" i="69"/>
  <c r="E70" i="69"/>
  <c r="E69" i="69"/>
  <c r="E68" i="69"/>
  <c r="E67" i="69"/>
  <c r="D66" i="69"/>
  <c r="E66" i="69" s="1"/>
  <c r="E65" i="69"/>
  <c r="E64" i="69"/>
  <c r="E62" i="69"/>
  <c r="E55" i="69"/>
  <c r="E54" i="69"/>
  <c r="E53" i="69"/>
  <c r="E52" i="69"/>
  <c r="E51" i="69"/>
  <c r="E50" i="69"/>
  <c r="E49" i="69"/>
  <c r="E48" i="69"/>
  <c r="E47" i="69"/>
  <c r="E46" i="69"/>
  <c r="D45" i="69"/>
  <c r="E45" i="69" s="1"/>
  <c r="E44" i="69"/>
  <c r="E43" i="69"/>
  <c r="E41" i="69"/>
  <c r="E34" i="69"/>
  <c r="E33" i="69"/>
  <c r="E32" i="69"/>
  <c r="E31" i="69"/>
  <c r="E30" i="69"/>
  <c r="E29" i="69"/>
  <c r="E28" i="69"/>
  <c r="E27" i="69"/>
  <c r="E26" i="69"/>
  <c r="E25" i="69"/>
  <c r="D24" i="69"/>
  <c r="E24" i="69" s="1"/>
  <c r="E23" i="69"/>
  <c r="E22" i="69"/>
  <c r="E20" i="69"/>
  <c r="B5" i="69"/>
  <c r="D377" i="68"/>
  <c r="D376" i="68"/>
  <c r="D375" i="68"/>
  <c r="D374" i="68"/>
  <c r="D373" i="68"/>
  <c r="D370" i="68"/>
  <c r="D369" i="68"/>
  <c r="D368" i="68"/>
  <c r="D367" i="68"/>
  <c r="D361" i="68"/>
  <c r="D360" i="68"/>
  <c r="D359" i="68"/>
  <c r="E354" i="68"/>
  <c r="F14" i="61" s="1"/>
  <c r="E349" i="68"/>
  <c r="E14" i="61" s="1"/>
  <c r="D342" i="68"/>
  <c r="E341" i="68"/>
  <c r="E340" i="68"/>
  <c r="E339" i="68"/>
  <c r="E338" i="68"/>
  <c r="E337" i="68"/>
  <c r="E336" i="68"/>
  <c r="E335" i="68"/>
  <c r="D334" i="68"/>
  <c r="F343" i="68" s="1"/>
  <c r="E345" i="68" s="1"/>
  <c r="D14" i="61" s="1"/>
  <c r="E333" i="68"/>
  <c r="E332" i="68"/>
  <c r="E331" i="68"/>
  <c r="E330" i="68"/>
  <c r="E329" i="68"/>
  <c r="E328" i="68"/>
  <c r="E327" i="68"/>
  <c r="E314" i="68"/>
  <c r="E313" i="68"/>
  <c r="E312" i="68"/>
  <c r="E311" i="68"/>
  <c r="E310" i="68"/>
  <c r="E309" i="68"/>
  <c r="D308" i="68"/>
  <c r="E308" i="68" s="1"/>
  <c r="E307" i="68"/>
  <c r="E306" i="68"/>
  <c r="E304" i="68"/>
  <c r="E297" i="68"/>
  <c r="E296" i="68"/>
  <c r="E295" i="68"/>
  <c r="E294" i="68"/>
  <c r="E293" i="68"/>
  <c r="E292" i="68"/>
  <c r="D291" i="68"/>
  <c r="F317" i="68" s="1"/>
  <c r="D319" i="68" s="1"/>
  <c r="C14" i="61" s="1"/>
  <c r="E290" i="68"/>
  <c r="E289" i="68"/>
  <c r="E287" i="68"/>
  <c r="F272" i="68"/>
  <c r="F275" i="68" s="1"/>
  <c r="E11" i="55" s="1"/>
  <c r="D258" i="68"/>
  <c r="E257" i="68"/>
  <c r="E256" i="68"/>
  <c r="E255" i="68"/>
  <c r="E254" i="68"/>
  <c r="E253" i="68"/>
  <c r="E252" i="68"/>
  <c r="E251" i="68"/>
  <c r="D249" i="68"/>
  <c r="F260" i="68" s="1"/>
  <c r="F261" i="68" s="1"/>
  <c r="E248" i="68"/>
  <c r="E247" i="68"/>
  <c r="E246" i="68"/>
  <c r="E245" i="68"/>
  <c r="E244" i="68"/>
  <c r="E243" i="68"/>
  <c r="E242" i="68"/>
  <c r="E240" i="68"/>
  <c r="E239" i="68"/>
  <c r="E238" i="68"/>
  <c r="D237" i="68"/>
  <c r="E237" i="68" s="1"/>
  <c r="E236" i="68"/>
  <c r="E235" i="68"/>
  <c r="E234" i="68"/>
  <c r="E233" i="68"/>
  <c r="E232" i="68"/>
  <c r="D222" i="68"/>
  <c r="E221" i="68"/>
  <c r="E220" i="68"/>
  <c r="E219" i="68"/>
  <c r="E218" i="68"/>
  <c r="E217" i="68"/>
  <c r="E216" i="68"/>
  <c r="E215" i="68"/>
  <c r="D213" i="68"/>
  <c r="F224" i="68" s="1"/>
  <c r="F225" i="68" s="1"/>
  <c r="E212" i="68"/>
  <c r="E211" i="68"/>
  <c r="E210" i="68"/>
  <c r="E209" i="68"/>
  <c r="E208" i="68"/>
  <c r="E207" i="68"/>
  <c r="E206" i="68"/>
  <c r="E204" i="68"/>
  <c r="E203" i="68"/>
  <c r="E202" i="68"/>
  <c r="D201" i="68"/>
  <c r="E201" i="68" s="1"/>
  <c r="E200" i="68"/>
  <c r="E199" i="68"/>
  <c r="E198" i="68"/>
  <c r="E197" i="68"/>
  <c r="E196" i="68"/>
  <c r="D186" i="68"/>
  <c r="E185" i="68"/>
  <c r="E184" i="68"/>
  <c r="E183" i="68"/>
  <c r="E182" i="68"/>
  <c r="E181" i="68"/>
  <c r="E180" i="68"/>
  <c r="E179" i="68"/>
  <c r="D177" i="68"/>
  <c r="E176" i="68"/>
  <c r="E175" i="68"/>
  <c r="E174" i="68"/>
  <c r="E173" i="68"/>
  <c r="E172" i="68"/>
  <c r="E171" i="68"/>
  <c r="E170" i="68"/>
  <c r="D168" i="68"/>
  <c r="F188" i="68" s="1"/>
  <c r="F189" i="68" s="1"/>
  <c r="E167" i="68"/>
  <c r="E166" i="68"/>
  <c r="E165" i="68"/>
  <c r="E164" i="68"/>
  <c r="E163" i="68"/>
  <c r="E162" i="68"/>
  <c r="E161" i="68"/>
  <c r="E159" i="68"/>
  <c r="E158" i="68"/>
  <c r="E157" i="68"/>
  <c r="D156" i="68"/>
  <c r="E156" i="68" s="1"/>
  <c r="E155" i="68"/>
  <c r="E154" i="68"/>
  <c r="E153" i="68"/>
  <c r="E152" i="68"/>
  <c r="E151" i="68"/>
  <c r="F135" i="68"/>
  <c r="F131" i="68"/>
  <c r="F123" i="68"/>
  <c r="E119" i="68"/>
  <c r="E118" i="68"/>
  <c r="E117" i="68"/>
  <c r="E116" i="68"/>
  <c r="E115" i="68"/>
  <c r="E114" i="68"/>
  <c r="E113" i="68"/>
  <c r="E112" i="68"/>
  <c r="E111" i="68"/>
  <c r="E110" i="68"/>
  <c r="D109" i="68"/>
  <c r="E109" i="68" s="1"/>
  <c r="E108" i="68"/>
  <c r="E107" i="68"/>
  <c r="E105" i="68"/>
  <c r="E97" i="68"/>
  <c r="E96" i="68"/>
  <c r="E95" i="68"/>
  <c r="E94" i="68"/>
  <c r="E93" i="68"/>
  <c r="E92" i="68"/>
  <c r="E91" i="68"/>
  <c r="E90" i="68"/>
  <c r="E89" i="68"/>
  <c r="E88" i="68"/>
  <c r="D87" i="68"/>
  <c r="E87" i="68" s="1"/>
  <c r="E86" i="68"/>
  <c r="E85" i="68"/>
  <c r="E83" i="68"/>
  <c r="E76" i="68"/>
  <c r="E75" i="68"/>
  <c r="E74" i="68"/>
  <c r="E73" i="68"/>
  <c r="E72" i="68"/>
  <c r="E71" i="68"/>
  <c r="E70" i="68"/>
  <c r="E69" i="68"/>
  <c r="E68" i="68"/>
  <c r="E67" i="68"/>
  <c r="D66" i="68"/>
  <c r="E14" i="70" s="1"/>
  <c r="E65" i="68"/>
  <c r="E64" i="68"/>
  <c r="E62" i="68"/>
  <c r="E55" i="68"/>
  <c r="E54" i="68"/>
  <c r="E53" i="68"/>
  <c r="E52" i="68"/>
  <c r="E51" i="68"/>
  <c r="E50" i="68"/>
  <c r="E49" i="68"/>
  <c r="E48" i="68"/>
  <c r="E47" i="68"/>
  <c r="E46" i="68"/>
  <c r="D45" i="68"/>
  <c r="E45" i="68" s="1"/>
  <c r="E44" i="68"/>
  <c r="E43" i="68"/>
  <c r="E41" i="68"/>
  <c r="E34" i="68"/>
  <c r="E33" i="68"/>
  <c r="E32" i="68"/>
  <c r="E31" i="68"/>
  <c r="E30" i="68"/>
  <c r="E29" i="68"/>
  <c r="E28" i="68"/>
  <c r="E27" i="68"/>
  <c r="E26" i="68"/>
  <c r="E25" i="68"/>
  <c r="D24" i="68"/>
  <c r="E23" i="68"/>
  <c r="E22" i="68"/>
  <c r="E20" i="68"/>
  <c r="B5" i="68"/>
  <c r="D377" i="66"/>
  <c r="D376" i="66"/>
  <c r="D375" i="66"/>
  <c r="D374" i="66"/>
  <c r="D373" i="66"/>
  <c r="D370" i="66"/>
  <c r="D369" i="66"/>
  <c r="D368" i="66"/>
  <c r="D367" i="66"/>
  <c r="D361" i="66"/>
  <c r="D360" i="66"/>
  <c r="D359" i="66"/>
  <c r="E354" i="66"/>
  <c r="F12" i="61" s="1"/>
  <c r="E349" i="66"/>
  <c r="E12" i="61" s="1"/>
  <c r="D342" i="66"/>
  <c r="E341" i="66"/>
  <c r="E340" i="66"/>
  <c r="E339" i="66"/>
  <c r="E338" i="66"/>
  <c r="E337" i="66"/>
  <c r="E336" i="66"/>
  <c r="E335" i="66"/>
  <c r="D334" i="66"/>
  <c r="F343" i="66" s="1"/>
  <c r="E345" i="66" s="1"/>
  <c r="D12" i="61" s="1"/>
  <c r="E333" i="66"/>
  <c r="E332" i="66"/>
  <c r="E331" i="66"/>
  <c r="E330" i="66"/>
  <c r="E329" i="66"/>
  <c r="E328" i="66"/>
  <c r="E327" i="66"/>
  <c r="E314" i="66"/>
  <c r="E313" i="66"/>
  <c r="E312" i="66"/>
  <c r="E311" i="66"/>
  <c r="E310" i="66"/>
  <c r="E309" i="66"/>
  <c r="D308" i="66"/>
  <c r="E308" i="66" s="1"/>
  <c r="E307" i="66"/>
  <c r="E306" i="66"/>
  <c r="E304" i="66"/>
  <c r="E297" i="66"/>
  <c r="E296" i="66"/>
  <c r="E295" i="66"/>
  <c r="E294" i="66"/>
  <c r="E293" i="66"/>
  <c r="E292" i="66"/>
  <c r="D291" i="66"/>
  <c r="E290" i="66"/>
  <c r="E289" i="66"/>
  <c r="E287" i="66"/>
  <c r="F272" i="66"/>
  <c r="F275" i="66" s="1"/>
  <c r="E9" i="55" s="1"/>
  <c r="D258" i="66"/>
  <c r="E257" i="66"/>
  <c r="E256" i="66"/>
  <c r="E255" i="66"/>
  <c r="E254" i="66"/>
  <c r="E253" i="66"/>
  <c r="E252" i="66"/>
  <c r="E251" i="66"/>
  <c r="D249" i="66"/>
  <c r="F260" i="66" s="1"/>
  <c r="F261" i="66" s="1"/>
  <c r="E248" i="66"/>
  <c r="E247" i="66"/>
  <c r="E246" i="66"/>
  <c r="E245" i="66"/>
  <c r="E244" i="66"/>
  <c r="E243" i="66"/>
  <c r="E242" i="66"/>
  <c r="E240" i="66"/>
  <c r="E239" i="66"/>
  <c r="E238" i="66"/>
  <c r="E237" i="66"/>
  <c r="D237" i="66"/>
  <c r="E236" i="66"/>
  <c r="E235" i="66"/>
  <c r="E234" i="66"/>
  <c r="E233" i="66"/>
  <c r="E232" i="66"/>
  <c r="D222" i="66"/>
  <c r="E221" i="66"/>
  <c r="E220" i="66"/>
  <c r="E219" i="66"/>
  <c r="E218" i="66"/>
  <c r="E217" i="66"/>
  <c r="E216" i="66"/>
  <c r="E215" i="66"/>
  <c r="D213" i="66"/>
  <c r="F224" i="66" s="1"/>
  <c r="F225" i="66" s="1"/>
  <c r="E212" i="66"/>
  <c r="E211" i="66"/>
  <c r="E210" i="66"/>
  <c r="E209" i="66"/>
  <c r="E208" i="66"/>
  <c r="E207" i="66"/>
  <c r="E206" i="66"/>
  <c r="E204" i="66"/>
  <c r="E203" i="66"/>
  <c r="E202" i="66"/>
  <c r="D201" i="66"/>
  <c r="E201" i="66" s="1"/>
  <c r="E200" i="66"/>
  <c r="E199" i="66"/>
  <c r="E198" i="66"/>
  <c r="E197" i="66"/>
  <c r="E196" i="66"/>
  <c r="D186" i="66"/>
  <c r="E185" i="66"/>
  <c r="E184" i="66"/>
  <c r="E183" i="66"/>
  <c r="E182" i="66"/>
  <c r="E181" i="66"/>
  <c r="E180" i="66"/>
  <c r="E179" i="66"/>
  <c r="D177" i="66"/>
  <c r="E176" i="66"/>
  <c r="E175" i="66"/>
  <c r="E174" i="66"/>
  <c r="E173" i="66"/>
  <c r="E172" i="66"/>
  <c r="E171" i="66"/>
  <c r="E170" i="66"/>
  <c r="D168" i="66"/>
  <c r="F188" i="66" s="1"/>
  <c r="F189" i="66" s="1"/>
  <c r="E167" i="66"/>
  <c r="E166" i="66"/>
  <c r="E165" i="66"/>
  <c r="E164" i="66"/>
  <c r="E163" i="66"/>
  <c r="E162" i="66"/>
  <c r="E161" i="66"/>
  <c r="E159" i="66"/>
  <c r="E158" i="66"/>
  <c r="E157" i="66"/>
  <c r="E156" i="66"/>
  <c r="D156" i="66"/>
  <c r="E155" i="66"/>
  <c r="E154" i="66"/>
  <c r="E153" i="66"/>
  <c r="E152" i="66"/>
  <c r="E151" i="66"/>
  <c r="F135" i="66"/>
  <c r="F131" i="66"/>
  <c r="F123" i="66"/>
  <c r="E119" i="66"/>
  <c r="E118" i="66"/>
  <c r="E117" i="66"/>
  <c r="E116" i="66"/>
  <c r="E115" i="66"/>
  <c r="E114" i="66"/>
  <c r="E113" i="66"/>
  <c r="E112" i="66"/>
  <c r="E111" i="66"/>
  <c r="E110" i="66"/>
  <c r="D109" i="66"/>
  <c r="E109" i="66" s="1"/>
  <c r="E108" i="66"/>
  <c r="E107" i="66"/>
  <c r="E105" i="66"/>
  <c r="E97" i="66"/>
  <c r="E96" i="66"/>
  <c r="E95" i="66"/>
  <c r="E94" i="66"/>
  <c r="E93" i="66"/>
  <c r="E92" i="66"/>
  <c r="E91" i="66"/>
  <c r="E90" i="66"/>
  <c r="E89" i="66"/>
  <c r="E88" i="66"/>
  <c r="D87" i="66"/>
  <c r="E87" i="66" s="1"/>
  <c r="E86" i="66"/>
  <c r="E85" i="66"/>
  <c r="E83" i="66"/>
  <c r="E76" i="66"/>
  <c r="E75" i="66"/>
  <c r="E74" i="66"/>
  <c r="E73" i="66"/>
  <c r="E72" i="66"/>
  <c r="E71" i="66"/>
  <c r="E70" i="66"/>
  <c r="E69" i="66"/>
  <c r="E68" i="66"/>
  <c r="E67" i="66"/>
  <c r="D66" i="66"/>
  <c r="E66" i="66" s="1"/>
  <c r="E77" i="66" s="1"/>
  <c r="E65" i="66"/>
  <c r="E64" i="66"/>
  <c r="E62" i="66"/>
  <c r="E55" i="66"/>
  <c r="E54" i="66"/>
  <c r="E53" i="66"/>
  <c r="E52" i="66"/>
  <c r="E51" i="66"/>
  <c r="E50" i="66"/>
  <c r="E49" i="66"/>
  <c r="E48" i="66"/>
  <c r="E47" i="66"/>
  <c r="E46" i="66"/>
  <c r="D45" i="66"/>
  <c r="E45" i="66" s="1"/>
  <c r="E44" i="66"/>
  <c r="E43" i="66"/>
  <c r="E41" i="66"/>
  <c r="E34" i="66"/>
  <c r="E33" i="66"/>
  <c r="E32" i="66"/>
  <c r="E31" i="66"/>
  <c r="E30" i="66"/>
  <c r="E29" i="66"/>
  <c r="E28" i="66"/>
  <c r="E27" i="66"/>
  <c r="E26" i="66"/>
  <c r="E25" i="66"/>
  <c r="D24" i="66"/>
  <c r="E24" i="66" s="1"/>
  <c r="E35" i="66" s="1"/>
  <c r="E23" i="66"/>
  <c r="E22" i="66"/>
  <c r="E20" i="66"/>
  <c r="B5" i="66"/>
  <c r="D362" i="66" s="1"/>
  <c r="E298" i="69" l="1"/>
  <c r="E56" i="68"/>
  <c r="F317" i="69"/>
  <c r="D319" i="69" s="1"/>
  <c r="C15" i="61" s="1"/>
  <c r="F317" i="66"/>
  <c r="D319" i="66" s="1"/>
  <c r="C12" i="61" s="1"/>
  <c r="E24" i="68"/>
  <c r="E15" i="70"/>
  <c r="F14" i="70"/>
  <c r="G14" i="70"/>
  <c r="E315" i="68"/>
  <c r="E120" i="66"/>
  <c r="F228" i="66"/>
  <c r="F192" i="68"/>
  <c r="E56" i="66"/>
  <c r="E35" i="68"/>
  <c r="E120" i="68"/>
  <c r="F126" i="68"/>
  <c r="F127" i="68" s="1"/>
  <c r="F138" i="68" s="1"/>
  <c r="C11" i="55" s="1"/>
  <c r="E367" i="68"/>
  <c r="H14" i="61" s="1"/>
  <c r="E373" i="68"/>
  <c r="E56" i="69"/>
  <c r="E120" i="69"/>
  <c r="F126" i="69"/>
  <c r="E98" i="66"/>
  <c r="E291" i="68"/>
  <c r="E298" i="68" s="1"/>
  <c r="E367" i="66"/>
  <c r="E373" i="66"/>
  <c r="H12" i="61" s="1"/>
  <c r="C362" i="68"/>
  <c r="D362" i="68" s="1"/>
  <c r="E98" i="68"/>
  <c r="E98" i="69"/>
  <c r="M13" i="61"/>
  <c r="E66" i="68"/>
  <c r="E77" i="68" s="1"/>
  <c r="F264" i="68"/>
  <c r="E77" i="69"/>
  <c r="F264" i="69"/>
  <c r="F192" i="69"/>
  <c r="E315" i="69"/>
  <c r="E35" i="69"/>
  <c r="F228" i="69"/>
  <c r="C362" i="69"/>
  <c r="D362" i="69" s="1"/>
  <c r="E359" i="69" s="1"/>
  <c r="E359" i="68"/>
  <c r="F228" i="68"/>
  <c r="E315" i="66"/>
  <c r="E359" i="66"/>
  <c r="F192" i="66"/>
  <c r="F264" i="66"/>
  <c r="F126" i="66"/>
  <c r="E291" i="66"/>
  <c r="E298" i="66" s="1"/>
  <c r="F127" i="66" l="1"/>
  <c r="F138" i="66" s="1"/>
  <c r="C9" i="55" s="1"/>
  <c r="E12" i="70"/>
  <c r="F12" i="70" s="1"/>
  <c r="F127" i="69"/>
  <c r="F138" i="69" s="1"/>
  <c r="C12" i="55" s="1"/>
  <c r="E16" i="70"/>
  <c r="F16" i="70" s="1"/>
  <c r="G15" i="70"/>
  <c r="E382" i="66"/>
  <c r="G12" i="61"/>
  <c r="M12" i="61" s="1"/>
  <c r="E382" i="68"/>
  <c r="G14" i="61"/>
  <c r="M14" i="61" s="1"/>
  <c r="F266" i="69"/>
  <c r="E382" i="69"/>
  <c r="G15" i="61"/>
  <c r="M15" i="61" s="1"/>
  <c r="F266" i="68"/>
  <c r="F266" i="66"/>
  <c r="D9" i="55" s="1"/>
  <c r="D65" i="64"/>
  <c r="E238" i="65"/>
  <c r="E247" i="65"/>
  <c r="D248" i="65"/>
  <c r="D362" i="65"/>
  <c r="D361" i="65"/>
  <c r="D360" i="65"/>
  <c r="D359" i="65"/>
  <c r="D358" i="65"/>
  <c r="D355" i="65"/>
  <c r="D354" i="65"/>
  <c r="D353" i="65"/>
  <c r="D352" i="65"/>
  <c r="D346" i="65"/>
  <c r="D345" i="65"/>
  <c r="D344" i="65"/>
  <c r="E339" i="65"/>
  <c r="F11" i="61" s="1"/>
  <c r="E334" i="65"/>
  <c r="E11" i="61" s="1"/>
  <c r="D327" i="65"/>
  <c r="E326" i="65"/>
  <c r="E325" i="65"/>
  <c r="E324" i="65"/>
  <c r="E323" i="65"/>
  <c r="E322" i="65"/>
  <c r="E321" i="65"/>
  <c r="E320" i="65"/>
  <c r="D319" i="65"/>
  <c r="E318" i="65"/>
  <c r="E317" i="65"/>
  <c r="E316" i="65"/>
  <c r="E315" i="65"/>
  <c r="E314" i="65"/>
  <c r="E313" i="65"/>
  <c r="E312" i="65"/>
  <c r="E299" i="65"/>
  <c r="E298" i="65"/>
  <c r="E297" i="65"/>
  <c r="E296" i="65"/>
  <c r="E295" i="65"/>
  <c r="E294" i="65"/>
  <c r="D293" i="65"/>
  <c r="E293" i="65" s="1"/>
  <c r="E292" i="65"/>
  <c r="E291" i="65"/>
  <c r="E289" i="65"/>
  <c r="E282" i="65"/>
  <c r="E281" i="65"/>
  <c r="E280" i="65"/>
  <c r="E279" i="65"/>
  <c r="E278" i="65"/>
  <c r="E277" i="65"/>
  <c r="D276" i="65"/>
  <c r="E275" i="65"/>
  <c r="E274" i="65"/>
  <c r="E272" i="65"/>
  <c r="F258" i="65"/>
  <c r="F260" i="65" s="1"/>
  <c r="E8" i="55" s="1"/>
  <c r="E246" i="65"/>
  <c r="E245" i="65"/>
  <c r="E244" i="65"/>
  <c r="E243" i="65"/>
  <c r="E242" i="65"/>
  <c r="E241" i="65"/>
  <c r="D240" i="65"/>
  <c r="E239" i="65"/>
  <c r="E237" i="65"/>
  <c r="E236" i="65"/>
  <c r="E235" i="65"/>
  <c r="E234" i="65"/>
  <c r="E233" i="65"/>
  <c r="E232" i="65"/>
  <c r="E231" i="65"/>
  <c r="E230" i="65"/>
  <c r="D229" i="65"/>
  <c r="E229" i="65" s="1"/>
  <c r="E228" i="65"/>
  <c r="E227" i="65"/>
  <c r="E226" i="65"/>
  <c r="E225" i="65"/>
  <c r="D217" i="65"/>
  <c r="E216" i="65"/>
  <c r="E215" i="65"/>
  <c r="E214" i="65"/>
  <c r="E213" i="65"/>
  <c r="E212" i="65"/>
  <c r="E211" i="65"/>
  <c r="E210" i="65"/>
  <c r="D209" i="65"/>
  <c r="E208" i="65"/>
  <c r="E207" i="65"/>
  <c r="E206" i="65"/>
  <c r="E205" i="65"/>
  <c r="E204" i="65"/>
  <c r="E203" i="65"/>
  <c r="E202" i="65"/>
  <c r="E201" i="65"/>
  <c r="E200" i="65"/>
  <c r="E199" i="65"/>
  <c r="D198" i="65"/>
  <c r="E198" i="65" s="1"/>
  <c r="E197" i="65"/>
  <c r="E196" i="65"/>
  <c r="E195" i="65"/>
  <c r="E194" i="65"/>
  <c r="D185" i="65"/>
  <c r="E184" i="65"/>
  <c r="E183" i="65"/>
  <c r="E182" i="65"/>
  <c r="E181" i="65"/>
  <c r="E180" i="65"/>
  <c r="E179" i="65"/>
  <c r="E178" i="65"/>
  <c r="D176" i="65"/>
  <c r="E175" i="65"/>
  <c r="E174" i="65"/>
  <c r="E173" i="65"/>
  <c r="E172" i="65"/>
  <c r="E171" i="65"/>
  <c r="E170" i="65"/>
  <c r="E169" i="65"/>
  <c r="D167" i="65"/>
  <c r="E166" i="65"/>
  <c r="E165" i="65"/>
  <c r="E164" i="65"/>
  <c r="E163" i="65"/>
  <c r="E162" i="65"/>
  <c r="E161" i="65"/>
  <c r="E160" i="65"/>
  <c r="E158" i="65"/>
  <c r="E157" i="65"/>
  <c r="E156" i="65"/>
  <c r="D155" i="65"/>
  <c r="E155" i="65" s="1"/>
  <c r="E154" i="65"/>
  <c r="E153" i="65"/>
  <c r="E152" i="65"/>
  <c r="E151" i="65"/>
  <c r="E150" i="65"/>
  <c r="F135" i="65"/>
  <c r="F131" i="65"/>
  <c r="F123" i="65"/>
  <c r="E119" i="65"/>
  <c r="E118" i="65"/>
  <c r="E117" i="65"/>
  <c r="E116" i="65"/>
  <c r="E115" i="65"/>
  <c r="E114" i="65"/>
  <c r="E113" i="65"/>
  <c r="E112" i="65"/>
  <c r="E111" i="65"/>
  <c r="E110" i="65"/>
  <c r="D109" i="65"/>
  <c r="E109" i="65" s="1"/>
  <c r="E108" i="65"/>
  <c r="E107" i="65"/>
  <c r="E105" i="65"/>
  <c r="E97" i="65"/>
  <c r="E96" i="65"/>
  <c r="E95" i="65"/>
  <c r="E94" i="65"/>
  <c r="E93" i="65"/>
  <c r="E92" i="65"/>
  <c r="E91" i="65"/>
  <c r="E90" i="65"/>
  <c r="E89" i="65"/>
  <c r="E88" i="65"/>
  <c r="D87" i="65"/>
  <c r="E87" i="65" s="1"/>
  <c r="E86" i="65"/>
  <c r="E85" i="65"/>
  <c r="E83" i="65"/>
  <c r="E76" i="65"/>
  <c r="E75" i="65"/>
  <c r="E74" i="65"/>
  <c r="E73" i="65"/>
  <c r="E72" i="65"/>
  <c r="E71" i="65"/>
  <c r="E70" i="65"/>
  <c r="E69" i="65"/>
  <c r="E68" i="65"/>
  <c r="E67" i="65"/>
  <c r="D66" i="65"/>
  <c r="E66" i="65" s="1"/>
  <c r="E65" i="65"/>
  <c r="E64" i="65"/>
  <c r="E62" i="65"/>
  <c r="E55" i="65"/>
  <c r="E54" i="65"/>
  <c r="E53" i="65"/>
  <c r="E52" i="65"/>
  <c r="E51" i="65"/>
  <c r="E50" i="65"/>
  <c r="E49" i="65"/>
  <c r="E48" i="65"/>
  <c r="E47" i="65"/>
  <c r="E46" i="65"/>
  <c r="D45" i="65"/>
  <c r="E45" i="65" s="1"/>
  <c r="E44" i="65"/>
  <c r="E43" i="65"/>
  <c r="E41" i="65"/>
  <c r="E34" i="65"/>
  <c r="E33" i="65"/>
  <c r="E32" i="65"/>
  <c r="E31" i="65"/>
  <c r="E30" i="65"/>
  <c r="E29" i="65"/>
  <c r="E28" i="65"/>
  <c r="E27" i="65"/>
  <c r="E26" i="65"/>
  <c r="E25" i="65"/>
  <c r="D24" i="65"/>
  <c r="E23" i="65"/>
  <c r="E22" i="65"/>
  <c r="E20" i="65"/>
  <c r="B5" i="65"/>
  <c r="F277" i="68" l="1"/>
  <c r="F11" i="55" s="1"/>
  <c r="D11" i="55"/>
  <c r="F277" i="69"/>
  <c r="F12" i="55" s="1"/>
  <c r="D12" i="55"/>
  <c r="E98" i="65"/>
  <c r="F277" i="66"/>
  <c r="F9" i="55" s="1"/>
  <c r="F328" i="65"/>
  <c r="E330" i="65" s="1"/>
  <c r="D11" i="61" s="1"/>
  <c r="F302" i="65"/>
  <c r="D304" i="65" s="1"/>
  <c r="C11" i="61" s="1"/>
  <c r="E120" i="65"/>
  <c r="E300" i="65"/>
  <c r="E352" i="65"/>
  <c r="H11" i="61" s="1"/>
  <c r="E358" i="65"/>
  <c r="E77" i="65"/>
  <c r="F249" i="65"/>
  <c r="F250" i="65" s="1"/>
  <c r="F252" i="65" s="1"/>
  <c r="F218" i="65"/>
  <c r="F219" i="65" s="1"/>
  <c r="F221" i="65" s="1"/>
  <c r="F187" i="65"/>
  <c r="F188" i="65" s="1"/>
  <c r="F126" i="65"/>
  <c r="E56" i="65"/>
  <c r="E24" i="65"/>
  <c r="E35" i="65" s="1"/>
  <c r="F190" i="65"/>
  <c r="E276" i="65"/>
  <c r="E283" i="65" s="1"/>
  <c r="B6" i="55"/>
  <c r="B9" i="61" s="1"/>
  <c r="D328" i="63"/>
  <c r="D238" i="63"/>
  <c r="D215" i="63"/>
  <c r="D218" i="63" s="1"/>
  <c r="D207" i="63"/>
  <c r="E236" i="63"/>
  <c r="D362" i="64"/>
  <c r="D361" i="64"/>
  <c r="D360" i="64"/>
  <c r="D359" i="64"/>
  <c r="D358" i="64"/>
  <c r="D355" i="64"/>
  <c r="D354" i="64"/>
  <c r="D353" i="64"/>
  <c r="D352" i="64"/>
  <c r="D346" i="64"/>
  <c r="D345" i="64"/>
  <c r="D344" i="64"/>
  <c r="E339" i="64"/>
  <c r="F10" i="61" s="1"/>
  <c r="E334" i="64"/>
  <c r="E10" i="61" s="1"/>
  <c r="D327" i="64"/>
  <c r="E326" i="64"/>
  <c r="E325" i="64"/>
  <c r="E324" i="64"/>
  <c r="E323" i="64"/>
  <c r="E322" i="64"/>
  <c r="E321" i="64"/>
  <c r="E320" i="64"/>
  <c r="E318" i="64"/>
  <c r="E317" i="64"/>
  <c r="E316" i="64"/>
  <c r="E315" i="64"/>
  <c r="E314" i="64"/>
  <c r="E313" i="64"/>
  <c r="E312" i="64"/>
  <c r="E299" i="64"/>
  <c r="E298" i="64"/>
  <c r="E297" i="64"/>
  <c r="E296" i="64"/>
  <c r="E295" i="64"/>
  <c r="E294" i="64"/>
  <c r="D293" i="64"/>
  <c r="E293" i="64" s="1"/>
  <c r="E292" i="64"/>
  <c r="E291" i="64"/>
  <c r="E289" i="64"/>
  <c r="E282" i="64"/>
  <c r="E281" i="64"/>
  <c r="E280" i="64"/>
  <c r="E279" i="64"/>
  <c r="E278" i="64"/>
  <c r="E277" i="64"/>
  <c r="D276" i="64"/>
  <c r="E276" i="64" s="1"/>
  <c r="E275" i="64"/>
  <c r="E274" i="64"/>
  <c r="E272" i="64"/>
  <c r="F258" i="64"/>
  <c r="F260" i="64" s="1"/>
  <c r="E7" i="55" s="1"/>
  <c r="D248" i="64"/>
  <c r="E247" i="64"/>
  <c r="E246" i="64"/>
  <c r="E245" i="64"/>
  <c r="E244" i="64"/>
  <c r="E243" i="64"/>
  <c r="E242" i="64"/>
  <c r="E241" i="64"/>
  <c r="D240" i="64"/>
  <c r="E239" i="64"/>
  <c r="E238" i="64"/>
  <c r="E237" i="64"/>
  <c r="E236" i="64"/>
  <c r="E235" i="64"/>
  <c r="E234" i="64"/>
  <c r="E233" i="64"/>
  <c r="E232" i="64"/>
  <c r="E231" i="64"/>
  <c r="E230" i="64"/>
  <c r="D229" i="64"/>
  <c r="E229" i="64" s="1"/>
  <c r="E228" i="64"/>
  <c r="E227" i="64"/>
  <c r="E226" i="64"/>
  <c r="E225" i="64"/>
  <c r="D217" i="64"/>
  <c r="E216" i="64"/>
  <c r="E215" i="64"/>
  <c r="E214" i="64"/>
  <c r="E213" i="64"/>
  <c r="E212" i="64"/>
  <c r="E211" i="64"/>
  <c r="E210" i="64"/>
  <c r="F218" i="64"/>
  <c r="F219" i="64" s="1"/>
  <c r="E208" i="64"/>
  <c r="E207" i="64"/>
  <c r="E206" i="64"/>
  <c r="E205" i="64"/>
  <c r="E203" i="64"/>
  <c r="E202" i="64"/>
  <c r="E201" i="64"/>
  <c r="E200" i="64"/>
  <c r="E199" i="64"/>
  <c r="D198" i="64"/>
  <c r="E198" i="64" s="1"/>
  <c r="E197" i="64"/>
  <c r="E196" i="64"/>
  <c r="E195" i="64"/>
  <c r="E194" i="64"/>
  <c r="D185" i="64"/>
  <c r="E184" i="64"/>
  <c r="E183" i="64"/>
  <c r="E182" i="64"/>
  <c r="E181" i="64"/>
  <c r="E180" i="64"/>
  <c r="E179" i="64"/>
  <c r="E178" i="64"/>
  <c r="D176" i="64"/>
  <c r="E175" i="64"/>
  <c r="E174" i="64"/>
  <c r="E173" i="64"/>
  <c r="E172" i="64"/>
  <c r="E171" i="64"/>
  <c r="E170" i="64"/>
  <c r="E169" i="64"/>
  <c r="E166" i="64"/>
  <c r="E165" i="64"/>
  <c r="E164" i="64"/>
  <c r="E163" i="64"/>
  <c r="E161" i="64"/>
  <c r="E160" i="64"/>
  <c r="E158" i="64"/>
  <c r="E157" i="64"/>
  <c r="E156" i="64"/>
  <c r="D155" i="64"/>
  <c r="E155" i="64" s="1"/>
  <c r="E154" i="64"/>
  <c r="E153" i="64"/>
  <c r="E152" i="64"/>
  <c r="E151" i="64"/>
  <c r="E150" i="64"/>
  <c r="F135" i="64"/>
  <c r="F131" i="64"/>
  <c r="F123" i="64"/>
  <c r="E119" i="64"/>
  <c r="E118" i="64"/>
  <c r="E117" i="64"/>
  <c r="E116" i="64"/>
  <c r="E115" i="64"/>
  <c r="E114" i="64"/>
  <c r="E113" i="64"/>
  <c r="E112" i="64"/>
  <c r="E111" i="64"/>
  <c r="E110" i="64"/>
  <c r="D109" i="64"/>
  <c r="E109" i="64" s="1"/>
  <c r="E108" i="64"/>
  <c r="E107" i="64"/>
  <c r="E105" i="64"/>
  <c r="E97" i="64"/>
  <c r="E96" i="64"/>
  <c r="E95" i="64"/>
  <c r="E94" i="64"/>
  <c r="E93" i="64"/>
  <c r="E92" i="64"/>
  <c r="E91" i="64"/>
  <c r="E90" i="64"/>
  <c r="E89" i="64"/>
  <c r="E88" i="64"/>
  <c r="D87" i="64"/>
  <c r="E87" i="64" s="1"/>
  <c r="E86" i="64"/>
  <c r="E85" i="64"/>
  <c r="E83" i="64"/>
  <c r="E76" i="64"/>
  <c r="E75" i="64"/>
  <c r="E74" i="64"/>
  <c r="E73" i="64"/>
  <c r="E72" i="64"/>
  <c r="E71" i="64"/>
  <c r="E70" i="64"/>
  <c r="E69" i="64"/>
  <c r="E68" i="64"/>
  <c r="E67" i="64"/>
  <c r="D66" i="64"/>
  <c r="E66" i="64" s="1"/>
  <c r="E65" i="64"/>
  <c r="E64" i="64"/>
  <c r="E62" i="64"/>
  <c r="E55" i="64"/>
  <c r="E54" i="64"/>
  <c r="E53" i="64"/>
  <c r="E52" i="64"/>
  <c r="E51" i="64"/>
  <c r="E50" i="64"/>
  <c r="E49" i="64"/>
  <c r="E48" i="64"/>
  <c r="E47" i="64"/>
  <c r="E46" i="64"/>
  <c r="D45" i="64"/>
  <c r="E44" i="64"/>
  <c r="E43" i="64"/>
  <c r="E41" i="64"/>
  <c r="E34" i="64"/>
  <c r="E33" i="64"/>
  <c r="E32" i="64"/>
  <c r="E31" i="64"/>
  <c r="E30" i="64"/>
  <c r="E29" i="64"/>
  <c r="E28" i="64"/>
  <c r="E27" i="64"/>
  <c r="E26" i="64"/>
  <c r="E25" i="64"/>
  <c r="D24" i="64"/>
  <c r="E23" i="64"/>
  <c r="E22" i="64"/>
  <c r="E20" i="64"/>
  <c r="B5" i="64"/>
  <c r="D363" i="63"/>
  <c r="D362" i="63"/>
  <c r="D361" i="63"/>
  <c r="D360" i="63"/>
  <c r="D359" i="63"/>
  <c r="D356" i="63"/>
  <c r="D355" i="63"/>
  <c r="D354" i="63"/>
  <c r="D353" i="63"/>
  <c r="D347" i="63"/>
  <c r="D346" i="63"/>
  <c r="D345" i="63"/>
  <c r="E340" i="63"/>
  <c r="F9" i="61" s="1"/>
  <c r="E335" i="63"/>
  <c r="E9" i="61" s="1"/>
  <c r="E327" i="63"/>
  <c r="E326" i="63"/>
  <c r="E325" i="63"/>
  <c r="E324" i="63"/>
  <c r="E323" i="63"/>
  <c r="E322" i="63"/>
  <c r="E321" i="63"/>
  <c r="D320" i="63"/>
  <c r="E319" i="63"/>
  <c r="E318" i="63"/>
  <c r="E317" i="63"/>
  <c r="E316" i="63"/>
  <c r="E315" i="63"/>
  <c r="E314" i="63"/>
  <c r="E313" i="63"/>
  <c r="E300" i="63"/>
  <c r="E299" i="63"/>
  <c r="E298" i="63"/>
  <c r="E297" i="63"/>
  <c r="E296" i="63"/>
  <c r="E295" i="63"/>
  <c r="D294" i="63"/>
  <c r="E294" i="63" s="1"/>
  <c r="E293" i="63"/>
  <c r="E292" i="63"/>
  <c r="E290" i="63"/>
  <c r="E283" i="63"/>
  <c r="E282" i="63"/>
  <c r="E281" i="63"/>
  <c r="E280" i="63"/>
  <c r="E279" i="63"/>
  <c r="E278" i="63"/>
  <c r="D277" i="63"/>
  <c r="E277" i="63" s="1"/>
  <c r="E276" i="63"/>
  <c r="E275" i="63"/>
  <c r="E273" i="63"/>
  <c r="F259" i="63"/>
  <c r="F261" i="63" s="1"/>
  <c r="E6" i="55" s="1"/>
  <c r="E248" i="63"/>
  <c r="E247" i="63"/>
  <c r="E246" i="63"/>
  <c r="E245" i="63"/>
  <c r="E244" i="63"/>
  <c r="E243" i="63"/>
  <c r="E242" i="63"/>
  <c r="E240" i="63"/>
  <c r="E239" i="63"/>
  <c r="E237" i="63"/>
  <c r="E235" i="63"/>
  <c r="E234" i="63"/>
  <c r="E233" i="63"/>
  <c r="E232" i="63"/>
  <c r="E231" i="63"/>
  <c r="D230" i="63"/>
  <c r="E230" i="63" s="1"/>
  <c r="E229" i="63"/>
  <c r="E228" i="63"/>
  <c r="E227" i="63"/>
  <c r="E226" i="63"/>
  <c r="E217" i="63"/>
  <c r="E216" i="63"/>
  <c r="E214" i="63"/>
  <c r="E213" i="63"/>
  <c r="E212" i="63"/>
  <c r="E211" i="63"/>
  <c r="E209" i="63"/>
  <c r="E208" i="63"/>
  <c r="E207" i="63"/>
  <c r="E206" i="63"/>
  <c r="E205" i="63"/>
  <c r="E204" i="63"/>
  <c r="E203" i="63"/>
  <c r="E202" i="63"/>
  <c r="E201" i="63"/>
  <c r="E200" i="63"/>
  <c r="D199" i="63"/>
  <c r="E199" i="63" s="1"/>
  <c r="E198" i="63"/>
  <c r="E197" i="63"/>
  <c r="E196" i="63"/>
  <c r="E195" i="63"/>
  <c r="D186" i="63"/>
  <c r="E185" i="63"/>
  <c r="E184" i="63"/>
  <c r="E183" i="63"/>
  <c r="E182" i="63"/>
  <c r="E181" i="63"/>
  <c r="E180" i="63"/>
  <c r="E179" i="63"/>
  <c r="D177" i="63"/>
  <c r="E176" i="63"/>
  <c r="E175" i="63"/>
  <c r="E174" i="63"/>
  <c r="E173" i="63"/>
  <c r="E172" i="63"/>
  <c r="E171" i="63"/>
  <c r="E170" i="63"/>
  <c r="D168" i="63"/>
  <c r="E167" i="63"/>
  <c r="E166" i="63"/>
  <c r="E165" i="63"/>
  <c r="E164" i="63"/>
  <c r="E163" i="63"/>
  <c r="E162" i="63"/>
  <c r="E161" i="63"/>
  <c r="E159" i="63"/>
  <c r="E158" i="63"/>
  <c r="E157" i="63"/>
  <c r="D156" i="63"/>
  <c r="E156" i="63" s="1"/>
  <c r="E155" i="63"/>
  <c r="E154" i="63"/>
  <c r="E153" i="63"/>
  <c r="E152" i="63"/>
  <c r="E151" i="63"/>
  <c r="F135" i="63"/>
  <c r="F131" i="63"/>
  <c r="F123" i="63"/>
  <c r="E119" i="63"/>
  <c r="E118" i="63"/>
  <c r="E117" i="63"/>
  <c r="E116" i="63"/>
  <c r="E115" i="63"/>
  <c r="E114" i="63"/>
  <c r="E113" i="63"/>
  <c r="E112" i="63"/>
  <c r="E111" i="63"/>
  <c r="E110" i="63"/>
  <c r="D109" i="63"/>
  <c r="E109" i="63" s="1"/>
  <c r="E108" i="63"/>
  <c r="E107" i="63"/>
  <c r="E105" i="63"/>
  <c r="E97" i="63"/>
  <c r="E96" i="63"/>
  <c r="E95" i="63"/>
  <c r="E94" i="63"/>
  <c r="E93" i="63"/>
  <c r="E92" i="63"/>
  <c r="E91" i="63"/>
  <c r="E90" i="63"/>
  <c r="E89" i="63"/>
  <c r="E88" i="63"/>
  <c r="D87" i="63"/>
  <c r="E87" i="63" s="1"/>
  <c r="E86" i="63"/>
  <c r="E85" i="63"/>
  <c r="E83" i="63"/>
  <c r="E76" i="63"/>
  <c r="E75" i="63"/>
  <c r="E74" i="63"/>
  <c r="E73" i="63"/>
  <c r="E72" i="63"/>
  <c r="E71" i="63"/>
  <c r="E70" i="63"/>
  <c r="E69" i="63"/>
  <c r="E68" i="63"/>
  <c r="E67" i="63"/>
  <c r="D66" i="63"/>
  <c r="E66" i="63" s="1"/>
  <c r="E65" i="63"/>
  <c r="E64" i="63"/>
  <c r="E62" i="63"/>
  <c r="E55" i="63"/>
  <c r="E54" i="63"/>
  <c r="E53" i="63"/>
  <c r="E52" i="63"/>
  <c r="E51" i="63"/>
  <c r="E50" i="63"/>
  <c r="E49" i="63"/>
  <c r="E48" i="63"/>
  <c r="E47" i="63"/>
  <c r="E46" i="63"/>
  <c r="D45" i="63"/>
  <c r="E45" i="63" s="1"/>
  <c r="E44" i="63"/>
  <c r="E43" i="63"/>
  <c r="E41" i="63"/>
  <c r="E34" i="63"/>
  <c r="E33" i="63"/>
  <c r="E32" i="63"/>
  <c r="E31" i="63"/>
  <c r="E30" i="63"/>
  <c r="E29" i="63"/>
  <c r="E28" i="63"/>
  <c r="E27" i="63"/>
  <c r="E26" i="63"/>
  <c r="E25" i="63"/>
  <c r="D24" i="63"/>
  <c r="E23" i="63"/>
  <c r="E22" i="63"/>
  <c r="E20" i="63"/>
  <c r="B5" i="63"/>
  <c r="B5" i="55"/>
  <c r="B8" i="61" s="1"/>
  <c r="D45" i="62"/>
  <c r="E45" i="62" s="1"/>
  <c r="D363" i="62"/>
  <c r="D362" i="62"/>
  <c r="D361" i="62"/>
  <c r="D360" i="62"/>
  <c r="D359" i="62"/>
  <c r="D356" i="62"/>
  <c r="D355" i="62"/>
  <c r="D354" i="62"/>
  <c r="D353" i="62"/>
  <c r="D347" i="62"/>
  <c r="D346" i="62"/>
  <c r="D345" i="62"/>
  <c r="E340" i="62"/>
  <c r="F8" i="61" s="1"/>
  <c r="E335" i="62"/>
  <c r="E8" i="61" s="1"/>
  <c r="D328" i="62"/>
  <c r="E327" i="62"/>
  <c r="E326" i="62"/>
  <c r="E325" i="62"/>
  <c r="E324" i="62"/>
  <c r="E323" i="62"/>
  <c r="E322" i="62"/>
  <c r="E321" i="62"/>
  <c r="D320" i="62"/>
  <c r="E319" i="62"/>
  <c r="E318" i="62"/>
  <c r="E317" i="62"/>
  <c r="E316" i="62"/>
  <c r="E315" i="62"/>
  <c r="E314" i="62"/>
  <c r="E313" i="62"/>
  <c r="E300" i="62"/>
  <c r="E299" i="62"/>
  <c r="E298" i="62"/>
  <c r="E297" i="62"/>
  <c r="E296" i="62"/>
  <c r="E295" i="62"/>
  <c r="D294" i="62"/>
  <c r="E294" i="62" s="1"/>
  <c r="E293" i="62"/>
  <c r="E292" i="62"/>
  <c r="E290" i="62"/>
  <c r="E283" i="62"/>
  <c r="E282" i="62"/>
  <c r="E281" i="62"/>
  <c r="E280" i="62"/>
  <c r="E279" i="62"/>
  <c r="E278" i="62"/>
  <c r="D277" i="62"/>
  <c r="E276" i="62"/>
  <c r="E275" i="62"/>
  <c r="E273" i="62"/>
  <c r="D249" i="62"/>
  <c r="E248" i="62"/>
  <c r="E247" i="62"/>
  <c r="E246" i="62"/>
  <c r="E245" i="62"/>
  <c r="E244" i="62"/>
  <c r="E243" i="62"/>
  <c r="E242" i="62"/>
  <c r="D241" i="62"/>
  <c r="E240" i="62"/>
  <c r="E239" i="62"/>
  <c r="E238" i="62"/>
  <c r="E237" i="62"/>
  <c r="E236" i="62"/>
  <c r="E235" i="62"/>
  <c r="E234" i="62"/>
  <c r="E233" i="62"/>
  <c r="E232" i="62"/>
  <c r="E231" i="62"/>
  <c r="D230" i="62"/>
  <c r="E230" i="62" s="1"/>
  <c r="E229" i="62"/>
  <c r="E228" i="62"/>
  <c r="E227" i="62"/>
  <c r="E226" i="62"/>
  <c r="D218" i="62"/>
  <c r="E217" i="62"/>
  <c r="E216" i="62"/>
  <c r="E215" i="62"/>
  <c r="E214" i="62"/>
  <c r="E213" i="62"/>
  <c r="E212" i="62"/>
  <c r="E211" i="62"/>
  <c r="D210" i="62"/>
  <c r="E209" i="62"/>
  <c r="E208" i="62"/>
  <c r="E207" i="62"/>
  <c r="E206" i="62"/>
  <c r="E205" i="62"/>
  <c r="E204" i="62"/>
  <c r="E203" i="62"/>
  <c r="E202" i="62"/>
  <c r="E201" i="62"/>
  <c r="E200" i="62"/>
  <c r="D199" i="62"/>
  <c r="E199" i="62" s="1"/>
  <c r="E198" i="62"/>
  <c r="E197" i="62"/>
  <c r="E196" i="62"/>
  <c r="E195" i="62"/>
  <c r="D186" i="62"/>
  <c r="E185" i="62"/>
  <c r="E184" i="62"/>
  <c r="E183" i="62"/>
  <c r="E182" i="62"/>
  <c r="E181" i="62"/>
  <c r="E180" i="62"/>
  <c r="E179" i="62"/>
  <c r="D177" i="62"/>
  <c r="E176" i="62"/>
  <c r="E175" i="62"/>
  <c r="E174" i="62"/>
  <c r="E173" i="62"/>
  <c r="E172" i="62"/>
  <c r="E171" i="62"/>
  <c r="E170" i="62"/>
  <c r="E167" i="62"/>
  <c r="E166" i="62"/>
  <c r="E165" i="62"/>
  <c r="E164" i="62"/>
  <c r="E163" i="62"/>
  <c r="E162" i="62"/>
  <c r="E161" i="62"/>
  <c r="E159" i="62"/>
  <c r="E158" i="62"/>
  <c r="E157" i="62"/>
  <c r="D156" i="62"/>
  <c r="E156" i="62" s="1"/>
  <c r="E155" i="62"/>
  <c r="E154" i="62"/>
  <c r="E153" i="62"/>
  <c r="E152" i="62"/>
  <c r="E151" i="62"/>
  <c r="F135" i="62"/>
  <c r="F131" i="62"/>
  <c r="F123" i="62"/>
  <c r="E119" i="62"/>
  <c r="E118" i="62"/>
  <c r="E117" i="62"/>
  <c r="E116" i="62"/>
  <c r="E115" i="62"/>
  <c r="E114" i="62"/>
  <c r="E113" i="62"/>
  <c r="E112" i="62"/>
  <c r="E111" i="62"/>
  <c r="E110" i="62"/>
  <c r="D109" i="62"/>
  <c r="E109" i="62" s="1"/>
  <c r="E108" i="62"/>
  <c r="E107" i="62"/>
  <c r="E105" i="62"/>
  <c r="E97" i="62"/>
  <c r="E96" i="62"/>
  <c r="E95" i="62"/>
  <c r="E94" i="62"/>
  <c r="E93" i="62"/>
  <c r="E92" i="62"/>
  <c r="E91" i="62"/>
  <c r="E90" i="62"/>
  <c r="E89" i="62"/>
  <c r="E88" i="62"/>
  <c r="D87" i="62"/>
  <c r="E87" i="62" s="1"/>
  <c r="E86" i="62"/>
  <c r="E85" i="62"/>
  <c r="E83" i="62"/>
  <c r="E76" i="62"/>
  <c r="E75" i="62"/>
  <c r="E74" i="62"/>
  <c r="E73" i="62"/>
  <c r="E72" i="62"/>
  <c r="E71" i="62"/>
  <c r="E70" i="62"/>
  <c r="E69" i="62"/>
  <c r="E68" i="62"/>
  <c r="E67" i="62"/>
  <c r="D66" i="62"/>
  <c r="E66" i="62" s="1"/>
  <c r="E65" i="62"/>
  <c r="E64" i="62"/>
  <c r="E62" i="62"/>
  <c r="E55" i="62"/>
  <c r="E54" i="62"/>
  <c r="E53" i="62"/>
  <c r="E52" i="62"/>
  <c r="E51" i="62"/>
  <c r="E50" i="62"/>
  <c r="E49" i="62"/>
  <c r="E48" i="62"/>
  <c r="E47" i="62"/>
  <c r="E46" i="62"/>
  <c r="E44" i="62"/>
  <c r="E43" i="62"/>
  <c r="E41" i="62"/>
  <c r="E34" i="62"/>
  <c r="E33" i="62"/>
  <c r="E32" i="62"/>
  <c r="E31" i="62"/>
  <c r="E30" i="62"/>
  <c r="E29" i="62"/>
  <c r="E28" i="62"/>
  <c r="E27" i="62"/>
  <c r="E26" i="62"/>
  <c r="E25" i="62"/>
  <c r="D24" i="62"/>
  <c r="E23" i="62"/>
  <c r="E22" i="62"/>
  <c r="E20" i="62"/>
  <c r="B5" i="62"/>
  <c r="E6" i="70" l="1"/>
  <c r="E238" i="63"/>
  <c r="D241" i="63"/>
  <c r="E45" i="64"/>
  <c r="C347" i="64"/>
  <c r="D347" i="64" s="1"/>
  <c r="E344" i="64" s="1"/>
  <c r="G10" i="61" s="1"/>
  <c r="F127" i="65"/>
  <c r="F138" i="65" s="1"/>
  <c r="C8" i="55" s="1"/>
  <c r="C347" i="65"/>
  <c r="D347" i="65" s="1"/>
  <c r="E344" i="65" s="1"/>
  <c r="G11" i="61" s="1"/>
  <c r="M11" i="61" s="1"/>
  <c r="F187" i="64"/>
  <c r="F188" i="64" s="1"/>
  <c r="F190" i="64" s="1"/>
  <c r="E215" i="63"/>
  <c r="E283" i="64"/>
  <c r="E352" i="64"/>
  <c r="H10" i="61" s="1"/>
  <c r="E358" i="64"/>
  <c r="C348" i="63"/>
  <c r="D348" i="63" s="1"/>
  <c r="E345" i="63" s="1"/>
  <c r="G9" i="61" s="1"/>
  <c r="F254" i="65"/>
  <c r="F249" i="64"/>
  <c r="F250" i="64" s="1"/>
  <c r="F252" i="64" s="1"/>
  <c r="F328" i="64"/>
  <c r="E330" i="64" s="1"/>
  <c r="D10" i="61" s="1"/>
  <c r="E77" i="64"/>
  <c r="E120" i="64"/>
  <c r="F221" i="64"/>
  <c r="F126" i="64"/>
  <c r="F127" i="64" s="1"/>
  <c r="F138" i="64" s="1"/>
  <c r="C7" i="55" s="1"/>
  <c r="E300" i="64"/>
  <c r="F250" i="63"/>
  <c r="F251" i="63" s="1"/>
  <c r="F253" i="63" s="1"/>
  <c r="E359" i="63"/>
  <c r="H9" i="61" s="1"/>
  <c r="E98" i="63"/>
  <c r="E77" i="63"/>
  <c r="E120" i="63"/>
  <c r="E56" i="64"/>
  <c r="E98" i="64"/>
  <c r="F302" i="64"/>
  <c r="D304" i="64" s="1"/>
  <c r="C10" i="61" s="1"/>
  <c r="E24" i="64"/>
  <c r="E35" i="64" s="1"/>
  <c r="E353" i="63"/>
  <c r="F329" i="63"/>
  <c r="E331" i="63" s="1"/>
  <c r="D9" i="61" s="1"/>
  <c r="E301" i="63"/>
  <c r="F303" i="63"/>
  <c r="D305" i="63" s="1"/>
  <c r="E284" i="63"/>
  <c r="F219" i="63"/>
  <c r="F220" i="63" s="1"/>
  <c r="F222" i="63" s="1"/>
  <c r="F188" i="63"/>
  <c r="F189" i="63" s="1"/>
  <c r="F191" i="63" s="1"/>
  <c r="F126" i="63"/>
  <c r="F127" i="63" s="1"/>
  <c r="F138" i="63" s="1"/>
  <c r="C6" i="55" s="1"/>
  <c r="E56" i="63"/>
  <c r="E24" i="63"/>
  <c r="E35" i="63" s="1"/>
  <c r="F329" i="62"/>
  <c r="E331" i="62" s="1"/>
  <c r="D8" i="61" s="1"/>
  <c r="F250" i="62"/>
  <c r="F251" i="62" s="1"/>
  <c r="F253" i="62"/>
  <c r="F219" i="62"/>
  <c r="F220" i="62" s="1"/>
  <c r="F222" i="62" s="1"/>
  <c r="E98" i="62"/>
  <c r="E301" i="62"/>
  <c r="E353" i="62"/>
  <c r="H8" i="61" s="1"/>
  <c r="E359" i="62"/>
  <c r="F303" i="62"/>
  <c r="D305" i="62" s="1"/>
  <c r="C8" i="61" s="1"/>
  <c r="F188" i="62"/>
  <c r="F189" i="62" s="1"/>
  <c r="F191" i="62" s="1"/>
  <c r="E120" i="62"/>
  <c r="E77" i="62"/>
  <c r="E56" i="62"/>
  <c r="F126" i="62"/>
  <c r="E24" i="62"/>
  <c r="E35" i="62" s="1"/>
  <c r="E277" i="62"/>
  <c r="E284" i="62" s="1"/>
  <c r="F6" i="70" l="1"/>
  <c r="G6" i="70" s="1"/>
  <c r="E367" i="65"/>
  <c r="E368" i="63"/>
  <c r="C9" i="61"/>
  <c r="M9" i="61" s="1"/>
  <c r="F262" i="65"/>
  <c r="F8" i="55" s="1"/>
  <c r="D8" i="55"/>
  <c r="M10" i="61"/>
  <c r="E367" i="64"/>
  <c r="F127" i="62"/>
  <c r="F138" i="62" s="1"/>
  <c r="C5" i="55" s="1"/>
  <c r="C348" i="62"/>
  <c r="D348" i="62" s="1"/>
  <c r="E345" i="62" s="1"/>
  <c r="G8" i="61" s="1"/>
  <c r="F254" i="64"/>
  <c r="F255" i="63"/>
  <c r="F255" i="62"/>
  <c r="F262" i="64" l="1"/>
  <c r="F7" i="55" s="1"/>
  <c r="D7" i="55"/>
  <c r="E368" i="62"/>
  <c r="F263" i="63"/>
  <c r="F6" i="55" s="1"/>
  <c r="D6" i="55"/>
  <c r="D5" i="55"/>
  <c r="M8" i="61"/>
  <c r="B46" i="53"/>
  <c r="B45" i="53"/>
  <c r="B44" i="53"/>
</calcChain>
</file>

<file path=xl/sharedStrings.xml><?xml version="1.0" encoding="utf-8"?>
<sst xmlns="http://schemas.openxmlformats.org/spreadsheetml/2006/main" count="4110" uniqueCount="601">
  <si>
    <t>Salario mínimo legal en Colombia</t>
  </si>
  <si>
    <t>1.1.1. Serie histórica en pesos colombianos_periodicidad anual</t>
  </si>
  <si>
    <t/>
  </si>
  <si>
    <t>Información disponible desde el 1 de julio de 1984.</t>
  </si>
  <si>
    <r>
      <rPr>
        <sz val="9"/>
        <color indexed="8"/>
        <rFont val="Helvetica"/>
        <family val="2"/>
      </rPr>
      <t xml:space="preserve"> </t>
    </r>
    <r>
      <rPr>
        <i/>
        <sz val="9"/>
        <color indexed="8"/>
        <rFont val="Helvetica"/>
        <family val="2"/>
      </rPr>
      <t>Banco de la República - Gerencia Técnica - información extraída de la bodega de datos -Serankua- el 08/10/2018 09:13:42</t>
    </r>
  </si>
  <si>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</si>
  <si>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</si>
  <si>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</si>
  <si>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</si>
  <si>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</si>
  <si>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</si>
  <si>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</si>
  <si>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</si>
  <si>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</si>
  <si>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</si>
  <si>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</si>
  <si>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</si>
  <si>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</si>
  <si>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</si>
  <si>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</si>
  <si>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</si>
  <si>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</si>
  <si>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</si>
  <si>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</si>
  <si>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</si>
  <si>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</si>
  <si>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</si>
  <si>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</si>
  <si>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</si>
  <si>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</si>
  <si>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</si>
  <si>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</si>
  <si>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</si>
  <si>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</si>
  <si>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</si>
  <si>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</si>
  <si>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</si>
  <si>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</si>
  <si>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</si>
  <si>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</si>
  <si>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</si>
  <si>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</si>
  <si>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</si>
  <si>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</si>
  <si>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</si>
  <si>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r>
      <rPr>
        <b/>
        <sz val="9"/>
        <color indexed="8"/>
        <rFont val="Helvetica"/>
        <family val="2"/>
      </rPr>
      <t xml:space="preserve">Fuente: </t>
    </r>
    <r>
      <rPr>
        <sz val="9"/>
        <color indexed="8"/>
        <rFont val="Helvetica"/>
        <family val="2"/>
      </rPr>
      <t>Ministerio del Trabajo (</t>
    </r>
    <r>
      <rPr>
        <u/>
        <sz val="9"/>
        <color indexed="12"/>
        <rFont val="Helvetica"/>
        <family val="2"/>
      </rPr>
      <t>www.mintrabajo.gov.co</t>
    </r>
    <r>
      <rPr>
        <sz val="9"/>
        <color indexed="8"/>
        <rFont val="Helvetica"/>
        <family val="2"/>
      </rPr>
      <t>) y decretos del Gobierno Nacional (</t>
    </r>
    <r>
      <rPr>
        <u/>
        <sz val="9"/>
        <color indexed="12"/>
        <rFont val="Helvetica"/>
        <family val="2"/>
      </rPr>
      <t>www.presidencia.gov.co</t>
    </r>
    <r>
      <rPr>
        <sz val="9"/>
        <color indexed="8"/>
        <rFont val="Helvetica"/>
        <family val="2"/>
      </rPr>
      <t>).</t>
    </r>
  </si>
  <si>
    <r>
      <rPr>
        <sz val="9"/>
        <color indexed="8"/>
        <rFont val="Helvetica"/>
        <family val="2"/>
      </rPr>
      <t xml:space="preserve"> </t>
    </r>
    <r>
      <rPr>
        <b/>
        <sz val="9"/>
        <color indexed="8"/>
        <rFont val="Helvetica"/>
        <family val="2"/>
      </rPr>
      <t xml:space="preserve">Nota: </t>
    </r>
    <r>
      <rPr>
        <sz val="9"/>
        <color indexed="8"/>
        <rFont val="Helvetica"/>
        <family val="2"/>
      </rPr>
      <t xml:space="preserve"> desde el 1 de julio de 1984 se unificó el salario mínimo para todos los sectores de la economía.</t>
    </r>
  </si>
  <si>
    <r>
      <rPr>
        <sz val="9"/>
        <color indexed="8"/>
        <rFont val="Helvetica"/>
        <family val="2"/>
      </rPr>
      <t xml:space="preserve"> </t>
    </r>
    <r>
      <rPr>
        <b/>
        <sz val="9"/>
        <color indexed="8"/>
        <rFont val="Helvetica"/>
        <family val="2"/>
      </rPr>
      <t>¹</t>
    </r>
    <r>
      <rPr>
        <sz val="9"/>
        <color indexed="8"/>
        <rFont val="Helvetica"/>
        <family val="2"/>
      </rPr>
      <t xml:space="preserve"> Variación porcentual con respecto al dato del año imediatamente anterior. </t>
    </r>
  </si>
  <si>
    <r>
      <rPr>
        <sz val="9"/>
        <color indexed="8"/>
        <rFont val="Helvetica"/>
        <family val="2"/>
      </rPr>
      <t xml:space="preserve"> </t>
    </r>
    <r>
      <rPr>
        <b/>
        <sz val="9"/>
        <color indexed="8"/>
        <rFont val="Helvetica"/>
        <family val="2"/>
      </rPr>
      <t xml:space="preserve">(N/A) </t>
    </r>
    <r>
      <rPr>
        <sz val="9"/>
        <color indexed="8"/>
        <rFont val="Helvetica"/>
        <family val="2"/>
      </rPr>
      <t xml:space="preserve"> No aplica</t>
    </r>
  </si>
  <si>
    <t>FECHA DE CIERRE DE PROCESO</t>
  </si>
  <si>
    <t xml:space="preserve">NOMBRE DEL PROPONENTE: </t>
  </si>
  <si>
    <t xml:space="preserve">Objeto: </t>
  </si>
  <si>
    <t>Contratante:</t>
  </si>
  <si>
    <t>Requisito</t>
  </si>
  <si>
    <t>Folio RUP</t>
  </si>
  <si>
    <t>Observaciones</t>
  </si>
  <si>
    <t>Códigos del Clasificador de Bienes y Servicios</t>
  </si>
  <si>
    <t>Fecha de suscripción del contrato (inicio de contrato)</t>
  </si>
  <si>
    <t>Valor del proyecto o contrato</t>
  </si>
  <si>
    <t>SMMLV - a la fecha de suscripción del contrato</t>
  </si>
  <si>
    <t>Fecha de terminación del contrato</t>
  </si>
  <si>
    <t>SI</t>
  </si>
  <si>
    <t>NO</t>
  </si>
  <si>
    <t>PRESUPUESTO OFICIAL $</t>
  </si>
  <si>
    <t>PRESUPUESTO OFICIAL SMMLV</t>
  </si>
  <si>
    <t>Criterio</t>
  </si>
  <si>
    <t>UNSPSC RUP</t>
  </si>
  <si>
    <t>Valoración</t>
  </si>
  <si>
    <t>CONTRATO 1 - Valoración Experiencia</t>
  </si>
  <si>
    <t>Contratante:  Entidades Publicas o Privadas</t>
  </si>
  <si>
    <t>CONTRATO 2 - Valoración Experiencia</t>
  </si>
  <si>
    <t>CONTRATO 3 - Valoración Experiencia</t>
  </si>
  <si>
    <t>CONTRATO 4 - Valoración Experiencia</t>
  </si>
  <si>
    <t>CONTRATO 5 - Valoración Experiencia</t>
  </si>
  <si>
    <t>Diligencia, suscribre y adjunta Formato  - Experiencia Habilitante del Proponente</t>
  </si>
  <si>
    <t>OFERENTE</t>
  </si>
  <si>
    <t>COMITÉ TECNICO Y ECONOMICO EVALUADOR</t>
  </si>
  <si>
    <t>John Henry Poveda Zua</t>
  </si>
  <si>
    <t>Contratista - Arquitecto</t>
  </si>
  <si>
    <t>Dirección Técnica</t>
  </si>
  <si>
    <t>Porcentaje de Participación</t>
  </si>
  <si>
    <r>
      <rPr>
        <b/>
        <sz val="10"/>
        <rFont val="Arial"/>
        <family val="2"/>
      </rPr>
      <t>Contrato 3</t>
    </r>
    <r>
      <rPr>
        <sz val="10"/>
        <rFont val="Arial"/>
        <family val="2"/>
      </rPr>
      <t xml:space="preserve">: </t>
    </r>
  </si>
  <si>
    <r>
      <rPr>
        <b/>
        <sz val="10"/>
        <rFont val="Arial"/>
        <family val="2"/>
      </rPr>
      <t>Contrato 4</t>
    </r>
    <r>
      <rPr>
        <sz val="10"/>
        <rFont val="Arial"/>
        <family val="2"/>
      </rPr>
      <t xml:space="preserve">: </t>
    </r>
  </si>
  <si>
    <r>
      <rPr>
        <b/>
        <sz val="10"/>
        <rFont val="Arial"/>
        <family val="2"/>
      </rPr>
      <t>Contrato 5</t>
    </r>
    <r>
      <rPr>
        <sz val="10"/>
        <rFont val="Arial"/>
        <family val="2"/>
      </rPr>
      <t xml:space="preserve">: </t>
    </r>
  </si>
  <si>
    <t xml:space="preserve">Observaciones:
</t>
  </si>
  <si>
    <r>
      <rPr>
        <b/>
        <sz val="10"/>
        <rFont val="Arial"/>
        <family val="2"/>
      </rPr>
      <t>Contrato 2</t>
    </r>
    <r>
      <rPr>
        <sz val="10"/>
        <rFont val="Arial"/>
        <family val="2"/>
      </rPr>
      <t xml:space="preserve">: </t>
    </r>
  </si>
  <si>
    <t xml:space="preserve">Observaciones:  
</t>
  </si>
  <si>
    <t>EVALUACION TÉCNICA PROCESO CONTRACTUAL No. SCJ-SIF-CMA-003-2024</t>
  </si>
  <si>
    <t>“INTERVENTORÍA TÉCNICA, ADMINISTRATIVA Y FINANCIERA AL CONTRATO PARA REALIZAR EL MANTENIMIENTO Y MEJORAMIENTO DE LOS EQUIPAMIENTOS DE INFRAESTRUCTURA A CARGO DE LA SDSCJ Y AGENCIAS”</t>
  </si>
  <si>
    <t>4.2. REQUISITOS TÉCNICOS HABILITANTES</t>
  </si>
  <si>
    <t>4.2.1.  EXPERIENCIA DEL PROPONENTE</t>
  </si>
  <si>
    <t>Objeto y/o alcance y/o actividades y/u obligaciones, debe corresponder con INTERVENTORÍA TÉCNICA DE OBRAS DE MANTENIMIENTO Y/O CONSTRUCCIÓN Y/O TERMINACIÓN Y/O REFORZAMIENTO Y/O AMPLIACIÓN Y/O MEJORAMIENTO Y/O ADECUACIÓN Y/O REPARACIONES LOCATIVAS DE EDIFICACIONES CUBIERTAS.</t>
  </si>
  <si>
    <t>Catalogadas como parte del “Sistema del Cuidado y de Servicios
Sociales”, de acuerdo con lo establecido el Decreto Distrital 555 de 2021</t>
  </si>
  <si>
    <t>Juridica - Legal</t>
  </si>
  <si>
    <t>Financiera - Contable</t>
  </si>
  <si>
    <t>Administrativa</t>
  </si>
  <si>
    <t>Ambiental</t>
  </si>
  <si>
    <t>Interventorías técnicas</t>
  </si>
  <si>
    <t>CRITERIOS DIFERENCIALES - Certificación Adicional</t>
  </si>
  <si>
    <t>Sumatoria mayor o igual al 100% del presupuesto oficial en SMMLV. 433,26 SMMLV</t>
  </si>
  <si>
    <t>Por lo menos uno de los contratos o el conjunto de los contratos aportados, deberá acreditar experiencia en interventorías técnicas cuyo objeto y/o alcance y/o obligaciones y/o condiciones incluya la interventoría jurídica o legal, financiera o contable, administrativa y ambiental de obra de edificaciones cubiertas</t>
  </si>
  <si>
    <t>Cantidad: MÍNIMO DOS (2) Y MÁXIMO CUATRO (4) contratos ejecutados y terminados.</t>
  </si>
  <si>
    <t xml:space="preserve">Estado de los Contratos:  Ejecutados a la fecha de cierre del proceso </t>
  </si>
  <si>
    <t>Estado de los Contratos:  Ejecutados a la fecha de cierre del proceso</t>
  </si>
  <si>
    <t xml:space="preserve">Nombre: </t>
  </si>
  <si>
    <t>Formación académica:</t>
  </si>
  <si>
    <t>Estudios de Posgrado</t>
  </si>
  <si>
    <t>Matricula profesional:</t>
  </si>
  <si>
    <t>Número de Matricula Profesional</t>
  </si>
  <si>
    <t>Fecha de expedición del Certificado de vigencia de MP</t>
  </si>
  <si>
    <t>Valor</t>
  </si>
  <si>
    <t>Fecha de inicio</t>
  </si>
  <si>
    <t>Fecha de terminacion</t>
  </si>
  <si>
    <t>SMMLV</t>
  </si>
  <si>
    <t>4.2.1.7. PERSONAL HABILITANTE FORMATO - “FORMACIÓN Y EXPERIENCIA PERSONAL HABILITANTE”.</t>
  </si>
  <si>
    <t xml:space="preserve">Ingeniero Civil </t>
  </si>
  <si>
    <t>Arquitecto</t>
  </si>
  <si>
    <t xml:space="preserve"> Arquitecto Constructor </t>
  </si>
  <si>
    <t xml:space="preserve">Constructor en Arquitectura e Ingeniería </t>
  </si>
  <si>
    <t>Constructor Civil</t>
  </si>
  <si>
    <t xml:space="preserve"> Constructor y Gestor en Arquitectura</t>
  </si>
  <si>
    <t>Mayor o igual a 10 años</t>
  </si>
  <si>
    <t>Interventoría técnica de obras de mantenimiento y/o construcción y/o terminación y/o reforzamiento y/o ampliación y/o mejoramiento y/o adecuación y/o reparaciones locativas.</t>
  </si>
  <si>
    <t>Edificaciones Cubiertas (Dec. 555/2021)</t>
  </si>
  <si>
    <t xml:space="preserve">Ingeniero Civil o Arquitecto o Arquitecto Constructor o Constructor en Arquitectura e Ingeniería o Constructor Civil o Constructor y Gestor en Arquitectura </t>
  </si>
  <si>
    <t>Carta de Compromiso "Integrante equipo de trabajo"</t>
  </si>
  <si>
    <t>Copia documentos identificación</t>
  </si>
  <si>
    <t>Copia del diploma o acta de grado del título profesional.</t>
  </si>
  <si>
    <t>Contratante</t>
  </si>
  <si>
    <t>Cargo desempeñado</t>
  </si>
  <si>
    <t>Director Interventoria</t>
  </si>
  <si>
    <t>Otro</t>
  </si>
  <si>
    <t>Fecha expedición Matricula Profesional</t>
  </si>
  <si>
    <t>Anexo - Listado Posgrados</t>
  </si>
  <si>
    <t>B- RESIDENTE INTERVENTORIA 2</t>
  </si>
  <si>
    <t>B- RESIDENTE INTERVENTORIA 1</t>
  </si>
  <si>
    <t xml:space="preserve"> B - RESIDENTE INTERVENTORIA 2</t>
  </si>
  <si>
    <t>B - RESIDENTE INTERVENTORIA 1</t>
  </si>
  <si>
    <t>A - DIRECTOR INTERVENTORIA</t>
  </si>
  <si>
    <t>4.2.3. EQUIPO DE TRABAJO COMPLEMENTARIO</t>
  </si>
  <si>
    <t>4.2.3.1. FORMATO “CARTA DE COMPROMISO VINCULACIÓN EQUIPO MÍNIMO DE TRABAJO”</t>
  </si>
  <si>
    <t>4.4 FACTORES ESTABLECIDOS PARA OTORGAR EL PUNTAJE</t>
  </si>
  <si>
    <t>EXPERIENCIA ADICIONAL DEL PROPONENTE</t>
  </si>
  <si>
    <t>CONTRATO ADICIONAL 1 - Valoración Experiencia</t>
  </si>
  <si>
    <t>CONTRATO ADICIONAL 2 - Valoración Experiencia</t>
  </si>
  <si>
    <t>CONTRATOS EXPERIENCIA ADICIONAL OFERENTE - SUMATORIA SMMLV</t>
  </si>
  <si>
    <t>∑&gt; 100% P.O.</t>
  </si>
  <si>
    <r>
      <t xml:space="preserve">∑&gt; 50,1 % P.O. </t>
    </r>
    <r>
      <rPr>
        <sz val="10"/>
        <rFont val="Aptos Narrow"/>
        <family val="2"/>
      </rPr>
      <t>≈</t>
    </r>
    <r>
      <rPr>
        <sz val="10"/>
        <rFont val="Arial"/>
        <family val="2"/>
      </rPr>
      <t xml:space="preserve"> 100 % P.O.</t>
    </r>
  </si>
  <si>
    <r>
      <t xml:space="preserve">∑&gt; 25,1 % P.O. </t>
    </r>
    <r>
      <rPr>
        <sz val="10"/>
        <rFont val="Aptos Narrow"/>
        <family val="2"/>
      </rPr>
      <t>≈</t>
    </r>
    <r>
      <rPr>
        <sz val="10"/>
        <rFont val="Arial"/>
        <family val="2"/>
      </rPr>
      <t xml:space="preserve"> 50 % P.O.</t>
    </r>
  </si>
  <si>
    <r>
      <t xml:space="preserve">∑&gt; 10 % P.O. </t>
    </r>
    <r>
      <rPr>
        <sz val="10"/>
        <rFont val="Aptos Narrow"/>
        <family val="2"/>
      </rPr>
      <t>≈</t>
    </r>
    <r>
      <rPr>
        <sz val="10"/>
        <rFont val="Arial"/>
        <family val="2"/>
      </rPr>
      <t xml:space="preserve"> 25 % P.O.</t>
    </r>
  </si>
  <si>
    <t>∑ &lt; 10 % P.O. o No presenta</t>
  </si>
  <si>
    <t>Observaciones:</t>
  </si>
  <si>
    <t>4.4.1.2. EXPERIENCIA ADICIONAL DEL DIRECTOR DE INTERVENTORÍA</t>
  </si>
  <si>
    <t>∑&gt;= 80% P.O.</t>
  </si>
  <si>
    <t>∑ &lt; 80 P.O.</t>
  </si>
  <si>
    <t>CONTRATOS EXPERIENCIA ADICIONAL DIRECTOR INTERVENTORIA - SUMATORIA SMMLV</t>
  </si>
  <si>
    <t>4.4.1.3. FORMACIÓN ADICIONAL DEL RESIDENTE DE INTERVENTORÍA</t>
  </si>
  <si>
    <t>Ofrece Dos (2) RESIDENTES INTERVENTORIA con Posgrado</t>
  </si>
  <si>
    <t>Ofrece un (1) RESIDENTE INTERVENTORIA con Posgrado</t>
  </si>
  <si>
    <t>No Ofrece RESIDENTES INTERVENTORIA con posgrado</t>
  </si>
  <si>
    <t>X</t>
  </si>
  <si>
    <t>4.4.1.4. APOYO A LA INDUSTRIA NACIONAL</t>
  </si>
  <si>
    <t>• El oferente nacional colombiano o residente en Colombia.
• Persona jurídica constituida de conformidad con la legislación colombiana.
• Proponente plural conformado por estos y un extranjero contrato nacional.
* Vincular personal mínimo colombiano (40% minimo)</t>
  </si>
  <si>
    <t>Promoción de la incorporación de componente nacional en servicios extranjeros al oferente</t>
  </si>
  <si>
    <t>*  No certifique las circunstancias anteriores. 
*  Bienes o servicios extranjeros sin la vinculación de personas o bienes de origen nacional.</t>
  </si>
  <si>
    <t>4.4.1.5. INCENTIVO A FAVOR DE LAS PERSONAS CON DISCAPACIDAD</t>
  </si>
  <si>
    <t>Certificación expedida por la Persona Natural o Juridica</t>
  </si>
  <si>
    <t>Certificado expedido por Ministerio de Trabajo</t>
  </si>
  <si>
    <t>Fecha expedición Certificación MINTRABAJO</t>
  </si>
  <si>
    <t>SMMLV - Acreditados por Integrante Consoricio / UT</t>
  </si>
  <si>
    <t>4.4.1.6. PUNTAJE ADICIONAL EMPRENDIMIENTOS Y EMPRESAS DE MUJERES</t>
  </si>
  <si>
    <t>Certificación expedida R.L y R.F o C.P.</t>
  </si>
  <si>
    <t>Composición Societaria</t>
  </si>
  <si>
    <t>Acredita tiempo participacion societaria mujeres &gt;= 1 año</t>
  </si>
  <si>
    <t>Porcentaje participación mujeres &gt;= 50%</t>
  </si>
  <si>
    <t>Empleos del nivel directivo</t>
  </si>
  <si>
    <t>Adjunta copia documentos identidad todos cargos</t>
  </si>
  <si>
    <t>Copia de los contratos de trabajo o certificación laboral con las funciones</t>
  </si>
  <si>
    <t>Certificado de aportes a seguridad social del último año</t>
  </si>
  <si>
    <t>PUNTAJE TOTAL</t>
  </si>
  <si>
    <t>4.4.2. DESCUENTO POR MULTAS AUTO DECLARACIÓN MULTA Y/O SANCIONES IMPUESTAS (-2)</t>
  </si>
  <si>
    <t>4.4.3. REGISTRO NACIONAL DE OBRAS INCONCLUSAS (-1 Punto Factor Calidad)</t>
  </si>
  <si>
    <t>Porcentaje participación integrante que acredita &gt;10%</t>
  </si>
  <si>
    <t>Porcentaje participación integrante que acredita &gt; 10%</t>
  </si>
  <si>
    <t xml:space="preserve">Integrante 1 </t>
  </si>
  <si>
    <t xml:space="preserve">Integrante 2 </t>
  </si>
  <si>
    <t>Integrante 3</t>
  </si>
  <si>
    <t>EXPERIENCIA PROPONENTE</t>
  </si>
  <si>
    <t>PERSONAL HABILITANTE</t>
  </si>
  <si>
    <t>EQUIPO TRABAJO COMPLEMENTARIO</t>
  </si>
  <si>
    <t>REQUISITOS TECNICOS HABILITANTES</t>
  </si>
  <si>
    <t>EXPERIENCIA ADICIONAL PROPONENTE</t>
  </si>
  <si>
    <t>EXPERIENCIA ADICIONAL DIRECTOR INT.</t>
  </si>
  <si>
    <t>FORMACIÓN ADICIONAL RESIDENTES INT.</t>
  </si>
  <si>
    <t>FACTORES CALIDAD</t>
  </si>
  <si>
    <t>APOYO INDUSTRIA NACIONAL</t>
  </si>
  <si>
    <t>INCENTIVO DISCAPACIDAD</t>
  </si>
  <si>
    <t>EMPRENDIMIENTOS</t>
  </si>
  <si>
    <t>MULTAS / SANCIONES</t>
  </si>
  <si>
    <t>OBRAS INCONCLUSAS</t>
  </si>
  <si>
    <t>TOTAL</t>
  </si>
  <si>
    <t>P U N T A J E S</t>
  </si>
  <si>
    <r>
      <t xml:space="preserve">SUMATORIA MAYOR IGUAL AL 50% P.O.  </t>
    </r>
    <r>
      <rPr>
        <sz val="10"/>
        <rFont val="Aptos Narrow"/>
        <family val="2"/>
      </rPr>
      <t>∑ ≥ 216,63 SMMLV</t>
    </r>
  </si>
  <si>
    <r>
      <t xml:space="preserve">SUMATORIA MAYOR IGUAL AL 100% P.O.  </t>
    </r>
    <r>
      <rPr>
        <sz val="10"/>
        <rFont val="Aptos Narrow"/>
        <family val="2"/>
      </rPr>
      <t>∑ ≥ 433,26 SMMLV</t>
    </r>
  </si>
  <si>
    <t>Residente Interventoría</t>
  </si>
  <si>
    <t>R&amp;M CONSTRUCCIONES E INTERVENTORIAS SAS</t>
  </si>
  <si>
    <t>INTERVENTORÍA TÉCNICA, ADMINISTRATIVA Y FINANCIERA AL CONTRATO DE EJECUCION DE OBRA NUEVA, DEMOLICION TOTAL DEL COLEGIO DISTRITAL LA CONCORDIA, LOCALIDAD 17 LA CANDELARIA, DE ACUERDO CON LOS PLANOS Y ESPECIFICACIONES ENTREGADAS POR LA SECRETARIA DE EDUCAC ION DEL DISTRITO.</t>
  </si>
  <si>
    <t>SECRETARIA DE EDUCACIÓN</t>
  </si>
  <si>
    <t>Contratista:  R&amp;M CONSTRUCCIONES E INTERVENTORIAS S.A.S</t>
  </si>
  <si>
    <r>
      <rPr>
        <b/>
        <sz val="10"/>
        <rFont val="Arial"/>
        <family val="2"/>
      </rPr>
      <t>Contrato 1</t>
    </r>
    <r>
      <rPr>
        <sz val="10"/>
        <rFont val="Arial"/>
        <family val="2"/>
      </rPr>
      <t>:  3530-2013</t>
    </r>
  </si>
  <si>
    <t>INTERVENTORIA TECNICA, ADMINISTRATIVA, JURIDICA, FINANCIERA Y AMBIENTAL AL CONTRATO DE OBRAS DE LAS ADECUACIÓN, MEJORAMIENTO Y MANTENIMIENTO CORRECTIVO DE LAS PLANTAS FÍSICAS ESTABLECIDAS CON EL FIN DE ATENDER LOS REQUERIMIENTOS DE SECRETARIA DISTRITAL DE SALUD EN TÉRMINOS HIGIÉNICO SANITARIOS E INFRAESTRUCTURA EN GENERAL EN LAS LOCALIDADES DEL DISTRITO CAPITAL.</t>
  </si>
  <si>
    <r>
      <rPr>
        <b/>
        <sz val="10"/>
        <rFont val="Arial"/>
        <family val="2"/>
      </rPr>
      <t>Contrato 2</t>
    </r>
    <r>
      <rPr>
        <sz val="10"/>
        <rFont val="Arial"/>
        <family val="2"/>
      </rPr>
      <t>: 1863 del 2017</t>
    </r>
  </si>
  <si>
    <t>R&amp;M CONSTRUCCIONES E INTERVENTORIAS SAS,</t>
  </si>
  <si>
    <t>MARGARITA GOMEZ GOMEZ</t>
  </si>
  <si>
    <t>25202-64018</t>
  </si>
  <si>
    <t>Gerencia Integral de Obras</t>
  </si>
  <si>
    <r>
      <t xml:space="preserve">CONTRATO 2 - OBJETO:
</t>
    </r>
    <r>
      <rPr>
        <sz val="10"/>
        <color theme="1"/>
        <rFont val="Arial"/>
        <family val="2"/>
      </rPr>
      <t>282 DE 2018 - REALIZAR LA INTERVENTORÍA TÉCNICA, ADMINISTRATIVA, FINANCIERA, CONTABLE, AMBIENTAL, SOCIAL Y JURIDICA, PARA EL CONTRATO DE OBRA NO. 375 de 2017, cuyo objeto es REALIZAR LAS REPARACIONES LOCATIVAS NECESARIAS A MONTO AGOTABLE PARA MANTENER EN BUENAS CONDICIONES DE HIGIENES Y ORNATO LAS INSTALACIONES DE LAS JUNTAS DE ACCION COMUNAL DE LA LOCALIDAD DE SUBA EN EL CUAL INCLUYE DIAGNOSTICO Y DESCRIPCIONES, ESPECIFICACIONES Y LAS DEMAS ACTIVIDADES QUE SE DETALLAN EN LOS ANEXOS TECNICOS</t>
    </r>
  </si>
  <si>
    <r>
      <t xml:space="preserve">CONTRATO 1 - OBJETO:
</t>
    </r>
    <r>
      <rPr>
        <sz val="10"/>
        <color theme="1"/>
        <rFont val="Arial"/>
        <family val="2"/>
      </rPr>
      <t xml:space="preserve">
3530-2013 - INTERVENTORÍA TÉCNICA, ADMINISTRATIVA Y FINANCIERA AL CONTRATO DE EJECUCION DE OBRA NUEVA, DEMOLICION TOTAL DEL COLEGIO DISTRITAL LA CONCORDIA, LOCALIDAD 17 LA CANDELARIA, DE ACUERDO CON LOS PLANOS Y ESPECIFICACIONES ENTREGADAS POR LA SECRETARIA DE EDUCACION DEL DISTRITO.</t>
    </r>
  </si>
  <si>
    <t>Nota:  Certificación expedidad por Oferente.  Adjunta Contrato Termino Indefinido.
Proyecto:  Secretaria Educación Distrital</t>
  </si>
  <si>
    <t>R&amp;M Construcciones e Interventorias SAS</t>
  </si>
  <si>
    <t>Nota:  Certificación expedidad por Oferente.  Adjunta Contrato Termino Indefinido.
Proyecto:  FONDO DESARROLLO LOCAL DE SUBA</t>
  </si>
  <si>
    <r>
      <t xml:space="preserve">CONTRATO 3 - OBJETO:
</t>
    </r>
    <r>
      <rPr>
        <sz val="10"/>
        <color theme="1"/>
        <rFont val="Arial"/>
        <family val="2"/>
      </rPr>
      <t>005 de 2022 - INTERVENTORIA TÉCNICA, ADMINISTRATIVA, LEGAL, FINANCIERA Y CONTABLE PARA LA CONSTRUCCIÓN DE INFRAESTRUCTURA LÚDICA PARA EL DESARROLLO MOTRIZ DE LA PRIMERA INFANCIA EN SIBATE CUNDINAMARCA.</t>
    </r>
  </si>
  <si>
    <t>Nota:  Certificación expedidad por Oferente.  Adjunta Contrato Termino Indefinido.
Proyecto:  MUNICIPIO DE SIBATE</t>
  </si>
  <si>
    <t>ADRIANA MARCELA GUTIERREZ YEPES,</t>
  </si>
  <si>
    <t>A203012011-35537955</t>
  </si>
  <si>
    <r>
      <t xml:space="preserve">CONTRATO 1 - OBJETO:
</t>
    </r>
    <r>
      <rPr>
        <sz val="10"/>
        <color theme="1"/>
        <rFont val="Arial"/>
        <family val="2"/>
      </rPr>
      <t>1204-2013 - INTERVENTORIA TECNICA, ADMINISTRATIVA Y DE CONTROL PRESUPUESTAL AL CONTRATO QUE SE ADJUDIQUE PARA LA CONSTRUCCION DEL JARDIN INFANTIL SAN CRISTOBAL, EN LA CIUDAD DE BOGOTA D.C.</t>
    </r>
  </si>
  <si>
    <t>Nota:  Certificación expedidad por Oferente.  Adjunta Contrato Individual de Trabajo a Termino de Obra Contratada.
Proyecto:  SECRETARIA DISTRITAL DE INTEGRACION SOCIAL</t>
  </si>
  <si>
    <r>
      <t xml:space="preserve">CONTRATO 2 - OBJETO:
</t>
    </r>
    <r>
      <rPr>
        <sz val="10"/>
        <color theme="1"/>
        <rFont val="Arial"/>
        <family val="2"/>
      </rPr>
      <t xml:space="preserve">
INTERVENTORIA TECNICA, ADMINISTRATIVA, JURIDICA Y FINANCIERA AL CONTRATO DE EJECUCIÓN DE OBRA NUEVA PARA EL COLEGIO LA FELICIDAD, DE LA LOCALIDAD 9 FONTIBÓN, IDENTIFICADO CON EL CPF 925 DE ACUERDO CON LOS PLANOS Y ESPECIFICACIONES ENTREGADOS POR LA SECRETARIA DE EDUCACIÓN DEL DISTRITO</t>
    </r>
  </si>
  <si>
    <t>IVONNE CATALINA FUENTES URIBE,</t>
  </si>
  <si>
    <t>25202-138322</t>
  </si>
  <si>
    <r>
      <rPr>
        <b/>
        <u/>
        <sz val="10"/>
        <color rgb="FFFF0000"/>
        <rFont val="Arial"/>
        <family val="2"/>
      </rPr>
      <t>DEBE SUBSANAR:</t>
    </r>
    <r>
      <rPr>
        <sz val="10"/>
        <color theme="1"/>
        <rFont val="Arial"/>
        <family val="2"/>
      </rPr>
      <t xml:space="preserve">  Numeral 4.2.2. REQUISITOS PARA ACREDITAR LOS PERFILES HABILITANTES - Punto 7:  El Contrato de Prestación de Servicios tiene por objeto" Interventoría técnica, administrativa y de control presupuestal a las obras de construcción de una infraestructura educativa tipo a ubicada en el sector de san Mateo II en el municipio de Soacha".  No corresponde con las certificaciones aportadas.
Proyecto:   BBVA ASSET MANAGEMENT S. A.</t>
    </r>
  </si>
  <si>
    <r>
      <t xml:space="preserve">CONTRATO 1 - OBJETO:
</t>
    </r>
    <r>
      <rPr>
        <sz val="10"/>
        <color theme="1"/>
        <rFont val="Arial"/>
        <family val="2"/>
      </rPr>
      <t>3-1-92756- I-05 - 2020 - “INTERVENTORÍA TÉCNICA, ADMINISTRATIVA, FINANCIERA, CONTABLE, AMBIENTAL, SOCIAL Y JURÍDICA PARA LA EJECUCIÓN DEL PROYECTO DENOMINADO “EJECUCIÓN DE ESTUDIOS, DISEÑOS, CONSTRUCCIÓN Y PUESTA EN FUNCIONAMIENTO DE UN CENTRO DE DESARROLLO INFANTIL UBICADO EN EL MUNICIPIO DE MITÚ, DEPARTAMENTO DE VAUPÉS”</t>
    </r>
  </si>
  <si>
    <r>
      <rPr>
        <b/>
        <u/>
        <sz val="10"/>
        <color rgb="FFFF0000"/>
        <rFont val="Arial"/>
        <family val="2"/>
      </rPr>
      <t>DEBE SUBSANAR:</t>
    </r>
    <r>
      <rPr>
        <sz val="10"/>
        <color theme="1"/>
        <rFont val="Arial"/>
        <family val="2"/>
      </rPr>
      <t xml:space="preserve">  Numeral 4.2.2. REQUISITOS PARA ACREDITAR LOS PERFILES HABILITANTES - Punto 7:  El Contrato de Prestación de Servicios tiene por objeto" Interventoría técnica, administrativa y de control presupuestal a las obras de construcción de una infraestructura educativa tipo a ubicada en el sector de san Mateo II en el municipio de Soacha".  No corresponde con las certificaciones aportadas.
Proyecto:   ALCALDIA PUERTO GAITÁN</t>
    </r>
  </si>
  <si>
    <t>SECRETARÍA DE EDUCACIÓN DEL DISTRITO</t>
  </si>
  <si>
    <t>INTERVENTORIA TECNICA, ADMINISTRATIVA, JURIDICA, FINANCIERA AL CONTRATO DE OBRA NUEVA PARA EL COLEGIO LA FELICIDAD, DE LA LOCALIDAD 9 FONTIBON, IDENTIFICADO CON EL CPF 925 DE ACUERDO CON LOS PLANOS Y ESPECIFICACIONES ENTREGADOS POR LA SECRETARIA DE EDUCACION DEL DISTRITO</t>
  </si>
  <si>
    <r>
      <rPr>
        <b/>
        <sz val="10"/>
        <rFont val="Arial"/>
        <family val="2"/>
      </rPr>
      <t>Contrato 1</t>
    </r>
    <r>
      <rPr>
        <sz val="10"/>
        <rFont val="Arial"/>
        <family val="2"/>
      </rPr>
      <t>: 3758 2015</t>
    </r>
  </si>
  <si>
    <t>CONSORCIO R&amp;M CODIPRO
R&amp;M CONSTRUCCIONES E INTERVENTORIAS (50%)</t>
  </si>
  <si>
    <r>
      <rPr>
        <b/>
        <sz val="10"/>
        <rFont val="Arial"/>
        <family val="2"/>
      </rPr>
      <t>Contrato 2</t>
    </r>
    <r>
      <rPr>
        <sz val="10"/>
        <rFont val="Arial"/>
        <family val="2"/>
      </rPr>
      <t>: 12890-2015</t>
    </r>
  </si>
  <si>
    <t>SECRETARIA DISTRITAL DE INTEGRACIÓN SOCIAL</t>
  </si>
  <si>
    <t>INTERVENTORIA TÉCNICA, FINANCIERA, ADMINISTRATIVA, LEGAL, SOCIAL Y AMBIENTAL AL CONTRATO QUE SE ADJUDIQUE PARA REALIZAR LAS OBRAS  DEMOLICIÓN PARCIAL, AMPLIACIÓN, ADECUACIÓN Y REFORZAMIENTO ESTRUCTURAL PARA EL JARDÍN INFANTIL VILLA CRISTINA UBICADO EN LA LOCALIDAD DE ENGATIVA EN LA CIUDAD DE BOGOTA D.C</t>
  </si>
  <si>
    <t>Nota:  Certificación expedidad por Oferente.  Adjunta Contrato Termino Indefinido.
Proyecto:  SECRETARIA DE EDUCACION</t>
  </si>
  <si>
    <r>
      <t xml:space="preserve">CONTRATO 1 - OBJETO:
</t>
    </r>
    <r>
      <rPr>
        <sz val="10"/>
        <color theme="1"/>
        <rFont val="Arial"/>
        <family val="2"/>
      </rPr>
      <t>3438-2015 - INTERVENTORIA TECNICA, ADMINISTRATIVA Y FINANCIERA DE LAS OBRAS COMPLEMENTARIAS Y DE MEJORAMIENTO PARA LAS SEDES DE COLEGIOS DISTRITALES DE LAS LOCALIDADES DE BOSA, MARTIRES, SANTA FE, ANTONIO NARIÑO PUENTE ARANDA, FONTIBON, ENGATIVA, BARRIOS UNIDOS Y CIUDAD BOLIVAR DEL DISTRITO CAPITAL</t>
    </r>
  </si>
  <si>
    <r>
      <t xml:space="preserve">CONTRATO 2- OBJETO:
</t>
    </r>
    <r>
      <rPr>
        <sz val="10"/>
        <color theme="1"/>
        <rFont val="Arial"/>
        <family val="2"/>
      </rPr>
      <t xml:space="preserve">
864705 DE 2019 - INTERVENTORÍA TÉCNICA, AMBIENTAL, ADMINISTRATIVA, FINANCIERA Y JURÍDICA PARA LA CONTRATACIÓN DE LAS OBRAS MENORES PARA LA ATENCIÓN DE EMERGENCIAS EN LOS COLEGIOS DISTRITALES</t>
    </r>
  </si>
  <si>
    <t xml:space="preserve">Observaciones:
R1:  Adriana Marcela Gutierrez - Especialista en Gerencia de Proyectos
R2:  Ivonne Catalina Fuentes - Gerencia Integral de Obras.
</t>
  </si>
  <si>
    <t>Observaciones:
Fecha expedición:  5/12/2024
Acredita Composición Accionaria</t>
  </si>
  <si>
    <t xml:space="preserve">CONTRATO 2 - OBJETO:
</t>
  </si>
  <si>
    <t xml:space="preserve">CONTRATO 3 - OBJETO:
</t>
  </si>
  <si>
    <t xml:space="preserve">Observaciones:  
</t>
  </si>
  <si>
    <r>
      <rPr>
        <b/>
        <sz val="10"/>
        <rFont val="Arial"/>
        <family val="2"/>
      </rPr>
      <t>Contrato 1</t>
    </r>
    <r>
      <rPr>
        <sz val="10"/>
        <rFont val="Arial"/>
        <family val="2"/>
      </rPr>
      <t>:</t>
    </r>
  </si>
  <si>
    <t>CONSORCIO TRANSFORMAR AGENCIAS</t>
  </si>
  <si>
    <r>
      <rPr>
        <b/>
        <sz val="10"/>
        <rFont val="Arial"/>
        <family val="2"/>
      </rPr>
      <t>Contrato 1</t>
    </r>
    <r>
      <rPr>
        <sz val="10"/>
        <rFont val="Arial"/>
        <family val="2"/>
      </rPr>
      <t>:  1239 - 2017</t>
    </r>
  </si>
  <si>
    <t>Contratista:  CONSORCIO INTEREDIFICACIONES 1
Integrante:  JET INGENIERIA SAS Nit 802024876-8</t>
  </si>
  <si>
    <t>INTERVENTORIA TECNICA, ADMINISTRATIVA, FINANCIERA, AMBIENTAL, CONTABLE Y JURIDICA A LA CONSTRUCCIÓN CASA DE REHABILITACION Y BIENESTAR ANIMAL "BOLIVAR SI AVANZA" MUNICIPIO DE SANTA ROSA</t>
  </si>
  <si>
    <t>JET INGENIERIA S.A.S  NIT 802.024.876 - 8</t>
  </si>
  <si>
    <t>CONSORCIO INTERHOSPITAL
JET INGENIERIA SAS 802024876-8</t>
  </si>
  <si>
    <r>
      <rPr>
        <b/>
        <sz val="10"/>
        <rFont val="Arial"/>
        <family val="2"/>
      </rPr>
      <t>Contrato 2</t>
    </r>
    <r>
      <rPr>
        <sz val="10"/>
        <rFont val="Arial"/>
        <family val="2"/>
      </rPr>
      <t>: 083-2022</t>
    </r>
  </si>
  <si>
    <t>INTERVENTORÍA TÉCNICA, ADMINISTRATIVA, FINANCIERA, JURÍDICA Y AMBIENTAL PARA LA REMODELACIÓN DE SERVICIOS DE URGENCIAS DE LA INFRAESTRUCTURA FÍSICA DE LA ESE DEL MUNICIPIO DE FOSCA, CUNDINAMARCA</t>
  </si>
  <si>
    <t>CENTRO DE SALUD FOSCA E.S.E.</t>
  </si>
  <si>
    <r>
      <rPr>
        <b/>
        <sz val="10"/>
        <rFont val="Arial"/>
        <family val="2"/>
      </rPr>
      <t>Contrato 3</t>
    </r>
    <r>
      <rPr>
        <sz val="10"/>
        <rFont val="Arial"/>
        <family val="2"/>
      </rPr>
      <t>: 001-2015</t>
    </r>
  </si>
  <si>
    <t xml:space="preserve">INTERVENTORIA TÉCNICA ADMINISTRATIVA, CONTABLE Y FINANCIERA DE LOS CONTRATOS DE CONSTRUCCIÓN Y/O REMODELACIÓN Y/O ADECUACIÓN DE LAS INSTITUCIONES EDUCATIVAS I.E. LA MARÍA, I.E. LA ALIANZA, I.E. VIRGINIA GOMEZ SEDE PRINCIPAL Y SEDE N° 2 Y SEDE N° 3, I.E. ISAJ J PEREIRA SEDE N° 2 Y SEDE N° 3, I.E. PALMOR, I.E. SEVILLANO, I.E. SIBERIA, I.E. EL CARMEN, I.E. DARIO TORREGROSA PEREZ, I.E. ENOC MENDOZA RIASCOS, I.E. LICEO MODERNO DEL SUR SEDE N° 2 Y INSTITUCIÓN EDUCATIVA LA MAYA </t>
  </si>
  <si>
    <t>ALCALDÍA MUNICIPAL DE CIÉNAGA</t>
  </si>
  <si>
    <t>TITO II VELASQUEZ BECERRA</t>
  </si>
  <si>
    <t>OEVA ORGANIZACION EMPRESARIAL VELASQUEZ ARDILA S.A.S - 901.568.643 - 2</t>
  </si>
  <si>
    <t>EDUARDO AREVALO NEIRA</t>
  </si>
  <si>
    <t>25202-17126</t>
  </si>
  <si>
    <t>Gerencia de Construcciones</t>
  </si>
  <si>
    <r>
      <t xml:space="preserve">CONTRATO 1 - OBJETO:
</t>
    </r>
    <r>
      <rPr>
        <sz val="10"/>
        <color theme="1"/>
        <rFont val="Arial"/>
        <family val="2"/>
      </rPr>
      <t xml:space="preserve">
Interventoría técnica, administrativa y financiera a los contratos de estudios técnicos, diseños, construcciones nuevas, ampliaciones y mejoramiento, derivados de los planes departamentales de infraestructura educativa, deportiva, turística en el Departamento de la Guajira </t>
    </r>
  </si>
  <si>
    <t>CONSORCIO INFRAESTRUCTURA GUAJIRA</t>
  </si>
  <si>
    <t>DEPARTAMENTO DE BOLIVAR</t>
  </si>
  <si>
    <t>Mayor o igual a 6 años</t>
  </si>
  <si>
    <t>GUSTAVO RAFAEL CASTELLAR ARRIETA</t>
  </si>
  <si>
    <t>13202-133728</t>
  </si>
  <si>
    <t>Consorcio Inter JET-RC</t>
  </si>
  <si>
    <r>
      <t xml:space="preserve">CONTRATO 1 - OBJETO:
</t>
    </r>
    <r>
      <rPr>
        <sz val="10"/>
        <color theme="1"/>
        <rFont val="Arial"/>
        <family val="2"/>
      </rPr>
      <t>CMT-001-2015:  Interventoría técnica, administrativa, financiera, ambiental sobre la construcción de obras en el Municipio de Turbana, Departamento de Bolívar</t>
    </r>
  </si>
  <si>
    <t>CONSORCIO TRANSFORMAR PARQUES 17-01</t>
  </si>
  <si>
    <r>
      <rPr>
        <b/>
        <sz val="10"/>
        <color rgb="FFFF0000"/>
        <rFont val="Arial"/>
        <family val="2"/>
      </rPr>
      <t xml:space="preserve">DEBE SUBSANAR: </t>
    </r>
    <r>
      <rPr>
        <sz val="10"/>
        <color theme="1"/>
        <rFont val="Arial"/>
        <family val="2"/>
      </rPr>
      <t xml:space="preserve"> Numeral 4.2.2. REQUISITOS PARA ACREDITAR LOS PERFILES HABILITANTES - Punto 7:  JET INGENIERIA SAS, es integrante del Consorcio que expide CERTIFICADO.  Debe allegar "...contrato de trabajo o de prestación de servicios que certifique la relación laboral o contractual para dicho proyecto."</t>
    </r>
  </si>
  <si>
    <t>YULHANER ENRIQUE OROZCO MONTERO</t>
  </si>
  <si>
    <t>08202-189925</t>
  </si>
  <si>
    <r>
      <t xml:space="preserve">CONTRATO 1 - OBJETO:
</t>
    </r>
    <r>
      <rPr>
        <sz val="10"/>
        <color theme="1"/>
        <rFont val="Arial"/>
        <family val="2"/>
      </rPr>
      <t xml:space="preserve">Interventoría Técnica, Administrativa, Financiera, Contable y Ambiental a la Construcción de la Biblioteca Digital- Centro Cultural Barrio Pie de la Popa
</t>
    </r>
    <r>
      <rPr>
        <u/>
        <sz val="10"/>
        <color theme="1"/>
        <rFont val="Arial"/>
        <family val="2"/>
      </rPr>
      <t xml:space="preserve">
</t>
    </r>
  </si>
  <si>
    <t>CONSORCIO INTER BIBLIO</t>
  </si>
  <si>
    <t>CONSORCIO INTERCOLISEO FERIAS JHC</t>
  </si>
  <si>
    <r>
      <t xml:space="preserve">CONTRATO 2 - OBJETO:
</t>
    </r>
    <r>
      <rPr>
        <sz val="10"/>
        <color theme="1"/>
        <rFont val="Arial"/>
        <family val="2"/>
      </rPr>
      <t xml:space="preserve">
2222 del 1 de junio de 2022:  Interventoría al proyecto de Construcción del Coliseo de Ferias del Norte para contribuir con el fortalecimiento de los procesos de comercialización de productos agrícolas y pecuarios en los Municipios de las Zodes Norte, Dique y Montes de María en el Departamento de Bolívar </t>
    </r>
  </si>
  <si>
    <t>interventoría integral a los contratos de construcción de la infraestructura educativa afectada por el fenómeno de la niña 2010-2011 en el departamento del Chocó</t>
  </si>
  <si>
    <t>FONDO DE ADAPTACIÓN</t>
  </si>
  <si>
    <t>TITO VELASQUEZ BECERRA
Socio:  OEVA ORGANIZACIÓN EMPRESARIAL VELASQUEZ ARDILA S.A.S.</t>
  </si>
  <si>
    <t>Unión Temporal Interventoría Aulas Unimagdalena</t>
  </si>
  <si>
    <t>Contratante Proyecto:  UNIVERSIDAD DEL MAGDALENA</t>
  </si>
  <si>
    <r>
      <t xml:space="preserve">CONTRATO 1 - OBJETO:
</t>
    </r>
    <r>
      <rPr>
        <sz val="10"/>
        <color theme="1"/>
        <rFont val="Arial"/>
        <family val="2"/>
      </rPr>
      <t xml:space="preserve">
Interventoría técnica, administrativa, financiera, ambiental y jurídica para la construcción del nuevo edificio de aulas de la Universidad del Magdalena 
</t>
    </r>
  </si>
  <si>
    <r>
      <t xml:space="preserve">CONTRATO 2- OBJETO:
</t>
    </r>
    <r>
      <rPr>
        <sz val="10"/>
        <color theme="1"/>
        <rFont val="Arial"/>
        <family val="2"/>
      </rPr>
      <t xml:space="preserve">0108*2017*000062:  INTERVENTORÍA TÉCNICA, ADMINISTRATIVA, FINANCIERA Y AMBIENTAL CONSTRUCCIÓN Y/O ADECUACIÓN Y/O MEJORAMIENTO Y/O EQUIPAMENTO DE PARQUES Y/O CANCHAS DEPORTIVAS EN EL DEPARTAMENTO DEL ATLÁNTICO </t>
    </r>
  </si>
  <si>
    <r>
      <t xml:space="preserve">Contratante Proyecto:  GOBERNACIÓN DEL ATLANTICO
</t>
    </r>
    <r>
      <rPr>
        <b/>
        <sz val="10"/>
        <color rgb="FFFF0000"/>
        <rFont val="Arial"/>
        <family val="2"/>
      </rPr>
      <t>NO CUMPLE:</t>
    </r>
    <r>
      <rPr>
        <sz val="10"/>
        <color rgb="FFFF0000"/>
        <rFont val="Arial"/>
        <family val="2"/>
      </rPr>
      <t xml:space="preserve"> </t>
    </r>
    <r>
      <rPr>
        <sz val="10"/>
        <color theme="1"/>
        <rFont val="Arial"/>
        <family val="2"/>
      </rPr>
      <t xml:space="preserve"> Numeral 4.2.2. REQUISITOS PARA ACREDITAR LOS PERFILES HABILITANTES - Punto 7:  JET INGENIERIA SAS, es integrante del Consorcio que expide CERTIFICADO.  NO ALLEGA "...contrato de trabajo o de prestación de servicios que certifique la relación laboral o contractual para dicho proyecto."</t>
    </r>
  </si>
  <si>
    <t>Observaciones:  NO SE TIENE EN CUENTA CERTIFICACIÓN 2</t>
  </si>
  <si>
    <r>
      <t xml:space="preserve">Observaciones:
R1:  Gustavo Rafael  Castellar Arrieta - Especialista en Gerencia de Proyectos
R2:  Yulhaner Enrique Orozco Montero - </t>
    </r>
    <r>
      <rPr>
        <u/>
        <sz val="10"/>
        <rFont val="Arial"/>
        <family val="2"/>
      </rPr>
      <t>Especialista en Estructuras. NO CUMPLE LISTADO PROGRAMAS</t>
    </r>
  </si>
  <si>
    <t>Observaciones:
Acredita:  OEVA ORGANIZACION EMPRESARIAL VELASQUEZ ARDILA S.A.S</t>
  </si>
  <si>
    <t>Observaciones:
Acredita:  JET INGENIERIA S.A.S.</t>
  </si>
  <si>
    <t>Contratante Proyecto:  DEPARTAMENTO GUAJIRA</t>
  </si>
  <si>
    <t>INTERVENTORÍA TÉCNICA, ADMINISTRATIVA, FINANCIERA, JURÍDICA Y AMBIENTAL AL CONTRATO DE OBRA PARA EL REORDENAMIENTO Y ADECUACIÓN DEL CENTRO DE ATENCION PRIORITARIA EN SALUD CAPS ALTAMIRA DE LA SUBRED INTEGRADA DE SERVICIOS DE SALUD CENTRO ORIENTE E.S.E., EN EL MARCO DEL CONVENIO INTERADMINISTRATIVO No 1206 DE 2017 SUSCRITO ENTRE EL FONDO FINANCIERO DISTRITAL DE SALUD - SECRETARIA DISTRITAL DE SALUD Y LA SUBRED INTEGRADA DE SERVICIOS DE SALUD CENTRO ORIENTE E.S.E.</t>
  </si>
  <si>
    <t>SUBRED INTEGRADA DE SERVICIO DE SALUD CENTRO ORIENTE E.S.E 1</t>
  </si>
  <si>
    <t>Contratista:  LOGIA 3 ASOCIADOS SAS</t>
  </si>
  <si>
    <t>REALIZAR LA INTERVENTORÍA INTEGRAL AL CONTRATO DE EJECUCIÓN DE LAS OBRAS DE REFORZAMIENTO ESTRUCTURAL Y ADECUACIÓN DEL BLOQUE PATRIMONIAL DEL IED LA MERCED (BLOQUE DE DOS PISOS ENTRE EJES ESTRUCTURALES A-C Y 5-10), UBICADO EN LA LOCALIDAD DE PUENTE ARANDA, DE LA CIUDAD DE BOGOTÁ, DE ACUERDO CON LOS PLANOS Y ESPECIFICACIONES ENTREGADOS POR LA SECRETARÍA DE EDUCACIÓN DEL DISTRITO.</t>
  </si>
  <si>
    <r>
      <rPr>
        <b/>
        <sz val="10"/>
        <rFont val="Arial"/>
        <family val="2"/>
      </rPr>
      <t>Contrato 2</t>
    </r>
    <r>
      <rPr>
        <sz val="10"/>
        <rFont val="Arial"/>
        <family val="2"/>
      </rPr>
      <t>: CO1.PCCNTR 4323979</t>
    </r>
  </si>
  <si>
    <r>
      <rPr>
        <b/>
        <sz val="10"/>
        <rFont val="Arial"/>
        <family val="2"/>
      </rPr>
      <t>Contrato 1</t>
    </r>
    <r>
      <rPr>
        <sz val="10"/>
        <rFont val="Arial"/>
        <family val="2"/>
      </rPr>
      <t>:  02-BS-0098-2021</t>
    </r>
  </si>
  <si>
    <t>BOGOTA DISTRITO CAPITAL SECRETARIA DE EDUCACION</t>
  </si>
  <si>
    <t>JAIRO DE JESUS MARTINEZ BAENA,</t>
  </si>
  <si>
    <t>13202-03222</t>
  </si>
  <si>
    <t>Especialista en Gerencia de Proyectos</t>
  </si>
  <si>
    <t>Constructora Sabana del Oriente</t>
  </si>
  <si>
    <r>
      <t xml:space="preserve">CONTRATO 1 - OBJETO:
</t>
    </r>
    <r>
      <rPr>
        <sz val="10"/>
        <color theme="1"/>
        <rFont val="Arial"/>
        <family val="2"/>
      </rPr>
      <t xml:space="preserve">
CS-2015 - INTEREVENTORIA TECNICA, ADMINISTRATIVA, FINANCIERA, LEGAL Y AMBIENTAL CONSTRUCCIÓN A TODO COSTO DEL EDIFICIO DE OFICINAS CALIXTO EN EL MUNICIPIO DE YOPAL - CASANARE.
</t>
    </r>
  </si>
  <si>
    <t>CONSTRUCTORA SABANA DEL ORIENTE</t>
  </si>
  <si>
    <r>
      <t xml:space="preserve">CONTRATO 2 - OBJETO:
</t>
    </r>
    <r>
      <rPr>
        <sz val="10"/>
        <color theme="1"/>
        <rFont val="Arial"/>
        <family val="2"/>
      </rPr>
      <t xml:space="preserve">
CS - 2017INTERVENTORÍA TÉCNICA, ADMINISTRATIVA, FINANCIERA, LEGAL Y AMBIENTAL CONSTRUCCIÓN DE LA ETAPA 1 DEL EDIFICIO DE OFICINAS Y CONSULTORIOS MÉDICOS ASISTIR UBICADA EN EL BARRIO ANTONIO NARIÑO, YOPAL - CASANARE
</t>
    </r>
  </si>
  <si>
    <r>
      <t xml:space="preserve">CONTRATO 3 - OBJETO:
</t>
    </r>
    <r>
      <rPr>
        <sz val="10"/>
        <color theme="1"/>
        <rFont val="Arial"/>
        <family val="2"/>
      </rPr>
      <t xml:space="preserve">
CS - 2017 INTERVENTORÍA TÉCNICA ADMINISTRATIVA FINANCIERA, LEGAL Y AMBIENTAL ADECUACIÓN DE LAS OFICINAS ADMINISTRATIVAS EL PALMAR EN LA CIUDAD DE YOPAL - CASANARE.
</t>
    </r>
  </si>
  <si>
    <t>YESID MARTELO DIAZ</t>
  </si>
  <si>
    <t>13202-102639</t>
  </si>
  <si>
    <t>INTELLIGENT BUSINESSES</t>
  </si>
  <si>
    <t>CONSTRUCTORA SABANA DE ORIENTE</t>
  </si>
  <si>
    <r>
      <t xml:space="preserve">CONTRATO 1 - OBJETO:
</t>
    </r>
    <r>
      <rPr>
        <sz val="10"/>
        <color theme="1"/>
        <rFont val="Arial"/>
        <family val="2"/>
      </rPr>
      <t xml:space="preserve">
022/INTBUSI - INTERVENTORIA TECNICA ADMINISTRATIVA FINANCIERA Y CONTABLE PARA EL MANTENIMIENTO DE LOS INSTITUTOS EDUCATIVOS FRANCISCO JOSE DE CALDAS DELIA ZAPATA, INTEGRADO DE FONTIBON, JOSE AUSENCIO SILVA JOSE MARIA MARIA CARBONELMARIA CANO EN BOGOTA CUNDINAMARCA
</t>
    </r>
  </si>
  <si>
    <r>
      <t xml:space="preserve">CONTRATO 2 - OBJETO:
</t>
    </r>
    <r>
      <rPr>
        <sz val="10"/>
        <color theme="1"/>
        <rFont val="Arial"/>
        <family val="2"/>
      </rPr>
      <t xml:space="preserve">
CS - 028-2006 - INTERVENTORIA TECNICA ADMINISTRATIVA FINANCIERA,CONTABLE, JURIDICA Y AMBIENTAL PARA LA CONSTRUCCION DEL COLEGIO INSTITUTO EDUCATIVO JOSE MARIA CORDONA UBICADO EN EL MUNICIPIO DE TAURAMENA DEL DEPARTAMENTO DE CASANARE.
</t>
    </r>
  </si>
  <si>
    <t>ELISA CAROLINA PAEZ MOLINA</t>
  </si>
  <si>
    <t>25202-186435</t>
  </si>
  <si>
    <r>
      <t xml:space="preserve">CONTRATO 1 - OBJETO:
</t>
    </r>
    <r>
      <rPr>
        <sz val="10"/>
        <color theme="1"/>
        <rFont val="Arial"/>
        <family val="2"/>
      </rPr>
      <t xml:space="preserve">
INTERVENTORIA TECNICA ADMINISTRATIVA CONTABLE PARA ADECUACION DE OFICINA EN LA CIUDAD DE BARRANQUILLA
</t>
    </r>
  </si>
  <si>
    <r>
      <t xml:space="preserve">CONTRATO 2 - OBJETO:
</t>
    </r>
    <r>
      <rPr>
        <sz val="10"/>
        <color theme="1"/>
        <rFont val="Arial"/>
        <family val="2"/>
      </rPr>
      <t xml:space="preserve">
INTERVENTORIA TECNICA ADMINISTRATIVA CONTABLE PARA EL MANTENIMIENTO DE 8 VIVIENDAS DE INTERES SOCIAL EN LA CIUDAD DE VILLAVICENCIO META
</t>
    </r>
  </si>
  <si>
    <r>
      <t xml:space="preserve">CONTRATO 2 - OBJETO:
</t>
    </r>
    <r>
      <rPr>
        <sz val="10"/>
        <color theme="1"/>
        <rFont val="Arial"/>
        <family val="2"/>
      </rPr>
      <t>156-2011 - INTERVENTORIA TECNICA, ADMINISTRATIVA, FINANCIERA Y AMBIENTAL A CONSTRUCCION DE LA ESCUELA INTERNADO PARA EL CENTRO POBLADO DE ALTO DE TILLAVA, ZONA RURAL DEL MUNICIPIO DE PUERTO GAITAN - META.</t>
    </r>
  </si>
  <si>
    <t>REALIZAR LA INTERVENTORIA TECNICA, ADMISNISTRATIVA, FINANCIERA, JURIDICA Y AMBIENTAL PARA LA ADECUACION DEL CAPS TUNAL DE LA SUBRED INTEGRADA DE SERVICIOS DE SALUD SUR E.S.E.</t>
  </si>
  <si>
    <t>SUB RED INTEGRADA DE SERVICIOS DE SALUD SUR E.S.E.</t>
  </si>
  <si>
    <t>INTERVENTORIA TECNICA, ADMINISTRATIVA ,FINANCIERA, JURIDICA, AMBIENTAL Y DE GESTION EN LA SEGURIDAD Y SALUD EN EL TRABAJO, PARA EL MANTENIMIENTO PREVENTIVO Y CORRECTIVO, ADECUACIONES Y/O MEJORAS LOCATIVAS DE ALGUNA DE LAS INSTALACIONES DE LA POLICIA NACIONAL - DIRECCION DE BIENSTAR SOCIAL A PRECIOS UNITARIOS FIJOS SIN FORMULAS DE REAJUSTES A LOS ITEMS 1,2 Y 3 (ITEM 1: ALGUNOS CENTROS VACACIONALES Y RECREACIONALES, ITEM 2: ALGUNOS COLEGIOS, CENTROS RELIGIOSOS, MAUSOLEOS Y HOGARES MARIA SAN LUIS, ITEM 3: ALGUNAS VIVIENDAS FISCALES.</t>
  </si>
  <si>
    <r>
      <rPr>
        <b/>
        <sz val="10"/>
        <rFont val="Arial"/>
        <family val="2"/>
      </rPr>
      <t>Contrato 2</t>
    </r>
    <r>
      <rPr>
        <sz val="10"/>
        <rFont val="Arial"/>
        <family val="2"/>
      </rPr>
      <t>: PN DIBIE 08-3-16030-22</t>
    </r>
  </si>
  <si>
    <t>POLICIA NACIONAL DIRECCION DE BIENESTAR SOCIAL
Y FAMILA</t>
  </si>
  <si>
    <r>
      <rPr>
        <b/>
        <sz val="10"/>
        <rFont val="Arial"/>
        <family val="2"/>
      </rPr>
      <t>Contrato 1</t>
    </r>
    <r>
      <rPr>
        <sz val="10"/>
        <rFont val="Arial"/>
        <family val="2"/>
      </rPr>
      <t>:  8315-2021</t>
    </r>
  </si>
  <si>
    <t>INTELLIGENR BUSINESSES</t>
  </si>
  <si>
    <r>
      <t xml:space="preserve">CONTRATO 1 - OBJETO:
</t>
    </r>
    <r>
      <rPr>
        <sz val="10"/>
        <color theme="1"/>
        <rFont val="Arial"/>
        <family val="2"/>
      </rPr>
      <t xml:space="preserve">
B-030-2019 - INTERVENTORIA TECNICA, ADMINISTRATIVA, FINANCIERA Y CONTABLE PARA LA ADECUACION Y MANTENIMIENTO DEL COLEGIO I.E.D MANUEL DEL SOCORRO RODRIGUEZ UBICADO EN LA CIUDAD DE BOGOTA</t>
    </r>
  </si>
  <si>
    <t>CERA STUDIOS SAS</t>
  </si>
  <si>
    <r>
      <t xml:space="preserve">CONTRATO 2- OBJETO:
</t>
    </r>
    <r>
      <rPr>
        <sz val="10"/>
        <color theme="1"/>
        <rFont val="Arial"/>
        <family val="2"/>
      </rPr>
      <t xml:space="preserve">
CERA-I- V053/2019  - INTERVENTORIA TECNICA, ADMINISTRATIVA, FINANCIERA, CONTABLE, JURIDICA, AMBIENTAL Y SOCIAL PARA LA CONSTRUCCION DE EDIFICIOS DE USO ADMINISTRATIVOS EMPRESARIAL DE LAS CIUDADADES DE CALI MANIZALEZ Y BARRANQUILLA
</t>
    </r>
  </si>
  <si>
    <t xml:space="preserve">R1: YESID MARTELO DIAZ - GERENCIA DE PROYECTOS DE CONSTRUCCION
R2:  ELIZA CAROLINA PAEZ MOLINA - SISTEMAS GERENCIALES DE INGENIERIA. </t>
  </si>
  <si>
    <t>LOGIA 3 ASOCIADOS S.A.S - BIC</t>
  </si>
  <si>
    <t>CICA INGENIERIA E INTERVENTORIA S.A.S. BIC</t>
  </si>
  <si>
    <t>GEAGOR SAS BIC</t>
  </si>
  <si>
    <t>CONSORCIO CICA-GEAGOR</t>
  </si>
  <si>
    <t>NTERVENTORÍA INTEGRAL A LA EJECUCIÓN DE OBRAS DE CONSTRUCCIÓN Y/O ADECUACIÓN DE ESPACIOS ADMINISTRATIVOS Y DE FORMACIÓN EN DIFERENTES REGIONALES DEL SENA EN LOS MUNICIPIOS DE: INÍRIDA (GUAINÍA), CARTAGENA (BOLÍVAR), MONTERÍA (CÓRDOBA), APARTADÓ Y MEDELLÍN (ANTIOQUIA), MANIZALES (CALDAS), SOGAMOSO (BOYACÁ), BOGOTÁ D.C., VÉLEZ (SANTANDER) Y GARZÓN (HUILA), EN EL MARCO DEL CONTRATO INTERADMINISTRATIVO N°220005</t>
  </si>
  <si>
    <t>CONTRATAR LA INTERVENTORIA TECNICA, FINANCIERA, JURIDICA, ADMINISTRATIVA Y AMBIENTAL DE OBRA PARA LA CONSTRUCCION PARA EL ESTABLECIMIENTO DE SANIDAD MILITAR UBICADO EN LA CIUDAD DE SANTIAGO DE CALI -VALLE DEL CAUCA</t>
  </si>
  <si>
    <t>INTERVENTORIA TÉCNICA, ADMINISTRATIVA, FINANCIERA Y LEGAL PARA EL DIAGNÓSTICO, ESTUDIOS, DISEÑOS ATENCIÓN Y PREVENCIÓN A EMERGENCIAS EN LA INFRAESTRUCTURA EDUCATIVA DEL DEPARTAMENTO DE CUNDINAMARCA</t>
  </si>
  <si>
    <t>INTERVENTORIA TECNICA, FINANCIERA, ADMINISTRATIVA, LEGAL, SOCIAL Y AMBIENTAL AL CONTRATO QUE SE ADJUDIQUE PARA REALIZAR LA CONSTRUCCION DEL CENTRO DIA SAN DAVID UBICADO EN LA LOCALIDAD DE CIUDAD USME, BOGOTA. D.C.</t>
  </si>
  <si>
    <r>
      <rPr>
        <b/>
        <sz val="10"/>
        <rFont val="Arial"/>
        <family val="2"/>
      </rPr>
      <t>Contrato 1</t>
    </r>
    <r>
      <rPr>
        <sz val="10"/>
        <rFont val="Arial"/>
        <family val="2"/>
      </rPr>
      <t>:  2221119</t>
    </r>
  </si>
  <si>
    <t>AGENCIA LOGISTICA DE LAS FUERZAS MILITARES</t>
  </si>
  <si>
    <r>
      <rPr>
        <b/>
        <sz val="10"/>
        <rFont val="Arial"/>
        <family val="2"/>
      </rPr>
      <t>Contrato 2</t>
    </r>
    <r>
      <rPr>
        <sz val="10"/>
        <rFont val="Arial"/>
        <family val="2"/>
      </rPr>
      <t>: 001-040-2015</t>
    </r>
  </si>
  <si>
    <r>
      <t xml:space="preserve">Contratista:  CONSORCIO INGE-OBRAS 
</t>
    </r>
    <r>
      <rPr>
        <b/>
        <u/>
        <sz val="10"/>
        <rFont val="Arial"/>
        <family val="2"/>
      </rPr>
      <t>GEAGOR SAS 50%</t>
    </r>
    <r>
      <rPr>
        <b/>
        <sz val="10"/>
        <rFont val="Arial"/>
        <family val="2"/>
      </rPr>
      <t xml:space="preserve">
</t>
    </r>
    <r>
      <rPr>
        <sz val="10"/>
        <rFont val="Arial"/>
        <family val="2"/>
      </rPr>
      <t>INGENIEROS CIVILES DE COLOMBIA SAS 50%</t>
    </r>
  </si>
  <si>
    <r>
      <t xml:space="preserve">Contratista:  CONSORCIO INTERVENTORES NACIONALES
</t>
    </r>
    <r>
      <rPr>
        <b/>
        <u/>
        <sz val="10"/>
        <rFont val="Arial"/>
        <family val="2"/>
      </rPr>
      <t>CLEMENTE BUITRAGO AMARILLO 50% (Socio CICA INGENIERIA E INTERVENTORIA SAS BIC)</t>
    </r>
    <r>
      <rPr>
        <b/>
        <sz val="10"/>
        <rFont val="Arial"/>
        <family val="2"/>
      </rPr>
      <t xml:space="preserve">
</t>
    </r>
    <r>
      <rPr>
        <sz val="10"/>
        <rFont val="Arial"/>
        <family val="2"/>
      </rPr>
      <t>INPLAYCO LTDA 50%</t>
    </r>
  </si>
  <si>
    <r>
      <rPr>
        <b/>
        <sz val="10"/>
        <rFont val="Arial"/>
        <family val="2"/>
      </rPr>
      <t>Contrato 3</t>
    </r>
    <r>
      <rPr>
        <sz val="10"/>
        <rFont val="Arial"/>
        <family val="2"/>
      </rPr>
      <t>: ICCU-068-2021</t>
    </r>
  </si>
  <si>
    <r>
      <t xml:space="preserve">CONSORCIO CUNDINAMARCA 2020
</t>
    </r>
    <r>
      <rPr>
        <b/>
        <u/>
        <sz val="10"/>
        <rFont val="Arial"/>
        <family val="2"/>
      </rPr>
      <t>CLEMENTE ALFREDO BUITRAGO 30% (Socio CICA INGENIERIA E INTERVENTORIA SAS BIC)
GEAGOR SAS 50%
CIVILCO INGENIERIA 20% (Socio CICA INGENIERIA E INTERVENTORIA SAS BIC)</t>
    </r>
  </si>
  <si>
    <r>
      <rPr>
        <b/>
        <u/>
        <sz val="10"/>
        <color rgb="FFFF0000"/>
        <rFont val="Arial"/>
        <family val="2"/>
      </rPr>
      <t>DEBE SUBSANAR:</t>
    </r>
    <r>
      <rPr>
        <sz val="10"/>
        <rFont val="Arial"/>
        <family val="2"/>
      </rPr>
      <t xml:space="preserve">  No cumple con numeral "4.2.1.4 REGLAS PARA LA ACREDITACIÓN DE LA EXPERIENCIA DEL PROPONENTE" - Literal "G".  Debe indicar el valor de las actividades correspondientes a la INTERVENTORIA DE OBRA.  La certificación incluye actividades de estudios y diseños.</t>
    </r>
  </si>
  <si>
    <r>
      <rPr>
        <b/>
        <sz val="10"/>
        <rFont val="Arial"/>
        <family val="2"/>
      </rPr>
      <t>Contrato 4</t>
    </r>
    <r>
      <rPr>
        <sz val="10"/>
        <rFont val="Arial"/>
        <family val="2"/>
      </rPr>
      <t>:  15047 de 2020</t>
    </r>
  </si>
  <si>
    <t>EMPRESA NACIONAL PROMOTORA DEL DESARROLLO TERRITORIAL S.A.</t>
  </si>
  <si>
    <t>INSTITUTO DE INFRAESTRUCTURA Y CONCESIONES DE CUNDINAMARCA</t>
  </si>
  <si>
    <r>
      <t xml:space="preserve">CONSORCIO REPARACIONES BOGOTA
</t>
    </r>
    <r>
      <rPr>
        <b/>
        <u/>
        <sz val="10"/>
        <rFont val="Arial"/>
        <family val="2"/>
      </rPr>
      <t>GEAGOR S.A.S.  50%, 
CIVILCO INGENIERIA S.A.S 45% (Socio CICA INGENIERIA E INTERVENTORIA SAS BIC)
CLEMENTE ALFREDO BUITRAGO AMARILLO C.C. 19.483.980 PARTICIPACIÓN 5% (Socio CICA INGENIERIA E INTERVENTORIA SAS BIC)</t>
    </r>
  </si>
  <si>
    <t>58 - 85</t>
  </si>
  <si>
    <t>SECRETARÍA DISTRITAL DE INTEGRACIÓN SOCIAL</t>
  </si>
  <si>
    <t>57 - 76</t>
  </si>
  <si>
    <t>LADY MERCEDES AGUIRRE ORTIZ,</t>
  </si>
  <si>
    <t>25202-240721</t>
  </si>
  <si>
    <t>Gerencia de Obra</t>
  </si>
  <si>
    <r>
      <t xml:space="preserve">CONTRATO 1 - OBJETO:
</t>
    </r>
    <r>
      <rPr>
        <sz val="10"/>
        <color theme="1"/>
        <rFont val="Arial"/>
        <family val="2"/>
      </rPr>
      <t xml:space="preserve">
3291 de 2017 - Contratar la interventoría técnica, administrativa, financiera y contable para los contratos de obra resultantes de la Licitación Pública LP-009-2017 cuyo objeto es: "Contratar por el sistema de precios unitarios fijos sin formula de ajuste, la realización de obras de construcción de infraestructura cultural en diferentes regiones del territorio nacional. Grupo 5:" ACEVEDO-HUILA. IQUIRA-HUILA, TERUELHUILA, SAN JOSE DE FRAGUA-CAQUETA".</t>
    </r>
  </si>
  <si>
    <t>CONSORCIO CULTURA 2017</t>
  </si>
  <si>
    <r>
      <t xml:space="preserve">Contratante Proyecto:  MINISTERIO DE CULTURA
</t>
    </r>
    <r>
      <rPr>
        <b/>
        <sz val="10"/>
        <color rgb="FFFF0000"/>
        <rFont val="Arial"/>
        <family val="2"/>
      </rPr>
      <t xml:space="preserve">DEBE SUBSANAR: </t>
    </r>
    <r>
      <rPr>
        <sz val="10"/>
        <color theme="1"/>
        <rFont val="Arial"/>
        <family val="2"/>
      </rPr>
      <t xml:space="preserve"> Numeral 4.2.2. REQUISITOS PARA ACREDITAR LOS PERFILES HABILITANTES - Punto 7:  Integrantes del Consorcio CULTURA 2017 expiden CERTIFICADO.  NO ALLEGA "...contrato de trabajo o de prestación de servicios que certifique la relación laboral o contractual para dicho proyecto."</t>
    </r>
  </si>
  <si>
    <t>GEAGOR SAS</t>
  </si>
  <si>
    <t>Contratante Proyecto:  ALCALDIA LOCAL DE SAN CRISTOBAL.
Adjunta contrato prestación de Servicios</t>
  </si>
  <si>
    <t>CONSORCIO INTER - CEIBA</t>
  </si>
  <si>
    <t>Contratante Proyecto:  MUNICIPIO DE GUASCA</t>
  </si>
  <si>
    <r>
      <t xml:space="preserve">CONTRATO 3 - OBJETO:
</t>
    </r>
    <r>
      <rPr>
        <sz val="10"/>
        <color theme="1"/>
        <rFont val="Arial"/>
        <family val="2"/>
      </rPr>
      <t xml:space="preserve">
254 - 2019: INTERVENTORÍA TÉCNICA, ADMINISTRATIVA, FINANCIERA, Y AMBIENTAL AL CONTRATO CUYO OBJETO ES, “CONSTRUCCIÓN, DOTACIÓN E INSTALACIÓN DE LA DE LA CASA DE LA CULTURA PARA EL MUNICIPIO DE GUASCA CUNDINAMARCA
</t>
    </r>
  </si>
  <si>
    <r>
      <t xml:space="preserve">CONTRATO 2 - OBJETO:
</t>
    </r>
    <r>
      <rPr>
        <sz val="10"/>
        <color theme="1"/>
        <rFont val="Arial"/>
        <family val="2"/>
      </rPr>
      <t xml:space="preserve">276-2018:  INTERVENTORÍA TÉCNICA, ADMINISTRATIVA, FINANCIERA, AMBIENTAL, SOCIAL Y SISO, DEL CONTRATO RESULTANTE DEL PROCESO DE LICITACIÓN PUBLICA FDLSC-LP-033-2018 CUYO OBJETO “CONTRATAR BAJO LA MODALIDAD DE PRECIOS UNITARIOS FIJOS, NO REAJUSTABLES, LAS OBRAS DE INTERVENCIÓN FÍSICA, CONSISTENTES EN LAS ADECUACIONES Y REPARACIONES LOCATIVAS REQUERIDAS EN LOS SALONES COMUNALES, UBICADOS EN LAS LOCALIDAD DE SAN CRISTÓBAL.
</t>
    </r>
  </si>
  <si>
    <t>ANDREA CATALINA HIGUERA ORTIZ</t>
  </si>
  <si>
    <t>A10602018-1015444779</t>
  </si>
  <si>
    <t>CONSORCIO CUNDINAMARCA 2020</t>
  </si>
  <si>
    <t>CONSORCIO INTER-AULAS</t>
  </si>
  <si>
    <r>
      <t xml:space="preserve">CONTRATO 2 - OBJETO:
</t>
    </r>
    <r>
      <rPr>
        <sz val="10"/>
        <color theme="1"/>
        <rFont val="Arial"/>
        <family val="2"/>
      </rPr>
      <t xml:space="preserve">
INTERVENTORIA INTEGRAL PARA EL SEGUIMIENTO TÉCNICO, FINANCIERO, ADMINISTRATIVO, CONTABLE Y JURIDICO AL CONTRATO QUE TIENE POR OBJETO: "REALIZAR LA ADECUACIÓN DE LAS AULAS, LA ADQUISICIÓN, INSTALACIÓN DEL MOBILIARIO Y LA ADQUISICIÓN Y PUESTA EN FUNCIONAMIENTO DE LOS EQUIPOS TECNOLÓGICOS DE LAS AULAS EN LA SEDE CENTRAL DE LA ESCUELA SUPERIOR DE ADMINISTRACIÓN PÚBLICA EN LA CIUDAD DE BOGOTÁ D.C.
</t>
    </r>
  </si>
  <si>
    <r>
      <rPr>
        <b/>
        <sz val="10"/>
        <color rgb="FFFF0000"/>
        <rFont val="Arial"/>
        <family val="2"/>
      </rPr>
      <t>DEBE SUBSANAR:</t>
    </r>
    <r>
      <rPr>
        <sz val="10"/>
        <color theme="1"/>
        <rFont val="Arial"/>
        <family val="2"/>
      </rPr>
      <t xml:space="preserve">  Numeral 4.2.2. REQUISITOS PARA ACREDITAR LOS PERFILES HABILITANTES - Punto 7:  Integrantes del CONSORCIO CUNDINAMARCA 2020 expiden CERTIFICADO.  NO ALLEGA "...contrato de trabajo o de prestación de servicios que certifique la relación laboral o contractual para dicho proyecto."</t>
    </r>
  </si>
  <si>
    <t>JAMES ORLANDO SANDOVAL RODRÍGUEZ</t>
  </si>
  <si>
    <t>A15322006-7177471</t>
  </si>
  <si>
    <t>CONSORCIO CIVILCO INGENIERIA SAS</t>
  </si>
  <si>
    <r>
      <t xml:space="preserve">CONTRATO 1 - OBJETO:
</t>
    </r>
    <r>
      <rPr>
        <sz val="10"/>
        <color theme="1"/>
        <rFont val="Arial"/>
        <family val="2"/>
      </rPr>
      <t xml:space="preserve">
INTERVENTORÍA TÉCNICA, ADMINISTRATIVA, FINANCIERA, JURÍDICA Y AMBIENTAL AL CONTRATO DE OBRA MEDIANTE EL QUE SE REALICE EL MANTENIMIENTO PREVENTIVO Y CORRECTIVO DE LOS EQUIPAMIENTOS DE PROPIEDAD Y/O A CARGO DE LA SECRETARÍA DISTRITAL DE SEGURIDAD, CONVIVENCIA Y JUSTICIA DE BOGOTÁ D.C. </t>
    </r>
  </si>
  <si>
    <t>CONSORCIO INCA 2016</t>
  </si>
  <si>
    <r>
      <t xml:space="preserve">CONTRATO 2 - OBJETO:
</t>
    </r>
    <r>
      <rPr>
        <sz val="10"/>
        <color theme="1"/>
        <rFont val="Arial"/>
        <family val="2"/>
      </rPr>
      <t xml:space="preserve">
3675 - 2015: INTERVENTORIA TECNICA, ADMINISTRATIVA, JURIDICA Y FINANCIERA AL CONTRATO DE LAS OBRAS DE DEMOLICION PARCIAL, REFORZAMIENTO, AMPLIACION Y OBRAS NUEVAS DEL COLEGIO DISTRITAL QUIROGA ALIANZA SEDE "A" CPF 1841 DE LA LOCALIDAD DE RAFAEL URIBE URIBE DE ACUERDO CON LA LICENCIA DE CONSTRUCCION, LOS ESTUDIOS TECNICOS, DISEÑOS, PRESUPUESTO Y ESPECIFICACIONES ENTREGADAS POR LA SED
</t>
    </r>
  </si>
  <si>
    <t>R1:  ANDREA CATALINA HIGUERA ORTIZ - ESPECIALISTA EN GERENCIA DE OBRAS
R2:  JAMES ORLANDO SANDOVAL RODRÍGUEZ - ESPECIALISTA GERENCIA INTEGRAL DE OBRAS</t>
  </si>
  <si>
    <t>Observaciones:
Acredita - CICA INGENIERIA E INTERVENTORIA S.A.S. BIC</t>
  </si>
  <si>
    <t xml:space="preserve">Observaciones:
Acredita:  GEAGOR S.A.S BIC
</t>
  </si>
  <si>
    <t>TOTALL INC SAS BIC</t>
  </si>
  <si>
    <r>
      <rPr>
        <b/>
        <sz val="10"/>
        <rFont val="Arial"/>
        <family val="2"/>
      </rPr>
      <t>Contrato 1</t>
    </r>
    <r>
      <rPr>
        <sz val="10"/>
        <rFont val="Arial"/>
        <family val="2"/>
      </rPr>
      <t>:  FP-303-2022</t>
    </r>
  </si>
  <si>
    <t>INTERVENTORIA INTEGRAL: TÉCNICA, ADMINISTRATIVA, FINANCIERA, LEGAL Y AMBIENTAL PARA CONSTRUCCIÓN DEL HOGAR DE PASO INDIGENA EN EL CASCO URBANO DE SAN JOSÉ DEL GUAVIARE DEPARTAMENTO DEL GUAVIARE</t>
  </si>
  <si>
    <t>FONDO DE PROGRAMAS ESPECIALES PARA LA PAZ</t>
  </si>
  <si>
    <r>
      <rPr>
        <b/>
        <sz val="10"/>
        <rFont val="Arial"/>
        <family val="2"/>
      </rPr>
      <t>Contrato 2</t>
    </r>
    <r>
      <rPr>
        <sz val="10"/>
        <rFont val="Arial"/>
        <family val="2"/>
      </rPr>
      <t>: 525 DE 2007</t>
    </r>
  </si>
  <si>
    <t>Consorcio san antonio (SAVERA LTDA (70%) - BERNARDO STEPA E.U. (30%)</t>
  </si>
  <si>
    <t>INTERVENTORÍA TÉCNICA, ADMINISTRATIVA, FINANCIERA Y AMBIENTAL A LAS OBRAS DE CONSTRUCCIÓN DEL NUEVO HOSPITAL SAN ANTONIO DE TAME, MUNICIPIO DE TAME, DEPARTAMENTO DE ARAUCA</t>
  </si>
  <si>
    <t>GOBERNACIÓN DE ARAUCA</t>
  </si>
  <si>
    <r>
      <rPr>
        <b/>
        <sz val="10"/>
        <rFont val="Arial"/>
        <family val="2"/>
      </rPr>
      <t>Contrato 3</t>
    </r>
    <r>
      <rPr>
        <sz val="10"/>
        <rFont val="Arial"/>
        <family val="2"/>
      </rPr>
      <t>: 015-ARC-CBN3-2021</t>
    </r>
  </si>
  <si>
    <t>CONSORCIO INTERVENTORES (TOTALL SAS (70%) - CONSTRUCTORA SOLE SAS (30%))</t>
  </si>
  <si>
    <t>CONTRATAR LA INTERVENTORÍA TÉCNICA, ADMINISTRATIVA, FINANCIERA, CONTABLE Y JURÍDICA DE LA CONSTRUCCIÓN DE LAS INSTALACIONES DEL BATALLÓN FLUVIAL DE I.M. NO. 32 EN SAN JOSÉ DEL GUAVIARE - EL BARRANCÓN - FASE 1 Y FASE 2, DE ACUERDO CON LO DESCRITO EN LAS ESPECIFICACIONES TÉCNICAS DEL ANEXO A</t>
  </si>
  <si>
    <t>ARMADA DE COLOMBIA</t>
  </si>
  <si>
    <t>JULIO MARIO VILLAMIZAR</t>
  </si>
  <si>
    <t>25202-47678</t>
  </si>
  <si>
    <r>
      <t>CONTRATO 1 - OBJETO:</t>
    </r>
    <r>
      <rPr>
        <sz val="10"/>
        <color theme="1"/>
        <rFont val="Arial"/>
        <family val="2"/>
      </rPr>
      <t xml:space="preserve"> INTERVENTORÍA TÉCNICA, JURÍDICA, ADMINISTRATIVA, 
FINANCIERA Y CONTABLE A LOS 
CONTRATOS DE CONSTRUCCIÓN  DE OBRAS DE INFRAESTRUCTURA EDUCATIVA EN ESTABLECIMIENTOS EDUCATIVOS OFICIALES DEL 
PAÍS, GRUPO 1 DEPARTAMENTOS DE CAUCA, CHOCÓ, NARIÑO Y VALLE</t>
    </r>
  </si>
  <si>
    <t>MINISTERIO DE EDUCACIÓN</t>
  </si>
  <si>
    <r>
      <t xml:space="preserve">CONTRATO 2 - OBJETO: </t>
    </r>
    <r>
      <rPr>
        <sz val="10"/>
        <color theme="1"/>
        <rFont val="Arial"/>
        <family val="2"/>
      </rPr>
      <t>INTERVENTORÍA TÉCNICA Y 
ADMINISTRATIVA PARA LA CONSTRUCCIÓN HOGAR 
MÚLTIPLE DEL ICBF EN EL MUNICIPIO DE CARAMANTA -
ANTIOQUIA</t>
    </r>
  </si>
  <si>
    <r>
      <t>CONTRATO 3 - OBJETO:</t>
    </r>
    <r>
      <rPr>
        <sz val="10"/>
        <color theme="1"/>
        <rFont val="Arial"/>
        <family val="2"/>
      </rPr>
      <t xml:space="preserve"> INTERVENTORIA TECNICA, 
ADMINISTRATIVA Y CONTABLE DE LAS OBRAS DE CONSTRUCCION DEL CENTRO SATELITE PARA DISCAPACITADOS DE LA LOCALIDAD DE BOSA, BOGOTA D.C.</t>
    </r>
  </si>
  <si>
    <t>BENJAMÍN HERNANDEZ</t>
  </si>
  <si>
    <t>A081132008-92277516</t>
  </si>
  <si>
    <t>CONTRATO 1 - OBJETO: Realizar la interventoría técnica, administrativa, financiera, legal y contable a los contratos resultantes del proceso de selección cuyo objeto es "contratar por el sistema de precios 
unitarios fijos sin fórmula de reajuste el mejoramiento de la infraestructura física de las sedes educativas oficiales en diferentes departamentos del país (Cauca, Huila, Nariño, Putumayo, Tolima).</t>
  </si>
  <si>
    <t>CONTRATO 2 - OBJETO: “Interventoría técnica, administrativa, financiera, jurídica y contable derivado del proyecto mejoramiento de condiciones sociales para la población afectada por el conflicto armado y la minería ilegal mediante la construcción de infraestructura educativa en la I.E San Fernando de Melchor municipio de Bolívar departamento del Cauca”;</t>
  </si>
  <si>
    <t>MAURY JAVIER FERRIGNO RIVAS</t>
  </si>
  <si>
    <t>A08152004-72261222</t>
  </si>
  <si>
    <t>CONTRATO 1 - OBJETO: INTERVENTORÍA TÉCNICA, ADMINISTRATIVA Y FINANCIERA AL CONTRATO DE MANTENIMIENTO Y MEJORAMIENTO PARA LOS EQUIPAMIENTOS A CARGO DE LA SECRETARIA DE SEGURIDAD, CONVIVENCIA Y JUSTICIA</t>
  </si>
  <si>
    <t>CONTRATO 2 - OBJETO: INTERVENTORÍA INTEGRAL (ADMINISTRATIVA, FINANCIERA, CONTABLE, AMBIENTAL, SOCIAL, JURÍDICA Y TÉCNICA) PARA LAS ADECUACIONES DE OBRA CIVIL DEL DEL CONCESIONARIO DE CARROS AUTOGROUP, UBICADO EN LA AV SUBA #122 - 85, BOGOTÁ, INCLUYE OFICINAS, SALA DE VENTAS, BODEGAS Y TALLER</t>
  </si>
  <si>
    <r>
      <rPr>
        <b/>
        <sz val="10"/>
        <rFont val="Arial"/>
        <family val="2"/>
      </rPr>
      <t>Contrato 1</t>
    </r>
    <r>
      <rPr>
        <sz val="10"/>
        <rFont val="Arial"/>
        <family val="2"/>
      </rPr>
      <t>: 695940 DE 28/12/2018</t>
    </r>
  </si>
  <si>
    <t>CONSORCIO INTERCOLEGIOS 124 (FRONTERA CONSTRUCTORA SAS (60%) - GES INVERSIONES SAS (40%)</t>
  </si>
  <si>
    <t xml:space="preserve">INTERVENTORÍA TÉCNICA, ADMINISTRATIVA, JURÍDICA, FINANCIERA Y AMBIENTAL AL CONTRATO DE EJECUCIÓN DE LA CONSTRUCCIÓN DE LA NUEVA PLANTA FÍSICA Y CERRAMIENTO EN EL PREDIO DENOMINADO SIERRA MORENA PARQUE, UBICADO EN LA LOCALIDAD 19 - CIUDAD BOLIVAR DEL DISTRITO CAPITAL, DE ACUERDO CON LOS PLANOS Y ESPECIFICACIONES ENTREGADOS POR LA SECRETARIA DE EDUCACIÓN DEL DISTRITO </t>
  </si>
  <si>
    <t>SECRETARIA DE EDUACIÓN DEL DISTRITO</t>
  </si>
  <si>
    <r>
      <rPr>
        <b/>
        <sz val="10"/>
        <rFont val="Arial"/>
        <family val="2"/>
      </rPr>
      <t>Contrato 2</t>
    </r>
    <r>
      <rPr>
        <sz val="10"/>
        <rFont val="Arial"/>
        <family val="2"/>
      </rPr>
      <t>: 1007 DE 2012</t>
    </r>
  </si>
  <si>
    <t>UNIÓN TEMPORAL INTEREDUCACIÓN 2012 (SAVERA SAS (50%) - DARIO MONTOYA MIER (50%))</t>
  </si>
  <si>
    <t>INTERVENTORIA TECNICA, ADMINISTRATIVA, FINANCIERA, LEGAL Y  CONTABLE A LOS CONTRATOS RESULTANTES DEL PROCESO DE SELECCIÓN CUYO OBJETO ES "CONTRATAR POR EL SISTEMA DE PRECIOS UNITARIOS FIJOS SIN FORMULA DE REAJUSTE EL MEJORAMIENTO DE LA INFRAESTRUCTURA FISICA DE LAS SEDES DUCATIVAS OFICIALES EN DIFERENTES DEPARTAMENTOS DEL PAIS (CAUCA, HUILA, NARIÑO, PUTUMAYO, TOLIMA).</t>
  </si>
  <si>
    <t>CONTRATO 1 - 0259 DE 2006 -  OBJETO: INTERVENTORÍA TECNICA Y ADMINISTRATIVA DE LA CONSTRUCCIÓN DEL CENTRO COMERCIAL MODELO-CCM DE CUCUTA</t>
  </si>
  <si>
    <t>ALCALDÍA DE CÚCUTA</t>
  </si>
  <si>
    <t>CONTRATO 1 - OBJETO: INTERVENTORÍA PARA LA CONSTRUCCIÓN DEL TERMINAL DE CARGA, PASAJEROS TORRE DE CONTROL DEL AEROPUERTO DE PUERTO ASIS</t>
  </si>
  <si>
    <t>ALCALDÍA DE PUERTO ASÍS</t>
  </si>
  <si>
    <t>JVM INGENIERIA SAS BIC</t>
  </si>
  <si>
    <r>
      <rPr>
        <b/>
        <sz val="10"/>
        <rFont val="Arial"/>
        <family val="2"/>
      </rPr>
      <t>Contrato 1</t>
    </r>
    <r>
      <rPr>
        <sz val="10"/>
        <rFont val="Arial"/>
        <family val="2"/>
      </rPr>
      <t>:  4600076307 DE 2018</t>
    </r>
  </si>
  <si>
    <t>CARLOS VERGARA NEGRETE</t>
  </si>
  <si>
    <t>INTERVENTORIA TÉCNICA ADMINISTRATIVA FINANCIERA AMBIENTAL Y LEGAL AL MANTENIMIENTO Y RENOVACIÓN DE OBRAS CIVILES OBRAS ELECTRICA VOZ Y DATOS Y EQUIPOSELECTROMECÁNICOS EN CAM Y SEDES EXTERNAS.</t>
  </si>
  <si>
    <t>MUNICIPIO DE MEDELLÍN</t>
  </si>
  <si>
    <r>
      <rPr>
        <b/>
        <sz val="10"/>
        <rFont val="Arial"/>
        <family val="2"/>
      </rPr>
      <t>Contrato 2</t>
    </r>
    <r>
      <rPr>
        <sz val="10"/>
        <rFont val="Arial"/>
        <family val="2"/>
      </rPr>
      <t>:  06-3-10049-17</t>
    </r>
  </si>
  <si>
    <t>INTERVENTORIA TÉCNICA ADMINISTRATIVA FINANCIERA LEGAL Y AMBIENTAL PARA EL REFORZAMIENTO ESTRUCTURAL ADECUACIÓN Y DOTACIÓN DEL COMANDO DE DEPARTAMENTO DE POLICÍA RISARALDA A PRECIOS UNITARIOS FIJOS SIN FORMULA DE REAJUSTE</t>
  </si>
  <si>
    <t>POLICÍA NACIONAL DIRECCIÓN ADMINISTRATIVA Y FINANCIERA</t>
  </si>
  <si>
    <t>ALEXANDER PALACIO RODRIGUEZ</t>
  </si>
  <si>
    <t>Gerencia de Proyectos de Construcción e Infraestructura</t>
  </si>
  <si>
    <t>A23232001-11036554</t>
  </si>
  <si>
    <t>CONTRATO 1 - OBJETO: INTERVENTORIA TÉCNICA, ADMINISTRATIVA, FINANCIERA, JURÍDICA Y AMBIENTAL PARA LA CONSTRUCCIÓN MOVA.CENTRO DE INNOVACIÓN DEL MAESTRO</t>
  </si>
  <si>
    <t>CONTRATO 2 - OBJETO:</t>
  </si>
  <si>
    <t>CONTRATO 3 - OBJETO:</t>
  </si>
  <si>
    <t>JUAN CARLOS VERGARA MACÍAS</t>
  </si>
  <si>
    <t>08202-394620</t>
  </si>
  <si>
    <t>CONTRATO 1 - OBJETO: INTERVENTORIA TÉCNICA, AMBIENTAL, ADMINISTRATIVA Y FINANCIERA PARA LA CONSTRUCCIÓN DE 22 CENTROS DE DESARROLLO INFANTIL CDI EN MUNICIPIOS DEL DEPARTAMENTO DE BOLIVAR (TERCER GRUPO). CONSTRUCCIÓN Y DOTACIÓN DE SEIS (6) CENTROS DE DESARROLLO INFANTIL EN MUNICIPIOS DEL DEPARTAMENTO DE BOLIVAR.</t>
  </si>
  <si>
    <t>CARMEN MARCELA RAMOS ARTEAGA</t>
  </si>
  <si>
    <t>22202-404553</t>
  </si>
  <si>
    <t>CONTRATO 1 - OBJETO: INTERVENTORIA TÉCNICA, ADMINISTRATIVA, FINANCIERA, CONTABLE Y JURÍDICA DE LA OBRA PÚBLICA PARA LA CONSTRUCCIÓN DEL EDIFICIO DEL ESPACIO EN LA ESCUELA MILITAR DE AVIACIÓN MARCO FIDEL SUÁREZ-CALI-VALLE DEL CAUCA</t>
  </si>
  <si>
    <r>
      <rPr>
        <b/>
        <sz val="10"/>
        <rFont val="Arial"/>
        <family val="2"/>
      </rPr>
      <t>Contrato 1</t>
    </r>
    <r>
      <rPr>
        <sz val="10"/>
        <rFont val="Arial"/>
        <family val="2"/>
      </rPr>
      <t>: 278-FDLU-2017</t>
    </r>
  </si>
  <si>
    <t>CARLOS ARTURO VERGARA NEGRETE</t>
  </si>
  <si>
    <t>REALIZAR LA CONTINUACIÓN DE LA INTERVENTORÍA TÉCNICA ADMINISTRATIVA FINANCIERA CONTABLE JURÍDICA Y AMBIENTAL AL CONTRATO DE OBRA 185-FDLU-2015 QUE TIENE POR OBJETO LA CONSTRUCCIÓN DE LA NUEVA SEDE ADMINISTRATIVA DE LA ALCALDÍA LOCAL DE USME EN LA CIUDAD DE BOGOTÁ D.C.</t>
  </si>
  <si>
    <t>FONDO DE DESARROLLO LOCAL - ALCALDÍA DE USME</t>
  </si>
  <si>
    <r>
      <rPr>
        <b/>
        <sz val="10"/>
        <rFont val="Arial"/>
        <family val="2"/>
      </rPr>
      <t>Contrato 2</t>
    </r>
    <r>
      <rPr>
        <sz val="10"/>
        <rFont val="Arial"/>
        <family val="2"/>
      </rPr>
      <t>: 9301-2018</t>
    </r>
  </si>
  <si>
    <t>INTERVENTORÍA TÉCNICA FINANCIERA ADMINISTRATIVA LEGAL SOCIAL Y AMBIENTALA LOS CONTRATOS QUE SE ADJUDIQUEN PARA REALIZAR LA CONSTRUCCIÓN DE JARDINES INFANTILES: GRUPO 1 LA FORTALEZA UBICADO EN LA LOCALIDAD DE USME EN LA CIUDAD DE BOGOTA D.C.</t>
  </si>
  <si>
    <t>SECRETARIA DE INTEGRACIÓN SOCIAL</t>
  </si>
  <si>
    <t>CONTRATO 1 - OBJETO: REALIZAR LA CONTINUACIÓN DE LA INTERVENTORIA TÉCNICA ADMINISTRATIVA FINANCIERA CONTABLE JURÍDICA Y AMBIENTAL AL CONTRATO QUE TIENE POR OBJETO LA CONSTRUCCIÓN DE LA NUEVA SEDE ADMINISTRATIVA DE LA ALCALDÍA LOCAL DE USME EN LA CIUDAD DE BOGOTÁ D.C.</t>
  </si>
  <si>
    <t>ALCALDÍA LOCAL DE USME</t>
  </si>
  <si>
    <t>CONTRATO 1 - OBJETO:</t>
  </si>
  <si>
    <t>CONSULTORES, DESARROLLO Y AMBIENTE SAS BIC</t>
  </si>
  <si>
    <t>2C INGENIEROS SA</t>
  </si>
  <si>
    <r>
      <rPr>
        <b/>
        <sz val="10"/>
        <rFont val="Arial"/>
        <family val="2"/>
      </rPr>
      <t>Contrato 1</t>
    </r>
    <r>
      <rPr>
        <sz val="10"/>
        <rFont val="Arial"/>
        <family val="2"/>
      </rPr>
      <t>:  372 DE 2013</t>
    </r>
  </si>
  <si>
    <t>INTERVENTORÍA TÉCNICA, ADMINISTRATIVA, FINANCIERA, LEGAL Y AMBIENTAL PARA LA CONSTRUCCIÓN DEL CENTRO INTEGRAL DE SERVICIOS AMBULATORIOS PARA LA MUJER Y LA FAMILIA EN EL MUNICIPIO DE MEDELLÍN</t>
  </si>
  <si>
    <t>ALCALDÍA DE MEDELLÍN - EDU (Empresa de Desarrollo Urbano)</t>
  </si>
  <si>
    <r>
      <rPr>
        <b/>
        <sz val="10"/>
        <rFont val="Arial"/>
        <family val="2"/>
      </rPr>
      <t>Contrato 2</t>
    </r>
    <r>
      <rPr>
        <sz val="10"/>
        <rFont val="Arial"/>
        <family val="2"/>
      </rPr>
      <t>: SOP-C-345 2003</t>
    </r>
  </si>
  <si>
    <t>2C INGENIEROS LTDA</t>
  </si>
  <si>
    <t>INTERVENTORÍA TÉCNICA ADMINISTRATIVA Y FINANCIERA PARA LA CONSTRUCCIÓN Y ADECUACIÓN ESCENARIOS DEPORTIVOS PARA LOS XVII JUEGOS NACIONALES MUNICIPALES DE GIRARDOT: TERMINACIÓN DEL COLISEO DE VOLEIBOL UNIDAD DEPORTIVA LUIS DUQUE PEÑA, CONSTRUCCIÓN COLISEO BARRIO KENNEDY Y ADECUACIÓN COLISEO SAN JORGE</t>
  </si>
  <si>
    <t>DEPARTAMENTO DE CUNDINAMARCA</t>
  </si>
  <si>
    <r>
      <rPr>
        <b/>
        <sz val="10"/>
        <rFont val="Arial"/>
        <family val="2"/>
      </rPr>
      <t>Contrato 3</t>
    </r>
    <r>
      <rPr>
        <sz val="10"/>
        <rFont val="Arial"/>
        <family val="2"/>
      </rPr>
      <t>: 2019-1653</t>
    </r>
  </si>
  <si>
    <t>CONSULTORES, DESARROLLO Y AMBIENTE SAS (50%) - 2C INGENIEROS SA (50%)</t>
  </si>
  <si>
    <t>CONTRATAR LA INTERVENTORÍA ADMINISTRATIVA, TÉCNICA, OPERATIVA, FINANCIERA, CONTABLE, JURÍDICA Y AMBIENTAL PARA LA EJECUCIÓN DEL CONTRATO DE OBRA, CUYO OBJETO ES "REALIZAR A MONTO AGOTABLE, A PRECIOS UNITARIOS FIJOS, SIN FÓRMULA DE REAJUSTE, EL MANTENIMIENTO PREVENTIVO, CORRECTIVO, MEJORAS REPARACIONES Y ADECUACIONES LOCATIVAS DE LAS SEDES DE LA SECRETARÍA DISTRITAL DE MOVILIDAD Y DE OTRAS EDIFICACIONES A SU CARGO</t>
  </si>
  <si>
    <t>SECRETARÍA DE MOVILIDAD</t>
  </si>
  <si>
    <t>44 - 290</t>
  </si>
  <si>
    <t>Folio RUP 44 para BIODECCO SAS y Folio RUP 290 para 2C INGENIEROS.</t>
  </si>
  <si>
    <r>
      <rPr>
        <b/>
        <sz val="10"/>
        <rFont val="Arial"/>
        <family val="2"/>
      </rPr>
      <t>Contrato 4</t>
    </r>
    <r>
      <rPr>
        <sz val="10"/>
        <rFont val="Arial"/>
        <family val="2"/>
      </rPr>
      <t>: 448 2020</t>
    </r>
  </si>
  <si>
    <t>CONSULTORES DESARROLLO Y AMBIENTE SAS</t>
  </si>
  <si>
    <t>REALIZAR LA INTERVENTORÍA TÉCNICA, LEGAL, ADMINISTRATIVA, FINANCIERA Y AMBIENTAL AL CONTRATO QUE RESULTE DE LA LICITACIÓN FDLE-LP-442-2020, cuyo objeto es "REALIZAR LAS OBRAS DE ADECUACIÓN, REMODELACIÓN, MANTENIMIENTO DE LA INFRAESTRUCTURA FÍSICA Y SUMINISTRO E INSTALACIÓN DE MOBILIARIO, EQUIPOS Y ENSERES PARA EL EDIFICIO CENTRO ADMINISTRATIVO LOCAL (CALE) Y EDIFICACIONES DE PROPIEDAD O TENENCIA DEL FONDO DE DESARROLLO LOCAL DE ENGATIVA A MONTO AGOTABLE, CON PRECIOS UNITARIOS FIJOS SIN FÓRMULA DE REAJUSTE. ALCANCE: SALONES COMUNALES.</t>
  </si>
  <si>
    <t>ALCALDÍA DE ENGATIVÁ</t>
  </si>
  <si>
    <r>
      <rPr>
        <b/>
        <sz val="10"/>
        <rFont val="Arial"/>
        <family val="2"/>
      </rPr>
      <t>Contrato 5</t>
    </r>
    <r>
      <rPr>
        <sz val="10"/>
        <rFont val="Arial"/>
        <family val="2"/>
      </rPr>
      <t>: 1361 2018</t>
    </r>
  </si>
  <si>
    <t xml:space="preserve">INTERVENTORÍA TÉCNICA, ADMINISTRATIVA, FINANCIERA Y AMBIENTAL PARA LA CONSTRUCCIÓN DEL CENTRO DE ATENCIÓN Y VALORACIÓN (CAV) DE FAUNA SILVESTRE EN EL MUNICIPIO DE TOCAIMA </t>
  </si>
  <si>
    <t>CAR</t>
  </si>
  <si>
    <t>RICARDO MORENO GARCÍA</t>
  </si>
  <si>
    <t>Gerencia de Obras</t>
  </si>
  <si>
    <t>25202-03401</t>
  </si>
  <si>
    <t>CONTRATO 1 - OBJETO: INTERVENTORÍA TÉCNICA, ADMINISTRATIVA, FINANCIERA Y AMBIENTAL PARA LA CONSTRUCCIÓN DEL CENTRO DE ATENCIÓN Y VALORACIÓN (CAV) DE FAUNA SILVESTRE EN EL MUNICIPIO DE TOCAIMA</t>
  </si>
  <si>
    <t>CONTRATO 2 - OBJETO: REALIZAR LA INTERVENTORÍA TÉCNICA, ADMINISTRATIVA, FINANCIERA Y CONTABLE PARA LA PRIMERA ETAPA DEL REFORZAMIENTO ESTRUCTURAL, ADECUACIÓN Y MANTENIMIENTO DEL COLEGIO NUESTRA SEÑORA DE FÁTIMA EN BUCARAMANGA, SANTANDER, FASE 1</t>
  </si>
  <si>
    <t>AGUSTIN MUÑOZ GAITAN</t>
  </si>
  <si>
    <t>25202-54969</t>
  </si>
  <si>
    <t>CONTRATO 2 - OBJETO: INTERVENTORÍA TÉCNICA PARA LA CONSTRUCCIÓN DE OBRAS DE MEJORAMIENTO CONSISTENTES EN LA TERMINACIÓN DEL HOSPITAL DEL MUNICIPIO DE LA VEGA DEPARTAMENTO DE CUNDINAMARCA SEGÚN CONVENIO ICCU 405 DE 2014</t>
  </si>
  <si>
    <t>ANA MIREYA ARAGÓN</t>
  </si>
  <si>
    <t>25202-100457</t>
  </si>
  <si>
    <t>CONTRATO 1 - OBJETO: CONTRATAR LA INTERVENTORÍA ADMINISTRATIVA, TÉCNICA, OPERATIVA, FINANCIERA, CONTABLE, JURÍDICA Y AMBIENTAL PARA LA EJECUCIÓN DEL CONTRATO DE OBRA CUYO OBJETO ES "REALIZAR A MONTO AGOTABLE, A PRECIOS UNITARIOS FIJOS, SIN FÓRMULA DE REAJUSTE, EL MANTENIMIENTO PREVENTIVO, CORRECTIVO, MEJORAS REPARACIONES Y ADECUACIONES LOCATIVAS DE LAS SEDES DE LA SECRETARÍA DISTRITAL DE MOVILIDAD Y DE OTRAS EDIFICACIONES A SU CARGO.</t>
  </si>
  <si>
    <t>CONTRATO 2 - OBJETO: REALIZAR LA INTERVENTORÍA TÉCNICA, LEGAL, ADMINISTRATIVA, FINANCIERA Y AMBIENTAL AL CONTRATO QUE RESULTE DE LA LICITACIÓN FDLE-LP-442-2020, cuyo objeto es “REALIZAR LAS OBRAS DE ADECUACIÓN, REMODELACIÓN, MANTENIMIENTO DE LA INFRAESTRUCTURA FÍSICA Y SUMINISTRO E INSTALACIÓN DE MOBILIARIO, EQUIPOS Y ENSERES PARA EL EDIFICIO CENTRO ADMINISTRATIVO LOCAL (CALE) Y EDIFICACIONES DE PROPIEDAD O TENENCIA DEL FONDO DE DESARROLLO LOCAL DE ENGATIVÁ A MONTO AGOTABLE, CON PRECIOS UNITARIOS FIJOS SIN FORMULA DE REAJUSTE</t>
  </si>
  <si>
    <r>
      <rPr>
        <b/>
        <sz val="10"/>
        <rFont val="Arial"/>
        <family val="2"/>
      </rPr>
      <t>Contrato 1</t>
    </r>
    <r>
      <rPr>
        <sz val="10"/>
        <rFont val="Arial"/>
        <family val="2"/>
      </rPr>
      <t>: SOP-C-014 2005</t>
    </r>
  </si>
  <si>
    <t>INTERVENTORIA, TECNICA Y ADMINISTRATIVA Y FINANCIERA DE LA OBRA PUBLICA RELACIONADA CON LOS SIGUIENTES PROYECTOS: INTERVENTORIA PARA LOS PROYECTOS: CONSTRUCCIÓN Y ADECUACIÓN ESCENARIOS DEPORTIVOS PARA LOS XVII JUEGOS NACIONALES MUNICIPALES DE SOACHA. 1- CONSTRUCCIÓN COLISEO LEÓN XII. 2- ADECUACIÓN ESTADIO LUIS CARLOS GALÁN. 3- ADECUACIÓN COLISEO GENERAL SANTANDER</t>
  </si>
  <si>
    <r>
      <rPr>
        <b/>
        <sz val="10"/>
        <rFont val="Arial"/>
        <family val="2"/>
      </rPr>
      <t>Contrato 2</t>
    </r>
    <r>
      <rPr>
        <sz val="10"/>
        <rFont val="Arial"/>
        <family val="2"/>
      </rPr>
      <t>: 127 DE 2006</t>
    </r>
  </si>
  <si>
    <t>CONSORCIO 2C MONTESACRO (2C INGENIEROS LTDA 50%)</t>
  </si>
  <si>
    <t>INTERVENTORIA TÉCNICA, OPERATIVA, ADMINISTRATIVA, FINANCIERA, JURÍDICA Y AMBIENTAL DEL CONTRATO DE CONCESIÓN NO 148 DE 2005, CUYO OBJETO ES LA ADMINISTRACIÓN, OPERACIÓN Y MANTENIMIENTO DE LOS CUATRO CEMENTERIOS PROPIEDAD DEL DISTRITO CAPITAL POR EL SISTEMA DE CONCESIÓN, DE ACUERDO CON LO ESTIPULADO EN EL PLIEGO DE CONDICIONES Y ADENDOS DE LA LICITACIÓN PUBLICA 08 DE 2005, EL RÉGIMEN LEGAL APLICABLE MENCIONADO EN EL NUMERAL 1,9, Y TODAS AQUELLAS NORMAS VIGENTES QUE REGULEN LA PRESTACIÓN DE ESTE SERVICIO</t>
  </si>
  <si>
    <t>CONTRATO 1 - OBJETO: INTERVENTORIA TÉCNICA, ADMINISTRATIVA, LEGAL Y FINANCIERA DE, REMODELACIÓN, ADECUACIÓN, MANTENIMIENTO Y REPARACIÓN PARA LA INTERVENCION DE LAS EDIFICACIONES INSTITUCIONALES DENOMINADAS SALONES COMUNALES Y ATENCIÓN AL ADULTO MAYOR, EN LAS SEDES GARCES NAVAS, TABORA, SANTA HELENA, SANTA MARIA DEL LAGO, LA CABAÑA DE ENGATIVA, BONANZA, LOS PIANARES, LA PATRIA, JOSE JOAQUIN VARGAS, BOHIOS DE HUNZA, GUACAMAYAS 1 SECTOR, EL CARMEN, LOS PERIODISTAS, TIMIZA 11, EL PASEO, LA CHUCUA, URBANIZACION PIO 11, ANDALUCIA, MONTEBELLO, MANUELITA, SAN MARTIN DE PORRAS Y OBRAS DE URBANISMO TALES COMO ANDENES Y OBRAS DE PAISAJISMO.</t>
  </si>
  <si>
    <t xml:space="preserve">CONTRATO 2 - OBJETO: CONTRATAR LA INTERVENTORÍA ADMINISTRATIVA, TÉCNICA, OPERATIVA, FINANCIERA, CONTABLE, JURIDICA Y AMBIENTAL PARA LA EJECUCIÓN DEL CONTRATO DE OBRA, CUYO OBJETO ES "REALIZAR A MONTO AGOTABLE, A PRECIOS UNITARIOS FIJOS, SIN FÓRMULA DE REAJUSTE, EL MANTENIMIENTO PREVENTIVO, CORRECTIVO, MEJORAS REPARACIONES Y ADECUACIONES LOCATIVAS DE LAS SEDES DE LA SECRETARÍA DISTRITAL DE MOVILIDAD Y DE OTRAS EDIFICACIONES A SU CARGO </t>
  </si>
  <si>
    <t>CEYCO INGENIERIA SAS</t>
  </si>
  <si>
    <r>
      <rPr>
        <b/>
        <sz val="10"/>
        <rFont val="Arial"/>
        <family val="2"/>
      </rPr>
      <t>Contrato 1</t>
    </r>
    <r>
      <rPr>
        <sz val="10"/>
        <rFont val="Arial"/>
        <family val="2"/>
      </rPr>
      <t>:  088 DE 2009</t>
    </r>
  </si>
  <si>
    <t>CONSULTORÍA ESTRUCTURAL Y DE CONSTRUCCIÓN LIMITADA</t>
  </si>
  <si>
    <t>Realizar la Interventoría técnica, administrativa y financiera de la construcción de la primera etapa de la unidad intermedia de Salud de los barrios del sur en el municipio de Ibagué, Departamento del Tolima</t>
  </si>
  <si>
    <t>UNIDAD DE SALUD DE IBAGUÉ ESE</t>
  </si>
  <si>
    <r>
      <rPr>
        <b/>
        <sz val="10"/>
        <rFont val="Arial"/>
        <family val="2"/>
      </rPr>
      <t>Contrato 2</t>
    </r>
    <r>
      <rPr>
        <sz val="10"/>
        <rFont val="Arial"/>
        <family val="2"/>
      </rPr>
      <t>: 1890 DE 2015</t>
    </r>
  </si>
  <si>
    <t>CONSORCIO INTERVENTORIA CL 2015 (CEYCO INGENIERIA SAS 90% - DIEGO MAURICIO GODOY 10%)</t>
  </si>
  <si>
    <t>Consultoría para la Interventoría técnica, administrativa y financiera al contrato de construcciones de adecuaciones, arreglos locativos de las distintas instituciones educativas de municipio de Ibagué Tolima (Institución Educativa Maximiliano Neira Lamus e Institución Educativa Musical Amina Melendro de Pulencio)</t>
  </si>
  <si>
    <t>ALCALDÍA MUNICIPAL DE IBAGUÉ</t>
  </si>
  <si>
    <r>
      <rPr>
        <b/>
        <sz val="10"/>
        <rFont val="Arial"/>
        <family val="2"/>
      </rPr>
      <t>Contrato 3</t>
    </r>
    <r>
      <rPr>
        <sz val="10"/>
        <rFont val="Arial"/>
        <family val="2"/>
      </rPr>
      <t>: 1679660 DE 2020</t>
    </r>
  </si>
  <si>
    <t>CONSULTORÍA ESTRUCTURAL Y DE CONSTRUCCIÓN SAS</t>
  </si>
  <si>
    <t>Interventoría técnica, administrativa, jurídica, financiera y ambiental al contrato de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</si>
  <si>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CARLOS GABRIEL CAMACHO OBREGON</t>
  </si>
  <si>
    <t>Gerencia de Proyectos</t>
  </si>
  <si>
    <t>25202-123886</t>
  </si>
  <si>
    <t>CONTRATO 1 - OBJETO: Realizar la Interventoría técnica, administrativa y financiera de la construcción de la primera etapa de la unidad intermedia de Salud de los barrios del sur en el municipio de Ibagué, Departamento del Tolima</t>
  </si>
  <si>
    <t>CEYCO</t>
  </si>
  <si>
    <t>CONTRATO 2 - OBJETO: Consultoría para la Interventoría técnica, administrativa y financiera al contrato de construcciones de adecuaciones, arreglos locativos de las distintas instituciones educativas de municipio de Ibagué Tolima (Institución Educativa Maximiliano Neira Lamus e Institución Educativa Musical Amina Melendro de Pulencio)</t>
  </si>
  <si>
    <t>CONTRATO 3 - OBJETO: Interventoría técnica, administrativa, jurídica, financiera y ambiental al contrato de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</si>
  <si>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GUILLERMO ANDRÉS CAMACHO OBREGÓN</t>
  </si>
  <si>
    <t>Gerencia de Proyectos de Construcción e Infraestrctura</t>
  </si>
  <si>
    <t>25202-105899</t>
  </si>
  <si>
    <t>CONTRATO 2 - OBJETO: Realizar la Interventoría técnica, administrativa y financiera de la construcción de la segunda etapa de la unidad intermedia de Salud de los barrios del sur en el municipio de Ibagué, Departamento del Tolima.</t>
  </si>
  <si>
    <t>ALBA YOLANDA MORALES ARIAS</t>
  </si>
  <si>
    <t>25202-101910</t>
  </si>
  <si>
    <t>CONTRATO 1 - OBJETO: Contratar la interventoría técnica, administrativa, legal y financiera al mejoramiento y adecuación de la infraestructura física de las instituciones educativas según los grupos que se relacionan a continuación grupo 1: Amina Melendro De Pulecio sede Belén, San Pedro Alejandrino sede El Arado, German Pardo García sede principal, INEM sede las acacias, Nelsy García Ocampo sede principal, Luis Carlos Galán Sarmiento sede Las Delicias, Modelia sede el aís, Jorge Eliecer Gaitán sede instituto tolimense de educación especial “ITEE”, grupo 2: José Celestino Mutis sede Lorencita illegas De Santos, Leónidas Rubio sede principal, Francisco De Paula Santander sede Villamarin, Laureles sede principal, apias sede toche, Antonio Nariño sede La Loma, San Juan De La China sede principal, Fernando Villalobos Arango sede carmen De Bulira, grupo 3: Maximiliano Neira sede principal, José Joaquín Flores Hernández sede Secundino Porras y escuela mixta Picaleña, nueva esperanza la palma sede principal en el municipio de Ibagué</t>
  </si>
  <si>
    <t>CONTRATO 2 - OBJETO: Interventoría técnica, administrativa, jurídica, financiera y ambiental al contrato de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</si>
  <si>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r>
      <rPr>
        <b/>
        <sz val="10"/>
        <rFont val="Arial"/>
        <family val="2"/>
      </rPr>
      <t>Contrato 1</t>
    </r>
    <r>
      <rPr>
        <sz val="10"/>
        <rFont val="Arial"/>
        <family val="2"/>
      </rPr>
      <t>: 046 DE 2011</t>
    </r>
  </si>
  <si>
    <t>Realizar la Interventoría técnica, administrativa y financiera de la construcción de la segunda etapa de la unidad intermedia de Salud de los barrios del sur en el municipio de Ibagué, Departamento del Tolima.</t>
  </si>
  <si>
    <r>
      <rPr>
        <b/>
        <sz val="10"/>
        <rFont val="Arial"/>
        <family val="2"/>
      </rPr>
      <t>Contrato 2</t>
    </r>
    <r>
      <rPr>
        <sz val="10"/>
        <rFont val="Arial"/>
        <family val="2"/>
      </rPr>
      <t>: 011 DE 2014</t>
    </r>
  </si>
  <si>
    <t>CONSULTORÍA ESTRUCTURAL Y DE CONSTRUCCIÓN CEYCO SAS</t>
  </si>
  <si>
    <t>“Interventoría Técnica, Administrativa y Financiera del Contrato de Obra para realizar Reforzamiento Estructural y Adecuación de la Infraestructura Física del Nuevo Hospital La Candelaria de Purificación Tolima E.S.E</t>
  </si>
  <si>
    <t>NUEVO HOSPITAL LA CANDELARIA ESE PURIFICACIÓN TOLIMA</t>
  </si>
  <si>
    <t>CONTRATO 1 - OBJETO: Realizar la Interventoría técnica, administrativa y financiera de la construcción de la segunda etapa de la unidad intermedia de Salud de los barrios del sur en el municipio de Ibagué, Departamento del Tolima</t>
  </si>
  <si>
    <t xml:space="preserve">CONTRATO 1 - OBJETO: Contratar la interventoría técnica, administrativa, legal y financiera al mejoramiento y adecuación de la infraestructura física de las instituciones educativas según los grupos que se relacionan a continuación grupo 1: mina Melendro De Pulecio sede Belén, San Pedro Alejandrino sede El Arado, German Pardo García sede principal, INEM sede las acacias, Nelsy García Ocampo sede principal, Luis Carlos Galán </t>
  </si>
  <si>
    <t>Observaciones: El proponente incluye en el formato 22 "ACREDITACIÓN FACTORES DE DESEMPATE" la información sobre la COMPOSICIÓN ACCIONARIA MUJER CABEZA DE FAMILIA O MUJERES VICTIMAS DE VIOLENCIA INTRAFAMILIAR, pero no indica la acreditación del tiempo de participación en la sociedad.</t>
  </si>
  <si>
    <t>CONSORCIO EQUIPAMIENTO BIO2C</t>
  </si>
  <si>
    <t>Remo Fiorentino Mojica</t>
  </si>
  <si>
    <t>Contratista - Ingeniero Civil</t>
  </si>
  <si>
    <t>INTERVENTORÍA TÉCNICA, ADMINISTRATIVA, LEGAL, FINANCIERA, SOCIAL, AMBIENTAL Y DE SEGURIDAD Y SALUD EN EL TRABAJO PARA EJECUTAR A PRECIOS UNITARIOS Y A MONTO AGOTABLE, LAS OBRAS Y ACTIVIDADES PARA LA ADECUACIÓN DE CINCO (5) JARDINES INFANTILES DE LA SECRETARIA DISTRITAL DE INTEGRACIÓN SOCIAL PARA LA ATENCIÓN DE LA PRIMERA INFANCIA EN LA LOCALIDAD DE KENNEDY</t>
  </si>
  <si>
    <t xml:space="preserve">INTERVENTORIA TECNICA, ADMINISTRATIVA, JURIDICA Y FINANCIERA AL CONTRATO DE LAS OBRAS DE DEMOLICION PARCIAL, REFORZAMIENTO, AMPLIACION Y OBRAS NUEVAS DEL COLEGIO DISTRITAL QUIROGA ALIANZA SEDE "A" CPF 1841 DE LA LOCALIDAD DE RAFAEL URIBE URIBE DE ACUERDO  CON LA LICENCIA DE CONSTRUCCION, LOS ESTUDIOS TECNICOS, DISEÑOS, PRESUPUESTO Y ESPECIFICACIONES ENTREGADAS POR LA SED </t>
  </si>
  <si>
    <t>CONSORCIO GEBAL
Integrante:  GEACOR S.A.S (50%)</t>
  </si>
  <si>
    <r>
      <rPr>
        <b/>
        <sz val="10"/>
        <rFont val="Arial"/>
        <family val="2"/>
      </rPr>
      <t>Contrato 1</t>
    </r>
    <r>
      <rPr>
        <sz val="10"/>
        <rFont val="Arial"/>
        <family val="2"/>
      </rPr>
      <t>:  CIN-329-2019</t>
    </r>
  </si>
  <si>
    <t>FONDO DE DESARROLLO LOCAL DE KENNEDY</t>
  </si>
  <si>
    <t>SECRETARIA DE EDUCACIÓN DISTRITAL</t>
  </si>
  <si>
    <t>CONSORCIO INCA 2016
Integrante:  CLEMENTE ALFREDO BUITRAGO AMARILLO - 50% (Socio CICA Ingenieria e Interventoría SAS)</t>
  </si>
  <si>
    <t>CONSORCIO INGECIVILES</t>
  </si>
  <si>
    <t>Contratante Proyecto:  MINISTERIO DE CULTURA
Adjunta Certificación expedida por MINISTERIO DE CULTURA</t>
  </si>
  <si>
    <t>CONSORCIO INGE - OBRAS</t>
  </si>
  <si>
    <t>Adjunta contrato Prestación de Servicios</t>
  </si>
  <si>
    <r>
      <t xml:space="preserve">CONTRATO 2- OBJETO:
</t>
    </r>
    <r>
      <rPr>
        <sz val="10"/>
        <color theme="1"/>
        <rFont val="Arial"/>
        <family val="2"/>
      </rPr>
      <t xml:space="preserve">
PROYECTO DE INTERVENTORÍA No. 2221119:  INTERVENTORÍA INTEGRAL A LA EJECUCIÓN DE OBRAS DE CONSTRUCCIÓN Y/0 ADECUACIÓN
DE ESPACIOS ADMINISTRATIVOS Y DE FORMACIÓN EN DIFERENTES REGIONALES DEL SENA EN LOS
MUNICIPIOS DE: INÍRIDA (GUAINÍA), CARTAGENA (BOLÍVAR), MONTERÍA (CÓRDOBA), APARTADÓ Y
MEDELLÍN (ANTIOQUIA), MANIZALES (CALDAS), SOGAMOSO (BOYACÁ), BOGOTÁ D.C., VÉLEZ
(SANTANDER) Y GARZÓN (HUILA),
</t>
    </r>
  </si>
  <si>
    <r>
      <t xml:space="preserve">CONTRATO 1 - OBJETO:
</t>
    </r>
    <r>
      <rPr>
        <sz val="10"/>
        <color theme="1"/>
        <rFont val="Arial"/>
        <family val="2"/>
      </rPr>
      <t xml:space="preserve">
2719 - 2017:  Realizar la interventoría técnica, administrativa, financiera y contable para contratos de obra cuyo objeto es:  Contratar por el sistema de precios unitarios fijos sin fórnula de reajuste, la realización de la obra de construcción de la biblioteca pública en el municipio de Popayán, Cauca y Beltrán - Cundinamarca.
</t>
    </r>
  </si>
  <si>
    <r>
      <t xml:space="preserve">CONTRATO 2 - OBJETO:
</t>
    </r>
    <r>
      <rPr>
        <sz val="10"/>
        <rFont val="Arial"/>
        <family val="2"/>
      </rPr>
      <t xml:space="preserve">0108*2017*000062:  INTERVENTORÍA TÉCNICA, ADMINISTRATIVA, FINANCIERA Y AMBIENTAL CONSTRUCCIÓN Y/O ADECUACIÓN Y/O MEJORAMIENTO Y/O EQUIPAMENTO DE PARQUES Y/O CANCHAS DEPORTIVAS EN EL DEPARTAMENTO DEL ATLÁNTICO </t>
    </r>
  </si>
  <si>
    <t>CONSORCIO PROEZA – M&amp;R</t>
  </si>
  <si>
    <t>UNION TEMPORAL PROEZA</t>
  </si>
  <si>
    <t>PROEZA CONSULTORES S.A.S.</t>
  </si>
  <si>
    <t>UNIÓN TEMPORAL
INTEREDUCACION
2012</t>
  </si>
  <si>
    <t>CONSORCIO JG INTERVENTORES</t>
  </si>
  <si>
    <t>CONSORCIO INTEROCCIDENTE</t>
  </si>
  <si>
    <t>GITAI GROUP S.A.S BIC</t>
  </si>
  <si>
    <t>CARLOS VERGARA NEGRETE- Ingenieria &amp; Arquitectura</t>
  </si>
  <si>
    <t>CONSORCIO INTER CDI BOLIVAR</t>
  </si>
  <si>
    <t>CONSORCIO INBIO</t>
  </si>
  <si>
    <t>Adjunta Contrato</t>
  </si>
  <si>
    <t>2C INGENIEROS S.A.</t>
  </si>
  <si>
    <t>Adjunta contrato.</t>
  </si>
  <si>
    <t>OBRAS Y PROYECTOS CIVILES Y AMBIENTALES Ltda</t>
  </si>
  <si>
    <t>INTER MOVILIDAD 2019</t>
  </si>
  <si>
    <t>Adjuntan Contrato.</t>
  </si>
  <si>
    <t>CONSULTORES DESARROLLO Y AMBIENTE S.A.S</t>
  </si>
  <si>
    <t>Adjunta certificación FDL Engativá.</t>
  </si>
  <si>
    <r>
      <t xml:space="preserve">Contratante Proyecto:  Municipio de Turbana
</t>
    </r>
    <r>
      <rPr>
        <b/>
        <sz val="10"/>
        <color rgb="FFFF0000"/>
        <rFont val="Arial"/>
        <family val="2"/>
      </rPr>
      <t>DEBE SUBSANAR:</t>
    </r>
    <r>
      <rPr>
        <sz val="10"/>
        <color rgb="FFFF0000"/>
        <rFont val="Arial"/>
        <family val="2"/>
      </rPr>
      <t xml:space="preserve"> </t>
    </r>
    <r>
      <rPr>
        <sz val="10"/>
        <color theme="1"/>
        <rFont val="Arial"/>
        <family val="2"/>
      </rPr>
      <t xml:space="preserve"> Numeral 4.2.1.7. PERSONAL HABILITANTE "  La certificación adjunta incluye: " PLAZA CENTRAL DE TURBANA" y "AFIRMADOS VIA TERCIARIA".  Debe discriminar valor actividades EDIFICACIONES CUBIERTAS.
</t>
    </r>
    <r>
      <rPr>
        <sz val="10"/>
        <rFont val="Arial"/>
        <family val="2"/>
      </rPr>
      <t>Nota:  Adjunta certificación SECRETARIA DE PLANEACION Y OBRAS PUBLICAS ALCALDÍA MUNICIPAL DE TURBANA - Acredita participación Residente.</t>
    </r>
  </si>
  <si>
    <r>
      <rPr>
        <sz val="10"/>
        <rFont val="Arial"/>
        <family val="2"/>
      </rPr>
      <t>Contratante Proyecto:  INSTITUTO DE PATRIMONIO Y CULTURA DE CARTAGENA.</t>
    </r>
    <r>
      <rPr>
        <b/>
        <sz val="10"/>
        <color rgb="FFFF0000"/>
        <rFont val="Arial"/>
        <family val="2"/>
      </rPr>
      <t xml:space="preserve">
</t>
    </r>
    <r>
      <rPr>
        <sz val="10"/>
        <rFont val="Arial"/>
        <family val="2"/>
      </rPr>
      <t>Nota:  Adjunta certificación INSTITUTO DE PATRIMONIO Y CULTURA DE CARTAGENA.  Acredita Residente.</t>
    </r>
  </si>
  <si>
    <r>
      <t xml:space="preserve">Contratante Proyecto:  Gobernación del Departamento de Bolívar
</t>
    </r>
    <r>
      <rPr>
        <sz val="10"/>
        <rFont val="Arial"/>
        <family val="2"/>
      </rPr>
      <t>Nota:  Adjunta certificación GOBERNACIÓN DE BOLIVAR.  Acredita Residente.</t>
    </r>
  </si>
  <si>
    <t>Verificado por la Entidad.</t>
  </si>
  <si>
    <t>En formato autodeclaración multas y sanciones INDICA "SI"; Sin embargo, en el cuadro No establece entidad.</t>
  </si>
  <si>
    <r>
      <rPr>
        <b/>
        <sz val="10"/>
        <color theme="1"/>
        <rFont val="Arial"/>
        <family val="2"/>
      </rPr>
      <t xml:space="preserve">SUBSANADO: </t>
    </r>
    <r>
      <rPr>
        <sz val="10"/>
        <color theme="1"/>
        <rFont val="Arial"/>
        <family val="2"/>
      </rPr>
      <t xml:space="preserve"> Remite Contrato por obra o labor contratada.</t>
    </r>
  </si>
  <si>
    <r>
      <t xml:space="preserve">Contratante Proyecto:  Municipio de Turbana
</t>
    </r>
    <r>
      <rPr>
        <b/>
        <sz val="10"/>
        <color theme="1"/>
        <rFont val="Arial"/>
        <family val="2"/>
      </rPr>
      <t>CUMPLE:</t>
    </r>
    <r>
      <rPr>
        <sz val="10"/>
        <color theme="1"/>
        <rFont val="Arial"/>
        <family val="2"/>
      </rPr>
      <t xml:space="preserve">  La certificación allegada incluye "PUESTO DE SALUD BALLESTAS Y LOMAS DE MATUNILLA" y "SALA DE PARTO DEL HOSPITAL DE TURBANA".  El numeral "4.2.2. REQUISITOS PARA ACREDITAR LOS PERFILES HABILITANTES", NO  estipula discriminar valor de actividades diferentes.
</t>
    </r>
    <r>
      <rPr>
        <sz val="10"/>
        <rFont val="Arial"/>
        <family val="2"/>
      </rPr>
      <t>Nota:  Adjunta certificación SECRETARIA DE PLANEACION Y OBRAS PUBLICAS ALCALDÍA MUNICIPAL DE TURBANA - Acredita participación Residente.</t>
    </r>
  </si>
  <si>
    <r>
      <t xml:space="preserve">Observaciones:  
</t>
    </r>
    <r>
      <rPr>
        <b/>
        <sz val="10"/>
        <rFont val="Arial"/>
        <family val="2"/>
      </rPr>
      <t>SUBSANADO</t>
    </r>
    <r>
      <rPr>
        <b/>
        <sz val="10"/>
        <color rgb="FFFF0000"/>
        <rFont val="Arial"/>
        <family val="2"/>
      </rPr>
      <t xml:space="preserve">: </t>
    </r>
    <r>
      <rPr>
        <sz val="10"/>
        <rFont val="Arial"/>
        <family val="2"/>
      </rPr>
      <t xml:space="preserve"> Allega Formato “CARTA DE COMPROMISO VINCULACIÓN EQUIPO MÍNIMO DE TRABAJO”.   </t>
    </r>
  </si>
  <si>
    <t>% Participacion</t>
  </si>
  <si>
    <t>INTEGRANTES</t>
  </si>
  <si>
    <t>Experiencia</t>
  </si>
  <si>
    <t>Total</t>
  </si>
  <si>
    <t>Contratante Proyecto:  MINISTERIO DE CULTURA
CUMPLE:  Junto con la propuesta allega CERTIFICACIÓN EXPEDIDA POR EL MINISTERIO DE CULTURA, indicando datos del Director de Interventoría.</t>
  </si>
  <si>
    <t>NO SUBSANA</t>
  </si>
  <si>
    <r>
      <t xml:space="preserve">CONTRATO 1 - OBJETO:
</t>
    </r>
    <r>
      <rPr>
        <sz val="10"/>
        <color theme="1"/>
        <rFont val="Arial"/>
        <family val="2"/>
      </rPr>
      <t xml:space="preserve">
ICCU-068 DE 2021 - "INTERVENTORÍA TÉCNICA, ADMINISTRATIVA, FINANCIERA Y LEGAL PARA EL DIAGNOSTICO, ESTUDIOS, DISEÑOS ATENCIÓN Y PREVENCIÓN A EMERGENCIAS EN LA INFRAESTRUCTURA EDUCATIVA DEL DEPARTAMENTO DE CUNDINAMARCA''. </t>
    </r>
    <r>
      <rPr>
        <u/>
        <sz val="10"/>
        <color theme="1"/>
        <rFont val="Arial"/>
        <family val="2"/>
      </rPr>
      <t xml:space="preserve">
</t>
    </r>
    <r>
      <rPr>
        <sz val="10"/>
        <color theme="1"/>
        <rFont val="Arial"/>
        <family val="2"/>
      </rPr>
      <t>Alcance del Proyecto:  Obras de construcción, mantenimiento y reparación de la infraestructura educativa en las diferentes sedes adscritas al Departamento de Cundinamarca.</t>
    </r>
  </si>
  <si>
    <r>
      <rPr>
        <b/>
        <sz val="10"/>
        <color theme="1"/>
        <rFont val="Arial"/>
        <family val="2"/>
      </rPr>
      <t>SUBSANA:</t>
    </r>
    <r>
      <rPr>
        <sz val="10"/>
        <color theme="1"/>
        <rFont val="Arial"/>
        <family val="2"/>
      </rPr>
      <t xml:space="preserve">  Allega contratos de prestación de servicios 013-2022 y 009-2021</t>
    </r>
  </si>
  <si>
    <t>%</t>
  </si>
  <si>
    <t>GOMEZ GOMEZ CESAR EDUARDO</t>
  </si>
  <si>
    <t>Gerente</t>
  </si>
  <si>
    <t>Suplente</t>
  </si>
  <si>
    <t>GOMEZ GOMEZ MARGARITA</t>
  </si>
  <si>
    <t>MEDINA ACERO MARCELA PATRICIA</t>
  </si>
  <si>
    <t>Revisor Fiscal</t>
  </si>
  <si>
    <r>
      <t xml:space="preserve">Observaciones:  
</t>
    </r>
    <r>
      <rPr>
        <b/>
        <u/>
        <sz val="10"/>
        <color rgb="FFFF0000"/>
        <rFont val="Arial"/>
        <family val="2"/>
      </rPr>
      <t>NO SUBSANA LO REQUERIDO</t>
    </r>
  </si>
  <si>
    <t>RECHAZADO</t>
  </si>
  <si>
    <t>SUBSANADO</t>
  </si>
  <si>
    <t>NO SUBSANO</t>
  </si>
  <si>
    <t>NO SUBSANADO</t>
  </si>
  <si>
    <t>CONTRATO 2 - OBJETO: REALIZAR LA INTERVENTORÌA TÈCNICA, ADMINISTRATIVA, FINANCIERA, JURÌDICA Y AMBIENTAL AL CONTRATO DE OBRA CUYO OBJETO ES: "REALIZAR LAS ADECUACIONES Y/O REPARACIONES LOCATIVAS REQUERIDAS EN LAS INFRAESTRUCTURAS DONDE PRESTA SERVICIO EL INSTITUTO COLOMBIANO DE BIENESTAR FAMILIAR (ICBF) PARA LA DIRECCIÒN DE PRIMERA INFANCIA A NIVEL NACIONAL"</t>
  </si>
  <si>
    <t>CONTRATO 2 - OBJETO:  INTERVENTORIA TÉCNICA, ADMINISTRATIVA, FINANCIERA, AMBIENTAL, CONTABLE Y JURÌDICA PARA LOS ESTUDIOS, DISEÑOS, CONSTRUCCIÒN Y DOTACIÒN DE LA SEDE DE LA DEFENSORÌA DEL PUEBLO REGIONAL CESAR EN EL MUNICIPIO DE VALLEDUPAR</t>
  </si>
  <si>
    <t>HABILITADO</t>
  </si>
  <si>
    <r>
      <rPr>
        <b/>
        <u/>
        <sz val="10"/>
        <color theme="0"/>
        <rFont val="Arial"/>
        <family val="2"/>
      </rPr>
      <t>SUBSANA:</t>
    </r>
    <r>
      <rPr>
        <sz val="10"/>
        <color theme="0"/>
        <rFont val="Arial"/>
        <family val="2"/>
      </rPr>
      <t xml:space="preserve">  Adjunta contrato de prestación de servicios profesionales, con objeto correspondiente.  
Proyecto:   BBVA ASSET MANAGEMENT S. A.</t>
    </r>
  </si>
  <si>
    <r>
      <rPr>
        <b/>
        <sz val="10"/>
        <color theme="0"/>
        <rFont val="Arial"/>
        <family val="2"/>
      </rPr>
      <t>SUBSANA:</t>
    </r>
    <r>
      <rPr>
        <sz val="10"/>
        <color theme="0"/>
        <rFont val="Arial"/>
        <family val="2"/>
      </rPr>
      <t xml:space="preserve">  Adjunta contrato de prestación de servicios profesionales, con objeto correspondiente.  
Proyecto:   ALCALDIA PUERTO GAITÁN</t>
    </r>
  </si>
  <si>
    <r>
      <rPr>
        <b/>
        <i/>
        <u/>
        <sz val="10"/>
        <color rgb="FFFF0000"/>
        <rFont val="Arial"/>
        <family val="2"/>
      </rPr>
      <t xml:space="preserve">PROPUESTA RECHAZADA: </t>
    </r>
    <r>
      <rPr>
        <sz val="10"/>
        <rFont val="Arial"/>
        <family val="2"/>
      </rPr>
      <t xml:space="preserve"> SE DIO TRASLADO DE OBSERVACIONES PRESENTADO POR EL OFERENTE CONSORCIO EQUIPAMIENTO BIO2C A LA PROPUESTA ALLEGADA.  DENTRO DEL TERMINO PREVISTO NO SE RECIBIO RESPUESTA.  EL PLIEGO DE CONDICIONES ESTABLECE "2.9. CAUSALES DE RECHAZO DE LAS OFERTAS... c. </t>
    </r>
    <r>
      <rPr>
        <b/>
        <i/>
        <u/>
        <sz val="10"/>
        <rFont val="Arial"/>
        <family val="2"/>
      </rPr>
      <t>Cuando la Entidad haya solicitado</t>
    </r>
    <r>
      <rPr>
        <sz val="10"/>
        <rFont val="Arial"/>
        <family val="2"/>
      </rPr>
      <t xml:space="preserve"> presentar algún documento o subsanar o</t>
    </r>
    <r>
      <rPr>
        <b/>
        <i/>
        <u/>
        <sz val="10"/>
        <rFont val="Arial"/>
        <family val="2"/>
      </rPr>
      <t xml:space="preserve"> aclarar alguna información necesaria para el cumplimiento de los requisitos habilitantes, o para la aclaración de los referidos a los requisitos habilitantes y el proponente no aporte, subsane o aclare lo pertinente, en los plazos y condiciones determinados en el pliego de condiciones</t>
    </r>
    <r>
      <rPr>
        <sz val="10"/>
        <rFont val="Arial"/>
        <family val="2"/>
      </rPr>
      <t>, esto es dentro del término del traslado del informe de evaluación. Lo anterior de acuerdo con la modificación establecidas en el artículo 5º de la Ley 1882 de 2018.</t>
    </r>
  </si>
  <si>
    <t>INCENTIVOS</t>
  </si>
  <si>
    <r>
      <t xml:space="preserve">Observaciones:
</t>
    </r>
    <r>
      <rPr>
        <sz val="10"/>
        <color rgb="FFFF0000"/>
        <rFont val="Arial"/>
        <family val="2"/>
      </rPr>
      <t>NO SUBSANA</t>
    </r>
  </si>
  <si>
    <r>
      <rPr>
        <b/>
        <sz val="10"/>
        <color rgb="FFFF0000"/>
        <rFont val="Arial"/>
        <family val="2"/>
      </rPr>
      <t>NO SUBSANA:</t>
    </r>
    <r>
      <rPr>
        <sz val="10"/>
        <color theme="1"/>
        <rFont val="Arial"/>
        <family val="2"/>
      </rPr>
      <t xml:space="preserve">  Numeral "4.2.2. REQUISITOS PARA ACREDITAR LOS PERFILES HABILITANTES" - Literal a - Debe adjunta CARTA DE COMPROMISO – INTEGRANTE EQUIPO DE
TRABAJO</t>
    </r>
  </si>
  <si>
    <r>
      <rPr>
        <b/>
        <sz val="10"/>
        <color rgb="FFFF0000"/>
        <rFont val="Arial"/>
        <family val="2"/>
      </rPr>
      <t>NO SUBSANA:</t>
    </r>
    <r>
      <rPr>
        <sz val="10"/>
        <color theme="1"/>
        <rFont val="Arial"/>
        <family val="2"/>
      </rPr>
      <t xml:space="preserve"> No cumple numeral - 4.2.2. REQUISITOS PARA ACREDITAR LOS PERFILES HABILITANTES - Punto "5. Fecha de inicio y de terminación (correspondiente al periodo de vinculación al proyecto)".  Debe indicar la fecha de vinculacion discriminada para cada uno de los proyectos certificados.</t>
    </r>
  </si>
  <si>
    <r>
      <rPr>
        <b/>
        <sz val="10"/>
        <color rgb="FFFF0000"/>
        <rFont val="Arial"/>
        <family val="2"/>
      </rPr>
      <t>NO SUBSANA:</t>
    </r>
    <r>
      <rPr>
        <sz val="10"/>
        <color theme="1"/>
        <rFont val="Arial"/>
        <family val="2"/>
      </rPr>
      <t xml:space="preserve">  No cumple numeral 4.2.1.7. PERSONAL HABILITANTE - B RESIDENTE INTERVENTORIA.  Las viviendas de interés social no hacen parte del Sistema del Cuidado y Servicios Sociales.
</t>
    </r>
    <r>
      <rPr>
        <b/>
        <sz val="10"/>
        <color rgb="FFFF0000"/>
        <rFont val="Arial"/>
        <family val="2"/>
      </rPr>
      <t>NO SUBSANA:</t>
    </r>
    <r>
      <rPr>
        <sz val="10"/>
        <color theme="1"/>
        <rFont val="Arial"/>
        <family val="2"/>
      </rPr>
      <t xml:space="preserve"> No cumple numeral - 4.2.2. REQUISITOS PARA ACREDITAR LOS PERFILES HABILITANTES - Punto "5. Fecha de inicio y de terminación (correspondiente al periodo de vinculación al proyecto)".  Debe indicar la fecha de vinculacion discriminada </t>
    </r>
    <r>
      <rPr>
        <b/>
        <u/>
        <sz val="10"/>
        <color theme="1"/>
        <rFont val="Arial"/>
        <family val="2"/>
      </rPr>
      <t>para cada uno de los proyectos certificados.</t>
    </r>
  </si>
  <si>
    <r>
      <t xml:space="preserve">Observaciones:  
</t>
    </r>
    <r>
      <rPr>
        <b/>
        <sz val="10"/>
        <color rgb="FFFF0000"/>
        <rFont val="Arial"/>
        <family val="2"/>
      </rPr>
      <t>NO SUBSANADO:</t>
    </r>
    <r>
      <rPr>
        <sz val="10"/>
        <rFont val="Arial"/>
        <family val="2"/>
      </rPr>
      <t xml:space="preserve">  ADENDA 1 - Adjuntar Formato denominado “CARTA DE COMPROMISO VINCULACIÓN EQUIPO MÍNIMO DE TRABAJO”.   - Este formato fue ajustado medidante ADENDA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</si>
</sst>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quot;$&quot;* #,##0.00_-;\-&quot;$&quot;* #,##0.00_-;_-&quot;$&quot;* &quot;-&quot;??_-;_-@_-"/>
    <numFmt numFmtId="165" formatCode="#,##0.0"/>
    <numFmt numFmtId="166" formatCode="[$$]\ #,##0.00;\-[$$]\ #,##0.00"/>
    <numFmt numFmtId="167" formatCode="&quot;$&quot;#,##0"/>
    <numFmt numFmtId="168" formatCode="[$$]#,##0.00;\-[$$]#,##0.00"/>
    <numFmt numFmtId="169" formatCode="_-* #,##0.00_-;\-* #,##0.00_-;_-* &quot;-&quot;_-;_-@_-"/>
    <numFmt numFmtId="170" formatCode="0.000"/>
  </numFmts>
  <fonts count="48">
    <font>
      <sz val="11"/>
      <color theme="1"/>
      <name val="Calibri"/>
      <family val="2"/>
      <scheme val="minor"/>
    </font>
    <font>
      <sz val="9"/>
      <name val="Arial"/>
      <family val="2"/>
    </font>
    <font>
      <sz val="9"/>
      <color indexed="8"/>
      <name val="Helvetica"/>
      <family val="2"/>
    </font>
    <font>
      <i/>
      <sz val="9"/>
      <color indexed="8"/>
      <name val="Helvetica"/>
      <family val="2"/>
    </font>
    <font>
      <b/>
      <sz val="9"/>
      <color indexed="8"/>
      <name val="Helvetica"/>
      <family val="2"/>
    </font>
    <font>
      <u/>
      <sz val="9"/>
      <color indexed="12"/>
      <name val="Helvetica"/>
      <family val="2"/>
    </font>
    <font>
      <sz val="10"/>
      <name val="Arial"/>
      <family val="2"/>
    </font>
    <font>
      <b/>
      <sz val="11"/>
      <name val="Arial"/>
      <family val="2"/>
    </font>
    <font>
      <b/>
      <sz val="10"/>
      <name val="Arial"/>
      <family val="2"/>
    </font>
    <font>
      <b/>
      <sz val="12"/>
      <name val="Arial"/>
      <family val="2"/>
    </font>
    <font>
      <sz val="11"/>
      <color theme="1"/>
      <name val="Calibri"/>
      <family val="2"/>
      <scheme val="minor"/>
    </font>
    <font>
      <sz val="11"/>
      <color theme="1"/>
      <name val="Calibri"/>
      <family val="2"/>
    </font>
    <font>
      <b/>
      <sz val="11"/>
      <color theme="1"/>
      <name val="Calibri"/>
      <family val="2"/>
    </font>
    <font>
      <sz val="9"/>
      <color theme="1"/>
      <name val="Helvetica"/>
      <family val="2"/>
    </font>
    <font>
      <sz val="9"/>
      <color theme="1"/>
      <name val="Calibri"/>
      <family val="2"/>
      <scheme val="minor"/>
    </font>
    <font>
      <b/>
      <sz val="10"/>
      <color theme="1"/>
      <name val="Calibri"/>
      <family val="2"/>
      <scheme val="minor"/>
    </font>
    <font>
      <sz val="10"/>
      <color theme="1"/>
      <name val="Calibri"/>
      <family val="2"/>
      <scheme val="minor"/>
    </font>
    <font>
      <b/>
      <sz val="12"/>
      <color theme="1"/>
      <name val="Calibri"/>
      <family val="2"/>
      <scheme val="minor"/>
    </font>
    <font>
      <b/>
      <sz val="11"/>
      <color rgb="FF333399"/>
      <name val="Calibri"/>
      <family val="2"/>
    </font>
    <font>
      <sz val="11"/>
      <color rgb="FF333399"/>
      <name val="Calibri"/>
      <family val="2"/>
    </font>
    <font>
      <b/>
      <sz val="10"/>
      <color theme="1"/>
      <name val="Arial"/>
      <family val="2"/>
    </font>
    <font>
      <sz val="10"/>
      <color theme="1"/>
      <name val="Arial"/>
      <family val="2"/>
    </font>
    <font>
      <u/>
      <sz val="10"/>
      <color theme="1"/>
      <name val="Arial"/>
      <family val="2"/>
    </font>
    <font>
      <sz val="10"/>
      <name val="Aptos Narrow"/>
      <family val="2"/>
    </font>
    <font>
      <b/>
      <sz val="14"/>
      <name val="Arial"/>
      <family val="2"/>
    </font>
    <font>
      <b/>
      <sz val="11"/>
      <color theme="1"/>
      <name val="Calibri"/>
      <family val="2"/>
      <scheme val="minor"/>
    </font>
    <font>
      <b/>
      <u/>
      <sz val="10"/>
      <color rgb="FFFF0000"/>
      <name val="Arial"/>
      <family val="2"/>
    </font>
    <font>
      <b/>
      <sz val="10"/>
      <color rgb="FFFF0000"/>
      <name val="Arial"/>
      <family val="2"/>
    </font>
    <font>
      <sz val="10"/>
      <color rgb="FFFF0000"/>
      <name val="Arial"/>
      <family val="2"/>
    </font>
    <font>
      <u/>
      <sz val="10"/>
      <name val="Arial"/>
      <family val="2"/>
    </font>
    <font>
      <b/>
      <u/>
      <sz val="10"/>
      <color theme="1"/>
      <name val="Arial"/>
      <family val="2"/>
    </font>
    <font>
      <b/>
      <u/>
      <sz val="10"/>
      <name val="Arial"/>
      <family val="2"/>
    </font>
    <font>
      <sz val="10"/>
      <color theme="0" tint="-0.14999847407452621"/>
      <name val="Arial"/>
      <family val="2"/>
    </font>
    <font>
      <b/>
      <sz val="11"/>
      <color rgb="FFFF0000"/>
      <name val="Calibri"/>
      <family val="2"/>
      <scheme val="minor"/>
    </font>
    <font>
      <sz val="10"/>
      <color rgb="FFFF0000"/>
      <name val="Calibri"/>
      <family val="2"/>
      <scheme val="minor"/>
    </font>
    <font>
      <b/>
      <sz val="10"/>
      <color rgb="FFFF0000"/>
      <name val="Calibri"/>
      <family val="2"/>
      <scheme val="minor"/>
    </font>
    <font>
      <sz val="11"/>
      <color theme="0"/>
      <name val="Calibri"/>
      <family val="2"/>
      <scheme val="minor"/>
    </font>
    <font>
      <b/>
      <sz val="12"/>
      <color rgb="FFFF0000"/>
      <name val="Arial"/>
      <family val="2"/>
    </font>
    <font>
      <sz val="10"/>
      <color theme="0"/>
      <name val="Calibri"/>
      <family val="2"/>
      <scheme val="minor"/>
    </font>
    <font>
      <b/>
      <sz val="10"/>
      <color theme="0"/>
      <name val="Arial"/>
      <family val="2"/>
    </font>
    <font>
      <sz val="10"/>
      <color theme="0"/>
      <name val="Arial"/>
      <family val="2"/>
    </font>
    <font>
      <b/>
      <sz val="11"/>
      <color theme="0"/>
      <name val="Arial"/>
      <family val="2"/>
    </font>
    <font>
      <b/>
      <u/>
      <sz val="10"/>
      <color theme="0"/>
      <name val="Arial"/>
      <family val="2"/>
    </font>
    <font>
      <b/>
      <sz val="10"/>
      <color theme="0" tint="-4.9989318521683403E-2"/>
      <name val="Arial"/>
      <family val="2"/>
    </font>
    <font>
      <b/>
      <sz val="10"/>
      <color theme="0" tint="-0.14999847407452621"/>
      <name val="Arial"/>
      <family val="2"/>
    </font>
    <font>
      <b/>
      <sz val="11"/>
      <color theme="0" tint="-0.14999847407452621"/>
      <name val="Arial"/>
      <family val="2"/>
    </font>
    <font>
      <b/>
      <i/>
      <u/>
      <sz val="10"/>
      <name val="Arial"/>
      <family val="2"/>
    </font>
    <font>
      <b/>
      <i/>
      <u/>
      <sz val="10"/>
      <color rgb="FFFF0000"/>
      <name val="Arial"/>
      <family val="2"/>
    </font>
  </fonts>
  <fills count="14">
    <fill>
      <patternFill patternType="none"/>
    </fill>
    <fill>
      <patternFill patternType="gray125"/>
    </fill>
    <fill>
      <patternFill patternType="solid">
        <fgColor rgb="FFFFFFFF"/>
      </patternFill>
    </fill>
    <fill>
      <patternFill patternType="solid">
        <fgColor rgb="FFCFE0F1"/>
      </patternFill>
    </fill>
    <fill>
      <patternFill patternType="solid">
        <fgColor rgb="FFF2F5F9"/>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979991"/>
      </left>
      <right style="thin">
        <color rgb="FF979991"/>
      </right>
      <top style="thin">
        <color rgb="FF979991"/>
      </top>
      <bottom style="thin">
        <color rgb="FF979991"/>
      </bottom>
      <diagonal/>
    </border>
    <border>
      <left style="thin">
        <color rgb="FF979991"/>
      </left>
      <right/>
      <top style="thin">
        <color rgb="FF979991"/>
      </top>
      <bottom style="thin">
        <color rgb="FF979991"/>
      </bottom>
      <diagonal/>
    </border>
    <border>
      <left style="thin">
        <color rgb="FF979991"/>
      </left>
      <right/>
      <top style="thin">
        <color rgb="FF979991"/>
      </top>
      <bottom/>
      <diagonal/>
    </border>
    <border>
      <left/>
      <right/>
      <top/>
      <bottom style="thick">
        <color rgb="FFA3B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43" fontId="10"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6" fillId="0" borderId="0"/>
    <xf numFmtId="0" fontId="11" fillId="0" borderId="0"/>
    <xf numFmtId="9" fontId="10" fillId="0" borderId="0" applyFont="0" applyFill="0" applyBorder="0" applyAlignment="0" applyProtection="0"/>
  </cellStyleXfs>
  <cellXfs count="344">
    <xf numFmtId="0" fontId="0" fillId="0" borderId="0" xfId="0"/>
    <xf numFmtId="0" fontId="11" fillId="0" borderId="0" xfId="6"/>
    <xf numFmtId="0" fontId="11" fillId="0" borderId="0" xfId="6" applyAlignment="1">
      <alignment horizontal="left" vertical="top" wrapText="1"/>
    </xf>
    <xf numFmtId="0" fontId="11" fillId="0" borderId="0" xfId="6" applyAlignment="1">
      <alignment horizontal="center" vertical="top" wrapText="1"/>
    </xf>
    <xf numFmtId="0" fontId="11" fillId="2" borderId="8" xfId="6" applyFill="1" applyBorder="1" applyAlignment="1">
      <alignment horizontal="right" vertical="center" wrapText="1"/>
    </xf>
    <xf numFmtId="10" fontId="11" fillId="2" borderId="9" xfId="6" applyNumberFormat="1" applyFill="1" applyBorder="1" applyAlignment="1">
      <alignment horizontal="right" vertical="center" wrapText="1"/>
    </xf>
    <xf numFmtId="166" fontId="11" fillId="2" borderId="9" xfId="6" applyNumberFormat="1" applyFill="1" applyBorder="1" applyAlignment="1">
      <alignment horizontal="right" vertical="center" wrapText="1"/>
    </xf>
    <xf numFmtId="1" fontId="11" fillId="3" borderId="9" xfId="6" applyNumberFormat="1" applyFill="1" applyBorder="1" applyAlignment="1">
      <alignment horizontal="right" vertical="center" wrapText="1"/>
    </xf>
    <xf numFmtId="0" fontId="11" fillId="4" borderId="8" xfId="6" applyFill="1" applyBorder="1" applyAlignment="1">
      <alignment horizontal="right" vertical="center" wrapText="1"/>
    </xf>
    <xf numFmtId="10" fontId="11" fillId="4" borderId="9" xfId="6" applyNumberFormat="1" applyFill="1" applyBorder="1" applyAlignment="1">
      <alignment horizontal="right" vertical="center" wrapText="1"/>
    </xf>
    <xf numFmtId="166" fontId="11" fillId="4" borderId="9" xfId="6" applyNumberFormat="1" applyFill="1" applyBorder="1" applyAlignment="1">
      <alignment horizontal="right" vertical="center" wrapText="1"/>
    </xf>
    <xf numFmtId="0" fontId="12" fillId="2" borderId="8" xfId="6" applyFont="1" applyFill="1" applyBorder="1" applyAlignment="1">
      <alignment horizontal="center" vertical="center" wrapText="1"/>
    </xf>
    <xf numFmtId="0" fontId="12" fillId="2" borderId="9" xfId="6" applyFont="1" applyFill="1" applyBorder="1" applyAlignment="1">
      <alignment horizontal="center" vertical="center" wrapText="1"/>
    </xf>
    <xf numFmtId="0" fontId="12" fillId="2" borderId="10" xfId="6" applyFont="1" applyFill="1" applyBorder="1" applyAlignment="1">
      <alignment horizontal="center" vertical="center" wrapText="1"/>
    </xf>
    <xf numFmtId="0" fontId="13" fillId="0" borderId="0" xfId="6" applyFont="1" applyAlignment="1">
      <alignment horizontal="left" wrapText="1"/>
    </xf>
    <xf numFmtId="166" fontId="11" fillId="5" borderId="9" xfId="6" applyNumberFormat="1" applyFill="1" applyBorder="1" applyAlignment="1">
      <alignment horizontal="right" vertical="center" wrapText="1"/>
    </xf>
    <xf numFmtId="168" fontId="11" fillId="0" borderId="0" xfId="6" applyNumberFormat="1"/>
    <xf numFmtId="1" fontId="11" fillId="3" borderId="0" xfId="6" applyNumberFormat="1" applyFill="1" applyAlignment="1">
      <alignment horizontal="right" vertical="center" wrapText="1"/>
    </xf>
    <xf numFmtId="166" fontId="11" fillId="5" borderId="0" xfId="6" applyNumberFormat="1" applyFill="1" applyAlignment="1">
      <alignment horizontal="right" vertical="center" wrapText="1"/>
    </xf>
    <xf numFmtId="0" fontId="0" fillId="0" borderId="0" xfId="0" applyAlignment="1">
      <alignment horizontal="center" vertical="center"/>
    </xf>
    <xf numFmtId="0" fontId="6" fillId="0" borderId="0" xfId="0" applyFont="1" applyAlignment="1" applyProtection="1">
      <alignment vertical="center"/>
      <protection locked="0"/>
    </xf>
    <xf numFmtId="0" fontId="8" fillId="0" borderId="0" xfId="0" applyFont="1" applyAlignment="1">
      <alignment horizontal="center" vertical="center" wrapText="1"/>
    </xf>
    <xf numFmtId="0" fontId="8" fillId="0" borderId="0" xfId="0" applyFont="1" applyAlignment="1">
      <alignment horizontal="center" vertical="center"/>
    </xf>
    <xf numFmtId="0" fontId="6" fillId="6" borderId="1" xfId="0" applyFont="1" applyFill="1" applyBorder="1" applyAlignment="1">
      <alignment horizontal="left" vertical="center"/>
    </xf>
    <xf numFmtId="0" fontId="6" fillId="6" borderId="1" xfId="0" applyFont="1" applyFill="1" applyBorder="1" applyAlignment="1" applyProtection="1">
      <alignment vertical="center"/>
      <protection locked="0"/>
    </xf>
    <xf numFmtId="0" fontId="8" fillId="0" borderId="0" xfId="0" applyFont="1" applyAlignment="1" applyProtection="1">
      <alignment horizontal="center" vertical="center" wrapText="1"/>
      <protection locked="0"/>
    </xf>
    <xf numFmtId="0" fontId="8" fillId="0" borderId="0" xfId="0" applyFont="1" applyAlignment="1" applyProtection="1">
      <alignment horizontal="center" vertical="center"/>
      <protection locked="0"/>
    </xf>
    <xf numFmtId="0" fontId="8" fillId="0" borderId="0" xfId="0" applyFont="1" applyAlignment="1">
      <alignment vertical="center" wrapText="1"/>
    </xf>
    <xf numFmtId="0" fontId="6" fillId="6" borderId="1" xfId="0" applyFont="1" applyFill="1" applyBorder="1" applyAlignment="1">
      <alignment vertical="center"/>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6" borderId="1" xfId="0" applyFont="1" applyFill="1" applyBorder="1" applyAlignment="1" applyProtection="1">
      <alignment horizontal="center" vertical="center"/>
      <protection locked="0"/>
    </xf>
    <xf numFmtId="0" fontId="6" fillId="6" borderId="1" xfId="0" applyFont="1" applyFill="1" applyBorder="1" applyAlignment="1">
      <alignment horizontal="center" vertical="center"/>
    </xf>
    <xf numFmtId="0" fontId="6" fillId="0" borderId="1" xfId="0" applyFont="1" applyBorder="1" applyAlignment="1">
      <alignment horizontal="center" vertical="center"/>
    </xf>
    <xf numFmtId="14" fontId="6" fillId="0" borderId="1" xfId="0" applyNumberFormat="1" applyFont="1" applyBorder="1" applyAlignment="1" applyProtection="1">
      <alignment horizontal="center" vertical="center"/>
      <protection locked="0"/>
    </xf>
    <xf numFmtId="0" fontId="6" fillId="6" borderId="1" xfId="0" applyFont="1" applyFill="1" applyBorder="1" applyAlignment="1">
      <alignment horizontal="center" vertical="center" wrapText="1"/>
    </xf>
    <xf numFmtId="167" fontId="6" fillId="0" borderId="1" xfId="2" applyNumberFormat="1" applyFont="1" applyFill="1" applyBorder="1" applyAlignment="1" applyProtection="1">
      <alignment horizontal="center" vertical="center"/>
      <protection locked="0"/>
    </xf>
    <xf numFmtId="0" fontId="6" fillId="7" borderId="1" xfId="0" applyFont="1" applyFill="1" applyBorder="1" applyAlignment="1">
      <alignment horizontal="center" vertical="center" wrapText="1"/>
    </xf>
    <xf numFmtId="165" fontId="6" fillId="0" borderId="1" xfId="0" applyNumberFormat="1" applyFont="1" applyBorder="1" applyAlignment="1" applyProtection="1">
      <alignment horizontal="center" vertical="center"/>
      <protection locked="0"/>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pplyProtection="1">
      <alignment horizontal="center" vertical="center"/>
      <protection locked="0"/>
    </xf>
    <xf numFmtId="0" fontId="8" fillId="6" borderId="1" xfId="0" applyFont="1" applyFill="1" applyBorder="1" applyAlignment="1">
      <alignment horizontal="center" vertical="center"/>
    </xf>
    <xf numFmtId="43" fontId="6" fillId="7" borderId="1" xfId="1" applyFont="1" applyFill="1" applyBorder="1" applyAlignment="1" applyProtection="1">
      <alignment vertical="center"/>
    </xf>
    <xf numFmtId="9" fontId="8" fillId="0" borderId="1" xfId="7" applyFont="1" applyFill="1" applyBorder="1" applyAlignment="1" applyProtection="1">
      <alignment horizontal="center" vertical="center"/>
      <protection locked="0"/>
    </xf>
    <xf numFmtId="4" fontId="6" fillId="0" borderId="1" xfId="0" applyNumberFormat="1" applyFont="1" applyBorder="1" applyAlignment="1">
      <alignment horizontal="center" vertical="center"/>
    </xf>
    <xf numFmtId="43" fontId="6" fillId="0" borderId="0" xfId="1" applyFont="1" applyFill="1" applyAlignment="1" applyProtection="1">
      <alignment vertical="center"/>
      <protection locked="0"/>
    </xf>
    <xf numFmtId="0" fontId="0" fillId="0" borderId="0" xfId="0" applyAlignment="1">
      <alignment vertical="center"/>
    </xf>
    <xf numFmtId="0" fontId="0" fillId="0" borderId="0" xfId="0" applyAlignment="1">
      <alignment vertical="center" wrapText="1"/>
    </xf>
    <xf numFmtId="14" fontId="6" fillId="0" borderId="0" xfId="0" applyNumberFormat="1" applyFont="1" applyAlignment="1" applyProtection="1">
      <alignment vertical="center"/>
      <protection locked="0"/>
    </xf>
    <xf numFmtId="167" fontId="6" fillId="0" borderId="0" xfId="0" applyNumberFormat="1" applyFont="1" applyAlignment="1" applyProtection="1">
      <alignment vertical="center"/>
      <protection locked="0"/>
    </xf>
    <xf numFmtId="0" fontId="21" fillId="0" borderId="1" xfId="0" applyFont="1" applyBorder="1" applyAlignment="1" applyProtection="1">
      <alignment horizontal="center" vertical="center" wrapText="1"/>
      <protection locked="0"/>
    </xf>
    <xf numFmtId="0" fontId="21" fillId="0" borderId="1" xfId="0"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0" fontId="21" fillId="0" borderId="1" xfId="0" applyFont="1" applyBorder="1" applyAlignment="1">
      <alignment horizontal="center" vertical="center" wrapText="1"/>
    </xf>
    <xf numFmtId="14" fontId="21" fillId="0" borderId="1" xfId="0" applyNumberFormat="1" applyFont="1" applyBorder="1" applyAlignment="1" applyProtection="1">
      <alignment horizontal="center" vertical="center" wrapText="1"/>
      <protection locked="0"/>
    </xf>
    <xf numFmtId="14" fontId="21" fillId="9" borderId="1" xfId="0" applyNumberFormat="1" applyFont="1" applyFill="1" applyBorder="1" applyAlignment="1" applyProtection="1">
      <alignment horizontal="center" vertical="center"/>
      <protection locked="0"/>
    </xf>
    <xf numFmtId="167" fontId="21" fillId="0" borderId="1" xfId="0" applyNumberFormat="1" applyFont="1" applyBorder="1" applyAlignment="1" applyProtection="1">
      <alignment horizontal="center" vertical="center"/>
      <protection locked="0"/>
    </xf>
    <xf numFmtId="0" fontId="21" fillId="7" borderId="1" xfId="0" applyFont="1" applyFill="1" applyBorder="1" applyAlignment="1">
      <alignment horizontal="justify" vertical="center" wrapText="1"/>
    </xf>
    <xf numFmtId="14" fontId="21" fillId="7" borderId="1" xfId="0" applyNumberFormat="1" applyFont="1" applyFill="1" applyBorder="1" applyAlignment="1">
      <alignment horizontal="left" vertical="center"/>
    </xf>
    <xf numFmtId="2" fontId="21" fillId="7" borderId="1" xfId="0" applyNumberFormat="1" applyFont="1" applyFill="1" applyBorder="1" applyAlignment="1">
      <alignment horizontal="center" vertical="center"/>
    </xf>
    <xf numFmtId="0" fontId="21" fillId="7" borderId="1" xfId="0" applyFont="1" applyFill="1" applyBorder="1" applyAlignment="1">
      <alignment horizontal="center" vertical="center" wrapText="1"/>
    </xf>
    <xf numFmtId="0" fontId="21" fillId="0" borderId="1" xfId="0" applyFont="1" applyBorder="1" applyAlignment="1">
      <alignment horizontal="center" vertical="center"/>
    </xf>
    <xf numFmtId="0" fontId="20" fillId="0" borderId="0" xfId="0" applyFont="1" applyAlignment="1">
      <alignment vertical="center"/>
    </xf>
    <xf numFmtId="0" fontId="21" fillId="0" borderId="0" xfId="0" applyFont="1" applyAlignment="1">
      <alignment horizontal="left" vertical="center" wrapText="1"/>
    </xf>
    <xf numFmtId="170" fontId="21" fillId="0" borderId="0" xfId="0" applyNumberFormat="1" applyFont="1" applyAlignment="1">
      <alignment horizontal="center" vertical="center"/>
    </xf>
    <xf numFmtId="0" fontId="21" fillId="0" borderId="0" xfId="0" applyFont="1" applyAlignment="1">
      <alignment horizontal="center" vertical="center" wrapText="1"/>
    </xf>
    <xf numFmtId="0" fontId="21" fillId="0" borderId="0" xfId="0" applyFont="1" applyAlignment="1" applyProtection="1">
      <alignment vertical="center" wrapText="1"/>
      <protection locked="0"/>
    </xf>
    <xf numFmtId="0" fontId="0" fillId="0" borderId="0" xfId="0" applyAlignment="1" applyProtection="1">
      <alignment vertical="center"/>
      <protection locked="0"/>
    </xf>
    <xf numFmtId="0" fontId="8" fillId="7" borderId="1" xfId="0" applyFont="1" applyFill="1" applyBorder="1" applyAlignment="1">
      <alignment horizontal="center" vertical="center"/>
    </xf>
    <xf numFmtId="3" fontId="6" fillId="6" borderId="1" xfId="0" applyNumberFormat="1" applyFont="1" applyFill="1" applyBorder="1" applyAlignment="1">
      <alignment horizontal="center" vertical="center"/>
    </xf>
    <xf numFmtId="0" fontId="0" fillId="0" borderId="0" xfId="0" applyAlignment="1">
      <alignment horizontal="center" vertical="center" wrapText="1"/>
    </xf>
    <xf numFmtId="0" fontId="21" fillId="7" borderId="1" xfId="0" applyFont="1" applyFill="1" applyBorder="1" applyAlignment="1">
      <alignment vertical="center"/>
    </xf>
    <xf numFmtId="0" fontId="7" fillId="10" borderId="1" xfId="0" applyFont="1" applyFill="1" applyBorder="1" applyAlignment="1">
      <alignment horizontal="center" vertical="center"/>
    </xf>
    <xf numFmtId="2" fontId="6" fillId="0" borderId="0" xfId="0" applyNumberFormat="1" applyFont="1" applyAlignment="1" applyProtection="1">
      <alignment vertical="center"/>
      <protection locked="0"/>
    </xf>
    <xf numFmtId="43" fontId="6" fillId="0" borderId="0" xfId="1" applyFont="1" applyAlignment="1" applyProtection="1">
      <alignment vertical="center"/>
      <protection locked="0"/>
    </xf>
    <xf numFmtId="4" fontId="6" fillId="11" borderId="1" xfId="0" applyNumberFormat="1" applyFont="1" applyFill="1" applyBorder="1" applyAlignment="1">
      <alignment horizontal="center" vertical="center"/>
    </xf>
    <xf numFmtId="0" fontId="8" fillId="0" borderId="1" xfId="0" applyFont="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14" fontId="6" fillId="6"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17" fillId="0" borderId="0" xfId="0" applyFont="1" applyAlignment="1">
      <alignment horizontal="center" vertical="center" wrapText="1"/>
    </xf>
    <xf numFmtId="0" fontId="7" fillId="0" borderId="0" xfId="0" applyFont="1" applyAlignment="1" applyProtection="1">
      <alignment horizontal="center" vertical="center"/>
      <protection locked="0"/>
    </xf>
    <xf numFmtId="9" fontId="6" fillId="6" borderId="1" xfId="7" applyFont="1" applyFill="1" applyBorder="1" applyAlignment="1" applyProtection="1">
      <alignment horizontal="center" vertical="center" wrapText="1"/>
      <protection locked="0"/>
    </xf>
    <xf numFmtId="2" fontId="6" fillId="6" borderId="1" xfId="0" applyNumberFormat="1" applyFont="1" applyFill="1" applyBorder="1" applyAlignment="1" applyProtection="1">
      <alignment horizontal="center" vertical="center"/>
      <protection locked="0"/>
    </xf>
    <xf numFmtId="0" fontId="6" fillId="11"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0" fontId="6" fillId="6" borderId="1" xfId="7" applyNumberFormat="1" applyFont="1" applyFill="1" applyBorder="1" applyAlignment="1" applyProtection="1">
      <alignment horizontal="center" vertical="center" wrapText="1"/>
      <protection locked="0"/>
    </xf>
    <xf numFmtId="43" fontId="6" fillId="7" borderId="1" xfId="1" applyFont="1" applyFill="1" applyBorder="1" applyAlignment="1" applyProtection="1">
      <alignment horizontal="center" vertical="center"/>
    </xf>
    <xf numFmtId="9" fontId="8" fillId="0" borderId="1" xfId="7" applyFont="1" applyBorder="1" applyAlignment="1" applyProtection="1">
      <alignment vertical="center" wrapText="1"/>
      <protection locked="0"/>
    </xf>
    <xf numFmtId="0" fontId="15" fillId="7" borderId="1" xfId="0" applyFont="1" applyFill="1" applyBorder="1" applyAlignment="1">
      <alignment horizontal="center" vertical="center" wrapText="1"/>
    </xf>
    <xf numFmtId="0" fontId="16" fillId="0" borderId="1" xfId="0" applyFont="1" applyBorder="1" applyAlignment="1">
      <alignment horizontal="center" vertical="center"/>
    </xf>
    <xf numFmtId="0" fontId="15" fillId="0" borderId="1" xfId="0" applyFont="1" applyBorder="1" applyAlignment="1">
      <alignment horizontal="left" vertical="center" wrapText="1"/>
    </xf>
    <xf numFmtId="0" fontId="14" fillId="0" borderId="0" xfId="0" applyFont="1" applyAlignment="1">
      <alignment vertical="center" wrapText="1"/>
    </xf>
    <xf numFmtId="0" fontId="6" fillId="9" borderId="0" xfId="0" applyFont="1" applyFill="1" applyAlignment="1" applyProtection="1">
      <alignment vertical="center"/>
      <protection locked="0"/>
    </xf>
    <xf numFmtId="0" fontId="0" fillId="7" borderId="1" xfId="0" applyFill="1" applyBorder="1" applyAlignment="1">
      <alignment horizontal="center" vertical="center" wrapText="1"/>
    </xf>
    <xf numFmtId="0" fontId="25" fillId="11" borderId="1" xfId="0" applyFont="1" applyFill="1" applyBorder="1" applyAlignment="1">
      <alignment horizontal="center" vertical="center"/>
    </xf>
    <xf numFmtId="43" fontId="16" fillId="0" borderId="1" xfId="1" applyFont="1" applyBorder="1" applyAlignment="1">
      <alignment horizontal="center" vertical="center" wrapText="1"/>
    </xf>
    <xf numFmtId="0" fontId="21" fillId="6" borderId="1" xfId="0" applyFont="1" applyFill="1" applyBorder="1" applyAlignment="1">
      <alignment vertical="center"/>
    </xf>
    <xf numFmtId="2" fontId="21" fillId="6" borderId="1" xfId="0" applyNumberFormat="1" applyFont="1" applyFill="1" applyBorder="1" applyAlignment="1">
      <alignment horizontal="center" vertical="center"/>
    </xf>
    <xf numFmtId="0" fontId="21" fillId="6" borderId="1" xfId="0" applyFont="1" applyFill="1" applyBorder="1" applyAlignment="1">
      <alignment horizontal="center" vertical="center" wrapText="1"/>
    </xf>
    <xf numFmtId="0" fontId="21" fillId="6" borderId="1" xfId="0" applyFont="1" applyFill="1" applyBorder="1" applyAlignment="1">
      <alignment horizontal="justify" vertical="center" wrapText="1"/>
    </xf>
    <xf numFmtId="14" fontId="21" fillId="6" borderId="1" xfId="0" applyNumberFormat="1" applyFont="1" applyFill="1" applyBorder="1" applyAlignment="1">
      <alignment horizontal="left" vertical="center"/>
    </xf>
    <xf numFmtId="0" fontId="7" fillId="7" borderId="1" xfId="0" applyFont="1" applyFill="1" applyBorder="1" applyAlignment="1">
      <alignment horizontal="center" vertical="center"/>
    </xf>
    <xf numFmtId="0" fontId="9" fillId="7" borderId="1" xfId="0" applyFont="1" applyFill="1" applyBorder="1" applyAlignment="1">
      <alignment horizontal="center" vertical="center"/>
    </xf>
    <xf numFmtId="0" fontId="6" fillId="0" borderId="1" xfId="0" applyFont="1" applyBorder="1" applyAlignment="1">
      <alignment horizontal="center" vertical="center" wrapText="1"/>
    </xf>
    <xf numFmtId="43" fontId="21" fillId="7" borderId="1" xfId="1" applyFont="1" applyFill="1" applyBorder="1" applyAlignment="1">
      <alignment horizontal="center" vertical="center"/>
    </xf>
    <xf numFmtId="0" fontId="21" fillId="0" borderId="5"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wrapText="1"/>
      <protection locked="0"/>
    </xf>
    <xf numFmtId="14" fontId="28" fillId="0" borderId="1" xfId="0" applyNumberFormat="1" applyFont="1" applyBorder="1" applyAlignment="1" applyProtection="1">
      <alignment horizontal="center" vertical="center" wrapText="1"/>
      <protection locked="0"/>
    </xf>
    <xf numFmtId="14" fontId="28" fillId="0" borderId="1" xfId="0" applyNumberFormat="1" applyFont="1" applyBorder="1" applyAlignment="1" applyProtection="1">
      <alignment horizontal="center" vertical="center"/>
      <protection locked="0"/>
    </xf>
    <xf numFmtId="0" fontId="28" fillId="0" borderId="1" xfId="0" applyFont="1" applyBorder="1" applyAlignment="1">
      <alignment horizontal="center" vertical="center" wrapText="1"/>
    </xf>
    <xf numFmtId="2" fontId="28" fillId="6" borderId="1" xfId="0" applyNumberFormat="1" applyFont="1" applyFill="1" applyBorder="1" applyAlignment="1">
      <alignment horizontal="center" vertical="center"/>
    </xf>
    <xf numFmtId="4" fontId="6" fillId="6" borderId="1" xfId="0" applyNumberFormat="1" applyFont="1" applyFill="1" applyBorder="1" applyAlignment="1">
      <alignment horizontal="center" vertical="center"/>
    </xf>
    <xf numFmtId="14" fontId="28" fillId="9" borderId="1" xfId="0" applyNumberFormat="1" applyFont="1" applyFill="1" applyBorder="1" applyAlignment="1" applyProtection="1">
      <alignment horizontal="center" vertical="center"/>
      <protection locked="0"/>
    </xf>
    <xf numFmtId="165" fontId="28" fillId="0" borderId="1" xfId="0" applyNumberFormat="1" applyFont="1" applyBorder="1" applyAlignment="1" applyProtection="1">
      <alignment horizontal="center" vertical="center"/>
      <protection locked="0"/>
    </xf>
    <xf numFmtId="0" fontId="28" fillId="6" borderId="1" xfId="0" applyFont="1" applyFill="1" applyBorder="1" applyAlignment="1">
      <alignment horizontal="center" vertical="center" wrapText="1"/>
    </xf>
    <xf numFmtId="0" fontId="32" fillId="7" borderId="1" xfId="0" applyFont="1" applyFill="1" applyBorder="1" applyAlignment="1">
      <alignment horizontal="center" vertical="center" wrapText="1"/>
    </xf>
    <xf numFmtId="0" fontId="28" fillId="0" borderId="1" xfId="0" applyFont="1" applyBorder="1" applyAlignment="1" applyProtection="1">
      <alignment vertical="center" wrapText="1"/>
      <protection locked="0"/>
    </xf>
    <xf numFmtId="14" fontId="6" fillId="9" borderId="1" xfId="0" applyNumberFormat="1" applyFont="1" applyFill="1" applyBorder="1" applyAlignment="1" applyProtection="1">
      <alignment horizontal="center" vertical="center"/>
      <protection locked="0"/>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xf>
    <xf numFmtId="0" fontId="16" fillId="0" borderId="0" xfId="0" applyFont="1" applyAlignment="1">
      <alignment vertical="center" wrapText="1"/>
    </xf>
    <xf numFmtId="0" fontId="16" fillId="0" borderId="0" xfId="0" applyFont="1" applyAlignment="1">
      <alignment horizontal="center" vertical="center" wrapText="1"/>
    </xf>
    <xf numFmtId="0" fontId="15" fillId="0" borderId="1" xfId="0" applyFont="1" applyBorder="1" applyAlignment="1">
      <alignment vertical="center" wrapText="1"/>
    </xf>
    <xf numFmtId="43" fontId="10" fillId="0" borderId="1" xfId="1" applyFont="1" applyBorder="1" applyAlignment="1">
      <alignment horizontal="center" vertical="center"/>
    </xf>
    <xf numFmtId="43" fontId="10" fillId="0" borderId="0" xfId="1" applyFont="1" applyAlignment="1">
      <alignment vertical="center"/>
    </xf>
    <xf numFmtId="43" fontId="10" fillId="0" borderId="1" xfId="1" applyFont="1" applyBorder="1" applyAlignment="1">
      <alignment vertical="center"/>
    </xf>
    <xf numFmtId="43" fontId="10" fillId="0" borderId="5" xfId="1" applyFont="1" applyBorder="1" applyAlignment="1">
      <alignment vertical="center"/>
    </xf>
    <xf numFmtId="43" fontId="25" fillId="0" borderId="1" xfId="1" applyFont="1" applyBorder="1" applyAlignment="1">
      <alignment horizontal="center" vertical="center"/>
    </xf>
    <xf numFmtId="0" fontId="14" fillId="0" borderId="0" xfId="0" applyFont="1" applyAlignment="1">
      <alignment vertical="center"/>
    </xf>
    <xf numFmtId="14" fontId="6" fillId="0" borderId="1" xfId="0" applyNumberFormat="1" applyFont="1" applyBorder="1" applyAlignment="1" applyProtection="1">
      <alignment horizontal="center" vertical="center" wrapText="1"/>
      <protection locked="0"/>
    </xf>
    <xf numFmtId="14" fontId="6" fillId="0" borderId="1" xfId="0" applyNumberFormat="1" applyFont="1" applyBorder="1" applyAlignment="1" applyProtection="1">
      <alignment horizontal="justify" vertical="center" wrapText="1"/>
      <protection locked="0"/>
    </xf>
    <xf numFmtId="2" fontId="6" fillId="6" borderId="1" xfId="0" applyNumberFormat="1" applyFont="1" applyFill="1" applyBorder="1" applyAlignment="1">
      <alignment horizontal="center" vertical="center"/>
    </xf>
    <xf numFmtId="0" fontId="6" fillId="0" borderId="0" xfId="0" applyFont="1" applyAlignment="1" applyProtection="1">
      <alignment horizontal="center" vertical="center" wrapText="1"/>
      <protection locked="0"/>
    </xf>
    <xf numFmtId="43" fontId="33" fillId="0" borderId="1" xfId="1" applyFont="1" applyBorder="1" applyAlignment="1">
      <alignment vertical="center"/>
    </xf>
    <xf numFmtId="0" fontId="6" fillId="0" borderId="1" xfId="0" applyFont="1" applyBorder="1" applyAlignment="1" applyProtection="1">
      <alignment vertical="center" wrapText="1"/>
      <protection locked="0"/>
    </xf>
    <xf numFmtId="0" fontId="27" fillId="11" borderId="1" xfId="0" applyFont="1" applyFill="1" applyBorder="1" applyAlignment="1" applyProtection="1">
      <alignment horizontal="center" vertical="center"/>
      <protection locked="0"/>
    </xf>
    <xf numFmtId="0" fontId="26" fillId="0" borderId="1" xfId="0" applyFont="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vertical="center" wrapText="1"/>
    </xf>
    <xf numFmtId="43" fontId="0" fillId="0" borderId="1" xfId="0" applyNumberFormat="1" applyBorder="1" applyAlignment="1">
      <alignment horizontal="center" vertical="center"/>
    </xf>
    <xf numFmtId="9" fontId="0" fillId="0" borderId="1" xfId="7" applyFont="1" applyBorder="1" applyAlignment="1">
      <alignment horizontal="center" vertical="center" wrapText="1"/>
    </xf>
    <xf numFmtId="43" fontId="0" fillId="0" borderId="1" xfId="0" applyNumberFormat="1" applyBorder="1" applyAlignment="1">
      <alignment horizontal="center" vertical="center" wrapText="1"/>
    </xf>
    <xf numFmtId="10" fontId="0" fillId="0" borderId="0" xfId="7" applyNumberFormat="1" applyFont="1" applyAlignment="1">
      <alignment vertical="center"/>
    </xf>
    <xf numFmtId="10" fontId="0" fillId="0" borderId="0" xfId="0" applyNumberFormat="1" applyAlignment="1">
      <alignment vertical="center"/>
    </xf>
    <xf numFmtId="10" fontId="0" fillId="0" borderId="1" xfId="7" applyNumberFormat="1" applyFont="1" applyBorder="1" applyAlignment="1">
      <alignment vertical="center"/>
    </xf>
    <xf numFmtId="0" fontId="0" fillId="7" borderId="1" xfId="0" applyFill="1" applyBorder="1" applyAlignment="1">
      <alignment horizontal="center" vertical="center"/>
    </xf>
    <xf numFmtId="0" fontId="0" fillId="0" borderId="1" xfId="0" applyBorder="1" applyAlignment="1">
      <alignment horizontal="left" vertical="center"/>
    </xf>
    <xf numFmtId="0" fontId="6" fillId="0" borderId="1" xfId="0" applyFont="1" applyBorder="1" applyAlignment="1" applyProtection="1">
      <alignment vertical="center"/>
      <protection locked="0"/>
    </xf>
    <xf numFmtId="0" fontId="0" fillId="0" borderId="1" xfId="0" applyBorder="1" applyAlignment="1">
      <alignment vertical="center"/>
    </xf>
    <xf numFmtId="4" fontId="0" fillId="0" borderId="1" xfId="0" applyNumberFormat="1" applyBorder="1" applyAlignment="1">
      <alignment vertical="center" wrapText="1"/>
    </xf>
    <xf numFmtId="4" fontId="0" fillId="0" borderId="1" xfId="0" applyNumberFormat="1" applyBorder="1" applyAlignment="1">
      <alignment vertical="center"/>
    </xf>
    <xf numFmtId="0" fontId="0" fillId="12" borderId="1" xfId="0" applyFill="1" applyBorder="1" applyAlignment="1">
      <alignment vertical="center" wrapText="1"/>
    </xf>
    <xf numFmtId="9" fontId="0" fillId="12" borderId="1" xfId="7" applyFont="1" applyFill="1" applyBorder="1" applyAlignment="1">
      <alignment horizontal="center" vertical="center" wrapText="1"/>
    </xf>
    <xf numFmtId="43" fontId="0" fillId="12" borderId="1" xfId="0" applyNumberFormat="1" applyFill="1" applyBorder="1" applyAlignment="1">
      <alignment vertical="center" wrapText="1"/>
    </xf>
    <xf numFmtId="10" fontId="0" fillId="12" borderId="1" xfId="7" applyNumberFormat="1" applyFont="1" applyFill="1" applyBorder="1" applyAlignment="1">
      <alignment vertical="center"/>
    </xf>
    <xf numFmtId="0" fontId="38"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21" fillId="6" borderId="0" xfId="0" applyFont="1" applyFill="1" applyAlignment="1">
      <alignment horizontal="center" vertical="center" wrapText="1"/>
    </xf>
    <xf numFmtId="2" fontId="21" fillId="6" borderId="0" xfId="0" applyNumberFormat="1" applyFont="1" applyFill="1" applyAlignment="1">
      <alignment horizontal="center" vertical="center"/>
    </xf>
    <xf numFmtId="14" fontId="21" fillId="6" borderId="0" xfId="0" applyNumberFormat="1" applyFont="1" applyFill="1" applyAlignment="1">
      <alignment horizontal="left" vertical="center"/>
    </xf>
    <xf numFmtId="0" fontId="21" fillId="0" borderId="0" xfId="0" applyFont="1" applyAlignment="1">
      <alignment horizontal="left" vertical="top" wrapText="1"/>
    </xf>
    <xf numFmtId="0" fontId="39" fillId="0" borderId="0" xfId="0" applyFont="1" applyAlignment="1">
      <alignment horizontal="center" vertical="center"/>
    </xf>
    <xf numFmtId="0" fontId="39" fillId="0" borderId="0" xfId="0" applyFont="1" applyAlignment="1" applyProtection="1">
      <alignment horizontal="center" vertical="center" wrapText="1"/>
      <protection locked="0"/>
    </xf>
    <xf numFmtId="0" fontId="39" fillId="0" borderId="0" xfId="0" applyFont="1" applyAlignment="1">
      <alignment horizontal="center" vertical="center" wrapText="1"/>
    </xf>
    <xf numFmtId="0" fontId="40" fillId="6" borderId="1" xfId="0" applyFont="1" applyFill="1" applyBorder="1" applyAlignment="1">
      <alignment horizontal="center" vertical="center"/>
    </xf>
    <xf numFmtId="0" fontId="40" fillId="0" borderId="5" xfId="0" applyFont="1" applyBorder="1" applyAlignment="1" applyProtection="1">
      <alignment horizontal="justify" vertical="center" wrapText="1"/>
      <protection locked="0"/>
    </xf>
    <xf numFmtId="4" fontId="40" fillId="0" borderId="1" xfId="0" applyNumberFormat="1" applyFont="1" applyBorder="1" applyAlignment="1">
      <alignment horizontal="center" vertical="center"/>
    </xf>
    <xf numFmtId="0" fontId="39" fillId="6" borderId="1" xfId="0" applyFont="1" applyFill="1" applyBorder="1" applyAlignment="1">
      <alignment horizontal="center" vertical="center"/>
    </xf>
    <xf numFmtId="0" fontId="40" fillId="0" borderId="0" xfId="0" applyFont="1" applyAlignment="1">
      <alignment horizontal="center" vertical="center"/>
    </xf>
    <xf numFmtId="0" fontId="41" fillId="10" borderId="1" xfId="0" applyFont="1" applyFill="1" applyBorder="1" applyAlignment="1">
      <alignment horizontal="center" vertical="center"/>
    </xf>
    <xf numFmtId="0" fontId="40" fillId="0" borderId="1" xfId="0" applyFont="1" applyBorder="1" applyAlignment="1" applyProtection="1">
      <alignment vertical="center" wrapText="1"/>
      <protection locked="0"/>
    </xf>
    <xf numFmtId="0" fontId="40" fillId="0" borderId="0" xfId="0" applyFont="1" applyAlignment="1" applyProtection="1">
      <alignment vertical="center" wrapText="1"/>
      <protection locked="0"/>
    </xf>
    <xf numFmtId="0" fontId="36" fillId="0" borderId="0" xfId="0" applyFont="1" applyAlignment="1" applyProtection="1">
      <alignment vertical="center"/>
      <protection locked="0"/>
    </xf>
    <xf numFmtId="3" fontId="40" fillId="6" borderId="1" xfId="0" applyNumberFormat="1" applyFont="1" applyFill="1" applyBorder="1" applyAlignment="1">
      <alignment horizontal="center" vertical="center"/>
    </xf>
    <xf numFmtId="0" fontId="39" fillId="7" borderId="1" xfId="0" applyFont="1" applyFill="1" applyBorder="1" applyAlignment="1">
      <alignment horizontal="center" vertical="center"/>
    </xf>
    <xf numFmtId="0" fontId="41" fillId="7" borderId="1" xfId="0" applyFont="1" applyFill="1" applyBorder="1" applyAlignment="1">
      <alignment horizontal="center" vertical="center"/>
    </xf>
    <xf numFmtId="4" fontId="40" fillId="11" borderId="1" xfId="0" applyNumberFormat="1" applyFont="1" applyFill="1" applyBorder="1" applyAlignment="1">
      <alignment horizontal="center" vertical="center"/>
    </xf>
    <xf numFmtId="0" fontId="40" fillId="0" borderId="0" xfId="0" applyFont="1" applyAlignment="1" applyProtection="1">
      <alignment horizontal="center" vertical="center"/>
      <protection locked="0"/>
    </xf>
    <xf numFmtId="0" fontId="41" fillId="0" borderId="0" xfId="0" applyFont="1" applyAlignment="1" applyProtection="1">
      <alignment horizontal="center" vertical="center"/>
      <protection locked="0"/>
    </xf>
    <xf numFmtId="0" fontId="40" fillId="0" borderId="1" xfId="0" applyFont="1" applyBorder="1" applyAlignment="1" applyProtection="1">
      <alignment horizontal="center" vertical="center"/>
      <protection locked="0"/>
    </xf>
    <xf numFmtId="0" fontId="44" fillId="7" borderId="1" xfId="0" applyFont="1" applyFill="1" applyBorder="1" applyAlignment="1">
      <alignment horizontal="center" vertical="center"/>
    </xf>
    <xf numFmtId="0" fontId="32" fillId="0" borderId="0" xfId="0" applyFont="1" applyAlignment="1">
      <alignment horizontal="center" vertical="center"/>
    </xf>
    <xf numFmtId="0" fontId="45" fillId="7" borderId="1" xfId="0" applyFont="1" applyFill="1" applyBorder="1" applyAlignment="1">
      <alignment horizontal="center" vertical="center"/>
    </xf>
    <xf numFmtId="0" fontId="43" fillId="6" borderId="1" xfId="0" applyFont="1" applyFill="1" applyBorder="1" applyAlignment="1">
      <alignment horizontal="center" vertical="center"/>
    </xf>
    <xf numFmtId="0" fontId="37" fillId="7" borderId="1" xfId="0" applyFont="1" applyFill="1" applyBorder="1" applyAlignment="1">
      <alignment horizontal="center" vertical="center"/>
    </xf>
    <xf numFmtId="0" fontId="15" fillId="13" borderId="1" xfId="0" applyFont="1" applyFill="1" applyBorder="1" applyAlignment="1">
      <alignment horizontal="center" vertical="center" wrapText="1"/>
    </xf>
    <xf numFmtId="0" fontId="18" fillId="0" borderId="0" xfId="6" applyFont="1" applyAlignment="1">
      <alignment horizontal="left" vertical="top" wrapText="1"/>
    </xf>
    <xf numFmtId="0" fontId="19" fillId="0" borderId="11" xfId="6" applyFont="1" applyBorder="1" applyAlignment="1">
      <alignment horizontal="left" vertical="top" wrapText="1"/>
    </xf>
    <xf numFmtId="0" fontId="15" fillId="7" borderId="1" xfId="0" applyFont="1" applyFill="1" applyBorder="1" applyAlignment="1">
      <alignment horizontal="center" vertical="center"/>
    </xf>
    <xf numFmtId="0" fontId="17" fillId="0" borderId="0" xfId="0" applyFont="1" applyAlignment="1">
      <alignment horizontal="center" vertical="center" wrapText="1"/>
    </xf>
    <xf numFmtId="0" fontId="25" fillId="7" borderId="1" xfId="0" applyFont="1" applyFill="1" applyBorder="1" applyAlignment="1">
      <alignment horizontal="center" vertical="center" wrapText="1"/>
    </xf>
    <xf numFmtId="0" fontId="25" fillId="13" borderId="1" xfId="0" applyFont="1" applyFill="1" applyBorder="1" applyAlignment="1">
      <alignment horizontal="center" vertical="center" wrapText="1"/>
    </xf>
    <xf numFmtId="0" fontId="6" fillId="0" borderId="1" xfId="0" applyFont="1" applyBorder="1" applyAlignment="1" applyProtection="1">
      <alignment horizontal="left" vertical="center" wrapText="1"/>
      <protection locked="0"/>
    </xf>
    <xf numFmtId="0" fontId="6" fillId="6" borderId="1" xfId="0" applyFont="1" applyFill="1" applyBorder="1" applyAlignment="1" applyProtection="1">
      <alignment horizontal="left" vertical="center" wrapText="1"/>
      <protection locked="0"/>
    </xf>
    <xf numFmtId="0" fontId="6" fillId="6" borderId="1" xfId="0" applyFont="1" applyFill="1" applyBorder="1" applyAlignment="1" applyProtection="1">
      <alignment horizontal="left" vertical="center"/>
      <protection locked="0"/>
    </xf>
    <xf numFmtId="0" fontId="8" fillId="11" borderId="1" xfId="0" applyFont="1" applyFill="1" applyBorder="1" applyAlignment="1" applyProtection="1">
      <alignment horizontal="center" vertical="center"/>
      <protection locked="0"/>
    </xf>
    <xf numFmtId="0" fontId="40" fillId="0" borderId="5" xfId="0" applyFont="1" applyBorder="1" applyAlignment="1" applyProtection="1">
      <alignment horizontal="justify" vertical="center" wrapText="1"/>
      <protection locked="0"/>
    </xf>
    <xf numFmtId="0" fontId="40" fillId="0" borderId="7" xfId="0" applyFont="1" applyBorder="1" applyAlignment="1" applyProtection="1">
      <alignment horizontal="justify" vertical="center" wrapText="1"/>
      <protection locked="0"/>
    </xf>
    <xf numFmtId="0" fontId="40" fillId="0" borderId="6" xfId="0" applyFont="1" applyBorder="1" applyAlignment="1" applyProtection="1">
      <alignment horizontal="justify" vertical="center" wrapText="1"/>
      <protection locked="0"/>
    </xf>
    <xf numFmtId="0" fontId="7" fillId="6" borderId="2" xfId="0" applyFont="1" applyFill="1" applyBorder="1" applyAlignment="1" applyProtection="1">
      <alignment horizontal="left" vertical="center"/>
      <protection locked="0"/>
    </xf>
    <xf numFmtId="0" fontId="7" fillId="6" borderId="3" xfId="0" applyFont="1" applyFill="1" applyBorder="1" applyAlignment="1" applyProtection="1">
      <alignment horizontal="left" vertical="center"/>
      <protection locked="0"/>
    </xf>
    <xf numFmtId="0" fontId="7" fillId="6" borderId="4" xfId="0" applyFont="1" applyFill="1" applyBorder="1" applyAlignment="1" applyProtection="1">
      <alignment horizontal="left" vertical="center"/>
      <protection locked="0"/>
    </xf>
    <xf numFmtId="0" fontId="6" fillId="6" borderId="1" xfId="0" applyFont="1" applyFill="1" applyBorder="1" applyAlignment="1" applyProtection="1">
      <alignment vertical="top" wrapText="1"/>
      <protection locked="0"/>
    </xf>
    <xf numFmtId="0" fontId="8" fillId="11" borderId="5" xfId="0" applyFont="1" applyFill="1" applyBorder="1" applyAlignment="1" applyProtection="1">
      <alignment horizontal="center" vertical="center"/>
      <protection locked="0"/>
    </xf>
    <xf numFmtId="0" fontId="8" fillId="11" borderId="7" xfId="0" applyFont="1" applyFill="1" applyBorder="1" applyAlignment="1" applyProtection="1">
      <alignment horizontal="center" vertical="center"/>
      <protection locked="0"/>
    </xf>
    <xf numFmtId="0" fontId="8" fillId="11" borderId="6" xfId="0" applyFont="1" applyFill="1" applyBorder="1" applyAlignment="1" applyProtection="1">
      <alignment horizontal="center" vertical="center"/>
      <protection locked="0"/>
    </xf>
    <xf numFmtId="0" fontId="40" fillId="0" borderId="1" xfId="0" applyFont="1" applyBorder="1" applyAlignment="1" applyProtection="1">
      <alignment horizontal="left" vertical="top"/>
      <protection locked="0"/>
    </xf>
    <xf numFmtId="0" fontId="7" fillId="10" borderId="1" xfId="0" applyFont="1" applyFill="1" applyBorder="1" applyAlignment="1" applyProtection="1">
      <alignment horizontal="center" vertical="center"/>
      <protection locked="0"/>
    </xf>
    <xf numFmtId="0" fontId="40" fillId="0" borderId="1" xfId="0" applyFont="1" applyBorder="1" applyAlignment="1" applyProtection="1">
      <alignment horizontal="left" vertical="top" wrapText="1"/>
      <protection locked="0"/>
    </xf>
    <xf numFmtId="0" fontId="40" fillId="0" borderId="5" xfId="0" applyFont="1" applyBorder="1" applyAlignment="1" applyProtection="1">
      <alignment horizontal="left" vertical="top"/>
      <protection locked="0"/>
    </xf>
    <xf numFmtId="0" fontId="40" fillId="0" borderId="7" xfId="0" applyFont="1" applyBorder="1" applyAlignment="1" applyProtection="1">
      <alignment horizontal="left" vertical="top"/>
      <protection locked="0"/>
    </xf>
    <xf numFmtId="0" fontId="40" fillId="0" borderId="6" xfId="0" applyFont="1" applyBorder="1" applyAlignment="1" applyProtection="1">
      <alignment horizontal="left" vertical="top"/>
      <protection locked="0"/>
    </xf>
    <xf numFmtId="0" fontId="40" fillId="0" borderId="5" xfId="0" applyFont="1" applyBorder="1" applyAlignment="1" applyProtection="1">
      <alignment horizontal="left" vertical="center" wrapText="1"/>
      <protection locked="0"/>
    </xf>
    <xf numFmtId="0" fontId="40" fillId="0" borderId="7" xfId="0" applyFont="1" applyBorder="1" applyAlignment="1" applyProtection="1">
      <alignment horizontal="left" vertical="center"/>
      <protection locked="0"/>
    </xf>
    <xf numFmtId="0" fontId="40" fillId="0" borderId="6" xfId="0" applyFont="1" applyBorder="1" applyAlignment="1" applyProtection="1">
      <alignment horizontal="left" vertical="center"/>
      <protection locked="0"/>
    </xf>
    <xf numFmtId="0" fontId="22" fillId="0" borderId="12" xfId="0" applyFont="1" applyBorder="1" applyAlignment="1">
      <alignment horizontal="justify" vertical="top" wrapText="1"/>
    </xf>
    <xf numFmtId="0" fontId="21" fillId="0" borderId="13" xfId="0" applyFont="1" applyBorder="1" applyAlignment="1">
      <alignment horizontal="justify" vertical="top" wrapText="1"/>
    </xf>
    <xf numFmtId="0" fontId="21" fillId="0" borderId="14" xfId="0" applyFont="1" applyBorder="1" applyAlignment="1">
      <alignment horizontal="justify" vertical="top" wrapText="1"/>
    </xf>
    <xf numFmtId="0" fontId="21" fillId="0" borderId="15" xfId="0" applyFont="1" applyBorder="1" applyAlignment="1">
      <alignment horizontal="justify" vertical="top" wrapText="1"/>
    </xf>
    <xf numFmtId="0" fontId="21" fillId="0" borderId="16" xfId="0" applyFont="1" applyBorder="1" applyAlignment="1">
      <alignment horizontal="justify" vertical="top" wrapText="1"/>
    </xf>
    <xf numFmtId="0" fontId="21" fillId="0" borderId="17" xfId="0" applyFont="1" applyBorder="1" applyAlignment="1">
      <alignment horizontal="justify" vertical="top" wrapText="1"/>
    </xf>
    <xf numFmtId="0" fontId="6" fillId="11" borderId="1" xfId="0" applyFont="1" applyFill="1" applyBorder="1" applyAlignment="1">
      <alignment horizontal="left" vertical="center" wrapText="1"/>
    </xf>
    <xf numFmtId="0" fontId="6" fillId="6" borderId="1" xfId="0" applyFont="1" applyFill="1" applyBorder="1" applyAlignment="1">
      <alignment horizontal="left" vertical="center" wrapText="1"/>
    </xf>
    <xf numFmtId="0" fontId="6" fillId="6" borderId="2" xfId="0" applyFont="1" applyFill="1" applyBorder="1" applyAlignment="1">
      <alignment horizontal="left" vertical="center" wrapText="1"/>
    </xf>
    <xf numFmtId="0" fontId="6" fillId="6" borderId="4" xfId="0" applyFont="1" applyFill="1" applyBorder="1" applyAlignment="1">
      <alignment horizontal="left" vertical="center" wrapText="1"/>
    </xf>
    <xf numFmtId="0" fontId="6" fillId="0" borderId="1" xfId="0" applyFont="1" applyBorder="1" applyAlignment="1" applyProtection="1">
      <alignment horizontal="left" vertical="top"/>
      <protection locked="0"/>
    </xf>
    <xf numFmtId="0" fontId="8" fillId="6" borderId="1" xfId="0" applyFont="1" applyFill="1" applyBorder="1" applyAlignment="1" applyProtection="1">
      <alignment horizontal="center" vertical="center"/>
      <protection locked="0"/>
    </xf>
    <xf numFmtId="0" fontId="8" fillId="6" borderId="2" xfId="0" applyFont="1" applyFill="1" applyBorder="1" applyAlignment="1">
      <alignment horizontal="center" vertical="center"/>
    </xf>
    <xf numFmtId="0" fontId="8" fillId="6" borderId="4" xfId="0" applyFont="1" applyFill="1" applyBorder="1" applyAlignment="1">
      <alignment horizontal="center" vertical="center"/>
    </xf>
    <xf numFmtId="0" fontId="6" fillId="0" borderId="1" xfId="0" applyFont="1" applyBorder="1" applyAlignment="1" applyProtection="1">
      <alignment horizontal="center" vertical="center"/>
      <protection locked="0"/>
    </xf>
    <xf numFmtId="0" fontId="6"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2" xfId="0" applyFont="1" applyFill="1" applyBorder="1" applyAlignment="1">
      <alignment horizontal="left" vertical="center"/>
    </xf>
    <xf numFmtId="0" fontId="6" fillId="6" borderId="3" xfId="0" applyFont="1" applyFill="1" applyBorder="1" applyAlignment="1">
      <alignment horizontal="left" vertical="center"/>
    </xf>
    <xf numFmtId="0" fontId="6" fillId="6" borderId="4" xfId="0" applyFont="1" applyFill="1" applyBorder="1" applyAlignment="1">
      <alignment horizontal="left" vertical="center"/>
    </xf>
    <xf numFmtId="0" fontId="8"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9" fillId="7" borderId="2" xfId="0" applyFont="1" applyFill="1" applyBorder="1" applyAlignment="1">
      <alignment horizontal="left" vertical="center" wrapText="1"/>
    </xf>
    <xf numFmtId="0" fontId="9" fillId="7" borderId="3" xfId="0" applyFont="1" applyFill="1" applyBorder="1" applyAlignment="1">
      <alignment horizontal="left" vertical="center" wrapText="1"/>
    </xf>
    <xf numFmtId="0" fontId="9" fillId="7" borderId="4" xfId="0" applyFont="1" applyFill="1" applyBorder="1" applyAlignment="1">
      <alignment horizontal="left" vertical="center" wrapText="1"/>
    </xf>
    <xf numFmtId="0" fontId="9" fillId="11" borderId="1" xfId="0" applyFont="1" applyFill="1" applyBorder="1" applyAlignment="1" applyProtection="1">
      <alignment horizontal="center" vertical="center"/>
      <protection locked="0"/>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8" fillId="7" borderId="4" xfId="0" applyFont="1" applyFill="1" applyBorder="1" applyAlignment="1">
      <alignment horizontal="left" vertical="center" wrapText="1"/>
    </xf>
    <xf numFmtId="0" fontId="7" fillId="7" borderId="2" xfId="0" applyFont="1" applyFill="1" applyBorder="1" applyAlignment="1">
      <alignment horizontal="left" vertical="center" wrapText="1"/>
    </xf>
    <xf numFmtId="0" fontId="7" fillId="7" borderId="3" xfId="0" applyFont="1" applyFill="1" applyBorder="1" applyAlignment="1">
      <alignment horizontal="left" vertical="center" wrapText="1"/>
    </xf>
    <xf numFmtId="0" fontId="7" fillId="7" borderId="4" xfId="0" applyFont="1" applyFill="1" applyBorder="1" applyAlignment="1">
      <alignment horizontal="left" vertical="center" wrapText="1"/>
    </xf>
    <xf numFmtId="0" fontId="7" fillId="7" borderId="1" xfId="0" applyFont="1" applyFill="1" applyBorder="1" applyAlignment="1" applyProtection="1">
      <alignment horizontal="center" vertical="center"/>
      <protection locked="0"/>
    </xf>
    <xf numFmtId="0" fontId="21" fillId="6" borderId="2" xfId="0" applyFont="1" applyFill="1" applyBorder="1" applyAlignment="1">
      <alignment horizontal="left" vertical="center" wrapText="1"/>
    </xf>
    <xf numFmtId="0" fontId="21" fillId="6" borderId="3" xfId="0" applyFont="1" applyFill="1" applyBorder="1" applyAlignment="1">
      <alignment horizontal="left" vertical="center" wrapText="1"/>
    </xf>
    <xf numFmtId="0" fontId="21" fillId="6" borderId="4" xfId="0" applyFont="1" applyFill="1" applyBorder="1" applyAlignment="1">
      <alignment horizontal="left" vertical="center" wrapText="1"/>
    </xf>
    <xf numFmtId="0" fontId="21" fillId="6" borderId="1" xfId="0" applyFont="1" applyFill="1" applyBorder="1" applyAlignment="1">
      <alignment horizontal="left" vertical="center" wrapText="1"/>
    </xf>
    <xf numFmtId="0" fontId="21" fillId="6" borderId="5" xfId="0" applyFont="1" applyFill="1" applyBorder="1" applyAlignment="1">
      <alignment horizontal="left" vertical="center" wrapText="1"/>
    </xf>
    <xf numFmtId="0" fontId="21" fillId="6" borderId="6" xfId="0" applyFont="1" applyFill="1" applyBorder="1" applyAlignment="1">
      <alignment horizontal="left" vertical="center" wrapText="1"/>
    </xf>
    <xf numFmtId="0" fontId="8" fillId="6" borderId="2" xfId="0" applyFont="1" applyFill="1" applyBorder="1" applyAlignment="1">
      <alignment horizontal="left" vertical="center" wrapText="1"/>
    </xf>
    <xf numFmtId="0" fontId="8" fillId="6" borderId="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20" fillId="7" borderId="1" xfId="0" applyFont="1" applyFill="1" applyBorder="1" applyAlignment="1" applyProtection="1">
      <alignment horizontal="center" vertical="center"/>
      <protection locked="0"/>
    </xf>
    <xf numFmtId="0" fontId="20" fillId="6" borderId="2" xfId="0" applyFont="1" applyFill="1" applyBorder="1" applyAlignment="1" applyProtection="1">
      <alignment horizontal="left" vertical="center"/>
      <protection locked="0"/>
    </xf>
    <xf numFmtId="0" fontId="20" fillId="6" borderId="3" xfId="0" applyFont="1" applyFill="1" applyBorder="1" applyAlignment="1" applyProtection="1">
      <alignment horizontal="left" vertical="center"/>
      <protection locked="0"/>
    </xf>
    <xf numFmtId="0" fontId="20" fillId="6" borderId="4" xfId="0" applyFont="1" applyFill="1" applyBorder="1" applyAlignment="1" applyProtection="1">
      <alignment horizontal="left" vertical="center"/>
      <protection locked="0"/>
    </xf>
    <xf numFmtId="0" fontId="20" fillId="0" borderId="2" xfId="0" applyFont="1" applyBorder="1" applyAlignment="1" applyProtection="1">
      <alignment horizontal="center" vertical="center"/>
      <protection locked="0"/>
    </xf>
    <xf numFmtId="0" fontId="20" fillId="0" borderId="3" xfId="0" applyFont="1" applyBorder="1" applyAlignment="1" applyProtection="1">
      <alignment horizontal="center" vertical="center"/>
      <protection locked="0"/>
    </xf>
    <xf numFmtId="0" fontId="20" fillId="0" borderId="4" xfId="0" applyFont="1" applyBorder="1" applyAlignment="1" applyProtection="1">
      <alignment horizontal="center" vertical="center"/>
      <protection locked="0"/>
    </xf>
    <xf numFmtId="0" fontId="22" fillId="0" borderId="12" xfId="0" applyFont="1" applyBorder="1" applyAlignment="1">
      <alignment horizontal="left" vertical="top" wrapText="1"/>
    </xf>
    <xf numFmtId="0" fontId="21" fillId="0" borderId="13" xfId="0" applyFont="1" applyBorder="1" applyAlignment="1">
      <alignment horizontal="left" vertical="top"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1" fillId="0" borderId="16" xfId="0" applyFont="1" applyBorder="1" applyAlignment="1">
      <alignment horizontal="left" vertical="top" wrapText="1"/>
    </xf>
    <xf numFmtId="0" fontId="21" fillId="0" borderId="17" xfId="0" applyFont="1" applyBorder="1" applyAlignment="1">
      <alignment horizontal="left" vertical="top" wrapText="1"/>
    </xf>
    <xf numFmtId="0" fontId="21" fillId="7" borderId="2" xfId="0" applyFont="1" applyFill="1" applyBorder="1" applyAlignment="1">
      <alignment horizontal="left" vertical="center" wrapText="1"/>
    </xf>
    <xf numFmtId="0" fontId="21" fillId="7" borderId="3" xfId="0" applyFont="1" applyFill="1" applyBorder="1" applyAlignment="1">
      <alignment horizontal="left" vertical="center" wrapText="1"/>
    </xf>
    <xf numFmtId="0" fontId="21" fillId="7" borderId="4" xfId="0" applyFont="1" applyFill="1" applyBorder="1" applyAlignment="1">
      <alignment horizontal="left" vertical="center" wrapText="1"/>
    </xf>
    <xf numFmtId="0" fontId="21" fillId="7" borderId="5" xfId="0" applyFont="1" applyFill="1" applyBorder="1" applyAlignment="1">
      <alignment horizontal="left" vertical="center" wrapText="1"/>
    </xf>
    <xf numFmtId="0" fontId="21" fillId="7" borderId="6" xfId="0" applyFont="1" applyFill="1" applyBorder="1" applyAlignment="1">
      <alignment horizontal="left" vertical="center" wrapText="1"/>
    </xf>
    <xf numFmtId="0" fontId="21" fillId="7" borderId="1" xfId="0" applyFont="1" applyFill="1" applyBorder="1" applyAlignment="1">
      <alignment horizontal="left" vertical="center" wrapText="1"/>
    </xf>
    <xf numFmtId="0" fontId="20" fillId="7" borderId="2" xfId="0" applyFont="1" applyFill="1" applyBorder="1" applyAlignment="1" applyProtection="1">
      <alignment horizontal="left" vertical="center"/>
      <protection locked="0"/>
    </xf>
    <xf numFmtId="0" fontId="20" fillId="7" borderId="3" xfId="0" applyFont="1" applyFill="1" applyBorder="1" applyAlignment="1" applyProtection="1">
      <alignment horizontal="left" vertical="center"/>
      <protection locked="0"/>
    </xf>
    <xf numFmtId="0" fontId="20" fillId="7" borderId="4" xfId="0" applyFont="1" applyFill="1" applyBorder="1" applyAlignment="1" applyProtection="1">
      <alignment horizontal="left" vertical="center"/>
      <protection locked="0"/>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7" fillId="10" borderId="4" xfId="0" applyFont="1" applyFill="1" applyBorder="1" applyAlignment="1">
      <alignment horizontal="left" vertical="center" wrapText="1"/>
    </xf>
    <xf numFmtId="0" fontId="6" fillId="6" borderId="7"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40" fillId="0" borderId="5" xfId="0" applyFont="1" applyBorder="1" applyAlignment="1" applyProtection="1">
      <alignment horizontal="center" vertical="center" wrapText="1"/>
      <protection locked="0"/>
    </xf>
    <xf numFmtId="0" fontId="40" fillId="0" borderId="7" xfId="0" applyFont="1" applyBorder="1" applyAlignment="1" applyProtection="1">
      <alignment horizontal="center" vertical="center" wrapText="1"/>
      <protection locked="0"/>
    </xf>
    <xf numFmtId="0" fontId="40" fillId="0" borderId="6" xfId="0" applyFont="1" applyBorder="1" applyAlignment="1" applyProtection="1">
      <alignment horizontal="center" vertical="center" wrapText="1"/>
      <protection locked="0"/>
    </xf>
    <xf numFmtId="0" fontId="8" fillId="8" borderId="1" xfId="0" applyFont="1" applyFill="1" applyBorder="1" applyAlignment="1" applyProtection="1">
      <alignment horizontal="left" vertical="center"/>
      <protection locked="0"/>
    </xf>
    <xf numFmtId="0" fontId="8" fillId="0" borderId="1" xfId="0" applyFont="1" applyBorder="1" applyAlignment="1" applyProtection="1">
      <alignment horizontal="left" vertical="center" wrapText="1"/>
      <protection locked="0"/>
    </xf>
    <xf numFmtId="0" fontId="39" fillId="6" borderId="2" xfId="0" applyFont="1" applyFill="1" applyBorder="1" applyAlignment="1">
      <alignment horizontal="center" vertical="center"/>
    </xf>
    <xf numFmtId="0" fontId="39" fillId="6" borderId="4" xfId="0" applyFont="1" applyFill="1" applyBorder="1" applyAlignment="1">
      <alignment horizontal="center" vertical="center"/>
    </xf>
    <xf numFmtId="0" fontId="7" fillId="0" borderId="0" xfId="0" applyFont="1" applyAlignment="1">
      <alignment horizontal="center" vertical="center" wrapText="1"/>
    </xf>
    <xf numFmtId="14" fontId="6" fillId="7" borderId="1" xfId="2" applyNumberFormat="1" applyFont="1" applyFill="1" applyBorder="1" applyAlignment="1" applyProtection="1">
      <alignment horizontal="right" vertical="center"/>
      <protection locked="0"/>
    </xf>
    <xf numFmtId="169" fontId="6" fillId="7" borderId="1" xfId="2" applyNumberFormat="1" applyFont="1" applyFill="1" applyBorder="1" applyAlignment="1" applyProtection="1">
      <alignment horizontal="center" vertical="center"/>
      <protection locked="0"/>
    </xf>
    <xf numFmtId="164" fontId="6" fillId="7" borderId="1" xfId="3" applyFont="1" applyFill="1" applyBorder="1" applyAlignment="1" applyProtection="1">
      <alignment horizontal="center" vertical="center"/>
      <protection locked="0"/>
    </xf>
    <xf numFmtId="0" fontId="9" fillId="7" borderId="2" xfId="0" applyFont="1" applyFill="1" applyBorder="1" applyAlignment="1" applyProtection="1">
      <alignment horizontal="center" vertical="center" wrapText="1"/>
      <protection locked="0"/>
    </xf>
    <xf numFmtId="0" fontId="9" fillId="7" borderId="3" xfId="0" applyFont="1" applyFill="1" applyBorder="1" applyAlignment="1" applyProtection="1">
      <alignment horizontal="center" vertical="center" wrapText="1"/>
      <protection locked="0"/>
    </xf>
    <xf numFmtId="0" fontId="9" fillId="7" borderId="4" xfId="0" applyFont="1" applyFill="1" applyBorder="1" applyAlignment="1" applyProtection="1">
      <alignment horizontal="center" vertical="center" wrapText="1"/>
      <protection locked="0"/>
    </xf>
    <xf numFmtId="0" fontId="6" fillId="0" borderId="5" xfId="0" applyFont="1" applyBorder="1" applyAlignment="1" applyProtection="1">
      <alignment horizontal="justify" vertical="center" wrapText="1"/>
      <protection locked="0"/>
    </xf>
    <xf numFmtId="0" fontId="6" fillId="0" borderId="7" xfId="0" applyFont="1" applyBorder="1" applyAlignment="1" applyProtection="1">
      <alignment horizontal="justify" vertical="center" wrapText="1"/>
      <protection locked="0"/>
    </xf>
    <xf numFmtId="0" fontId="6" fillId="0" borderId="6" xfId="0" applyFont="1" applyBorder="1" applyAlignment="1" applyProtection="1">
      <alignment horizontal="justify" vertical="center" wrapText="1"/>
      <protection locked="0"/>
    </xf>
    <xf numFmtId="0" fontId="6" fillId="0" borderId="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21" fillId="0" borderId="5" xfId="0" applyFont="1" applyBorder="1" applyAlignment="1" applyProtection="1">
      <alignment horizontal="justify" vertical="center" wrapText="1"/>
      <protection locked="0"/>
    </xf>
    <xf numFmtId="0" fontId="21" fillId="0" borderId="7" xfId="0" applyFont="1" applyBorder="1" applyAlignment="1" applyProtection="1">
      <alignment horizontal="justify" vertical="center" wrapText="1"/>
      <protection locked="0"/>
    </xf>
    <xf numFmtId="0" fontId="21" fillId="0" borderId="6" xfId="0" applyFont="1" applyBorder="1" applyAlignment="1" applyProtection="1">
      <alignment horizontal="justify" vertical="center" wrapText="1"/>
      <protection locked="0"/>
    </xf>
    <xf numFmtId="0" fontId="6" fillId="0" borderId="5" xfId="0" applyFont="1" applyBorder="1" applyAlignment="1" applyProtection="1">
      <alignment horizontal="left" vertical="top"/>
      <protection locked="0"/>
    </xf>
    <xf numFmtId="0" fontId="6" fillId="0" borderId="6" xfId="0" applyFont="1" applyBorder="1" applyAlignment="1" applyProtection="1">
      <alignment horizontal="left" vertical="top"/>
      <protection locked="0"/>
    </xf>
    <xf numFmtId="0" fontId="6" fillId="0" borderId="5" xfId="0" applyFont="1" applyBorder="1" applyAlignment="1" applyProtection="1">
      <alignment horizontal="left" vertical="center" wrapText="1"/>
      <protection locked="0"/>
    </xf>
    <xf numFmtId="0" fontId="6" fillId="0" borderId="7"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7" xfId="0" applyFont="1" applyBorder="1" applyAlignment="1" applyProtection="1">
      <alignment horizontal="left" vertical="top"/>
      <protection locked="0"/>
    </xf>
    <xf numFmtId="0" fontId="6" fillId="0" borderId="1"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29" fillId="0" borderId="12" xfId="0" applyFont="1" applyBorder="1" applyAlignment="1">
      <alignment horizontal="justify" vertical="top" wrapText="1"/>
    </xf>
    <xf numFmtId="0" fontId="6" fillId="0" borderId="13" xfId="0" applyFont="1" applyBorder="1" applyAlignment="1">
      <alignment horizontal="justify" vertical="top" wrapText="1"/>
    </xf>
    <xf numFmtId="0" fontId="6" fillId="0" borderId="14" xfId="0" applyFont="1" applyBorder="1" applyAlignment="1">
      <alignment horizontal="justify" vertical="top" wrapText="1"/>
    </xf>
    <xf numFmtId="0" fontId="6" fillId="0" borderId="15" xfId="0" applyFont="1" applyBorder="1" applyAlignment="1">
      <alignment horizontal="justify" vertical="top" wrapText="1"/>
    </xf>
    <xf numFmtId="0" fontId="6" fillId="0" borderId="16" xfId="0" applyFont="1" applyBorder="1" applyAlignment="1">
      <alignment horizontal="justify" vertical="top" wrapText="1"/>
    </xf>
    <xf numFmtId="0" fontId="6" fillId="0" borderId="17" xfId="0" applyFont="1" applyBorder="1" applyAlignment="1">
      <alignment horizontal="justify" vertical="top" wrapText="1"/>
    </xf>
    <xf numFmtId="0" fontId="6" fillId="0" borderId="1" xfId="0" applyFont="1" applyBorder="1" applyAlignment="1" applyProtection="1">
      <alignment horizontal="justify" vertical="center" wrapText="1"/>
      <protection locked="0"/>
    </xf>
    <xf numFmtId="0" fontId="21" fillId="0" borderId="5"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8" fillId="0" borderId="5" xfId="0" applyFont="1" applyBorder="1" applyAlignment="1" applyProtection="1">
      <alignment horizontal="justify" vertical="center" wrapText="1"/>
      <protection locked="0"/>
    </xf>
    <xf numFmtId="0" fontId="28" fillId="6" borderId="1" xfId="0" applyFont="1" applyFill="1" applyBorder="1" applyAlignment="1">
      <alignment horizontal="left" vertical="center" wrapText="1"/>
    </xf>
    <xf numFmtId="10" fontId="0" fillId="7" borderId="1" xfId="7" applyNumberFormat="1" applyFont="1" applyFill="1" applyBorder="1" applyAlignment="1">
      <alignment horizontal="center" vertical="center"/>
    </xf>
    <xf numFmtId="0" fontId="0" fillId="12" borderId="1" xfId="0" applyFill="1" applyBorder="1" applyAlignment="1">
      <alignment horizontal="center" vertical="center"/>
    </xf>
    <xf numFmtId="43" fontId="0" fillId="12" borderId="1" xfId="0" applyNumberFormat="1" applyFill="1" applyBorder="1" applyAlignment="1">
      <alignment horizontal="center" vertical="center"/>
    </xf>
    <xf numFmtId="0" fontId="0" fillId="7" borderId="1" xfId="0" applyFill="1" applyBorder="1" applyAlignment="1">
      <alignment horizontal="center" vertical="center" wrapText="1"/>
    </xf>
    <xf numFmtId="0" fontId="0" fillId="7" borderId="1" xfId="0" applyFill="1" applyBorder="1" applyAlignment="1">
      <alignment horizontal="center" vertical="center"/>
    </xf>
    <xf numFmtId="0" fontId="0" fillId="12" borderId="5" xfId="0" applyFill="1" applyBorder="1" applyAlignment="1">
      <alignment horizontal="center" vertical="center"/>
    </xf>
    <xf numFmtId="0" fontId="0" fillId="12" borderId="6" xfId="0" applyFill="1" applyBorder="1" applyAlignment="1">
      <alignment horizontal="center" vertical="center"/>
    </xf>
    <xf numFmtId="0" fontId="0" fillId="12" borderId="5" xfId="0" applyFill="1" applyBorder="1" applyAlignment="1">
      <alignment horizontal="left" vertical="center"/>
    </xf>
    <xf numFmtId="0" fontId="0" fillId="12" borderId="6" xfId="0" applyFill="1" applyBorder="1" applyAlignment="1">
      <alignment horizontal="left" vertical="center"/>
    </xf>
    <xf numFmtId="43" fontId="0" fillId="12" borderId="5" xfId="0" applyNumberFormat="1" applyFill="1" applyBorder="1" applyAlignment="1">
      <alignment horizontal="center" vertical="center"/>
    </xf>
  </cellXfs>
  <cellStyles count="8">
    <cellStyle name="Millares" xfId="1" builtinId="3"/>
    <cellStyle name="Millares [0]" xfId="2" builtinId="6"/>
    <cellStyle name="Moneda" xfId="3" builtinId="4"/>
    <cellStyle name="Normal" xfId="0" builtinId="0"/>
    <cellStyle name="Normal 2" xfId="4" xr:uid="{00000000-0005-0000-0000-000004000000}"/>
    <cellStyle name="Normal 2 2" xfId="5" xr:uid="{00000000-0005-0000-0000-000005000000}"/>
    <cellStyle name="Normal 3" xfId="6" xr:uid="{00000000-0005-0000-0000-000006000000}"/>
    <cellStyle name="Porcentaje" xfId="7" builtinId="5"/>
  </cellStyles>
  <dxfs count="380">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b/>
        <i val="0"/>
        <color rgb="FFFF0000"/>
      </font>
    </dxf>
    <dxf>
      <font>
        <b val="0"/>
        <i val="0"/>
        <color rgb="FFFF0000"/>
      </font>
    </dxf>
    <dxf>
      <font>
        <b/>
        <i val="0"/>
        <color rgb="FFFF0000"/>
      </font>
    </dxf>
    <dxf>
      <font>
        <b val="0"/>
        <i val="0"/>
        <color rgb="FFFF0000"/>
      </font>
    </dxf>
    <dxf>
      <font>
        <b val="0"/>
        <i val="0"/>
        <color rgb="FFFF0000"/>
      </font>
    </dxf>
    <dxf>
      <font>
        <b val="0"/>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15</xdr:row>
      <xdr:rowOff>47625</xdr:rowOff>
    </xdr:from>
    <xdr:to>
      <xdr:col>1</xdr:col>
      <xdr:colOff>1247775</xdr:colOff>
      <xdr:row>16</xdr:row>
      <xdr:rowOff>158977</xdr:rowOff>
    </xdr:to>
    <xdr:pic>
      <xdr:nvPicPr>
        <xdr:cNvPr id="2" name="Imagen 1">
          <a:extLst>
            <a:ext uri="{FF2B5EF4-FFF2-40B4-BE49-F238E27FC236}">
              <a16:creationId xmlns:a16="http://schemas.microsoft.com/office/drawing/2014/main" id="{85C4FB27-2F57-F482-842A-BE04F741EF37}"/>
            </a:ext>
          </a:extLst>
        </xdr:cNvPr>
        <xdr:cNvPicPr>
          <a:picLocks noChangeAspect="1"/>
        </xdr:cNvPicPr>
      </xdr:nvPicPr>
      <xdr:blipFill>
        <a:blip xmlns:r="http://schemas.openxmlformats.org/officeDocument/2006/relationships" r:embed="rId1"/>
        <a:stretch>
          <a:fillRect/>
        </a:stretch>
      </xdr:blipFill>
      <xdr:spPr>
        <a:xfrm>
          <a:off x="400050" y="3314700"/>
          <a:ext cx="1152525" cy="301852"/>
        </a:xfrm>
        <a:prstGeom prst="rect">
          <a:avLst/>
        </a:prstGeom>
      </xdr:spPr>
    </xdr:pic>
    <xdr:clientData/>
  </xdr:twoCellAnchor>
  <xdr:twoCellAnchor editAs="oneCell">
    <xdr:from>
      <xdr:col>1</xdr:col>
      <xdr:colOff>4400551</xdr:colOff>
      <xdr:row>14</xdr:row>
      <xdr:rowOff>19050</xdr:rowOff>
    </xdr:from>
    <xdr:to>
      <xdr:col>3</xdr:col>
      <xdr:colOff>285751</xdr:colOff>
      <xdr:row>16</xdr:row>
      <xdr:rowOff>147077</xdr:rowOff>
    </xdr:to>
    <xdr:pic>
      <xdr:nvPicPr>
        <xdr:cNvPr id="3" name="Imagen 2">
          <a:extLst>
            <a:ext uri="{FF2B5EF4-FFF2-40B4-BE49-F238E27FC236}">
              <a16:creationId xmlns:a16="http://schemas.microsoft.com/office/drawing/2014/main" id="{F7F5DC27-689A-E69A-5D61-42431321DC7F}"/>
            </a:ext>
          </a:extLst>
        </xdr:cNvPr>
        <xdr:cNvPicPr>
          <a:picLocks noChangeAspect="1"/>
        </xdr:cNvPicPr>
      </xdr:nvPicPr>
      <xdr:blipFill>
        <a:blip xmlns:r="http://schemas.openxmlformats.org/officeDocument/2006/relationships" r:embed="rId2"/>
        <a:stretch>
          <a:fillRect/>
        </a:stretch>
      </xdr:blipFill>
      <xdr:spPr>
        <a:xfrm>
          <a:off x="4705351" y="3095625"/>
          <a:ext cx="1504950" cy="5090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19</xdr:row>
      <xdr:rowOff>19050</xdr:rowOff>
    </xdr:from>
    <xdr:to>
      <xdr:col>1</xdr:col>
      <xdr:colOff>1247775</xdr:colOff>
      <xdr:row>20</xdr:row>
      <xdr:rowOff>130402</xdr:rowOff>
    </xdr:to>
    <xdr:pic>
      <xdr:nvPicPr>
        <xdr:cNvPr id="2" name="Imagen 1">
          <a:extLst>
            <a:ext uri="{FF2B5EF4-FFF2-40B4-BE49-F238E27FC236}">
              <a16:creationId xmlns:a16="http://schemas.microsoft.com/office/drawing/2014/main" id="{DE85F5B2-B348-49E5-99DF-E059EDE4DC27}"/>
            </a:ext>
          </a:extLst>
        </xdr:cNvPr>
        <xdr:cNvPicPr>
          <a:picLocks noChangeAspect="1"/>
        </xdr:cNvPicPr>
      </xdr:nvPicPr>
      <xdr:blipFill>
        <a:blip xmlns:r="http://schemas.openxmlformats.org/officeDocument/2006/relationships" r:embed="rId1"/>
        <a:stretch>
          <a:fillRect/>
        </a:stretch>
      </xdr:blipFill>
      <xdr:spPr>
        <a:xfrm>
          <a:off x="400050" y="4238625"/>
          <a:ext cx="1152525" cy="301852"/>
        </a:xfrm>
        <a:prstGeom prst="rect">
          <a:avLst/>
        </a:prstGeom>
      </xdr:spPr>
    </xdr:pic>
    <xdr:clientData/>
  </xdr:twoCellAnchor>
  <xdr:twoCellAnchor editAs="oneCell">
    <xdr:from>
      <xdr:col>1</xdr:col>
      <xdr:colOff>2752725</xdr:colOff>
      <xdr:row>18</xdr:row>
      <xdr:rowOff>28575</xdr:rowOff>
    </xdr:from>
    <xdr:to>
      <xdr:col>3</xdr:col>
      <xdr:colOff>438150</xdr:colOff>
      <xdr:row>20</xdr:row>
      <xdr:rowOff>156602</xdr:rowOff>
    </xdr:to>
    <xdr:pic>
      <xdr:nvPicPr>
        <xdr:cNvPr id="3" name="Imagen 2">
          <a:extLst>
            <a:ext uri="{FF2B5EF4-FFF2-40B4-BE49-F238E27FC236}">
              <a16:creationId xmlns:a16="http://schemas.microsoft.com/office/drawing/2014/main" id="{B19EB127-4CB3-4289-91FB-8644368F8CD5}"/>
            </a:ext>
          </a:extLst>
        </xdr:cNvPr>
        <xdr:cNvPicPr>
          <a:picLocks noChangeAspect="1"/>
        </xdr:cNvPicPr>
      </xdr:nvPicPr>
      <xdr:blipFill>
        <a:blip xmlns:r="http://schemas.openxmlformats.org/officeDocument/2006/relationships" r:embed="rId2"/>
        <a:stretch>
          <a:fillRect/>
        </a:stretch>
      </xdr:blipFill>
      <xdr:spPr>
        <a:xfrm>
          <a:off x="3057525" y="4057650"/>
          <a:ext cx="1504950" cy="50902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13</xdr:row>
      <xdr:rowOff>161925</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4877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1924050</xdr:colOff>
      <xdr:row>0</xdr:row>
      <xdr:rowOff>66675</xdr:rowOff>
    </xdr:from>
    <xdr:ext cx="0" cy="1857375"/>
    <xdr:pic>
      <xdr:nvPicPr>
        <xdr:cNvPr id="3" name="Imagen 2">
          <a:extLst>
            <a:ext uri="{FF2B5EF4-FFF2-40B4-BE49-F238E27FC236}">
              <a16:creationId xmlns:a16="http://schemas.microsoft.com/office/drawing/2014/main" id="{AE017138-1033-4095-8466-8770E22CF7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4882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9</xdr:row>
      <xdr:rowOff>196850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4882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1924050</xdr:colOff>
      <xdr:row>0</xdr:row>
      <xdr:rowOff>66675</xdr:rowOff>
    </xdr:from>
    <xdr:ext cx="0" cy="1834092"/>
    <xdr:pic>
      <xdr:nvPicPr>
        <xdr:cNvPr id="3" name="Imagen 2">
          <a:extLst>
            <a:ext uri="{FF2B5EF4-FFF2-40B4-BE49-F238E27FC236}">
              <a16:creationId xmlns:a16="http://schemas.microsoft.com/office/drawing/2014/main" id="{7176B42F-BAE1-4B52-8638-6D833DCD25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87467" y="66675"/>
          <a:ext cx="0" cy="1834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11</xdr:row>
      <xdr:rowOff>38100</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4882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1924050</xdr:colOff>
      <xdr:row>0</xdr:row>
      <xdr:rowOff>66675</xdr:rowOff>
    </xdr:from>
    <xdr:ext cx="0" cy="1834092"/>
    <xdr:pic>
      <xdr:nvPicPr>
        <xdr:cNvPr id="3" name="Imagen 2">
          <a:extLst>
            <a:ext uri="{FF2B5EF4-FFF2-40B4-BE49-F238E27FC236}">
              <a16:creationId xmlns:a16="http://schemas.microsoft.com/office/drawing/2014/main" id="{4FF1368D-1CEB-483F-931F-DD8D75EE34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67383" y="66675"/>
          <a:ext cx="0" cy="1834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12</xdr:row>
      <xdr:rowOff>187325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4882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10</xdr:row>
      <xdr:rowOff>19050</xdr:rowOff>
    </xdr:to>
    <xdr:pic>
      <xdr:nvPicPr>
        <xdr:cNvPr id="2" name="Imagen 1">
          <a:extLst>
            <a:ext uri="{FF2B5EF4-FFF2-40B4-BE49-F238E27FC236}">
              <a16:creationId xmlns:a16="http://schemas.microsoft.com/office/drawing/2014/main" id="{299DE89E-532B-41B5-B5AE-75C35E2B96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0"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5</xdr:col>
      <xdr:colOff>1924050</xdr:colOff>
      <xdr:row>0</xdr:row>
      <xdr:rowOff>66675</xdr:rowOff>
    </xdr:from>
    <xdr:ext cx="0" cy="1836208"/>
    <xdr:pic>
      <xdr:nvPicPr>
        <xdr:cNvPr id="2" name="Imagen 1">
          <a:extLst>
            <a:ext uri="{FF2B5EF4-FFF2-40B4-BE49-F238E27FC236}">
              <a16:creationId xmlns:a16="http://schemas.microsoft.com/office/drawing/2014/main" id="{B295755B-E434-44F1-A333-52B203833C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01925" y="66675"/>
          <a:ext cx="0" cy="1836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10</xdr:row>
      <xdr:rowOff>39158</xdr:rowOff>
    </xdr:to>
    <xdr:pic>
      <xdr:nvPicPr>
        <xdr:cNvPr id="2" name="Imagen 1">
          <a:extLst>
            <a:ext uri="{FF2B5EF4-FFF2-40B4-BE49-F238E27FC236}">
              <a16:creationId xmlns:a16="http://schemas.microsoft.com/office/drawing/2014/main" id="{9937669C-C252-4205-B5BB-70F38FB362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5450"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1924050</xdr:colOff>
      <xdr:row>0</xdr:row>
      <xdr:rowOff>66675</xdr:rowOff>
    </xdr:from>
    <xdr:to>
      <xdr:col>5</xdr:col>
      <xdr:colOff>1924050</xdr:colOff>
      <xdr:row>10</xdr:row>
      <xdr:rowOff>19050</xdr:rowOff>
    </xdr:to>
    <xdr:pic>
      <xdr:nvPicPr>
        <xdr:cNvPr id="2" name="Imagen 1">
          <a:extLst>
            <a:ext uri="{FF2B5EF4-FFF2-40B4-BE49-F238E27FC236}">
              <a16:creationId xmlns:a16="http://schemas.microsoft.com/office/drawing/2014/main" id="{DC553640-D180-4AD6-9A31-0E8CDE7656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48775" y="66675"/>
          <a:ext cx="0" cy="1857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aico/Downloads/SCJ-SIF-CMA-003-2024%20EVALUACION%20PRELIMINAR%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SMMLV"/>
      <sheetName val="CONSOLIDADO"/>
      <sheetName val="PUNTOS"/>
      <sheetName val="05 TOTAL INC SAS BIC"/>
      <sheetName val="06 JVM INGENIERIA SAS BIC"/>
      <sheetName val="07 CONSORCIO EQUIPAMIENTO BIO2C"/>
      <sheetName val="08 CEYCO INGENIERIA SAS"/>
    </sheetNames>
    <sheetDataSet>
      <sheetData sheetId="0" refreshError="1"/>
      <sheetData sheetId="1" refreshError="1">
        <row r="9">
          <cell r="A9">
            <v>1984</v>
          </cell>
          <cell r="B9">
            <v>376.6</v>
          </cell>
          <cell r="C9">
            <v>11298</v>
          </cell>
        </row>
        <row r="10">
          <cell r="A10">
            <v>1985</v>
          </cell>
          <cell r="B10">
            <v>451.92</v>
          </cell>
          <cell r="C10">
            <v>13558</v>
          </cell>
        </row>
        <row r="11">
          <cell r="A11">
            <v>1986</v>
          </cell>
          <cell r="B11">
            <v>560.38</v>
          </cell>
          <cell r="C11">
            <v>16811</v>
          </cell>
        </row>
        <row r="12">
          <cell r="A12">
            <v>1987</v>
          </cell>
          <cell r="B12">
            <v>683.66</v>
          </cell>
          <cell r="C12">
            <v>20510</v>
          </cell>
        </row>
        <row r="13">
          <cell r="A13">
            <v>1988</v>
          </cell>
          <cell r="B13">
            <v>854.58</v>
          </cell>
          <cell r="C13">
            <v>25637</v>
          </cell>
        </row>
        <row r="14">
          <cell r="A14">
            <v>1989</v>
          </cell>
          <cell r="B14">
            <v>1085.32</v>
          </cell>
          <cell r="C14">
            <v>32560</v>
          </cell>
        </row>
        <row r="15">
          <cell r="A15">
            <v>1990</v>
          </cell>
          <cell r="B15">
            <v>1367.5</v>
          </cell>
          <cell r="C15">
            <v>41025</v>
          </cell>
        </row>
        <row r="16">
          <cell r="A16">
            <v>1991</v>
          </cell>
          <cell r="B16">
            <v>1723.87</v>
          </cell>
          <cell r="C16">
            <v>51716</v>
          </cell>
        </row>
        <row r="17">
          <cell r="A17">
            <v>1992</v>
          </cell>
          <cell r="B17">
            <v>2173</v>
          </cell>
          <cell r="C17">
            <v>65190</v>
          </cell>
        </row>
        <row r="18">
          <cell r="A18">
            <v>1993</v>
          </cell>
          <cell r="B18">
            <v>2717</v>
          </cell>
          <cell r="C18">
            <v>81510</v>
          </cell>
        </row>
        <row r="19">
          <cell r="A19">
            <v>1994</v>
          </cell>
          <cell r="B19">
            <v>3290</v>
          </cell>
          <cell r="C19">
            <v>98700</v>
          </cell>
        </row>
        <row r="20">
          <cell r="A20">
            <v>1995</v>
          </cell>
          <cell r="B20">
            <v>3964.45</v>
          </cell>
          <cell r="C20">
            <v>118934</v>
          </cell>
        </row>
        <row r="21">
          <cell r="A21">
            <v>1996</v>
          </cell>
          <cell r="B21">
            <v>4737.5</v>
          </cell>
          <cell r="C21">
            <v>142125</v>
          </cell>
        </row>
        <row r="22">
          <cell r="A22">
            <v>1997</v>
          </cell>
          <cell r="B22">
            <v>5733.5</v>
          </cell>
          <cell r="C22">
            <v>172005</v>
          </cell>
        </row>
        <row r="23">
          <cell r="A23">
            <v>1998</v>
          </cell>
          <cell r="B23">
            <v>6794.2</v>
          </cell>
          <cell r="C23">
            <v>203826</v>
          </cell>
        </row>
        <row r="24">
          <cell r="A24">
            <v>1999</v>
          </cell>
          <cell r="B24">
            <v>7882</v>
          </cell>
          <cell r="C24">
            <v>236460</v>
          </cell>
        </row>
        <row r="25">
          <cell r="A25">
            <v>2000</v>
          </cell>
          <cell r="B25">
            <v>8670</v>
          </cell>
          <cell r="C25">
            <v>260100</v>
          </cell>
        </row>
        <row r="26">
          <cell r="A26">
            <v>2001</v>
          </cell>
          <cell r="B26">
            <v>9533.33</v>
          </cell>
          <cell r="C26">
            <v>286000</v>
          </cell>
        </row>
        <row r="27">
          <cell r="A27">
            <v>2002</v>
          </cell>
          <cell r="B27">
            <v>10300</v>
          </cell>
          <cell r="C27">
            <v>309000</v>
          </cell>
        </row>
        <row r="28">
          <cell r="A28">
            <v>2003</v>
          </cell>
          <cell r="B28">
            <v>11066.67</v>
          </cell>
          <cell r="C28">
            <v>332000</v>
          </cell>
        </row>
        <row r="29">
          <cell r="A29">
            <v>2004</v>
          </cell>
          <cell r="B29">
            <v>11933.33</v>
          </cell>
          <cell r="C29">
            <v>358000</v>
          </cell>
        </row>
        <row r="30">
          <cell r="A30">
            <v>2005</v>
          </cell>
          <cell r="B30">
            <v>12716.67</v>
          </cell>
          <cell r="C30">
            <v>381500</v>
          </cell>
        </row>
        <row r="31">
          <cell r="A31">
            <v>2006</v>
          </cell>
          <cell r="B31">
            <v>13600</v>
          </cell>
          <cell r="C31">
            <v>408000</v>
          </cell>
        </row>
        <row r="32">
          <cell r="A32">
            <v>2007</v>
          </cell>
          <cell r="B32">
            <v>14456.67</v>
          </cell>
          <cell r="C32">
            <v>433700</v>
          </cell>
        </row>
        <row r="33">
          <cell r="A33">
            <v>2008</v>
          </cell>
          <cell r="B33">
            <v>15383.33</v>
          </cell>
          <cell r="C33">
            <v>461500</v>
          </cell>
        </row>
        <row r="34">
          <cell r="A34">
            <v>2009</v>
          </cell>
          <cell r="B34">
            <v>16563.330000000002</v>
          </cell>
          <cell r="C34">
            <v>496900</v>
          </cell>
        </row>
        <row r="35">
          <cell r="A35">
            <v>2010</v>
          </cell>
          <cell r="B35">
            <v>17166.669999999998</v>
          </cell>
          <cell r="C35">
            <v>515000</v>
          </cell>
        </row>
        <row r="36">
          <cell r="A36">
            <v>2011</v>
          </cell>
          <cell r="B36">
            <v>17853.330000000002</v>
          </cell>
          <cell r="C36">
            <v>535600</v>
          </cell>
        </row>
        <row r="37">
          <cell r="A37">
            <v>2012</v>
          </cell>
          <cell r="B37">
            <v>18890</v>
          </cell>
          <cell r="C37">
            <v>566700</v>
          </cell>
        </row>
        <row r="38">
          <cell r="A38">
            <v>2013</v>
          </cell>
          <cell r="B38">
            <v>19650</v>
          </cell>
          <cell r="C38">
            <v>589500</v>
          </cell>
        </row>
        <row r="39">
          <cell r="A39">
            <v>2014</v>
          </cell>
          <cell r="B39">
            <v>20533.330000000002</v>
          </cell>
          <cell r="C39">
            <v>616000</v>
          </cell>
        </row>
        <row r="40">
          <cell r="A40">
            <v>2015</v>
          </cell>
          <cell r="B40">
            <v>21478.33</v>
          </cell>
          <cell r="C40">
            <v>644350</v>
          </cell>
        </row>
        <row r="41">
          <cell r="A41">
            <v>2016</v>
          </cell>
          <cell r="B41">
            <v>22981.83</v>
          </cell>
          <cell r="C41">
            <v>689455</v>
          </cell>
        </row>
        <row r="42">
          <cell r="A42">
            <v>2017</v>
          </cell>
          <cell r="B42">
            <v>24590.560000000001</v>
          </cell>
          <cell r="C42">
            <v>737717</v>
          </cell>
        </row>
        <row r="43">
          <cell r="A43">
            <v>2018</v>
          </cell>
          <cell r="B43">
            <v>26041.4</v>
          </cell>
          <cell r="C43">
            <v>781242</v>
          </cell>
        </row>
        <row r="44">
          <cell r="A44">
            <v>2019</v>
          </cell>
          <cell r="B44">
            <v>27603.866666666665</v>
          </cell>
          <cell r="C44">
            <v>828116</v>
          </cell>
        </row>
        <row r="45">
          <cell r="A45">
            <v>2020</v>
          </cell>
          <cell r="B45">
            <v>29260.1</v>
          </cell>
          <cell r="C45">
            <v>877803</v>
          </cell>
        </row>
        <row r="46">
          <cell r="A46">
            <v>2021</v>
          </cell>
          <cell r="B46">
            <v>30284.2</v>
          </cell>
          <cell r="C46">
            <v>908526</v>
          </cell>
        </row>
        <row r="47">
          <cell r="A47">
            <v>2022</v>
          </cell>
          <cell r="C47">
            <v>1000000</v>
          </cell>
        </row>
        <row r="48">
          <cell r="A48">
            <v>2023</v>
          </cell>
          <cell r="C48">
            <v>1160000</v>
          </cell>
        </row>
        <row r="49">
          <cell r="A49">
            <v>2024</v>
          </cell>
          <cell r="C49">
            <v>1300000</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7"/>
  <sheetViews>
    <sheetView workbookViewId="0">
      <selection activeCell="E12" sqref="E12"/>
    </sheetView>
  </sheetViews>
  <sheetFormatPr baseColWidth="10" defaultColWidth="11.5" defaultRowHeight="15"/>
  <cols>
    <col min="1" max="1" width="11.5" style="48"/>
    <col min="2" max="2" width="14.5" style="49" customWidth="1"/>
    <col min="3" max="3" width="10.1640625" style="49" customWidth="1"/>
    <col min="4" max="4" width="13" style="49" customWidth="1"/>
    <col min="5" max="5" width="24.5" style="49" customWidth="1"/>
    <col min="6" max="6" width="12" style="49" customWidth="1"/>
    <col min="7" max="7" width="20.5" style="49" customWidth="1"/>
    <col min="8" max="9" width="11.5" style="49"/>
    <col min="10" max="16384" width="11.5" style="48"/>
  </cols>
  <sheetData>
    <row r="3" spans="1:7" ht="16">
      <c r="A3" s="19"/>
      <c r="B3" s="72" t="s">
        <v>61</v>
      </c>
      <c r="C3" s="72" t="s">
        <v>62</v>
      </c>
    </row>
    <row r="4" spans="1:7" ht="32">
      <c r="B4" s="49" t="s">
        <v>115</v>
      </c>
      <c r="C4" s="49" t="s">
        <v>116</v>
      </c>
      <c r="D4" s="49" t="s">
        <v>117</v>
      </c>
      <c r="E4" s="49" t="s">
        <v>118</v>
      </c>
      <c r="F4" s="49" t="s">
        <v>119</v>
      </c>
      <c r="G4" s="49" t="s">
        <v>120</v>
      </c>
    </row>
    <row r="5" spans="1:7" ht="32">
      <c r="B5" s="49" t="s">
        <v>130</v>
      </c>
      <c r="C5" s="49" t="s">
        <v>131</v>
      </c>
    </row>
    <row r="6" spans="1:7" ht="32">
      <c r="B6" s="49" t="s">
        <v>204</v>
      </c>
      <c r="C6" s="49" t="s">
        <v>131</v>
      </c>
    </row>
    <row r="7" spans="1:7" ht="16">
      <c r="B7" s="72" t="s">
        <v>160</v>
      </c>
    </row>
  </sheetData>
  <sheetProtection selectLockedCells="1" selectUn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2"/>
  <sheetViews>
    <sheetView topLeftCell="A29" workbookViewId="0">
      <selection activeCell="E49" sqref="E49"/>
    </sheetView>
  </sheetViews>
  <sheetFormatPr baseColWidth="10" defaultColWidth="9.1640625" defaultRowHeight="15"/>
  <cols>
    <col min="1" max="1" width="55.83203125" style="1" customWidth="1"/>
    <col min="2" max="2" width="12.83203125" style="1" customWidth="1"/>
    <col min="3" max="3" width="14.5" style="1" customWidth="1"/>
    <col min="4" max="4" width="12" style="1" bestFit="1" customWidth="1"/>
    <col min="5" max="5" width="27.1640625" style="1" bestFit="1" customWidth="1"/>
    <col min="6" max="6" width="95.33203125" style="1" customWidth="1"/>
    <col min="7" max="16384" width="9.1640625" style="1"/>
  </cols>
  <sheetData>
    <row r="1" spans="1:6">
      <c r="A1" s="191" t="s">
        <v>0</v>
      </c>
      <c r="B1" s="191"/>
      <c r="C1" s="191"/>
      <c r="D1" s="191"/>
      <c r="E1" s="191"/>
      <c r="F1" s="191"/>
    </row>
    <row r="2" spans="1:6" ht="16" thickBot="1">
      <c r="A2" s="192" t="s">
        <v>1</v>
      </c>
      <c r="B2" s="192"/>
      <c r="C2" s="192"/>
      <c r="D2" s="192"/>
      <c r="E2" s="192"/>
      <c r="F2" s="192"/>
    </row>
    <row r="3" spans="1:6" ht="17" thickTop="1">
      <c r="A3" s="3" t="s">
        <v>2</v>
      </c>
    </row>
    <row r="4" spans="1:6">
      <c r="A4" s="14" t="s">
        <v>3</v>
      </c>
    </row>
    <row r="5" spans="1:6">
      <c r="A5" s="14" t="s">
        <v>2</v>
      </c>
    </row>
    <row r="6" spans="1:6" ht="27">
      <c r="A6" s="14" t="s">
        <v>4</v>
      </c>
    </row>
    <row r="7" spans="1:6" ht="16">
      <c r="A7" s="3" t="s">
        <v>2</v>
      </c>
    </row>
    <row r="8" spans="1:6" ht="48">
      <c r="A8" s="13" t="s">
        <v>5</v>
      </c>
      <c r="B8" s="12" t="s">
        <v>6</v>
      </c>
      <c r="C8" s="12" t="s">
        <v>7</v>
      </c>
      <c r="D8" s="12" t="s">
        <v>8</v>
      </c>
      <c r="E8" s="11" t="s">
        <v>9</v>
      </c>
    </row>
    <row r="9" spans="1:6" ht="16.25" customHeight="1">
      <c r="A9" s="7">
        <v>1984</v>
      </c>
      <c r="B9" s="6">
        <v>376.6</v>
      </c>
      <c r="C9" s="15">
        <v>11298</v>
      </c>
      <c r="D9" s="5">
        <v>0</v>
      </c>
      <c r="E9" s="4" t="s">
        <v>10</v>
      </c>
    </row>
    <row r="10" spans="1:6" ht="16.25" customHeight="1">
      <c r="A10" s="7">
        <v>1985</v>
      </c>
      <c r="B10" s="10">
        <v>451.92</v>
      </c>
      <c r="C10" s="15">
        <v>13558</v>
      </c>
      <c r="D10" s="9">
        <v>0.2</v>
      </c>
      <c r="E10" s="8" t="s">
        <v>11</v>
      </c>
    </row>
    <row r="11" spans="1:6" ht="16.25" customHeight="1">
      <c r="A11" s="7">
        <v>1986</v>
      </c>
      <c r="B11" s="6">
        <v>560.38</v>
      </c>
      <c r="C11" s="15">
        <v>16811</v>
      </c>
      <c r="D11" s="5">
        <v>0.24</v>
      </c>
      <c r="E11" s="4" t="s">
        <v>12</v>
      </c>
    </row>
    <row r="12" spans="1:6" ht="16.25" customHeight="1">
      <c r="A12" s="7">
        <v>1987</v>
      </c>
      <c r="B12" s="10">
        <v>683.66</v>
      </c>
      <c r="C12" s="15">
        <v>20510</v>
      </c>
      <c r="D12" s="9">
        <v>0.22</v>
      </c>
      <c r="E12" s="8" t="s">
        <v>13</v>
      </c>
    </row>
    <row r="13" spans="1:6" ht="16.25" customHeight="1">
      <c r="A13" s="7">
        <v>1988</v>
      </c>
      <c r="B13" s="6">
        <v>854.58</v>
      </c>
      <c r="C13" s="15">
        <v>25637</v>
      </c>
      <c r="D13" s="5">
        <v>0.25</v>
      </c>
      <c r="E13" s="4" t="s">
        <v>14</v>
      </c>
    </row>
    <row r="14" spans="1:6" ht="16.25" customHeight="1">
      <c r="A14" s="7">
        <v>1989</v>
      </c>
      <c r="B14" s="10">
        <v>1085.32</v>
      </c>
      <c r="C14" s="15">
        <v>32560</v>
      </c>
      <c r="D14" s="9">
        <v>0.27</v>
      </c>
      <c r="E14" s="8" t="s">
        <v>15</v>
      </c>
    </row>
    <row r="15" spans="1:6" ht="16.25" customHeight="1">
      <c r="A15" s="7">
        <v>1990</v>
      </c>
      <c r="B15" s="6">
        <v>1367.5</v>
      </c>
      <c r="C15" s="15">
        <v>41025</v>
      </c>
      <c r="D15" s="5">
        <v>0.26</v>
      </c>
      <c r="E15" s="4" t="s">
        <v>16</v>
      </c>
    </row>
    <row r="16" spans="1:6" ht="16.25" customHeight="1">
      <c r="A16" s="7">
        <v>1991</v>
      </c>
      <c r="B16" s="10">
        <v>1723.87</v>
      </c>
      <c r="C16" s="15">
        <v>51716</v>
      </c>
      <c r="D16" s="9">
        <v>0.26100000000000001</v>
      </c>
      <c r="E16" s="8" t="s">
        <v>17</v>
      </c>
    </row>
    <row r="17" spans="1:5" ht="16.25" customHeight="1">
      <c r="A17" s="7">
        <v>1992</v>
      </c>
      <c r="B17" s="6">
        <v>2173</v>
      </c>
      <c r="C17" s="15">
        <v>65190</v>
      </c>
      <c r="D17" s="5">
        <v>0.26100000000000001</v>
      </c>
      <c r="E17" s="4" t="s">
        <v>18</v>
      </c>
    </row>
    <row r="18" spans="1:5" ht="16.25" customHeight="1">
      <c r="A18" s="7">
        <v>1993</v>
      </c>
      <c r="B18" s="10">
        <v>2717</v>
      </c>
      <c r="C18" s="15">
        <v>81510</v>
      </c>
      <c r="D18" s="9">
        <v>0.25</v>
      </c>
      <c r="E18" s="8" t="s">
        <v>19</v>
      </c>
    </row>
    <row r="19" spans="1:5" ht="16.25" customHeight="1">
      <c r="A19" s="7">
        <v>1994</v>
      </c>
      <c r="B19" s="6">
        <v>3290</v>
      </c>
      <c r="C19" s="15">
        <v>98700</v>
      </c>
      <c r="D19" s="5">
        <v>0.21099999999999999</v>
      </c>
      <c r="E19" s="4" t="s">
        <v>20</v>
      </c>
    </row>
    <row r="20" spans="1:5" ht="16.25" customHeight="1">
      <c r="A20" s="7">
        <v>1995</v>
      </c>
      <c r="B20" s="10">
        <v>3964.45</v>
      </c>
      <c r="C20" s="15">
        <v>118934</v>
      </c>
      <c r="D20" s="9">
        <v>0.20499999999999999</v>
      </c>
      <c r="E20" s="8" t="s">
        <v>21</v>
      </c>
    </row>
    <row r="21" spans="1:5" ht="16.25" customHeight="1">
      <c r="A21" s="7">
        <v>1996</v>
      </c>
      <c r="B21" s="6">
        <v>4737.5</v>
      </c>
      <c r="C21" s="15">
        <v>142125</v>
      </c>
      <c r="D21" s="5">
        <v>0.19500000000000001</v>
      </c>
      <c r="E21" s="4" t="s">
        <v>22</v>
      </c>
    </row>
    <row r="22" spans="1:5" ht="16.25" customHeight="1">
      <c r="A22" s="7">
        <v>1997</v>
      </c>
      <c r="B22" s="10">
        <v>5733.5</v>
      </c>
      <c r="C22" s="15">
        <v>172005</v>
      </c>
      <c r="D22" s="9">
        <v>0.21</v>
      </c>
      <c r="E22" s="8" t="s">
        <v>23</v>
      </c>
    </row>
    <row r="23" spans="1:5" ht="16.25" customHeight="1">
      <c r="A23" s="7">
        <v>1998</v>
      </c>
      <c r="B23" s="6">
        <v>6794.2</v>
      </c>
      <c r="C23" s="15">
        <v>203826</v>
      </c>
      <c r="D23" s="5">
        <v>0.185</v>
      </c>
      <c r="E23" s="4" t="s">
        <v>24</v>
      </c>
    </row>
    <row r="24" spans="1:5" ht="16.25" customHeight="1">
      <c r="A24" s="7">
        <v>1999</v>
      </c>
      <c r="B24" s="10">
        <v>7882</v>
      </c>
      <c r="C24" s="15">
        <v>236460</v>
      </c>
      <c r="D24" s="9">
        <v>0.16</v>
      </c>
      <c r="E24" s="8" t="s">
        <v>25</v>
      </c>
    </row>
    <row r="25" spans="1:5" ht="16.25" customHeight="1">
      <c r="A25" s="7">
        <v>2000</v>
      </c>
      <c r="B25" s="6">
        <v>8670</v>
      </c>
      <c r="C25" s="15">
        <v>260100</v>
      </c>
      <c r="D25" s="5">
        <v>0.1</v>
      </c>
      <c r="E25" s="4" t="s">
        <v>26</v>
      </c>
    </row>
    <row r="26" spans="1:5" ht="16.25" customHeight="1">
      <c r="A26" s="7">
        <v>2001</v>
      </c>
      <c r="B26" s="10">
        <v>9533.33</v>
      </c>
      <c r="C26" s="15">
        <v>286000</v>
      </c>
      <c r="D26" s="9">
        <v>0.1</v>
      </c>
      <c r="E26" s="8" t="s">
        <v>27</v>
      </c>
    </row>
    <row r="27" spans="1:5" ht="16.25" customHeight="1">
      <c r="A27" s="7">
        <v>2002</v>
      </c>
      <c r="B27" s="6">
        <v>10300</v>
      </c>
      <c r="C27" s="15">
        <v>309000</v>
      </c>
      <c r="D27" s="5">
        <v>0.08</v>
      </c>
      <c r="E27" s="4" t="s">
        <v>28</v>
      </c>
    </row>
    <row r="28" spans="1:5" ht="16.25" customHeight="1">
      <c r="A28" s="7">
        <v>2003</v>
      </c>
      <c r="B28" s="10">
        <v>11066.67</v>
      </c>
      <c r="C28" s="15">
        <v>332000</v>
      </c>
      <c r="D28" s="9">
        <v>7.3999999999999996E-2</v>
      </c>
      <c r="E28" s="8" t="s">
        <v>29</v>
      </c>
    </row>
    <row r="29" spans="1:5" ht="16.25" customHeight="1">
      <c r="A29" s="7">
        <v>2004</v>
      </c>
      <c r="B29" s="6">
        <v>11933.33</v>
      </c>
      <c r="C29" s="15">
        <v>358000</v>
      </c>
      <c r="D29" s="5">
        <v>7.8E-2</v>
      </c>
      <c r="E29" s="4" t="s">
        <v>30</v>
      </c>
    </row>
    <row r="30" spans="1:5" ht="16.25" customHeight="1">
      <c r="A30" s="7">
        <v>2005</v>
      </c>
      <c r="B30" s="10">
        <v>12716.67</v>
      </c>
      <c r="C30" s="15">
        <v>381500</v>
      </c>
      <c r="D30" s="9">
        <v>6.6000000000000003E-2</v>
      </c>
      <c r="E30" s="8" t="s">
        <v>31</v>
      </c>
    </row>
    <row r="31" spans="1:5" ht="16.25" customHeight="1">
      <c r="A31" s="7">
        <v>2006</v>
      </c>
      <c r="B31" s="6">
        <v>13600</v>
      </c>
      <c r="C31" s="15">
        <v>408000</v>
      </c>
      <c r="D31" s="5">
        <v>6.9000000000000006E-2</v>
      </c>
      <c r="E31" s="4" t="s">
        <v>32</v>
      </c>
    </row>
    <row r="32" spans="1:5" ht="16.25" customHeight="1">
      <c r="A32" s="7">
        <v>2007</v>
      </c>
      <c r="B32" s="10">
        <v>14456.67</v>
      </c>
      <c r="C32" s="15">
        <v>433700</v>
      </c>
      <c r="D32" s="9">
        <v>6.3E-2</v>
      </c>
      <c r="E32" s="8" t="s">
        <v>33</v>
      </c>
    </row>
    <row r="33" spans="1:5" ht="16.25" customHeight="1">
      <c r="A33" s="7">
        <v>2008</v>
      </c>
      <c r="B33" s="6">
        <v>15383.33</v>
      </c>
      <c r="C33" s="15">
        <v>461500</v>
      </c>
      <c r="D33" s="5">
        <v>6.4000000000000001E-2</v>
      </c>
      <c r="E33" s="4" t="s">
        <v>34</v>
      </c>
    </row>
    <row r="34" spans="1:5" ht="16.25" customHeight="1">
      <c r="A34" s="7">
        <v>2009</v>
      </c>
      <c r="B34" s="10">
        <v>16563.330000000002</v>
      </c>
      <c r="C34" s="15">
        <v>496900</v>
      </c>
      <c r="D34" s="9">
        <v>7.6999999999999999E-2</v>
      </c>
      <c r="E34" s="8" t="s">
        <v>35</v>
      </c>
    </row>
    <row r="35" spans="1:5" ht="16.25" customHeight="1">
      <c r="A35" s="7">
        <v>2010</v>
      </c>
      <c r="B35" s="6">
        <v>17166.669999999998</v>
      </c>
      <c r="C35" s="15">
        <v>515000</v>
      </c>
      <c r="D35" s="5">
        <v>3.5999999999999997E-2</v>
      </c>
      <c r="E35" s="4" t="s">
        <v>36</v>
      </c>
    </row>
    <row r="36" spans="1:5" ht="16.25" customHeight="1">
      <c r="A36" s="7">
        <v>2011</v>
      </c>
      <c r="B36" s="10">
        <v>17853.330000000002</v>
      </c>
      <c r="C36" s="15">
        <v>535600</v>
      </c>
      <c r="D36" s="9">
        <v>0.04</v>
      </c>
      <c r="E36" s="8" t="s">
        <v>37</v>
      </c>
    </row>
    <row r="37" spans="1:5" ht="16.25" customHeight="1">
      <c r="A37" s="7">
        <v>2012</v>
      </c>
      <c r="B37" s="6">
        <v>18890</v>
      </c>
      <c r="C37" s="15">
        <v>566700</v>
      </c>
      <c r="D37" s="5">
        <v>5.8000000000000003E-2</v>
      </c>
      <c r="E37" s="4" t="s">
        <v>38</v>
      </c>
    </row>
    <row r="38" spans="1:5" ht="16.25" customHeight="1">
      <c r="A38" s="7">
        <v>2013</v>
      </c>
      <c r="B38" s="10">
        <v>19650</v>
      </c>
      <c r="C38" s="15">
        <v>589500</v>
      </c>
      <c r="D38" s="9">
        <v>4.02E-2</v>
      </c>
      <c r="E38" s="8" t="s">
        <v>39</v>
      </c>
    </row>
    <row r="39" spans="1:5" ht="16.25" customHeight="1">
      <c r="A39" s="7">
        <v>2014</v>
      </c>
      <c r="B39" s="6">
        <v>20533.330000000002</v>
      </c>
      <c r="C39" s="15">
        <v>616000</v>
      </c>
      <c r="D39" s="5">
        <v>4.4999999999999998E-2</v>
      </c>
      <c r="E39" s="4" t="s">
        <v>40</v>
      </c>
    </row>
    <row r="40" spans="1:5" ht="16.25" customHeight="1">
      <c r="A40" s="7">
        <v>2015</v>
      </c>
      <c r="B40" s="10">
        <v>21478.33</v>
      </c>
      <c r="C40" s="15">
        <v>644350</v>
      </c>
      <c r="D40" s="9">
        <v>4.5999999999999999E-2</v>
      </c>
      <c r="E40" s="8" t="s">
        <v>41</v>
      </c>
    </row>
    <row r="41" spans="1:5" ht="16.25" customHeight="1">
      <c r="A41" s="7">
        <v>2016</v>
      </c>
      <c r="B41" s="6">
        <v>22981.83</v>
      </c>
      <c r="C41" s="15">
        <v>689455</v>
      </c>
      <c r="D41" s="5">
        <v>7.0000000000000007E-2</v>
      </c>
      <c r="E41" s="4" t="s">
        <v>42</v>
      </c>
    </row>
    <row r="42" spans="1:5" ht="16.25" customHeight="1">
      <c r="A42" s="7">
        <v>2017</v>
      </c>
      <c r="B42" s="10">
        <v>24590.560000000001</v>
      </c>
      <c r="C42" s="15">
        <v>737717</v>
      </c>
      <c r="D42" s="9">
        <v>7.0000000000000007E-2</v>
      </c>
      <c r="E42" s="8" t="s">
        <v>43</v>
      </c>
    </row>
    <row r="43" spans="1:5" ht="16.25" customHeight="1">
      <c r="A43" s="7">
        <v>2018</v>
      </c>
      <c r="B43" s="6">
        <v>26041.4</v>
      </c>
      <c r="C43" s="15">
        <v>781242</v>
      </c>
      <c r="D43" s="5">
        <v>5.8999999999999997E-2</v>
      </c>
      <c r="E43" s="4" t="s">
        <v>44</v>
      </c>
    </row>
    <row r="44" spans="1:5">
      <c r="A44" s="7">
        <v>2019</v>
      </c>
      <c r="B44" s="16">
        <f>C44/30</f>
        <v>27603.866666666665</v>
      </c>
      <c r="C44" s="15">
        <v>828116</v>
      </c>
    </row>
    <row r="45" spans="1:5">
      <c r="A45" s="7">
        <v>2020</v>
      </c>
      <c r="B45" s="16">
        <f>+C45/30</f>
        <v>29260.1</v>
      </c>
      <c r="C45" s="15">
        <v>877803</v>
      </c>
    </row>
    <row r="46" spans="1:5">
      <c r="A46" s="7">
        <v>2021</v>
      </c>
      <c r="B46" s="16">
        <f>+C46/30</f>
        <v>30284.2</v>
      </c>
      <c r="C46" s="15">
        <v>908526</v>
      </c>
      <c r="D46" s="16"/>
    </row>
    <row r="47" spans="1:5">
      <c r="A47" s="17">
        <v>2022</v>
      </c>
      <c r="B47" s="16"/>
      <c r="C47" s="18">
        <v>1000000</v>
      </c>
      <c r="D47" s="16"/>
    </row>
    <row r="48" spans="1:5">
      <c r="A48" s="17">
        <v>2023</v>
      </c>
      <c r="B48" s="16"/>
      <c r="C48" s="18">
        <v>1160000</v>
      </c>
      <c r="D48" s="16"/>
    </row>
    <row r="49" spans="1:4">
      <c r="A49" s="17">
        <v>2024</v>
      </c>
      <c r="B49" s="16"/>
      <c r="C49" s="18">
        <v>1300000</v>
      </c>
      <c r="D49" s="16"/>
    </row>
    <row r="50" spans="1:4">
      <c r="A50" s="17"/>
      <c r="B50" s="16"/>
      <c r="C50" s="18"/>
      <c r="D50" s="16"/>
    </row>
    <row r="51" spans="1:4">
      <c r="A51" s="17"/>
      <c r="B51" s="16"/>
      <c r="C51" s="18"/>
      <c r="D51" s="16"/>
    </row>
    <row r="52" spans="1:4" ht="16">
      <c r="A52" s="3" t="s">
        <v>2</v>
      </c>
    </row>
    <row r="53" spans="1:4" ht="16">
      <c r="A53" s="2" t="s">
        <v>2</v>
      </c>
    </row>
    <row r="54" spans="1:4" ht="26">
      <c r="A54" s="2" t="s">
        <v>45</v>
      </c>
    </row>
    <row r="55" spans="1:4" ht="16">
      <c r="A55" s="2" t="s">
        <v>2</v>
      </c>
    </row>
    <row r="56" spans="1:4" ht="26">
      <c r="A56" s="2" t="s">
        <v>46</v>
      </c>
    </row>
    <row r="57" spans="1:4" ht="16">
      <c r="A57" s="2" t="s">
        <v>2</v>
      </c>
    </row>
    <row r="58" spans="1:4">
      <c r="A58" s="2" t="s">
        <v>47</v>
      </c>
    </row>
    <row r="59" spans="1:4" ht="16">
      <c r="A59" s="2" t="s">
        <v>2</v>
      </c>
    </row>
    <row r="60" spans="1:4">
      <c r="A60" s="2" t="s">
        <v>48</v>
      </c>
    </row>
    <row r="61" spans="1:4" ht="16">
      <c r="A61" s="2" t="s">
        <v>2</v>
      </c>
    </row>
    <row r="62" spans="1:4" ht="26">
      <c r="A62" s="2" t="s">
        <v>4</v>
      </c>
    </row>
  </sheetData>
  <mergeCells count="2">
    <mergeCell ref="A1:F1"/>
    <mergeCell ref="A2:F2"/>
  </mergeCells>
  <hyperlinks>
    <hyperlink ref="A54"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6"/>
  <sheetViews>
    <sheetView tabSelected="1" topLeftCell="A2" zoomScale="125" workbookViewId="0">
      <selection activeCell="F6" sqref="F6"/>
    </sheetView>
  </sheetViews>
  <sheetFormatPr baseColWidth="10" defaultColWidth="11.5" defaultRowHeight="15"/>
  <cols>
    <col min="1" max="1" width="4.5" style="19" customWidth="1"/>
    <col min="2" max="2" width="68.83203125" style="49" customWidth="1"/>
    <col min="3" max="3" width="15.5" style="49" customWidth="1"/>
    <col min="4" max="4" width="14.1640625" style="49" customWidth="1"/>
    <col min="5" max="5" width="16.5" style="49" customWidth="1"/>
    <col min="6" max="6" width="22.5" style="49" customWidth="1"/>
    <col min="7" max="16384" width="11.5" style="48"/>
  </cols>
  <sheetData>
    <row r="1" spans="1:6" ht="16">
      <c r="A1" s="194" t="s">
        <v>87</v>
      </c>
      <c r="B1" s="194"/>
      <c r="C1" s="194"/>
      <c r="D1" s="194"/>
      <c r="E1" s="194"/>
      <c r="F1" s="194"/>
    </row>
    <row r="2" spans="1:6" ht="36" customHeight="1">
      <c r="A2" s="194" t="s">
        <v>88</v>
      </c>
      <c r="B2" s="194"/>
      <c r="C2" s="194"/>
      <c r="D2" s="194"/>
      <c r="E2" s="194"/>
      <c r="F2" s="194"/>
    </row>
    <row r="4" spans="1:6" ht="30">
      <c r="A4" s="193" t="s">
        <v>75</v>
      </c>
      <c r="B4" s="193"/>
      <c r="C4" s="91" t="s">
        <v>187</v>
      </c>
      <c r="D4" s="91" t="s">
        <v>188</v>
      </c>
      <c r="E4" s="91" t="s">
        <v>189</v>
      </c>
      <c r="F4" s="91" t="s">
        <v>190</v>
      </c>
    </row>
    <row r="5" spans="1:6">
      <c r="A5" s="92">
        <v>1</v>
      </c>
      <c r="B5" s="93" t="str">
        <f>'O1'!B7</f>
        <v>R&amp;M CONSTRUCCIONES E INTERVENTORIAS SAS</v>
      </c>
      <c r="C5" s="159" t="str">
        <f>'O1'!F138</f>
        <v>CUMPLE</v>
      </c>
      <c r="D5" s="159" t="str">
        <f>'O1'!F255</f>
        <v>CUMPLE</v>
      </c>
      <c r="E5" s="159"/>
      <c r="F5" s="160" t="s">
        <v>585</v>
      </c>
    </row>
    <row r="6" spans="1:6">
      <c r="A6" s="92">
        <v>2</v>
      </c>
      <c r="B6" s="93" t="str">
        <f>'O2'!B7</f>
        <v>CONSORCIO TRANSFORMAR AGENCIAS</v>
      </c>
      <c r="C6" s="121" t="str">
        <f>'O2'!F138</f>
        <v>CUMPLE</v>
      </c>
      <c r="D6" s="121" t="str">
        <f>'O2'!F255</f>
        <v>CUMPLE</v>
      </c>
      <c r="E6" s="121" t="str">
        <f>'O2'!F261</f>
        <v>CUMPLE</v>
      </c>
      <c r="F6" s="122" t="str">
        <f>'O2'!F263</f>
        <v>HABILITADO</v>
      </c>
    </row>
    <row r="7" spans="1:6">
      <c r="A7" s="92">
        <v>3</v>
      </c>
      <c r="B7" s="93" t="str">
        <f>'O3'!B7</f>
        <v>CONSORCIO CICA-GEAGOR</v>
      </c>
      <c r="C7" s="121" t="str">
        <f>'O3'!F138</f>
        <v>CUMPLE</v>
      </c>
      <c r="D7" s="121" t="str">
        <f>'O3'!F254</f>
        <v>CUMPLE</v>
      </c>
      <c r="E7" s="121" t="str">
        <f>'O3'!F260</f>
        <v>CUMPLE</v>
      </c>
      <c r="F7" s="122" t="str">
        <f>'O3'!F262</f>
        <v>HABILITADO</v>
      </c>
    </row>
    <row r="8" spans="1:6">
      <c r="A8" s="92">
        <v>4</v>
      </c>
      <c r="B8" s="93" t="str">
        <f>'O4'!B7</f>
        <v>LOGIA 3 ASOCIADOS S.A.S - BIC</v>
      </c>
      <c r="C8" s="161" t="str">
        <f>'O4'!F138</f>
        <v>NO CUMPLE</v>
      </c>
      <c r="D8" s="161" t="str">
        <f>'O4'!F254</f>
        <v>NO CUMPLE</v>
      </c>
      <c r="E8" s="161" t="str">
        <f>'O4'!F260</f>
        <v>NO CUMPLE</v>
      </c>
      <c r="F8" s="122" t="str">
        <f>'O4'!F262</f>
        <v>NO HABILITADO</v>
      </c>
    </row>
    <row r="9" spans="1:6">
      <c r="A9" s="92">
        <v>5</v>
      </c>
      <c r="B9" s="93" t="str">
        <f>'O5'!B7</f>
        <v>TOTALL INC SAS BIC</v>
      </c>
      <c r="C9" s="121" t="str">
        <f>'O5'!F138</f>
        <v>CUMPLE</v>
      </c>
      <c r="D9" s="121" t="str">
        <f>'O5'!F266</f>
        <v>CUMPLE</v>
      </c>
      <c r="E9" s="121" t="str">
        <f>'O5'!F275</f>
        <v>CUMPLE</v>
      </c>
      <c r="F9" s="122" t="str">
        <f>'O5'!F277</f>
        <v>HABILITADO</v>
      </c>
    </row>
    <row r="10" spans="1:6">
      <c r="A10" s="92">
        <v>6</v>
      </c>
      <c r="B10" s="93" t="str">
        <f>'O6'!B7</f>
        <v>JVM INGENIERIA SAS BIC</v>
      </c>
      <c r="C10" s="121" t="str">
        <f>'O6'!F138</f>
        <v>CUMPLE</v>
      </c>
      <c r="D10" s="121" t="str">
        <f>'O6'!F260</f>
        <v>CUMPLE</v>
      </c>
      <c r="E10" s="121" t="str">
        <f>'O6'!F269</f>
        <v>CUMPLE</v>
      </c>
      <c r="F10" s="122" t="s">
        <v>591</v>
      </c>
    </row>
    <row r="11" spans="1:6">
      <c r="A11" s="92">
        <v>7</v>
      </c>
      <c r="B11" s="93" t="str">
        <f>'O7'!B7</f>
        <v>CONSORCIO EQUIPAMIENTO BIO2C</v>
      </c>
      <c r="C11" s="121" t="str">
        <f>'O7'!F138</f>
        <v>CUMPLE</v>
      </c>
      <c r="D11" s="121" t="str">
        <f>'O7'!F266</f>
        <v>CUMPLE</v>
      </c>
      <c r="E11" s="121" t="str">
        <f>'O7'!F275</f>
        <v>CUMPLE</v>
      </c>
      <c r="F11" s="122" t="str">
        <f>'O7'!F277</f>
        <v>HABILITADO</v>
      </c>
    </row>
    <row r="12" spans="1:6">
      <c r="A12" s="92">
        <v>8</v>
      </c>
      <c r="B12" s="93" t="str">
        <f>'O8'!B7</f>
        <v>CEYCO INGENIERIA SAS</v>
      </c>
      <c r="C12" s="121" t="str">
        <f>'O8'!F138</f>
        <v>CUMPLE</v>
      </c>
      <c r="D12" s="121" t="str">
        <f>'O8'!F266</f>
        <v>NO CUMPLE</v>
      </c>
      <c r="E12" s="121" t="str">
        <f>'O8'!F275</f>
        <v>NO CUMPLE</v>
      </c>
      <c r="F12" s="122" t="str">
        <f>'O8'!F277</f>
        <v>NO HABILITADO</v>
      </c>
    </row>
    <row r="13" spans="1:6">
      <c r="A13" s="123"/>
      <c r="B13" s="124"/>
      <c r="C13" s="125"/>
      <c r="D13" s="125"/>
      <c r="E13" s="125"/>
      <c r="F13" s="125"/>
    </row>
    <row r="14" spans="1:6">
      <c r="B14" s="94" t="s">
        <v>76</v>
      </c>
      <c r="C14" s="94"/>
      <c r="D14" s="94"/>
      <c r="E14" s="94"/>
    </row>
    <row r="15" spans="1:6">
      <c r="B15" s="94"/>
      <c r="C15" s="94"/>
      <c r="D15" s="94"/>
      <c r="E15" s="94"/>
    </row>
    <row r="16" spans="1:6">
      <c r="B16" s="94"/>
      <c r="C16" s="94"/>
      <c r="D16" s="94"/>
      <c r="E16" s="94"/>
    </row>
    <row r="17" spans="2:5">
      <c r="B17" s="94"/>
      <c r="C17" s="94"/>
      <c r="D17" s="94"/>
      <c r="E17" s="94"/>
    </row>
    <row r="18" spans="2:5">
      <c r="B18" s="94" t="s">
        <v>77</v>
      </c>
      <c r="C18" s="132" t="s">
        <v>527</v>
      </c>
      <c r="D18" s="94"/>
      <c r="E18" s="94"/>
    </row>
    <row r="19" spans="2:5">
      <c r="B19" s="94" t="s">
        <v>78</v>
      </c>
      <c r="C19" s="132" t="s">
        <v>528</v>
      </c>
      <c r="D19" s="94"/>
      <c r="E19" s="94"/>
    </row>
    <row r="20" spans="2:5">
      <c r="B20" s="94" t="s">
        <v>79</v>
      </c>
      <c r="C20" s="132" t="s">
        <v>79</v>
      </c>
      <c r="D20" s="94"/>
      <c r="E20" s="94"/>
    </row>
    <row r="21" spans="2:5">
      <c r="B21" s="94"/>
      <c r="C21" s="94"/>
      <c r="D21" s="94"/>
      <c r="E21" s="94"/>
    </row>
    <row r="22" spans="2:5">
      <c r="B22" s="94"/>
      <c r="C22" s="94"/>
      <c r="D22" s="94"/>
      <c r="E22" s="94"/>
    </row>
    <row r="23" spans="2:5">
      <c r="C23" s="94"/>
      <c r="D23" s="94"/>
      <c r="E23" s="94"/>
    </row>
    <row r="24" spans="2:5">
      <c r="C24" s="94"/>
      <c r="D24" s="94"/>
      <c r="E24" s="94"/>
    </row>
    <row r="25" spans="2:5">
      <c r="C25" s="94"/>
      <c r="D25" s="94"/>
      <c r="E25" s="94"/>
    </row>
    <row r="26" spans="2:5">
      <c r="B26" s="94"/>
      <c r="C26" s="94"/>
      <c r="D26" s="94"/>
      <c r="E26" s="94"/>
    </row>
  </sheetData>
  <sheetProtection algorithmName="SHA-512" hashValue="kqWd5xqVIVUeXpxAibM7x3wGL13bm/MIrDTH2QLu+2ENZaY1nbQ2zP6+hZtsE/i0MbmNg2FkEs7iBcLA5kJdoA==" saltValue="LOKV52ZBYDSfJmZ1/GuZAA==" spinCount="100000" sheet="1" objects="1" scenarios="1" selectLockedCells="1" selectUnlockedCells="1"/>
  <mergeCells count="3">
    <mergeCell ref="A4:B4"/>
    <mergeCell ref="A1:F1"/>
    <mergeCell ref="A2:F2"/>
  </mergeCells>
  <conditionalFormatting sqref="C5:E5">
    <cfRule type="containsText" dxfId="379" priority="6" operator="containsText" text="NO CUMPLE">
      <formula>NOT(ISERROR(SEARCH("NO CUMPLE",C5)))</formula>
    </cfRule>
  </conditionalFormatting>
  <conditionalFormatting sqref="C8:E12">
    <cfRule type="containsText" dxfId="378" priority="1" operator="containsText" text="NO CUMPLE">
      <formula>NOT(ISERROR(SEARCH("NO CUMPLE",C8)))</formula>
    </cfRule>
  </conditionalFormatting>
  <conditionalFormatting sqref="D6:E7">
    <cfRule type="containsText" dxfId="377" priority="2" operator="containsText" text="NO CUMPLE">
      <formula>NOT(ISERROR(SEARCH("NO CUMPLE",D6)))</formula>
    </cfRule>
  </conditionalFormatting>
  <conditionalFormatting sqref="F5:F13">
    <cfRule type="containsText" dxfId="376" priority="9" stopIfTrue="1" operator="containsText" text="NO HABILITADO">
      <formula>NOT(ISERROR(SEARCH("NO HABILITADO",F5)))</formula>
    </cfRule>
  </conditionalFormatting>
  <pageMargins left="0.7" right="0.7" top="0.75" bottom="0.75" header="0.3" footer="0.3"/>
  <pageSetup orientation="portrait" horizontalDpi="4294967292"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0"/>
  <sheetViews>
    <sheetView workbookViewId="0">
      <selection activeCell="N9" sqref="N9"/>
    </sheetView>
  </sheetViews>
  <sheetFormatPr baseColWidth="10" defaultColWidth="11.5" defaultRowHeight="15"/>
  <cols>
    <col min="1" max="1" width="4.5" style="19" customWidth="1"/>
    <col min="2" max="2" width="43.5" style="49" customWidth="1"/>
    <col min="3" max="3" width="13.6640625" style="49" customWidth="1"/>
    <col min="4" max="4" width="12.6640625" style="49" customWidth="1"/>
    <col min="5" max="5" width="14" style="49" customWidth="1"/>
    <col min="6" max="6" width="11.6640625" style="49" customWidth="1"/>
    <col min="7" max="7" width="13.5" style="48" customWidth="1"/>
    <col min="8" max="8" width="17.5" style="48" customWidth="1"/>
    <col min="9" max="9" width="1.5" style="48" customWidth="1"/>
    <col min="10" max="10" width="11.5" style="48"/>
    <col min="11" max="11" width="14.6640625" style="48" customWidth="1"/>
    <col min="12" max="12" width="1.1640625" style="48" customWidth="1"/>
    <col min="13" max="13" width="13.1640625" style="48" customWidth="1"/>
    <col min="14" max="16384" width="11.5" style="48"/>
  </cols>
  <sheetData>
    <row r="1" spans="1:13" ht="15.75" customHeight="1">
      <c r="A1" s="194" t="s">
        <v>87</v>
      </c>
      <c r="B1" s="194"/>
      <c r="C1" s="194"/>
      <c r="D1" s="194"/>
      <c r="E1" s="194"/>
      <c r="F1" s="194"/>
      <c r="G1" s="194"/>
      <c r="H1" s="194"/>
      <c r="I1" s="194"/>
      <c r="J1" s="194"/>
      <c r="K1" s="194"/>
      <c r="L1" s="194"/>
      <c r="M1" s="194"/>
    </row>
    <row r="2" spans="1:13" ht="36" customHeight="1">
      <c r="A2" s="194" t="s">
        <v>88</v>
      </c>
      <c r="B2" s="194"/>
      <c r="C2" s="194"/>
      <c r="D2" s="194"/>
      <c r="E2" s="194"/>
      <c r="F2" s="194"/>
      <c r="G2" s="194"/>
      <c r="H2" s="194"/>
      <c r="I2" s="194"/>
      <c r="J2" s="194"/>
      <c r="K2" s="194"/>
      <c r="L2" s="194"/>
      <c r="M2" s="194"/>
    </row>
    <row r="3" spans="1:13" ht="16">
      <c r="A3" s="82"/>
      <c r="B3" s="82"/>
      <c r="C3" s="82"/>
      <c r="D3" s="82"/>
      <c r="E3" s="82"/>
      <c r="F3" s="82"/>
    </row>
    <row r="4" spans="1:13" ht="16">
      <c r="A4" s="194" t="s">
        <v>201</v>
      </c>
      <c r="B4" s="194"/>
      <c r="C4" s="194"/>
      <c r="D4" s="194"/>
      <c r="E4" s="194"/>
      <c r="F4" s="194"/>
      <c r="G4" s="194"/>
      <c r="H4" s="194"/>
      <c r="I4" s="194"/>
      <c r="J4" s="194"/>
      <c r="K4" s="194"/>
      <c r="L4" s="194"/>
      <c r="M4" s="194"/>
    </row>
    <row r="5" spans="1:13" ht="16">
      <c r="A5" s="82"/>
      <c r="B5" s="82"/>
      <c r="C5" s="82"/>
      <c r="D5" s="82"/>
      <c r="E5" s="82"/>
      <c r="F5" s="82"/>
    </row>
    <row r="6" spans="1:13">
      <c r="A6" s="193" t="s">
        <v>75</v>
      </c>
      <c r="B6" s="193"/>
      <c r="C6" s="195" t="s">
        <v>194</v>
      </c>
      <c r="D6" s="195"/>
      <c r="E6" s="195"/>
      <c r="F6" s="196" t="s">
        <v>595</v>
      </c>
      <c r="G6" s="196"/>
      <c r="H6" s="196"/>
    </row>
    <row r="7" spans="1:13" s="19" customFormat="1" ht="45">
      <c r="A7" s="193"/>
      <c r="B7" s="193"/>
      <c r="C7" s="91" t="s">
        <v>191</v>
      </c>
      <c r="D7" s="91" t="s">
        <v>192</v>
      </c>
      <c r="E7" s="91" t="s">
        <v>193</v>
      </c>
      <c r="F7" s="190" t="s">
        <v>195</v>
      </c>
      <c r="G7" s="190" t="s">
        <v>196</v>
      </c>
      <c r="H7" s="190" t="s">
        <v>197</v>
      </c>
      <c r="J7" s="96" t="s">
        <v>198</v>
      </c>
      <c r="K7" s="96" t="s">
        <v>199</v>
      </c>
      <c r="M7" s="97" t="s">
        <v>200</v>
      </c>
    </row>
    <row r="8" spans="1:13" hidden="1">
      <c r="A8" s="92">
        <v>1</v>
      </c>
      <c r="B8" s="93" t="str">
        <f>CONSOLIDADO!B5</f>
        <v>R&amp;M CONSTRUCCIONES E INTERVENTORIAS SAS</v>
      </c>
      <c r="C8" s="98" t="str">
        <f>'O1'!D305</f>
        <v>40</v>
      </c>
      <c r="D8" s="98" t="str">
        <f>'O1'!E331</f>
        <v>30</v>
      </c>
      <c r="E8" s="98" t="str">
        <f>'O1'!E335</f>
        <v>18,92</v>
      </c>
      <c r="F8" s="98" t="str">
        <f>'O1'!E340</f>
        <v>10</v>
      </c>
      <c r="G8" s="127" t="str">
        <f>'O1'!E345</f>
        <v>1</v>
      </c>
      <c r="H8" s="127" t="str">
        <f>'O1'!E353</f>
        <v>0,08</v>
      </c>
      <c r="I8" s="128"/>
      <c r="J8" s="129">
        <v>0</v>
      </c>
      <c r="K8" s="129">
        <v>0</v>
      </c>
      <c r="L8" s="128"/>
      <c r="M8" s="131">
        <f>SUM(C8+D8+E8+F8+G8+H8-J8-K8)</f>
        <v>100</v>
      </c>
    </row>
    <row r="9" spans="1:13">
      <c r="A9" s="92">
        <v>2</v>
      </c>
      <c r="B9" s="126" t="str">
        <f>CONSOLIDADO!B6</f>
        <v>CONSORCIO TRANSFORMAR AGENCIAS</v>
      </c>
      <c r="C9" s="98" t="str">
        <f>'O2'!D305</f>
        <v>40</v>
      </c>
      <c r="D9" s="98" t="str">
        <f>'O2'!E331</f>
        <v>30</v>
      </c>
      <c r="E9" s="98" t="str">
        <f>'O2'!E335</f>
        <v>10</v>
      </c>
      <c r="F9" s="98" t="str">
        <f>'O2'!E340</f>
        <v>10</v>
      </c>
      <c r="G9" s="127" t="str">
        <f>'O2'!E345</f>
        <v>1</v>
      </c>
      <c r="H9" s="127" t="str">
        <f>'O2'!E359</f>
        <v>0,08</v>
      </c>
      <c r="I9" s="128"/>
      <c r="J9" s="130">
        <v>0</v>
      </c>
      <c r="K9" s="130">
        <v>0</v>
      </c>
      <c r="L9" s="128"/>
      <c r="M9" s="131">
        <f t="shared" ref="M9:M15" si="0">SUM(C9+D9+E9+F9+G9+H9-J9-K9)</f>
        <v>91.08</v>
      </c>
    </row>
    <row r="10" spans="1:13">
      <c r="A10" s="92">
        <v>3</v>
      </c>
      <c r="B10" s="126" t="str">
        <f>CONSOLIDADO!B7</f>
        <v>CONSORCIO CICA-GEAGOR</v>
      </c>
      <c r="C10" s="98" t="str">
        <f>'O3'!D304</f>
        <v>40</v>
      </c>
      <c r="D10" s="98" t="str">
        <f>'O3'!E330</f>
        <v>30</v>
      </c>
      <c r="E10" s="98" t="str">
        <f>'O3'!E334</f>
        <v>18,92</v>
      </c>
      <c r="F10" s="98" t="str">
        <f>'O3'!E339</f>
        <v>10</v>
      </c>
      <c r="G10" s="127" t="str">
        <f>'O3'!E344</f>
        <v>1</v>
      </c>
      <c r="H10" s="127" t="str">
        <f>'O3'!E352</f>
        <v>0,08</v>
      </c>
      <c r="I10" s="128"/>
      <c r="J10" s="129">
        <v>0</v>
      </c>
      <c r="K10" s="129">
        <v>0</v>
      </c>
      <c r="L10" s="129"/>
      <c r="M10" s="131">
        <f t="shared" si="0"/>
        <v>100</v>
      </c>
    </row>
    <row r="11" spans="1:13" hidden="1">
      <c r="A11" s="92">
        <v>4</v>
      </c>
      <c r="B11" s="126" t="str">
        <f>CONSOLIDADO!B8</f>
        <v>LOGIA 3 ASOCIADOS S.A.S - BIC</v>
      </c>
      <c r="C11" s="98" t="str">
        <f>'O4'!D304</f>
        <v>40</v>
      </c>
      <c r="D11" s="98" t="str">
        <f>'O4'!E330</f>
        <v>30</v>
      </c>
      <c r="E11" s="98" t="str">
        <f>'O4'!E334</f>
        <v>18,92</v>
      </c>
      <c r="F11" s="98" t="str">
        <f>'O4'!E339</f>
        <v>10</v>
      </c>
      <c r="G11" s="127" t="str">
        <f>'O4'!E344</f>
        <v>1</v>
      </c>
      <c r="H11" s="127" t="str">
        <f>'O4'!E352</f>
        <v>0,08</v>
      </c>
      <c r="I11" s="128"/>
      <c r="J11" s="137">
        <v>2</v>
      </c>
      <c r="K11" s="129">
        <v>0</v>
      </c>
      <c r="L11" s="129"/>
      <c r="M11" s="131">
        <f t="shared" si="0"/>
        <v>98</v>
      </c>
    </row>
    <row r="12" spans="1:13">
      <c r="A12" s="92">
        <v>5</v>
      </c>
      <c r="B12" s="126" t="str">
        <f>CONSOLIDADO!B9</f>
        <v>TOTALL INC SAS BIC</v>
      </c>
      <c r="C12" s="98" t="str">
        <f>'O5'!D319</f>
        <v>40</v>
      </c>
      <c r="D12" s="98" t="str">
        <f>'O5'!E345</f>
        <v>30</v>
      </c>
      <c r="E12" s="98" t="str">
        <f>'O5'!E349</f>
        <v>18,92</v>
      </c>
      <c r="F12" s="98" t="str">
        <f>'O5'!E354</f>
        <v>10</v>
      </c>
      <c r="G12" s="127" t="str">
        <f>'O5'!E359</f>
        <v>1</v>
      </c>
      <c r="H12" s="127" t="str">
        <f>'O5'!E373</f>
        <v>0,08</v>
      </c>
      <c r="I12" s="128"/>
      <c r="J12" s="129">
        <v>0</v>
      </c>
      <c r="K12" s="129">
        <v>0</v>
      </c>
      <c r="L12" s="129"/>
      <c r="M12" s="131">
        <f t="shared" si="0"/>
        <v>100</v>
      </c>
    </row>
    <row r="13" spans="1:13">
      <c r="A13" s="92">
        <v>6</v>
      </c>
      <c r="B13" s="126" t="str">
        <f>CONSOLIDADO!B10</f>
        <v>JVM INGENIERIA SAS BIC</v>
      </c>
      <c r="C13" s="98" t="str">
        <f>'O6'!D313</f>
        <v>40</v>
      </c>
      <c r="D13" s="98" t="str">
        <f>'O6'!E339</f>
        <v>30</v>
      </c>
      <c r="E13" s="98" t="str">
        <f>'O6'!E343</f>
        <v>18,92</v>
      </c>
      <c r="F13" s="98" t="str">
        <f>'O6'!E348</f>
        <v>10</v>
      </c>
      <c r="G13" s="127" t="str">
        <f>'O6'!E353</f>
        <v>1</v>
      </c>
      <c r="H13" s="127" t="str">
        <f>'O6'!E361</f>
        <v>0,08</v>
      </c>
      <c r="I13" s="128"/>
      <c r="J13" s="129">
        <v>0</v>
      </c>
      <c r="K13" s="129">
        <v>0</v>
      </c>
      <c r="L13" s="129"/>
      <c r="M13" s="131">
        <f t="shared" si="0"/>
        <v>100</v>
      </c>
    </row>
    <row r="14" spans="1:13">
      <c r="A14" s="92">
        <v>7</v>
      </c>
      <c r="B14" s="126" t="str">
        <f>CONSOLIDADO!B11</f>
        <v>CONSORCIO EQUIPAMIENTO BIO2C</v>
      </c>
      <c r="C14" s="98" t="str">
        <f>'O7'!D319</f>
        <v>40</v>
      </c>
      <c r="D14" s="98" t="str">
        <f>'O7'!E345</f>
        <v>30</v>
      </c>
      <c r="E14" s="98" t="str">
        <f>'O7'!E349</f>
        <v>18,92</v>
      </c>
      <c r="F14" s="98" t="str">
        <f>'O7'!E354</f>
        <v>10</v>
      </c>
      <c r="G14" s="127" t="str">
        <f>'O7'!E359</f>
        <v>1</v>
      </c>
      <c r="H14" s="127" t="str">
        <f>'O7'!E367</f>
        <v>0,08</v>
      </c>
      <c r="I14" s="128"/>
      <c r="J14" s="129">
        <v>0</v>
      </c>
      <c r="K14" s="129">
        <v>0</v>
      </c>
      <c r="L14" s="129"/>
      <c r="M14" s="131">
        <f t="shared" si="0"/>
        <v>100</v>
      </c>
    </row>
    <row r="15" spans="1:13" hidden="1">
      <c r="A15" s="92">
        <v>8</v>
      </c>
      <c r="B15" s="126" t="str">
        <f>CONSOLIDADO!B12</f>
        <v>CEYCO INGENIERIA SAS</v>
      </c>
      <c r="C15" s="98" t="str">
        <f>'O8'!D319</f>
        <v>40</v>
      </c>
      <c r="D15" s="98" t="str">
        <f>'O8'!E345</f>
        <v>30</v>
      </c>
      <c r="E15" s="98" t="str">
        <f>'O8'!E349</f>
        <v>18,92</v>
      </c>
      <c r="F15" s="98" t="str">
        <f>'O8'!E354</f>
        <v>10</v>
      </c>
      <c r="G15" s="127" t="str">
        <f>'O8'!E359</f>
        <v>1</v>
      </c>
      <c r="H15" s="127" t="str">
        <f>'O8'!E367</f>
        <v>0</v>
      </c>
      <c r="I15" s="128"/>
      <c r="J15" s="129">
        <v>0</v>
      </c>
      <c r="K15" s="129">
        <v>0</v>
      </c>
      <c r="L15" s="129"/>
      <c r="M15" s="131">
        <f t="shared" si="0"/>
        <v>99.92</v>
      </c>
    </row>
    <row r="18" spans="2:5">
      <c r="B18" s="94" t="s">
        <v>76</v>
      </c>
      <c r="D18" s="94"/>
      <c r="E18" s="94"/>
    </row>
    <row r="19" spans="2:5">
      <c r="B19" s="94"/>
      <c r="D19" s="94"/>
      <c r="E19" s="94"/>
    </row>
    <row r="20" spans="2:5">
      <c r="B20" s="94"/>
      <c r="C20" s="94"/>
      <c r="D20" s="94"/>
      <c r="E20" s="94"/>
    </row>
    <row r="21" spans="2:5">
      <c r="B21" s="94"/>
      <c r="C21" s="94"/>
      <c r="D21" s="94"/>
      <c r="E21" s="94"/>
    </row>
    <row r="22" spans="2:5">
      <c r="B22" s="94" t="str">
        <f>CONSOLIDADO!B18</f>
        <v>John Henry Poveda Zua</v>
      </c>
      <c r="C22" s="132" t="str">
        <f>CONSOLIDADO!C18</f>
        <v>Remo Fiorentino Mojica</v>
      </c>
      <c r="D22" s="94"/>
      <c r="E22" s="94"/>
    </row>
    <row r="23" spans="2:5">
      <c r="B23" s="94" t="str">
        <f>CONSOLIDADO!B19</f>
        <v>Contratista - Arquitecto</v>
      </c>
      <c r="C23" s="132" t="str">
        <f>CONSOLIDADO!C19</f>
        <v>Contratista - Ingeniero Civil</v>
      </c>
      <c r="D23" s="94"/>
      <c r="E23" s="94"/>
    </row>
    <row r="24" spans="2:5">
      <c r="B24" s="94" t="str">
        <f>CONSOLIDADO!B20</f>
        <v>Dirección Técnica</v>
      </c>
      <c r="C24" s="132" t="str">
        <f>CONSOLIDADO!C20</f>
        <v>Dirección Técnica</v>
      </c>
      <c r="D24" s="94"/>
      <c r="E24" s="94"/>
    </row>
    <row r="25" spans="2:5">
      <c r="B25" s="94"/>
      <c r="C25" s="94"/>
      <c r="D25" s="94"/>
      <c r="E25" s="94"/>
    </row>
    <row r="26" spans="2:5">
      <c r="B26" s="94"/>
      <c r="C26" s="94"/>
      <c r="D26" s="94"/>
      <c r="E26" s="94"/>
    </row>
    <row r="27" spans="2:5">
      <c r="C27" s="94"/>
      <c r="D27" s="94"/>
      <c r="E27" s="94"/>
    </row>
    <row r="28" spans="2:5">
      <c r="C28" s="94"/>
      <c r="D28" s="94"/>
      <c r="E28" s="94"/>
    </row>
    <row r="29" spans="2:5">
      <c r="C29" s="94"/>
      <c r="D29" s="94"/>
      <c r="E29" s="94"/>
    </row>
    <row r="30" spans="2:5">
      <c r="B30" s="94"/>
      <c r="C30" s="94"/>
      <c r="D30" s="94"/>
      <c r="E30" s="94"/>
    </row>
  </sheetData>
  <sheetProtection algorithmName="SHA-512" hashValue="Ufdhjpzve91QSAbkiDzJWY2zfWY7FJ9gcH1Kxb5hy4/DuAs6Rsa9IakOdlvmLJeODVSa/PhiGNllK4Knr8zJBQ==" saltValue="nFTM7bfV8l3LvEBraWfvMA==" spinCount="100000" sheet="1" objects="1" scenarios="1" selectLockedCells="1" selectUnlockedCells="1"/>
  <mergeCells count="6">
    <mergeCell ref="C6:E6"/>
    <mergeCell ref="A6:B7"/>
    <mergeCell ref="A1:M1"/>
    <mergeCell ref="A2:M2"/>
    <mergeCell ref="A4:M4"/>
    <mergeCell ref="F6:H6"/>
  </mergeCells>
  <conditionalFormatting sqref="C8:E8">
    <cfRule type="containsText" dxfId="375" priority="1" operator="containsText" text="NO CUMPLE">
      <formula>NOT(ISERROR(SEARCH("NO CUMPLE",C8)))</formula>
    </cfRule>
  </conditionalFormatting>
  <conditionalFormatting sqref="F8:F15">
    <cfRule type="containsText" dxfId="374" priority="4" stopIfTrue="1" operator="containsText" text="NO HABILITADO">
      <formula>NOT(ISERROR(SEARCH("NO HABILITADO",F8)))</formula>
    </cfRule>
  </conditionalFormatting>
  <pageMargins left="0.7" right="0.7" top="0.75" bottom="0.75" header="0.3" footer="0.3"/>
  <pageSetup orientation="portrait" horizontalDpi="4294967292"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82"/>
  <sheetViews>
    <sheetView topLeftCell="A242" zoomScaleNormal="100" workbookViewId="0">
      <selection activeCell="I260" sqref="I260"/>
    </sheetView>
  </sheetViews>
  <sheetFormatPr baseColWidth="10" defaultColWidth="40.5" defaultRowHeight="13"/>
  <cols>
    <col min="1" max="1" width="31.83203125" style="20" customWidth="1"/>
    <col min="2" max="2" width="17" style="20" customWidth="1"/>
    <col min="3" max="3" width="18.5" style="20" customWidth="1"/>
    <col min="4" max="4" width="20.1640625" style="20" customWidth="1"/>
    <col min="5" max="5" width="28.5" style="20" customWidth="1"/>
    <col min="6" max="6" width="38.33203125" style="182" customWidth="1"/>
    <col min="7" max="7" width="1.5" style="20" customWidth="1"/>
    <col min="8" max="8" width="38.33203125" style="42" hidden="1" customWidth="1"/>
    <col min="9" max="16384" width="40.5" style="20"/>
  </cols>
  <sheetData>
    <row r="1" spans="1:8" ht="15" customHeight="1">
      <c r="A1" s="297" t="s">
        <v>87</v>
      </c>
      <c r="B1" s="297"/>
      <c r="C1" s="297"/>
      <c r="D1" s="297"/>
      <c r="E1" s="297"/>
      <c r="F1" s="297"/>
      <c r="H1" s="20"/>
    </row>
    <row r="2" spans="1:8" ht="28.5" customHeight="1">
      <c r="A2" s="297" t="s">
        <v>88</v>
      </c>
      <c r="B2" s="297"/>
      <c r="C2" s="297"/>
      <c r="D2" s="297"/>
      <c r="E2" s="297"/>
      <c r="F2" s="297"/>
      <c r="H2" s="20"/>
    </row>
    <row r="3" spans="1:8">
      <c r="A3" s="21"/>
      <c r="B3" s="22"/>
      <c r="C3" s="22"/>
      <c r="D3" s="22"/>
      <c r="E3" s="22"/>
      <c r="F3" s="166"/>
      <c r="H3" s="22"/>
    </row>
    <row r="4" spans="1:8">
      <c r="A4" s="23" t="s">
        <v>49</v>
      </c>
      <c r="B4" s="298">
        <v>45631</v>
      </c>
      <c r="C4" s="298"/>
      <c r="D4" s="22"/>
      <c r="E4" s="22"/>
      <c r="F4" s="166"/>
      <c r="H4" s="22"/>
    </row>
    <row r="5" spans="1:8">
      <c r="A5" s="23" t="s">
        <v>64</v>
      </c>
      <c r="B5" s="299">
        <f>SUM(B6/1300000)</f>
        <v>433.26314615384615</v>
      </c>
      <c r="C5" s="299"/>
      <c r="D5" s="22"/>
      <c r="E5" s="22"/>
      <c r="F5" s="166"/>
      <c r="H5" s="22"/>
    </row>
    <row r="6" spans="1:8">
      <c r="A6" s="23" t="s">
        <v>63</v>
      </c>
      <c r="B6" s="300">
        <v>563242090</v>
      </c>
      <c r="C6" s="300"/>
      <c r="D6" s="22"/>
      <c r="E6" s="22"/>
      <c r="F6" s="166"/>
      <c r="H6" s="22"/>
    </row>
    <row r="7" spans="1:8" ht="16">
      <c r="A7" s="24" t="s">
        <v>50</v>
      </c>
      <c r="B7" s="301" t="s">
        <v>205</v>
      </c>
      <c r="C7" s="302"/>
      <c r="D7" s="302"/>
      <c r="E7" s="302"/>
      <c r="F7" s="303"/>
      <c r="H7" s="20"/>
    </row>
    <row r="8" spans="1:8">
      <c r="B8" s="25"/>
      <c r="C8" s="25"/>
      <c r="D8" s="25"/>
      <c r="E8" s="25"/>
      <c r="F8" s="167"/>
      <c r="H8" s="25"/>
    </row>
    <row r="9" spans="1:8" hidden="1">
      <c r="A9" s="24" t="s">
        <v>184</v>
      </c>
      <c r="B9" s="240"/>
      <c r="C9" s="240"/>
      <c r="D9" s="240"/>
      <c r="E9" s="90">
        <v>0</v>
      </c>
      <c r="F9" s="167"/>
      <c r="H9" s="25"/>
    </row>
    <row r="10" spans="1:8" hidden="1">
      <c r="A10" s="24" t="s">
        <v>185</v>
      </c>
      <c r="B10" s="240"/>
      <c r="C10" s="240"/>
      <c r="D10" s="240"/>
      <c r="E10" s="90">
        <v>0</v>
      </c>
      <c r="F10" s="167"/>
      <c r="H10" s="25"/>
    </row>
    <row r="11" spans="1:8" hidden="1">
      <c r="A11" s="24" t="s">
        <v>186</v>
      </c>
      <c r="B11" s="240"/>
      <c r="C11" s="240"/>
      <c r="D11" s="240"/>
      <c r="E11" s="90">
        <v>0</v>
      </c>
      <c r="F11" s="167"/>
      <c r="H11" s="25"/>
    </row>
    <row r="12" spans="1:8" hidden="1">
      <c r="B12" s="25"/>
      <c r="C12" s="25"/>
      <c r="D12" s="25"/>
      <c r="E12" s="25"/>
      <c r="F12" s="167"/>
      <c r="H12" s="25"/>
    </row>
    <row r="13" spans="1:8" ht="16">
      <c r="A13" s="245" t="s">
        <v>89</v>
      </c>
      <c r="B13" s="245"/>
      <c r="C13" s="245"/>
      <c r="D13" s="245"/>
      <c r="E13" s="245"/>
      <c r="F13" s="245"/>
      <c r="H13" s="20"/>
    </row>
    <row r="14" spans="1:8" ht="14">
      <c r="A14" s="212" t="s">
        <v>90</v>
      </c>
      <c r="B14" s="212"/>
      <c r="C14" s="212"/>
      <c r="D14" s="212"/>
      <c r="E14" s="212"/>
      <c r="F14" s="212"/>
      <c r="H14" s="20"/>
    </row>
    <row r="15" spans="1:8">
      <c r="A15" s="27"/>
      <c r="B15" s="27"/>
      <c r="C15" s="27"/>
      <c r="D15" s="27"/>
      <c r="E15" s="27"/>
      <c r="F15" s="168"/>
      <c r="H15" s="21"/>
    </row>
    <row r="16" spans="1:8">
      <c r="A16" s="28" t="s">
        <v>209</v>
      </c>
      <c r="B16" s="294" t="s">
        <v>208</v>
      </c>
      <c r="C16" s="294"/>
      <c r="D16" s="294"/>
      <c r="E16" s="294"/>
      <c r="F16" s="294"/>
      <c r="H16" s="20"/>
    </row>
    <row r="17" spans="1:8" ht="48" customHeight="1">
      <c r="A17" s="28" t="s">
        <v>51</v>
      </c>
      <c r="B17" s="241" t="s">
        <v>206</v>
      </c>
      <c r="C17" s="241"/>
      <c r="D17" s="241"/>
      <c r="E17" s="241"/>
      <c r="F17" s="241"/>
      <c r="H17" s="20"/>
    </row>
    <row r="18" spans="1:8" ht="20.25" customHeight="1">
      <c r="A18" s="23" t="s">
        <v>52</v>
      </c>
      <c r="B18" s="234" t="s">
        <v>207</v>
      </c>
      <c r="C18" s="234"/>
      <c r="D18" s="234"/>
      <c r="E18" s="234"/>
      <c r="F18" s="234"/>
      <c r="H18" s="20"/>
    </row>
    <row r="19" spans="1:8">
      <c r="A19" s="28" t="s">
        <v>65</v>
      </c>
      <c r="B19" s="31" t="s">
        <v>53</v>
      </c>
      <c r="C19" s="32" t="s">
        <v>66</v>
      </c>
      <c r="D19" s="32" t="s">
        <v>54</v>
      </c>
      <c r="E19" s="32" t="s">
        <v>67</v>
      </c>
      <c r="F19" s="169" t="s">
        <v>55</v>
      </c>
      <c r="H19" s="32" t="s">
        <v>55</v>
      </c>
    </row>
    <row r="20" spans="1:8" ht="12.75" customHeight="1">
      <c r="A20" s="227" t="s">
        <v>56</v>
      </c>
      <c r="B20" s="33">
        <v>80101600</v>
      </c>
      <c r="C20" s="29">
        <v>80101600</v>
      </c>
      <c r="D20" s="29">
        <v>604</v>
      </c>
      <c r="E20" s="235" t="str">
        <f>IF(B21=C21,"Acredita",IF(B20=C20,"Acredita","No acredita"))</f>
        <v>Acredita</v>
      </c>
      <c r="F20" s="201"/>
      <c r="H20" s="304"/>
    </row>
    <row r="21" spans="1:8">
      <c r="A21" s="227"/>
      <c r="B21" s="33">
        <v>81101500</v>
      </c>
      <c r="C21" s="30">
        <v>81101500</v>
      </c>
      <c r="D21" s="30">
        <v>604</v>
      </c>
      <c r="E21" s="236"/>
      <c r="F21" s="202"/>
      <c r="H21" s="305"/>
    </row>
    <row r="22" spans="1:8" ht="14">
      <c r="A22" s="237" t="s">
        <v>57</v>
      </c>
      <c r="B22" s="238"/>
      <c r="C22" s="239"/>
      <c r="D22" s="34">
        <v>41680</v>
      </c>
      <c r="E22" s="35" t="str">
        <f>IF(D22="","No acredita","Acredita")</f>
        <v>Acredita</v>
      </c>
      <c r="F22" s="202"/>
      <c r="H22" s="305"/>
    </row>
    <row r="23" spans="1:8" ht="14">
      <c r="A23" s="237" t="s">
        <v>58</v>
      </c>
      <c r="B23" s="238"/>
      <c r="C23" s="239"/>
      <c r="D23" s="36">
        <v>855558603</v>
      </c>
      <c r="E23" s="35" t="str">
        <f>IF(D23="","No acredita","Acredita")</f>
        <v>Acredita</v>
      </c>
      <c r="F23" s="202"/>
      <c r="H23" s="305"/>
    </row>
    <row r="24" spans="1:8" ht="14">
      <c r="A24" s="237" t="s">
        <v>59</v>
      </c>
      <c r="B24" s="238"/>
      <c r="C24" s="239"/>
      <c r="D24" s="44">
        <f>IFERROR((D23/(VLOOKUP((YEAR(D26)),SMMLV!$A$9:$C$49,3,0)))*'O1'!D25,"0")</f>
        <v>1095.1262259325536</v>
      </c>
      <c r="E24" s="37" t="str">
        <f>IF(D24="","No acredita","Acredita")</f>
        <v>Acredita</v>
      </c>
      <c r="F24" s="202"/>
      <c r="H24" s="305"/>
    </row>
    <row r="25" spans="1:8" ht="14">
      <c r="A25" s="237" t="s">
        <v>80</v>
      </c>
      <c r="B25" s="238"/>
      <c r="C25" s="239"/>
      <c r="D25" s="45">
        <v>1</v>
      </c>
      <c r="E25" s="35" t="str">
        <f>IF(D25="","No acredita","Acredita")</f>
        <v>Acredita</v>
      </c>
      <c r="F25" s="202"/>
      <c r="H25" s="305"/>
    </row>
    <row r="26" spans="1:8" ht="14">
      <c r="A26" s="237" t="s">
        <v>60</v>
      </c>
      <c r="B26" s="238"/>
      <c r="C26" s="239"/>
      <c r="D26" s="34">
        <v>43372</v>
      </c>
      <c r="E26" s="35" t="str">
        <f>IF(D26="","No acredita","Acredita")</f>
        <v>Acredita</v>
      </c>
      <c r="F26" s="202"/>
      <c r="G26" s="47"/>
      <c r="H26" s="305"/>
    </row>
    <row r="27" spans="1:8" ht="68.25" customHeight="1">
      <c r="A27" s="227" t="s">
        <v>91</v>
      </c>
      <c r="B27" s="227"/>
      <c r="C27" s="227"/>
      <c r="D27" s="38" t="s">
        <v>61</v>
      </c>
      <c r="E27" s="35" t="str">
        <f t="shared" ref="E27:E34" si="0">IF(D27="","No acredita",IF(D27="","",IF(D27="SI","Acredita","No acredita")))</f>
        <v>Acredita</v>
      </c>
      <c r="F27" s="202"/>
      <c r="H27" s="305"/>
    </row>
    <row r="28" spans="1:8" ht="31.5" customHeight="1">
      <c r="A28" s="227" t="s">
        <v>92</v>
      </c>
      <c r="B28" s="227"/>
      <c r="C28" s="227"/>
      <c r="D28" s="38" t="s">
        <v>61</v>
      </c>
      <c r="E28" s="35" t="str">
        <f t="shared" si="0"/>
        <v>Acredita</v>
      </c>
      <c r="F28" s="202"/>
      <c r="H28" s="305"/>
    </row>
    <row r="29" spans="1:8" ht="14">
      <c r="A29" s="227" t="s">
        <v>69</v>
      </c>
      <c r="B29" s="227"/>
      <c r="C29" s="227"/>
      <c r="D29" s="38" t="s">
        <v>61</v>
      </c>
      <c r="E29" s="35" t="str">
        <f t="shared" si="0"/>
        <v>Acredita</v>
      </c>
      <c r="F29" s="202"/>
      <c r="H29" s="305"/>
    </row>
    <row r="30" spans="1:8" ht="14">
      <c r="A30" s="227" t="s">
        <v>103</v>
      </c>
      <c r="B30" s="227"/>
      <c r="C30" s="227"/>
      <c r="D30" s="38" t="s">
        <v>61</v>
      </c>
      <c r="E30" s="35" t="str">
        <f t="shared" si="0"/>
        <v>Acredita</v>
      </c>
      <c r="F30" s="203"/>
      <c r="H30" s="306"/>
    </row>
    <row r="31" spans="1:8" ht="14">
      <c r="A31" s="235" t="s">
        <v>97</v>
      </c>
      <c r="B31" s="288" t="s">
        <v>93</v>
      </c>
      <c r="C31" s="289"/>
      <c r="D31" s="38" t="s">
        <v>62</v>
      </c>
      <c r="E31" s="35" t="str">
        <f t="shared" si="0"/>
        <v>No acredita</v>
      </c>
      <c r="F31" s="290"/>
      <c r="H31" s="307"/>
    </row>
    <row r="32" spans="1:8" ht="14">
      <c r="A32" s="287"/>
      <c r="B32" s="288" t="s">
        <v>94</v>
      </c>
      <c r="C32" s="289"/>
      <c r="D32" s="38" t="s">
        <v>61</v>
      </c>
      <c r="E32" s="35" t="str">
        <f t="shared" si="0"/>
        <v>Acredita</v>
      </c>
      <c r="F32" s="291"/>
      <c r="H32" s="308"/>
    </row>
    <row r="33" spans="1:8" ht="14">
      <c r="A33" s="287"/>
      <c r="B33" s="288" t="s">
        <v>95</v>
      </c>
      <c r="C33" s="289"/>
      <c r="D33" s="38" t="s">
        <v>61</v>
      </c>
      <c r="E33" s="35" t="str">
        <f t="shared" si="0"/>
        <v>Acredita</v>
      </c>
      <c r="F33" s="291"/>
      <c r="H33" s="308"/>
    </row>
    <row r="34" spans="1:8" ht="14">
      <c r="A34" s="236"/>
      <c r="B34" s="288" t="s">
        <v>96</v>
      </c>
      <c r="C34" s="289"/>
      <c r="D34" s="38" t="s">
        <v>62</v>
      </c>
      <c r="E34" s="35" t="str">
        <f t="shared" si="0"/>
        <v>No acredita</v>
      </c>
      <c r="F34" s="292"/>
      <c r="H34" s="309"/>
    </row>
    <row r="35" spans="1:8">
      <c r="A35" s="231" t="s">
        <v>68</v>
      </c>
      <c r="B35" s="231"/>
      <c r="C35" s="231"/>
      <c r="D35" s="231"/>
      <c r="E35" s="295" t="str">
        <f>IF(AND(E20="acredita",E22="acredita",E23="acredita",E24="acredita",E25="acredita",E26="acredita",E27="acredita",E28="acredita",E29="acredita",E30="acredita"),"CUMPLE","NO CUMPLE")</f>
        <v>CUMPLE</v>
      </c>
      <c r="F35" s="296"/>
      <c r="H35" s="20"/>
    </row>
    <row r="36" spans="1:8">
      <c r="A36" s="26"/>
      <c r="B36" s="26"/>
      <c r="C36" s="26"/>
      <c r="D36" s="26"/>
      <c r="E36" s="22"/>
      <c r="F36" s="166"/>
      <c r="H36" s="22"/>
    </row>
    <row r="37" spans="1:8">
      <c r="A37" s="28" t="s">
        <v>211</v>
      </c>
      <c r="B37" s="294" t="s">
        <v>212</v>
      </c>
      <c r="C37" s="294"/>
      <c r="D37" s="294"/>
      <c r="E37" s="294"/>
      <c r="F37" s="294"/>
      <c r="H37" s="20"/>
    </row>
    <row r="38" spans="1:8" ht="60" customHeight="1">
      <c r="A38" s="28" t="s">
        <v>51</v>
      </c>
      <c r="B38" s="241" t="s">
        <v>210</v>
      </c>
      <c r="C38" s="241"/>
      <c r="D38" s="241"/>
      <c r="E38" s="241"/>
      <c r="F38" s="241"/>
      <c r="H38" s="20"/>
    </row>
    <row r="39" spans="1:8">
      <c r="A39" s="23" t="s">
        <v>52</v>
      </c>
      <c r="B39" s="234"/>
      <c r="C39" s="234"/>
      <c r="D39" s="234"/>
      <c r="E39" s="234"/>
      <c r="F39" s="234"/>
      <c r="H39" s="20"/>
    </row>
    <row r="40" spans="1:8">
      <c r="A40" s="28" t="s">
        <v>65</v>
      </c>
      <c r="B40" s="31" t="s">
        <v>53</v>
      </c>
      <c r="C40" s="32" t="s">
        <v>66</v>
      </c>
      <c r="D40" s="32" t="s">
        <v>54</v>
      </c>
      <c r="E40" s="32" t="s">
        <v>67</v>
      </c>
      <c r="F40" s="169" t="s">
        <v>55</v>
      </c>
      <c r="H40" s="32" t="s">
        <v>55</v>
      </c>
    </row>
    <row r="41" spans="1:8">
      <c r="A41" s="227" t="s">
        <v>56</v>
      </c>
      <c r="B41" s="33">
        <v>80101600</v>
      </c>
      <c r="C41" s="29">
        <v>80101600</v>
      </c>
      <c r="D41" s="29">
        <v>535</v>
      </c>
      <c r="E41" s="235" t="str">
        <f>IF(B42=C42,"Acredita",IF(B41=C41,"Acredita","No acredita"))</f>
        <v>Acredita</v>
      </c>
      <c r="F41" s="201"/>
      <c r="H41" s="304"/>
    </row>
    <row r="42" spans="1:8">
      <c r="A42" s="227"/>
      <c r="B42" s="33">
        <v>81101500</v>
      </c>
      <c r="C42" s="30">
        <v>81101500</v>
      </c>
      <c r="D42" s="30">
        <v>535</v>
      </c>
      <c r="E42" s="236"/>
      <c r="F42" s="202"/>
      <c r="H42" s="305"/>
    </row>
    <row r="43" spans="1:8" ht="14">
      <c r="A43" s="237" t="s">
        <v>57</v>
      </c>
      <c r="B43" s="238"/>
      <c r="C43" s="239"/>
      <c r="D43" s="34">
        <v>42887</v>
      </c>
      <c r="E43" s="35" t="str">
        <f>IF(D43="","No acredita","Acredita")</f>
        <v>Acredita</v>
      </c>
      <c r="F43" s="202"/>
      <c r="H43" s="305"/>
    </row>
    <row r="44" spans="1:8" ht="14">
      <c r="A44" s="237" t="s">
        <v>58</v>
      </c>
      <c r="B44" s="238"/>
      <c r="C44" s="239"/>
      <c r="D44" s="36">
        <v>120085870</v>
      </c>
      <c r="E44" s="35" t="str">
        <f>IF(D44="","No acredita","Acredita")</f>
        <v>Acredita</v>
      </c>
      <c r="F44" s="202"/>
      <c r="H44" s="305"/>
    </row>
    <row r="45" spans="1:8" ht="14">
      <c r="A45" s="237" t="s">
        <v>59</v>
      </c>
      <c r="B45" s="238"/>
      <c r="C45" s="239"/>
      <c r="D45" s="44">
        <f>IFERROR((D44/(VLOOKUP((YEAR(D47)),SMMLV!$A$9:$C$49,3,0)))*'O1'!D46,"0")</f>
        <v>153.7114876056331</v>
      </c>
      <c r="E45" s="37" t="str">
        <f>IF(D45="","No acredita","Acredita")</f>
        <v>Acredita</v>
      </c>
      <c r="F45" s="202"/>
      <c r="H45" s="305"/>
    </row>
    <row r="46" spans="1:8" ht="14">
      <c r="A46" s="237" t="s">
        <v>80</v>
      </c>
      <c r="B46" s="238"/>
      <c r="C46" s="239"/>
      <c r="D46" s="45">
        <v>1</v>
      </c>
      <c r="E46" s="35" t="str">
        <f>IF(D46="","No acredita","Acredita")</f>
        <v>Acredita</v>
      </c>
      <c r="F46" s="202"/>
      <c r="H46" s="305"/>
    </row>
    <row r="47" spans="1:8" ht="14">
      <c r="A47" s="237" t="s">
        <v>60</v>
      </c>
      <c r="B47" s="238"/>
      <c r="C47" s="239"/>
      <c r="D47" s="34">
        <v>43204</v>
      </c>
      <c r="E47" s="35" t="str">
        <f>IF(D47="","No acredita","Acredita")</f>
        <v>Acredita</v>
      </c>
      <c r="F47" s="202"/>
      <c r="H47" s="305"/>
    </row>
    <row r="48" spans="1:8" ht="72" customHeight="1">
      <c r="A48" s="227" t="s">
        <v>91</v>
      </c>
      <c r="B48" s="227"/>
      <c r="C48" s="227"/>
      <c r="D48" s="38" t="s">
        <v>61</v>
      </c>
      <c r="E48" s="35" t="str">
        <f t="shared" ref="E48:E55" si="1">IF(D48="","No acredita",IF(D48="","",IF(D48="SI","Acredita","No acredita")))</f>
        <v>Acredita</v>
      </c>
      <c r="F48" s="202"/>
      <c r="H48" s="305"/>
    </row>
    <row r="49" spans="1:8" ht="33" customHeight="1">
      <c r="A49" s="227" t="s">
        <v>92</v>
      </c>
      <c r="B49" s="227"/>
      <c r="C49" s="227"/>
      <c r="D49" s="38" t="s">
        <v>61</v>
      </c>
      <c r="E49" s="35" t="str">
        <f t="shared" si="1"/>
        <v>Acredita</v>
      </c>
      <c r="F49" s="202"/>
      <c r="H49" s="305"/>
    </row>
    <row r="50" spans="1:8" ht="14">
      <c r="A50" s="227" t="s">
        <v>69</v>
      </c>
      <c r="B50" s="227"/>
      <c r="C50" s="227"/>
      <c r="D50" s="38" t="s">
        <v>61</v>
      </c>
      <c r="E50" s="35" t="str">
        <f t="shared" si="1"/>
        <v>Acredita</v>
      </c>
      <c r="F50" s="202"/>
      <c r="H50" s="305"/>
    </row>
    <row r="51" spans="1:8" ht="14">
      <c r="A51" s="227" t="s">
        <v>103</v>
      </c>
      <c r="B51" s="227"/>
      <c r="C51" s="227"/>
      <c r="D51" s="38" t="s">
        <v>61</v>
      </c>
      <c r="E51" s="35" t="str">
        <f t="shared" si="1"/>
        <v>Acredita</v>
      </c>
      <c r="F51" s="203"/>
      <c r="H51" s="306"/>
    </row>
    <row r="52" spans="1:8" ht="14">
      <c r="A52" s="235" t="s">
        <v>97</v>
      </c>
      <c r="B52" s="288" t="s">
        <v>93</v>
      </c>
      <c r="C52" s="289"/>
      <c r="D52" s="38" t="s">
        <v>61</v>
      </c>
      <c r="E52" s="35" t="str">
        <f t="shared" si="1"/>
        <v>Acredita</v>
      </c>
      <c r="F52" s="290"/>
      <c r="H52" s="307"/>
    </row>
    <row r="53" spans="1:8" ht="14">
      <c r="A53" s="287"/>
      <c r="B53" s="288" t="s">
        <v>94</v>
      </c>
      <c r="C53" s="289"/>
      <c r="D53" s="38" t="s">
        <v>61</v>
      </c>
      <c r="E53" s="35" t="str">
        <f t="shared" si="1"/>
        <v>Acredita</v>
      </c>
      <c r="F53" s="291"/>
      <c r="H53" s="308"/>
    </row>
    <row r="54" spans="1:8" ht="14">
      <c r="A54" s="287"/>
      <c r="B54" s="288" t="s">
        <v>95</v>
      </c>
      <c r="C54" s="289"/>
      <c r="D54" s="38" t="s">
        <v>61</v>
      </c>
      <c r="E54" s="35" t="str">
        <f t="shared" si="1"/>
        <v>Acredita</v>
      </c>
      <c r="F54" s="291"/>
      <c r="H54" s="308"/>
    </row>
    <row r="55" spans="1:8" ht="14">
      <c r="A55" s="236"/>
      <c r="B55" s="288" t="s">
        <v>96</v>
      </c>
      <c r="C55" s="289"/>
      <c r="D55" s="38" t="s">
        <v>61</v>
      </c>
      <c r="E55" s="35" t="str">
        <f t="shared" si="1"/>
        <v>Acredita</v>
      </c>
      <c r="F55" s="292"/>
      <c r="H55" s="309"/>
    </row>
    <row r="56" spans="1:8">
      <c r="A56" s="231" t="s">
        <v>70</v>
      </c>
      <c r="B56" s="231"/>
      <c r="C56" s="231"/>
      <c r="D56" s="231"/>
      <c r="E56" s="295" t="str">
        <f>IF(AND(E41="acredita",E43="acredita",E44="acredita",E45="acredita",E46="acredita",E47="acredita",E48="acredita",E49="acredita",E50="acredita",E51="acredita"),"CUMPLE","NO CUMPLE")</f>
        <v>CUMPLE</v>
      </c>
      <c r="F56" s="296"/>
      <c r="H56" s="20"/>
    </row>
    <row r="57" spans="1:8">
      <c r="A57" s="26"/>
      <c r="B57" s="26"/>
      <c r="C57" s="26"/>
      <c r="D57" s="26"/>
      <c r="E57" s="22"/>
      <c r="F57" s="166"/>
      <c r="H57" s="22"/>
    </row>
    <row r="58" spans="1:8" hidden="1">
      <c r="A58" s="28" t="s">
        <v>81</v>
      </c>
      <c r="B58" s="294"/>
      <c r="C58" s="294"/>
      <c r="D58" s="294"/>
      <c r="E58" s="294"/>
      <c r="F58" s="294"/>
      <c r="H58" s="20"/>
    </row>
    <row r="59" spans="1:8" hidden="1">
      <c r="A59" s="28" t="s">
        <v>51</v>
      </c>
      <c r="B59" s="241"/>
      <c r="C59" s="241"/>
      <c r="D59" s="241"/>
      <c r="E59" s="241"/>
      <c r="F59" s="241"/>
      <c r="H59" s="20"/>
    </row>
    <row r="60" spans="1:8" hidden="1">
      <c r="A60" s="23" t="s">
        <v>52</v>
      </c>
      <c r="B60" s="234"/>
      <c r="C60" s="234"/>
      <c r="D60" s="234"/>
      <c r="E60" s="234"/>
      <c r="F60" s="234"/>
      <c r="H60" s="20"/>
    </row>
    <row r="61" spans="1:8" hidden="1">
      <c r="A61" s="28" t="s">
        <v>65</v>
      </c>
      <c r="B61" s="31" t="s">
        <v>53</v>
      </c>
      <c r="C61" s="32" t="s">
        <v>66</v>
      </c>
      <c r="D61" s="32" t="s">
        <v>54</v>
      </c>
      <c r="E61" s="32" t="s">
        <v>67</v>
      </c>
      <c r="F61" s="169" t="s">
        <v>55</v>
      </c>
      <c r="H61" s="32" t="s">
        <v>55</v>
      </c>
    </row>
    <row r="62" spans="1:8" hidden="1">
      <c r="A62" s="227" t="s">
        <v>56</v>
      </c>
      <c r="B62" s="33">
        <v>80101600</v>
      </c>
      <c r="C62" s="29"/>
      <c r="D62" s="29"/>
      <c r="E62" s="235" t="str">
        <f>IF(B63=C63,"Acredita",IF(B62=C62,"Acredita","No acredita"))</f>
        <v>No acredita</v>
      </c>
      <c r="F62" s="201"/>
      <c r="H62" s="304"/>
    </row>
    <row r="63" spans="1:8" hidden="1">
      <c r="A63" s="227"/>
      <c r="B63" s="33">
        <v>81101500</v>
      </c>
      <c r="C63" s="30"/>
      <c r="D63" s="30"/>
      <c r="E63" s="236"/>
      <c r="F63" s="202"/>
      <c r="H63" s="305"/>
    </row>
    <row r="64" spans="1:8" ht="14" hidden="1">
      <c r="A64" s="237" t="s">
        <v>57</v>
      </c>
      <c r="B64" s="238"/>
      <c r="C64" s="239"/>
      <c r="D64" s="34"/>
      <c r="E64" s="35" t="str">
        <f>IF(D64="","No acredita","Acredita")</f>
        <v>No acredita</v>
      </c>
      <c r="F64" s="202"/>
      <c r="H64" s="305"/>
    </row>
    <row r="65" spans="1:8" ht="14" hidden="1">
      <c r="A65" s="237" t="s">
        <v>58</v>
      </c>
      <c r="B65" s="238"/>
      <c r="C65" s="239"/>
      <c r="D65" s="36"/>
      <c r="E65" s="35" t="str">
        <f>IF(D65="","No acredita","Acredita")</f>
        <v>No acredita</v>
      </c>
      <c r="F65" s="202"/>
      <c r="H65" s="305"/>
    </row>
    <row r="66" spans="1:8" ht="14" hidden="1">
      <c r="A66" s="237" t="s">
        <v>59</v>
      </c>
      <c r="B66" s="238"/>
      <c r="C66" s="239"/>
      <c r="D66" s="44" t="str">
        <f>IFERROR((D65/(VLOOKUP((YEAR(D68)),SMMLV!$A$9:$C$49,3,0)))*'O1'!D67,"0")</f>
        <v>0</v>
      </c>
      <c r="E66" s="37" t="str">
        <f>IF(D66="","No acredita","Acredita")</f>
        <v>Acredita</v>
      </c>
      <c r="F66" s="202"/>
      <c r="H66" s="305"/>
    </row>
    <row r="67" spans="1:8" ht="14" hidden="1">
      <c r="A67" s="237" t="s">
        <v>80</v>
      </c>
      <c r="B67" s="238"/>
      <c r="C67" s="239"/>
      <c r="D67" s="45"/>
      <c r="E67" s="35" t="str">
        <f>IF(D67="","No acredita","Acredita")</f>
        <v>No acredita</v>
      </c>
      <c r="F67" s="202"/>
      <c r="H67" s="305"/>
    </row>
    <row r="68" spans="1:8" ht="14" hidden="1">
      <c r="A68" s="237" t="s">
        <v>60</v>
      </c>
      <c r="B68" s="238"/>
      <c r="C68" s="239"/>
      <c r="D68" s="34"/>
      <c r="E68" s="35" t="str">
        <f>IF(D68="","No acredita","Acredita")</f>
        <v>No acredita</v>
      </c>
      <c r="F68" s="202"/>
      <c r="H68" s="305"/>
    </row>
    <row r="69" spans="1:8" ht="65.25" hidden="1" customHeight="1">
      <c r="A69" s="227" t="s">
        <v>91</v>
      </c>
      <c r="B69" s="227"/>
      <c r="C69" s="227"/>
      <c r="D69" s="38"/>
      <c r="E69" s="35" t="str">
        <f t="shared" ref="E69:E76" si="2">IF(D69="","No acredita",IF(D69="","",IF(D69="SI","Acredita","No acredita")))</f>
        <v>No acredita</v>
      </c>
      <c r="F69" s="202"/>
      <c r="H69" s="305"/>
    </row>
    <row r="70" spans="1:8" ht="28.5" hidden="1" customHeight="1">
      <c r="A70" s="227" t="s">
        <v>92</v>
      </c>
      <c r="B70" s="227"/>
      <c r="C70" s="227"/>
      <c r="D70" s="38"/>
      <c r="E70" s="35" t="str">
        <f t="shared" si="2"/>
        <v>No acredita</v>
      </c>
      <c r="F70" s="202"/>
      <c r="H70" s="305"/>
    </row>
    <row r="71" spans="1:8" ht="14" hidden="1">
      <c r="A71" s="227" t="s">
        <v>69</v>
      </c>
      <c r="B71" s="227"/>
      <c r="C71" s="227"/>
      <c r="D71" s="38"/>
      <c r="E71" s="35" t="str">
        <f t="shared" si="2"/>
        <v>No acredita</v>
      </c>
      <c r="F71" s="202"/>
      <c r="H71" s="305"/>
    </row>
    <row r="72" spans="1:8" ht="14" hidden="1">
      <c r="A72" s="227" t="s">
        <v>102</v>
      </c>
      <c r="B72" s="227"/>
      <c r="C72" s="227"/>
      <c r="D72" s="38"/>
      <c r="E72" s="35" t="str">
        <f t="shared" si="2"/>
        <v>No acredita</v>
      </c>
      <c r="F72" s="203"/>
      <c r="H72" s="306"/>
    </row>
    <row r="73" spans="1:8" ht="14" hidden="1">
      <c r="A73" s="235" t="s">
        <v>97</v>
      </c>
      <c r="B73" s="288" t="s">
        <v>93</v>
      </c>
      <c r="C73" s="289"/>
      <c r="D73" s="38"/>
      <c r="E73" s="35" t="str">
        <f t="shared" si="2"/>
        <v>No acredita</v>
      </c>
      <c r="F73" s="290"/>
      <c r="H73" s="307"/>
    </row>
    <row r="74" spans="1:8" ht="14" hidden="1">
      <c r="A74" s="287"/>
      <c r="B74" s="288" t="s">
        <v>94</v>
      </c>
      <c r="C74" s="289"/>
      <c r="D74" s="38"/>
      <c r="E74" s="35" t="str">
        <f t="shared" si="2"/>
        <v>No acredita</v>
      </c>
      <c r="F74" s="291"/>
      <c r="H74" s="308"/>
    </row>
    <row r="75" spans="1:8" ht="14" hidden="1">
      <c r="A75" s="287"/>
      <c r="B75" s="288" t="s">
        <v>95</v>
      </c>
      <c r="C75" s="289"/>
      <c r="D75" s="38"/>
      <c r="E75" s="35" t="str">
        <f t="shared" si="2"/>
        <v>No acredita</v>
      </c>
      <c r="F75" s="291"/>
      <c r="H75" s="308"/>
    </row>
    <row r="76" spans="1:8" ht="14" hidden="1">
      <c r="A76" s="236"/>
      <c r="B76" s="288" t="s">
        <v>96</v>
      </c>
      <c r="C76" s="289"/>
      <c r="D76" s="38"/>
      <c r="E76" s="35" t="str">
        <f t="shared" si="2"/>
        <v>No acredita</v>
      </c>
      <c r="F76" s="292"/>
      <c r="H76" s="309"/>
    </row>
    <row r="77" spans="1:8" hidden="1">
      <c r="A77" s="231" t="s">
        <v>71</v>
      </c>
      <c r="B77" s="231"/>
      <c r="C77" s="231"/>
      <c r="D77" s="231"/>
      <c r="E77" s="232" t="str">
        <f>IF(AND(E62="acredita",E64="acredita",E65="acredita",E66="acredita",E67="acredita",E68="acredita",E69="acredita",E70="acredita",E71="acredita",E72="acredita"),"CUMPLE","NO CUMPLE")</f>
        <v>NO CUMPLE</v>
      </c>
      <c r="F77" s="233"/>
      <c r="H77" s="20"/>
    </row>
    <row r="78" spans="1:8" hidden="1">
      <c r="A78" s="26"/>
      <c r="B78" s="26"/>
      <c r="C78" s="26"/>
      <c r="D78" s="26"/>
      <c r="E78" s="22"/>
      <c r="F78" s="166"/>
      <c r="H78" s="22"/>
    </row>
    <row r="79" spans="1:8" hidden="1">
      <c r="A79" s="28" t="s">
        <v>82</v>
      </c>
      <c r="B79" s="294"/>
      <c r="C79" s="294"/>
      <c r="D79" s="294"/>
      <c r="E79" s="294"/>
      <c r="F79" s="294"/>
      <c r="H79" s="20"/>
    </row>
    <row r="80" spans="1:8" hidden="1">
      <c r="A80" s="28" t="s">
        <v>51</v>
      </c>
      <c r="B80" s="241"/>
      <c r="C80" s="241"/>
      <c r="D80" s="241"/>
      <c r="E80" s="241"/>
      <c r="F80" s="241"/>
      <c r="H80" s="20"/>
    </row>
    <row r="81" spans="1:8" hidden="1">
      <c r="A81" s="23" t="s">
        <v>52</v>
      </c>
      <c r="B81" s="234"/>
      <c r="C81" s="234"/>
      <c r="D81" s="234"/>
      <c r="E81" s="234"/>
      <c r="F81" s="234"/>
      <c r="H81" s="20"/>
    </row>
    <row r="82" spans="1:8" hidden="1">
      <c r="A82" s="28" t="s">
        <v>65</v>
      </c>
      <c r="B82" s="31" t="s">
        <v>53</v>
      </c>
      <c r="C82" s="32" t="s">
        <v>66</v>
      </c>
      <c r="D82" s="32" t="s">
        <v>54</v>
      </c>
      <c r="E82" s="32" t="s">
        <v>67</v>
      </c>
      <c r="F82" s="169" t="s">
        <v>55</v>
      </c>
      <c r="H82" s="32" t="s">
        <v>55</v>
      </c>
    </row>
    <row r="83" spans="1:8" hidden="1">
      <c r="A83" s="227" t="s">
        <v>56</v>
      </c>
      <c r="B83" s="33">
        <v>80101600</v>
      </c>
      <c r="C83" s="29"/>
      <c r="D83" s="29"/>
      <c r="E83" s="235" t="str">
        <f>IF(B84=C84,"Acredita",IF(B83=C83,"Acredita","No acredita"))</f>
        <v>No acredita</v>
      </c>
      <c r="F83" s="201"/>
      <c r="H83" s="304"/>
    </row>
    <row r="84" spans="1:8" hidden="1">
      <c r="A84" s="227"/>
      <c r="B84" s="33">
        <v>81101500</v>
      </c>
      <c r="C84" s="30"/>
      <c r="D84" s="30"/>
      <c r="E84" s="236"/>
      <c r="F84" s="202"/>
      <c r="H84" s="305"/>
    </row>
    <row r="85" spans="1:8" ht="14" hidden="1">
      <c r="A85" s="237" t="s">
        <v>57</v>
      </c>
      <c r="B85" s="238"/>
      <c r="C85" s="239"/>
      <c r="D85" s="34"/>
      <c r="E85" s="35" t="str">
        <f>IF(D85="","No acredita","Acredita")</f>
        <v>No acredita</v>
      </c>
      <c r="F85" s="202"/>
      <c r="H85" s="305"/>
    </row>
    <row r="86" spans="1:8" ht="14" hidden="1">
      <c r="A86" s="237" t="s">
        <v>58</v>
      </c>
      <c r="B86" s="238"/>
      <c r="C86" s="239"/>
      <c r="D86" s="36"/>
      <c r="E86" s="35" t="str">
        <f>IF(D86="","No acredita","Acredita")</f>
        <v>No acredita</v>
      </c>
      <c r="F86" s="202"/>
      <c r="H86" s="305"/>
    </row>
    <row r="87" spans="1:8" ht="14" hidden="1">
      <c r="A87" s="237" t="s">
        <v>59</v>
      </c>
      <c r="B87" s="238"/>
      <c r="C87" s="239"/>
      <c r="D87" s="44" t="str">
        <f>IFERROR((D86/(VLOOKUP((YEAR(D89)),SMMLV!$A$9:$C$49,3,0)))*'O1'!D88,"0")</f>
        <v>0</v>
      </c>
      <c r="E87" s="37" t="str">
        <f>IF(D87="","No acredita","Acredita")</f>
        <v>Acredita</v>
      </c>
      <c r="F87" s="202"/>
      <c r="H87" s="305"/>
    </row>
    <row r="88" spans="1:8" ht="14" hidden="1">
      <c r="A88" s="237" t="s">
        <v>80</v>
      </c>
      <c r="B88" s="238"/>
      <c r="C88" s="239"/>
      <c r="D88" s="45"/>
      <c r="E88" s="35" t="str">
        <f>IF(D88="","No acredita","Acredita")</f>
        <v>No acredita</v>
      </c>
      <c r="F88" s="202"/>
      <c r="H88" s="305"/>
    </row>
    <row r="89" spans="1:8" ht="14" hidden="1">
      <c r="A89" s="237" t="s">
        <v>60</v>
      </c>
      <c r="B89" s="238"/>
      <c r="C89" s="239"/>
      <c r="D89" s="34"/>
      <c r="E89" s="35" t="str">
        <f>IF(D89="","No acredita","Acredita")</f>
        <v>No acredita</v>
      </c>
      <c r="F89" s="202"/>
      <c r="H89" s="305"/>
    </row>
    <row r="90" spans="1:8" ht="69.75" hidden="1" customHeight="1">
      <c r="A90" s="227" t="s">
        <v>91</v>
      </c>
      <c r="B90" s="227"/>
      <c r="C90" s="227"/>
      <c r="D90" s="38"/>
      <c r="E90" s="35" t="str">
        <f t="shared" ref="E90:E97" si="3">IF(D90="","No acredita",IF(D90="","",IF(D90="SI","Acredita","No acredita")))</f>
        <v>No acredita</v>
      </c>
      <c r="F90" s="202"/>
      <c r="H90" s="305"/>
    </row>
    <row r="91" spans="1:8" ht="32.25" hidden="1" customHeight="1">
      <c r="A91" s="227" t="s">
        <v>92</v>
      </c>
      <c r="B91" s="227"/>
      <c r="C91" s="227"/>
      <c r="D91" s="38" t="s">
        <v>62</v>
      </c>
      <c r="E91" s="35" t="str">
        <f t="shared" si="3"/>
        <v>No acredita</v>
      </c>
      <c r="F91" s="202"/>
      <c r="H91" s="305"/>
    </row>
    <row r="92" spans="1:8" ht="14" hidden="1">
      <c r="A92" s="227" t="s">
        <v>69</v>
      </c>
      <c r="B92" s="227"/>
      <c r="C92" s="227"/>
      <c r="D92" s="38"/>
      <c r="E92" s="35" t="str">
        <f t="shared" si="3"/>
        <v>No acredita</v>
      </c>
      <c r="F92" s="202"/>
      <c r="H92" s="305"/>
    </row>
    <row r="93" spans="1:8" ht="14" hidden="1">
      <c r="A93" s="227" t="s">
        <v>102</v>
      </c>
      <c r="B93" s="227"/>
      <c r="C93" s="227"/>
      <c r="D93" s="38"/>
      <c r="E93" s="35" t="str">
        <f t="shared" si="3"/>
        <v>No acredita</v>
      </c>
      <c r="F93" s="203"/>
      <c r="H93" s="306"/>
    </row>
    <row r="94" spans="1:8" ht="14" hidden="1">
      <c r="A94" s="235" t="s">
        <v>97</v>
      </c>
      <c r="B94" s="288" t="s">
        <v>93</v>
      </c>
      <c r="C94" s="289"/>
      <c r="D94" s="38"/>
      <c r="E94" s="35" t="str">
        <f t="shared" si="3"/>
        <v>No acredita</v>
      </c>
      <c r="F94" s="290"/>
      <c r="H94" s="307"/>
    </row>
    <row r="95" spans="1:8" ht="14" hidden="1">
      <c r="A95" s="287"/>
      <c r="B95" s="288" t="s">
        <v>94</v>
      </c>
      <c r="C95" s="289"/>
      <c r="D95" s="38"/>
      <c r="E95" s="35" t="str">
        <f t="shared" si="3"/>
        <v>No acredita</v>
      </c>
      <c r="F95" s="291"/>
      <c r="H95" s="308"/>
    </row>
    <row r="96" spans="1:8" ht="14" hidden="1">
      <c r="A96" s="287"/>
      <c r="B96" s="288" t="s">
        <v>95</v>
      </c>
      <c r="C96" s="289"/>
      <c r="D96" s="38"/>
      <c r="E96" s="35" t="str">
        <f t="shared" si="3"/>
        <v>No acredita</v>
      </c>
      <c r="F96" s="291"/>
      <c r="H96" s="308"/>
    </row>
    <row r="97" spans="1:8" ht="14" hidden="1">
      <c r="A97" s="236"/>
      <c r="B97" s="288" t="s">
        <v>96</v>
      </c>
      <c r="C97" s="289"/>
      <c r="D97" s="38"/>
      <c r="E97" s="35" t="str">
        <f t="shared" si="3"/>
        <v>No acredita</v>
      </c>
      <c r="F97" s="292"/>
      <c r="H97" s="309"/>
    </row>
    <row r="98" spans="1:8" hidden="1">
      <c r="A98" s="231" t="s">
        <v>72</v>
      </c>
      <c r="B98" s="231"/>
      <c r="C98" s="231"/>
      <c r="D98" s="231"/>
      <c r="E98" s="232" t="str">
        <f>IF(AND(E83="acredita",E85="acredita",E86="acredita",E87="acredita",E88="acredita",E89="acredita",E90="acredita",E91="acredita",E92="acredita",E93="acredita"),"CUMPLE","NO CUMPLE")</f>
        <v>NO CUMPLE</v>
      </c>
      <c r="F98" s="233"/>
      <c r="H98" s="20"/>
    </row>
    <row r="99" spans="1:8" hidden="1">
      <c r="A99" s="26"/>
      <c r="B99" s="26"/>
      <c r="C99" s="26"/>
      <c r="D99" s="26"/>
      <c r="E99" s="22"/>
      <c r="F99" s="166"/>
      <c r="H99" s="22"/>
    </row>
    <row r="100" spans="1:8" hidden="1">
      <c r="A100" s="293" t="s">
        <v>98</v>
      </c>
      <c r="B100" s="293"/>
      <c r="C100" s="293"/>
      <c r="D100" s="293"/>
      <c r="E100" s="293"/>
      <c r="F100" s="293"/>
      <c r="H100" s="20"/>
    </row>
    <row r="101" spans="1:8" hidden="1">
      <c r="A101" s="28" t="s">
        <v>83</v>
      </c>
      <c r="B101" s="294"/>
      <c r="C101" s="294"/>
      <c r="D101" s="294"/>
      <c r="E101" s="294"/>
      <c r="F101" s="294"/>
      <c r="H101" s="20"/>
    </row>
    <row r="102" spans="1:8" hidden="1">
      <c r="A102" s="28" t="s">
        <v>51</v>
      </c>
      <c r="B102" s="241"/>
      <c r="C102" s="241"/>
      <c r="D102" s="241"/>
      <c r="E102" s="241"/>
      <c r="F102" s="241"/>
      <c r="H102" s="20"/>
    </row>
    <row r="103" spans="1:8" hidden="1">
      <c r="A103" s="23" t="s">
        <v>52</v>
      </c>
      <c r="B103" s="234"/>
      <c r="C103" s="234"/>
      <c r="D103" s="234"/>
      <c r="E103" s="234"/>
      <c r="F103" s="234"/>
      <c r="H103" s="20"/>
    </row>
    <row r="104" spans="1:8" hidden="1">
      <c r="A104" s="28" t="s">
        <v>65</v>
      </c>
      <c r="B104" s="31" t="s">
        <v>53</v>
      </c>
      <c r="C104" s="32" t="s">
        <v>66</v>
      </c>
      <c r="D104" s="32" t="s">
        <v>54</v>
      </c>
      <c r="E104" s="32" t="s">
        <v>67</v>
      </c>
      <c r="F104" s="169" t="s">
        <v>55</v>
      </c>
      <c r="H104" s="32" t="s">
        <v>55</v>
      </c>
    </row>
    <row r="105" spans="1:8" hidden="1">
      <c r="A105" s="227" t="s">
        <v>56</v>
      </c>
      <c r="B105" s="33">
        <v>80101600</v>
      </c>
      <c r="C105" s="29"/>
      <c r="D105" s="29"/>
      <c r="E105" s="235" t="str">
        <f>IF(B106=C106,"Acredita",IF(B105=C105,"Acredita","No acredita"))</f>
        <v>No acredita</v>
      </c>
      <c r="F105" s="201"/>
      <c r="H105" s="304"/>
    </row>
    <row r="106" spans="1:8" hidden="1">
      <c r="A106" s="227"/>
      <c r="B106" s="33">
        <v>81101500</v>
      </c>
      <c r="C106" s="30"/>
      <c r="D106" s="30"/>
      <c r="E106" s="236"/>
      <c r="F106" s="202"/>
      <c r="H106" s="305"/>
    </row>
    <row r="107" spans="1:8" ht="14" hidden="1">
      <c r="A107" s="237" t="s">
        <v>57</v>
      </c>
      <c r="B107" s="238"/>
      <c r="C107" s="239"/>
      <c r="D107" s="34"/>
      <c r="E107" s="35" t="str">
        <f>IF(D107="","No acredita","Acredita")</f>
        <v>No acredita</v>
      </c>
      <c r="F107" s="202"/>
      <c r="H107" s="305"/>
    </row>
    <row r="108" spans="1:8" ht="14" hidden="1">
      <c r="A108" s="237" t="s">
        <v>58</v>
      </c>
      <c r="B108" s="238"/>
      <c r="C108" s="239"/>
      <c r="D108" s="36"/>
      <c r="E108" s="35" t="str">
        <f>IF(D108="","No acredita","Acredita")</f>
        <v>No acredita</v>
      </c>
      <c r="F108" s="202"/>
      <c r="H108" s="305"/>
    </row>
    <row r="109" spans="1:8" ht="14" hidden="1">
      <c r="A109" s="237" t="s">
        <v>59</v>
      </c>
      <c r="B109" s="238"/>
      <c r="C109" s="239"/>
      <c r="D109" s="44" t="str">
        <f>IFERROR((D108/(VLOOKUP((YEAR(D111)),SMMLV!$A$9:$C$49,3,0)))*'O1'!D110,"0")</f>
        <v>0</v>
      </c>
      <c r="E109" s="37" t="str">
        <f>IF(D109="","No acredita","Acredita")</f>
        <v>Acredita</v>
      </c>
      <c r="F109" s="202"/>
      <c r="H109" s="305"/>
    </row>
    <row r="110" spans="1:8" ht="14" hidden="1">
      <c r="A110" s="237" t="s">
        <v>80</v>
      </c>
      <c r="B110" s="238"/>
      <c r="C110" s="239"/>
      <c r="D110" s="45"/>
      <c r="E110" s="35" t="str">
        <f>IF(D110="","No acredita","Acredita")</f>
        <v>No acredita</v>
      </c>
      <c r="F110" s="202"/>
      <c r="H110" s="305"/>
    </row>
    <row r="111" spans="1:8" ht="14" hidden="1">
      <c r="A111" s="237" t="s">
        <v>60</v>
      </c>
      <c r="B111" s="238"/>
      <c r="C111" s="239"/>
      <c r="D111" s="34"/>
      <c r="E111" s="35" t="str">
        <f>IF(D111="","No acredita","Acredita")</f>
        <v>No acredita</v>
      </c>
      <c r="F111" s="202"/>
      <c r="H111" s="305"/>
    </row>
    <row r="112" spans="1:8" ht="68.25" hidden="1" customHeight="1">
      <c r="A112" s="227" t="s">
        <v>91</v>
      </c>
      <c r="B112" s="227"/>
      <c r="C112" s="227"/>
      <c r="D112" s="38"/>
      <c r="E112" s="35" t="str">
        <f t="shared" ref="E112:E119" si="4">IF(D112="","No acredita",IF(D112="","",IF(D112="SI","Acredita","No acredita")))</f>
        <v>No acredita</v>
      </c>
      <c r="F112" s="202"/>
      <c r="H112" s="305"/>
    </row>
    <row r="113" spans="1:8" ht="27" hidden="1" customHeight="1">
      <c r="A113" s="227" t="s">
        <v>92</v>
      </c>
      <c r="B113" s="227"/>
      <c r="C113" s="227"/>
      <c r="D113" s="38"/>
      <c r="E113" s="35" t="str">
        <f t="shared" si="4"/>
        <v>No acredita</v>
      </c>
      <c r="F113" s="202"/>
      <c r="H113" s="305"/>
    </row>
    <row r="114" spans="1:8" ht="14" hidden="1">
      <c r="A114" s="227" t="s">
        <v>69</v>
      </c>
      <c r="B114" s="227"/>
      <c r="C114" s="227"/>
      <c r="D114" s="38"/>
      <c r="E114" s="35" t="str">
        <f t="shared" si="4"/>
        <v>No acredita</v>
      </c>
      <c r="F114" s="202"/>
      <c r="H114" s="305"/>
    </row>
    <row r="115" spans="1:8" ht="14" hidden="1">
      <c r="A115" s="227" t="s">
        <v>102</v>
      </c>
      <c r="B115" s="227"/>
      <c r="C115" s="227"/>
      <c r="D115" s="38"/>
      <c r="E115" s="35" t="str">
        <f t="shared" si="4"/>
        <v>No acredita</v>
      </c>
      <c r="F115" s="203"/>
      <c r="H115" s="306"/>
    </row>
    <row r="116" spans="1:8" ht="14" hidden="1">
      <c r="A116" s="235" t="s">
        <v>97</v>
      </c>
      <c r="B116" s="288" t="s">
        <v>93</v>
      </c>
      <c r="C116" s="289"/>
      <c r="D116" s="38"/>
      <c r="E116" s="35" t="str">
        <f t="shared" si="4"/>
        <v>No acredita</v>
      </c>
      <c r="F116" s="290"/>
      <c r="H116" s="307"/>
    </row>
    <row r="117" spans="1:8" ht="14" hidden="1">
      <c r="A117" s="287"/>
      <c r="B117" s="288" t="s">
        <v>94</v>
      </c>
      <c r="C117" s="289"/>
      <c r="D117" s="38"/>
      <c r="E117" s="35" t="str">
        <f t="shared" si="4"/>
        <v>No acredita</v>
      </c>
      <c r="F117" s="291"/>
      <c r="H117" s="308"/>
    </row>
    <row r="118" spans="1:8" ht="14" hidden="1">
      <c r="A118" s="287"/>
      <c r="B118" s="288" t="s">
        <v>95</v>
      </c>
      <c r="C118" s="289"/>
      <c r="D118" s="38"/>
      <c r="E118" s="35" t="str">
        <f t="shared" si="4"/>
        <v>No acredita</v>
      </c>
      <c r="F118" s="291"/>
      <c r="H118" s="308"/>
    </row>
    <row r="119" spans="1:8" ht="14" hidden="1">
      <c r="A119" s="236"/>
      <c r="B119" s="288" t="s">
        <v>96</v>
      </c>
      <c r="C119" s="289"/>
      <c r="D119" s="38"/>
      <c r="E119" s="35" t="str">
        <f t="shared" si="4"/>
        <v>No acredita</v>
      </c>
      <c r="F119" s="292"/>
      <c r="H119" s="309"/>
    </row>
    <row r="120" spans="1:8" hidden="1">
      <c r="A120" s="231" t="s">
        <v>73</v>
      </c>
      <c r="B120" s="231"/>
      <c r="C120" s="231"/>
      <c r="D120" s="231"/>
      <c r="E120" s="232" t="str">
        <f>IF(AND(E105="acredita",E107="acredita",E108="acredita",E109="acredita",E110="acredita",E111="acredita",E112="acredita",E113="acredita",E114="acredita",E115="acredita"),"CUMPLE","NO CUMPLE")</f>
        <v>NO CUMPLE</v>
      </c>
      <c r="F120" s="233"/>
      <c r="H120" s="20"/>
    </row>
    <row r="121" spans="1:8" hidden="1">
      <c r="A121" s="26"/>
      <c r="B121" s="26"/>
      <c r="C121" s="26"/>
      <c r="D121" s="26"/>
      <c r="E121" s="22"/>
      <c r="F121" s="166"/>
      <c r="H121" s="22"/>
    </row>
    <row r="122" spans="1:8">
      <c r="A122" s="227" t="s">
        <v>101</v>
      </c>
      <c r="B122" s="227"/>
      <c r="C122" s="227"/>
      <c r="D122" s="227"/>
      <c r="E122" s="227"/>
      <c r="F122" s="171" t="s">
        <v>61</v>
      </c>
      <c r="H122" s="46"/>
    </row>
    <row r="123" spans="1:8">
      <c r="A123" s="227"/>
      <c r="B123" s="227"/>
      <c r="C123" s="227"/>
      <c r="D123" s="227"/>
      <c r="E123" s="227"/>
      <c r="F123" s="172" t="str">
        <f>IF(F122="SI","CUMPLE","NO CUMPLE")</f>
        <v>CUMPLE</v>
      </c>
      <c r="H123" s="43"/>
    </row>
    <row r="124" spans="1:8" ht="31.5" customHeight="1">
      <c r="A124" s="227" t="s">
        <v>86</v>
      </c>
      <c r="B124" s="227"/>
      <c r="C124" s="227"/>
      <c r="D124" s="227"/>
      <c r="E124" s="227"/>
      <c r="F124" s="227"/>
      <c r="H124" s="20"/>
    </row>
    <row r="125" spans="1:8">
      <c r="A125" s="26"/>
      <c r="B125" s="26"/>
      <c r="C125" s="26"/>
      <c r="D125" s="26"/>
      <c r="E125" s="22"/>
      <c r="F125" s="166"/>
      <c r="H125" s="22"/>
    </row>
    <row r="126" spans="1:8">
      <c r="A126" s="227" t="s">
        <v>99</v>
      </c>
      <c r="B126" s="227"/>
      <c r="C126" s="227"/>
      <c r="D126" s="227"/>
      <c r="E126" s="227"/>
      <c r="F126" s="171">
        <f>SUM(D24+D45+D66+D87+D109)</f>
        <v>1248.8377135381866</v>
      </c>
      <c r="H126" s="46"/>
    </row>
    <row r="127" spans="1:8">
      <c r="A127" s="227"/>
      <c r="B127" s="227"/>
      <c r="C127" s="227"/>
      <c r="D127" s="227"/>
      <c r="E127" s="227"/>
      <c r="F127" s="172" t="str">
        <f>IF(F126&gt;=433.26,"CUMPLE","NO CUMPLE")</f>
        <v>CUMPLE</v>
      </c>
      <c r="H127" s="43"/>
    </row>
    <row r="128" spans="1:8" ht="33" customHeight="1">
      <c r="A128" s="227" t="s">
        <v>86</v>
      </c>
      <c r="B128" s="227"/>
      <c r="C128" s="227"/>
      <c r="D128" s="227"/>
      <c r="E128" s="227"/>
      <c r="F128" s="227"/>
      <c r="H128" s="20"/>
    </row>
    <row r="129" spans="1:8">
      <c r="A129" s="41"/>
      <c r="B129" s="41"/>
      <c r="C129" s="41"/>
      <c r="D129" s="41"/>
      <c r="E129" s="41"/>
      <c r="F129" s="166"/>
      <c r="H129" s="22"/>
    </row>
    <row r="130" spans="1:8">
      <c r="A130" s="227" t="s">
        <v>100</v>
      </c>
      <c r="B130" s="227"/>
      <c r="C130" s="227"/>
      <c r="D130" s="227"/>
      <c r="E130" s="227"/>
      <c r="F130" s="171" t="s">
        <v>61</v>
      </c>
      <c r="H130" s="46"/>
    </row>
    <row r="131" spans="1:8" ht="27" customHeight="1">
      <c r="A131" s="227"/>
      <c r="B131" s="227"/>
      <c r="C131" s="227"/>
      <c r="D131" s="227"/>
      <c r="E131" s="227"/>
      <c r="F131" s="172" t="str">
        <f>IF(F130="SI","CUMPLE","NO CUMPLE")</f>
        <v>CUMPLE</v>
      </c>
      <c r="H131" s="43"/>
    </row>
    <row r="132" spans="1:8" ht="29.25" customHeight="1">
      <c r="A132" s="227" t="s">
        <v>84</v>
      </c>
      <c r="B132" s="227"/>
      <c r="C132" s="227"/>
      <c r="D132" s="227"/>
      <c r="E132" s="227"/>
      <c r="F132" s="227"/>
      <c r="H132" s="20"/>
    </row>
    <row r="133" spans="1:8">
      <c r="A133" s="39"/>
      <c r="B133" s="39"/>
      <c r="C133" s="39"/>
      <c r="D133" s="39"/>
      <c r="E133" s="39"/>
      <c r="F133" s="173"/>
      <c r="H133" s="40"/>
    </row>
    <row r="134" spans="1:8">
      <c r="A134" s="227" t="s">
        <v>74</v>
      </c>
      <c r="B134" s="227"/>
      <c r="C134" s="227"/>
      <c r="D134" s="227"/>
      <c r="E134" s="227"/>
      <c r="F134" s="171" t="s">
        <v>61</v>
      </c>
      <c r="H134" s="46"/>
    </row>
    <row r="135" spans="1:8">
      <c r="A135" s="227"/>
      <c r="B135" s="227"/>
      <c r="C135" s="227"/>
      <c r="D135" s="227"/>
      <c r="E135" s="227"/>
      <c r="F135" s="172" t="str">
        <f>IF(F134="SI","CUMPLE","NO CUMPLE")</f>
        <v>CUMPLE</v>
      </c>
      <c r="H135" s="43"/>
    </row>
    <row r="136" spans="1:8" ht="27.75" customHeight="1">
      <c r="A136" s="227" t="s">
        <v>84</v>
      </c>
      <c r="B136" s="227"/>
      <c r="C136" s="227"/>
      <c r="D136" s="227"/>
      <c r="E136" s="227"/>
      <c r="F136" s="227"/>
      <c r="H136" s="20"/>
    </row>
    <row r="137" spans="1:8">
      <c r="A137" s="39"/>
      <c r="B137" s="39"/>
      <c r="C137" s="39"/>
      <c r="D137" s="39"/>
      <c r="E137" s="39"/>
      <c r="F137" s="173"/>
      <c r="H137" s="40"/>
    </row>
    <row r="138" spans="1:8" ht="14">
      <c r="A138" s="284" t="s">
        <v>90</v>
      </c>
      <c r="B138" s="285"/>
      <c r="C138" s="285"/>
      <c r="D138" s="285"/>
      <c r="E138" s="286"/>
      <c r="F138" s="174" t="str">
        <f>IF(AND(F123="cumple",F127="cumple",F131="cumple",F135="cumple"),"CUMPLE","NO CUMPLE")</f>
        <v>CUMPLE</v>
      </c>
      <c r="H138" s="74"/>
    </row>
    <row r="139" spans="1:8">
      <c r="A139" s="39"/>
      <c r="B139" s="39"/>
      <c r="C139" s="39"/>
      <c r="D139" s="39"/>
      <c r="E139" s="39"/>
      <c r="F139" s="173"/>
      <c r="H139" s="40"/>
    </row>
    <row r="140" spans="1:8" hidden="1">
      <c r="A140" s="39"/>
      <c r="B140" s="39"/>
      <c r="C140" s="39"/>
      <c r="D140" s="39"/>
      <c r="E140" s="39"/>
      <c r="F140" s="173"/>
      <c r="H140" s="40"/>
    </row>
    <row r="141" spans="1:8" hidden="1">
      <c r="A141" s="39"/>
      <c r="B141" s="39"/>
      <c r="C141" s="39"/>
      <c r="D141" s="39"/>
      <c r="E141" s="39"/>
      <c r="F141" s="173"/>
      <c r="H141" s="40"/>
    </row>
    <row r="142" spans="1:8" hidden="1">
      <c r="A142" s="39"/>
      <c r="B142" s="39"/>
      <c r="C142" s="39"/>
      <c r="D142" s="39"/>
      <c r="E142" s="39"/>
      <c r="F142" s="173"/>
      <c r="H142" s="40"/>
    </row>
    <row r="143" spans="1:8" hidden="1">
      <c r="A143" s="39"/>
      <c r="B143" s="39"/>
      <c r="C143" s="39"/>
      <c r="D143" s="39"/>
      <c r="E143" s="39"/>
      <c r="F143" s="173"/>
      <c r="H143" s="40"/>
    </row>
    <row r="144" spans="1:8" hidden="1">
      <c r="A144" s="39"/>
      <c r="B144" s="39"/>
      <c r="C144" s="39"/>
      <c r="D144" s="39"/>
      <c r="E144" s="39"/>
      <c r="F144" s="173"/>
      <c r="H144" s="40"/>
    </row>
    <row r="145" spans="1:8" hidden="1">
      <c r="A145" s="39"/>
      <c r="B145" s="39"/>
      <c r="C145" s="39"/>
      <c r="D145" s="39"/>
      <c r="E145" s="39"/>
      <c r="F145" s="173"/>
      <c r="H145" s="40"/>
    </row>
    <row r="146" spans="1:8" hidden="1">
      <c r="A146" s="39"/>
      <c r="B146" s="39"/>
      <c r="C146" s="39"/>
      <c r="D146" s="39"/>
      <c r="E146" s="39"/>
      <c r="F146" s="173"/>
      <c r="H146" s="40"/>
    </row>
    <row r="147" spans="1:8" ht="14">
      <c r="A147" s="212" t="s">
        <v>114</v>
      </c>
      <c r="B147" s="212"/>
      <c r="C147" s="212"/>
      <c r="D147" s="212"/>
      <c r="E147" s="212"/>
      <c r="F147" s="212"/>
      <c r="H147" s="20"/>
    </row>
    <row r="148" spans="1:8">
      <c r="A148" s="39"/>
      <c r="B148" s="39"/>
      <c r="C148" s="39"/>
      <c r="D148" s="39"/>
      <c r="E148" s="39"/>
      <c r="F148" s="173"/>
      <c r="H148" s="40"/>
    </row>
    <row r="149" spans="1:8">
      <c r="A149" s="262" t="s">
        <v>138</v>
      </c>
      <c r="B149" s="262"/>
      <c r="C149" s="262"/>
      <c r="D149" s="262"/>
      <c r="E149" s="262"/>
      <c r="F149" s="262"/>
      <c r="H149" s="20"/>
    </row>
    <row r="150" spans="1:8">
      <c r="A150" s="281" t="s">
        <v>104</v>
      </c>
      <c r="B150" s="282"/>
      <c r="C150" s="283"/>
      <c r="D150" s="266" t="s">
        <v>213</v>
      </c>
      <c r="E150" s="267"/>
      <c r="F150" s="268"/>
      <c r="H150" s="20"/>
    </row>
    <row r="151" spans="1:8" ht="68.25" customHeight="1">
      <c r="A151" s="73" t="s">
        <v>105</v>
      </c>
      <c r="B151" s="280" t="s">
        <v>124</v>
      </c>
      <c r="C151" s="280"/>
      <c r="D151" s="52" t="s">
        <v>115</v>
      </c>
      <c r="E151" s="52" t="str">
        <f>IF(D151="","NO CUMPLE","CUMPLE")</f>
        <v>CUMPLE</v>
      </c>
      <c r="F151" s="175"/>
      <c r="H151" s="53"/>
    </row>
    <row r="152" spans="1:8" ht="14">
      <c r="A152" s="73" t="s">
        <v>106</v>
      </c>
      <c r="B152" s="280" t="s">
        <v>133</v>
      </c>
      <c r="C152" s="280"/>
      <c r="D152" s="54" t="s">
        <v>61</v>
      </c>
      <c r="E152" s="55" t="str">
        <f>IF(D152="SI","CUMPLE","NO CUMPLE")</f>
        <v>CUMPLE</v>
      </c>
      <c r="F152" s="175" t="s">
        <v>215</v>
      </c>
      <c r="H152" s="53" t="s">
        <v>215</v>
      </c>
    </row>
    <row r="153" spans="1:8" ht="14">
      <c r="A153" s="73" t="s">
        <v>107</v>
      </c>
      <c r="B153" s="280" t="s">
        <v>108</v>
      </c>
      <c r="C153" s="280"/>
      <c r="D153" s="63" t="s">
        <v>214</v>
      </c>
      <c r="E153" s="55" t="str">
        <f>IF(D153="","NO CUMPLE","CUMPLE")</f>
        <v>CUMPLE</v>
      </c>
      <c r="F153" s="175"/>
      <c r="H153" s="53"/>
    </row>
    <row r="154" spans="1:8" ht="14">
      <c r="A154" s="275" t="s">
        <v>109</v>
      </c>
      <c r="B154" s="276"/>
      <c r="C154" s="277"/>
      <c r="D154" s="56">
        <v>45617</v>
      </c>
      <c r="E154" s="55" t="str">
        <f>IF(($B$4-D154)&gt;183,"NO CUMPLE","CUMPLE")</f>
        <v>CUMPLE</v>
      </c>
      <c r="F154" s="175"/>
      <c r="H154" s="53"/>
    </row>
    <row r="155" spans="1:8" ht="14">
      <c r="A155" s="278" t="s">
        <v>107</v>
      </c>
      <c r="B155" s="280" t="s">
        <v>132</v>
      </c>
      <c r="C155" s="280"/>
      <c r="D155" s="54">
        <v>35481</v>
      </c>
      <c r="E155" s="55" t="str">
        <f>IF(D155="","NO CUMPLE","CUMPLE")</f>
        <v>CUMPLE</v>
      </c>
      <c r="F155" s="175"/>
      <c r="G155" s="50"/>
      <c r="H155" s="53"/>
    </row>
    <row r="156" spans="1:8" ht="14">
      <c r="A156" s="279"/>
      <c r="B156" s="280" t="s">
        <v>121</v>
      </c>
      <c r="C156" s="280"/>
      <c r="D156" s="61">
        <f>IF(D155&gt;0,(($B$4-D155)/365))</f>
        <v>27.80821917808219</v>
      </c>
      <c r="E156" s="62" t="str">
        <f>IF(D155="","NO CUMPLE",IF(D156&gt;=10,"CUMPLE","NO CUMPLE"))</f>
        <v>CUMPLE</v>
      </c>
      <c r="F156" s="175"/>
      <c r="G156" s="50"/>
      <c r="H156" s="53"/>
    </row>
    <row r="157" spans="1:8" ht="14">
      <c r="A157" s="275" t="s">
        <v>125</v>
      </c>
      <c r="B157" s="276"/>
      <c r="C157" s="277"/>
      <c r="D157" s="34" t="s">
        <v>61</v>
      </c>
      <c r="E157" s="106" t="str">
        <f>IF(D157="SI","CUMPLE","NO CUMPLE")</f>
        <v>CUMPLE</v>
      </c>
      <c r="F157" s="175"/>
      <c r="G157" s="50"/>
      <c r="H157" s="53"/>
    </row>
    <row r="158" spans="1:8" ht="14">
      <c r="A158" s="275" t="s">
        <v>126</v>
      </c>
      <c r="B158" s="276"/>
      <c r="C158" s="277"/>
      <c r="D158" s="54" t="s">
        <v>61</v>
      </c>
      <c r="E158" s="55" t="str">
        <f t="shared" ref="E158:E159" si="5">IF(D158="SI","CUMPLE","NO CUMPLE")</f>
        <v>CUMPLE</v>
      </c>
      <c r="F158" s="175"/>
      <c r="G158" s="50"/>
      <c r="H158" s="53"/>
    </row>
    <row r="159" spans="1:8" ht="14">
      <c r="A159" s="275" t="s">
        <v>127</v>
      </c>
      <c r="B159" s="276"/>
      <c r="C159" s="277"/>
      <c r="D159" s="54" t="s">
        <v>61</v>
      </c>
      <c r="E159" s="55" t="str">
        <f t="shared" si="5"/>
        <v>CUMPLE</v>
      </c>
      <c r="F159" s="175"/>
      <c r="G159" s="50"/>
      <c r="H159" s="53"/>
    </row>
    <row r="160" spans="1:8">
      <c r="A160" s="64"/>
      <c r="B160" s="65"/>
      <c r="C160" s="65"/>
      <c r="D160" s="66"/>
      <c r="E160" s="67"/>
      <c r="F160" s="176"/>
      <c r="G160" s="50"/>
      <c r="H160" s="68"/>
    </row>
    <row r="161" spans="1:8" ht="146.25" customHeight="1">
      <c r="A161" s="220" t="s">
        <v>217</v>
      </c>
      <c r="B161" s="221"/>
      <c r="C161" s="59" t="s">
        <v>122</v>
      </c>
      <c r="D161" s="54" t="s">
        <v>61</v>
      </c>
      <c r="E161" s="55" t="str">
        <f>IF(D161="SI","CUMPLE","NO CUMPLE")</f>
        <v>CUMPLE</v>
      </c>
      <c r="F161" s="201" t="s">
        <v>218</v>
      </c>
      <c r="H161" s="310" t="s">
        <v>218</v>
      </c>
    </row>
    <row r="162" spans="1:8" ht="42">
      <c r="A162" s="222"/>
      <c r="B162" s="223"/>
      <c r="C162" s="59" t="s">
        <v>123</v>
      </c>
      <c r="D162" s="54" t="s">
        <v>61</v>
      </c>
      <c r="E162" s="55" t="str">
        <f>IF(D162="SI","CUMPLE","NO CUMPLE")</f>
        <v>CUMPLE</v>
      </c>
      <c r="F162" s="202"/>
      <c r="H162" s="311"/>
    </row>
    <row r="163" spans="1:8" ht="28">
      <c r="A163" s="222"/>
      <c r="B163" s="223"/>
      <c r="C163" s="59" t="s">
        <v>128</v>
      </c>
      <c r="D163" s="56" t="s">
        <v>219</v>
      </c>
      <c r="E163" s="55" t="str">
        <f>IF(D163="","NO CUMPLE","CUMPLE")</f>
        <v>CUMPLE</v>
      </c>
      <c r="F163" s="202"/>
      <c r="H163" s="311"/>
    </row>
    <row r="164" spans="1:8" ht="14">
      <c r="A164" s="222"/>
      <c r="B164" s="223"/>
      <c r="C164" s="59" t="s">
        <v>129</v>
      </c>
      <c r="D164" s="56" t="s">
        <v>130</v>
      </c>
      <c r="E164" s="55" t="str">
        <f>IF(D164="Director Interventoria","CUMPLE","NO CUMPLE")</f>
        <v>CUMPLE</v>
      </c>
      <c r="F164" s="202"/>
      <c r="H164" s="311"/>
    </row>
    <row r="165" spans="1:8" ht="14">
      <c r="A165" s="222"/>
      <c r="B165" s="223"/>
      <c r="C165" s="60" t="s">
        <v>110</v>
      </c>
      <c r="D165" s="58">
        <v>855558603</v>
      </c>
      <c r="E165" s="55" t="str">
        <f>IF(D165="","NO CUMPLE","CUMPLE")</f>
        <v>CUMPLE</v>
      </c>
      <c r="F165" s="202"/>
      <c r="H165" s="311"/>
    </row>
    <row r="166" spans="1:8" ht="14">
      <c r="A166" s="222"/>
      <c r="B166" s="223"/>
      <c r="C166" s="60" t="s">
        <v>111</v>
      </c>
      <c r="D166" s="57">
        <v>41680</v>
      </c>
      <c r="E166" s="55" t="str">
        <f>IF(D166="","NO CUMPLE","CUMPLE")</f>
        <v>CUMPLE</v>
      </c>
      <c r="F166" s="202"/>
      <c r="H166" s="311"/>
    </row>
    <row r="167" spans="1:8" ht="14">
      <c r="A167" s="222"/>
      <c r="B167" s="223"/>
      <c r="C167" s="60" t="s">
        <v>112</v>
      </c>
      <c r="D167" s="57">
        <v>43372</v>
      </c>
      <c r="E167" s="55" t="str">
        <f t="shared" ref="E167" si="6">IF(D167="","NO CUMPLE","CUMPLE")</f>
        <v>CUMPLE</v>
      </c>
      <c r="F167" s="203"/>
      <c r="G167" s="51"/>
      <c r="H167" s="312"/>
    </row>
    <row r="168" spans="1:8">
      <c r="A168" s="224"/>
      <c r="B168" s="225"/>
      <c r="C168" s="60" t="s">
        <v>113</v>
      </c>
      <c r="D168" s="107">
        <f>IFERROR((D165/(VLOOKUP((YEAR(D167)),SMMLV!$A$9:$C$49,3,0))),"0")</f>
        <v>1095.1262259325536</v>
      </c>
      <c r="E168" s="62"/>
      <c r="F168" s="170"/>
      <c r="H168" s="108"/>
    </row>
    <row r="169" spans="1:8" ht="15">
      <c r="A169" s="69"/>
      <c r="B169" s="69"/>
      <c r="C169" s="69"/>
      <c r="D169" s="69"/>
      <c r="E169" s="69"/>
      <c r="F169" s="177"/>
      <c r="H169" s="69"/>
    </row>
    <row r="170" spans="1:8" ht="154">
      <c r="A170" s="220" t="s">
        <v>216</v>
      </c>
      <c r="B170" s="221"/>
      <c r="C170" s="59" t="s">
        <v>122</v>
      </c>
      <c r="D170" s="54" t="s">
        <v>61</v>
      </c>
      <c r="E170" s="55" t="str">
        <f>IF(D170="SI","CUMPLE","NO CUMPLE")</f>
        <v>CUMPLE</v>
      </c>
      <c r="F170" s="201" t="s">
        <v>220</v>
      </c>
      <c r="H170" s="310" t="s">
        <v>220</v>
      </c>
    </row>
    <row r="171" spans="1:8" ht="42">
      <c r="A171" s="222"/>
      <c r="B171" s="223"/>
      <c r="C171" s="59" t="s">
        <v>123</v>
      </c>
      <c r="D171" s="54" t="s">
        <v>61</v>
      </c>
      <c r="E171" s="55" t="str">
        <f>IF(D171="SI","CUMPLE","NO CUMPLE")</f>
        <v>CUMPLE</v>
      </c>
      <c r="F171" s="202"/>
      <c r="H171" s="311"/>
    </row>
    <row r="172" spans="1:8" ht="28">
      <c r="A172" s="222"/>
      <c r="B172" s="223"/>
      <c r="C172" s="59" t="s">
        <v>128</v>
      </c>
      <c r="D172" s="56" t="s">
        <v>219</v>
      </c>
      <c r="E172" s="55" t="str">
        <f>IF(D172="","NO CUMPLE","CUMPLE")</f>
        <v>CUMPLE</v>
      </c>
      <c r="F172" s="202"/>
      <c r="H172" s="311"/>
    </row>
    <row r="173" spans="1:8" ht="14">
      <c r="A173" s="222"/>
      <c r="B173" s="223"/>
      <c r="C173" s="59" t="s">
        <v>129</v>
      </c>
      <c r="D173" s="56" t="s">
        <v>130</v>
      </c>
      <c r="E173" s="55" t="str">
        <f>IF(D173="Director Interventoria","CUMPLE","NO CUMPLE")</f>
        <v>CUMPLE</v>
      </c>
      <c r="F173" s="202"/>
      <c r="H173" s="311"/>
    </row>
    <row r="174" spans="1:8" ht="14">
      <c r="A174" s="222"/>
      <c r="B174" s="223"/>
      <c r="C174" s="60" t="s">
        <v>110</v>
      </c>
      <c r="D174" s="58">
        <v>83353530</v>
      </c>
      <c r="E174" s="55" t="str">
        <f>IF(D174="","NO CUMPLE","CUMPLE")</f>
        <v>CUMPLE</v>
      </c>
      <c r="F174" s="202"/>
      <c r="H174" s="311"/>
    </row>
    <row r="175" spans="1:8" ht="14">
      <c r="A175" s="222"/>
      <c r="B175" s="223"/>
      <c r="C175" s="60" t="s">
        <v>111</v>
      </c>
      <c r="D175" s="57">
        <v>43437</v>
      </c>
      <c r="E175" s="55" t="str">
        <f>IF(D175="","NO CUMPLE","CUMPLE")</f>
        <v>CUMPLE</v>
      </c>
      <c r="F175" s="202"/>
      <c r="H175" s="311"/>
    </row>
    <row r="176" spans="1:8" ht="14">
      <c r="A176" s="222"/>
      <c r="B176" s="223"/>
      <c r="C176" s="60" t="s">
        <v>112</v>
      </c>
      <c r="D176" s="57">
        <v>43738</v>
      </c>
      <c r="E176" s="55" t="str">
        <f t="shared" ref="E176" si="7">IF(D176="","NO CUMPLE","CUMPLE")</f>
        <v>CUMPLE</v>
      </c>
      <c r="F176" s="203"/>
      <c r="H176" s="312"/>
    </row>
    <row r="177" spans="1:8">
      <c r="A177" s="224"/>
      <c r="B177" s="225"/>
      <c r="C177" s="60" t="s">
        <v>113</v>
      </c>
      <c r="D177" s="61">
        <f>IFERROR((D174/(VLOOKUP((YEAR(D176)),SMMLV!$A$9:$C$49,3,0))),"0")</f>
        <v>100.65441314984857</v>
      </c>
      <c r="E177" s="62"/>
      <c r="F177" s="175"/>
      <c r="H177" s="53"/>
    </row>
    <row r="178" spans="1:8" ht="15">
      <c r="A178" s="69"/>
      <c r="B178" s="69"/>
      <c r="C178" s="69"/>
      <c r="D178" s="69"/>
      <c r="E178" s="69"/>
      <c r="F178" s="177"/>
      <c r="H178" s="69"/>
    </row>
    <row r="179" spans="1:8" ht="154">
      <c r="A179" s="269" t="s">
        <v>221</v>
      </c>
      <c r="B179" s="270"/>
      <c r="C179" s="59" t="s">
        <v>122</v>
      </c>
      <c r="D179" s="54" t="s">
        <v>61</v>
      </c>
      <c r="E179" s="55" t="str">
        <f>IF(D179="SI","CUMPLE","NO CUMPLE")</f>
        <v>CUMPLE</v>
      </c>
      <c r="F179" s="201" t="s">
        <v>222</v>
      </c>
      <c r="H179" s="310" t="s">
        <v>222</v>
      </c>
    </row>
    <row r="180" spans="1:8" ht="42">
      <c r="A180" s="271"/>
      <c r="B180" s="272"/>
      <c r="C180" s="59" t="s">
        <v>123</v>
      </c>
      <c r="D180" s="54" t="s">
        <v>61</v>
      </c>
      <c r="E180" s="55" t="str">
        <f>IF(D180="SI","CUMPLE","NO CUMPLE")</f>
        <v>CUMPLE</v>
      </c>
      <c r="F180" s="202"/>
      <c r="H180" s="311"/>
    </row>
    <row r="181" spans="1:8" ht="28">
      <c r="A181" s="271"/>
      <c r="B181" s="272"/>
      <c r="C181" s="59" t="s">
        <v>128</v>
      </c>
      <c r="D181" s="56" t="s">
        <v>219</v>
      </c>
      <c r="E181" s="55" t="str">
        <f>IF(D181="","NO CUMPLE","CUMPLE")</f>
        <v>CUMPLE</v>
      </c>
      <c r="F181" s="202"/>
      <c r="H181" s="311"/>
    </row>
    <row r="182" spans="1:8" ht="14">
      <c r="A182" s="271"/>
      <c r="B182" s="272"/>
      <c r="C182" s="59" t="s">
        <v>129</v>
      </c>
      <c r="D182" s="56" t="s">
        <v>130</v>
      </c>
      <c r="E182" s="55" t="str">
        <f>IF(D182="Director Interventoria","CUMPLE","NO CUMPLE")</f>
        <v>CUMPLE</v>
      </c>
      <c r="F182" s="202"/>
      <c r="H182" s="311"/>
    </row>
    <row r="183" spans="1:8" ht="14">
      <c r="A183" s="271"/>
      <c r="B183" s="272"/>
      <c r="C183" s="60" t="s">
        <v>110</v>
      </c>
      <c r="D183" s="58">
        <v>72000000</v>
      </c>
      <c r="E183" s="55" t="str">
        <f>IF(D183="","NO CUMPLE","CUMPLE")</f>
        <v>CUMPLE</v>
      </c>
      <c r="F183" s="202"/>
      <c r="H183" s="311"/>
    </row>
    <row r="184" spans="1:8" ht="14">
      <c r="A184" s="271"/>
      <c r="B184" s="272"/>
      <c r="C184" s="60" t="s">
        <v>111</v>
      </c>
      <c r="D184" s="57">
        <v>44949</v>
      </c>
      <c r="E184" s="55" t="str">
        <f>IF(D184="","NO CUMPLE","CUMPLE")</f>
        <v>CUMPLE</v>
      </c>
      <c r="F184" s="202"/>
      <c r="H184" s="311"/>
    </row>
    <row r="185" spans="1:8" ht="14">
      <c r="A185" s="271"/>
      <c r="B185" s="272"/>
      <c r="C185" s="60" t="s">
        <v>112</v>
      </c>
      <c r="D185" s="57">
        <v>45221</v>
      </c>
      <c r="E185" s="55" t="str">
        <f t="shared" ref="E185" si="8">IF(D185="","NO CUMPLE","CUMPLE")</f>
        <v>CUMPLE</v>
      </c>
      <c r="F185" s="203"/>
      <c r="H185" s="312"/>
    </row>
    <row r="186" spans="1:8">
      <c r="A186" s="273"/>
      <c r="B186" s="274"/>
      <c r="C186" s="60" t="s">
        <v>113</v>
      </c>
      <c r="D186" s="61">
        <f>IFERROR((D183/(VLOOKUP((YEAR(D185)),SMMLV!$A$9:$C$49,3,0))),"0")</f>
        <v>62.068965517241381</v>
      </c>
      <c r="E186" s="62"/>
      <c r="F186" s="175"/>
      <c r="H186" s="53"/>
    </row>
    <row r="187" spans="1:8" ht="15">
      <c r="A187" s="69"/>
      <c r="B187" s="69"/>
      <c r="C187" s="69"/>
      <c r="D187" s="69"/>
      <c r="E187" s="69"/>
      <c r="F187" s="177"/>
      <c r="H187" s="69"/>
    </row>
    <row r="188" spans="1:8">
      <c r="A188" s="227" t="s">
        <v>203</v>
      </c>
      <c r="B188" s="227"/>
      <c r="C188" s="227"/>
      <c r="D188" s="227"/>
      <c r="E188" s="227"/>
      <c r="F188" s="178">
        <f>SUM(D168+D177+D186)</f>
        <v>1257.8496045996435</v>
      </c>
      <c r="H188" s="71"/>
    </row>
    <row r="189" spans="1:8">
      <c r="A189" s="227"/>
      <c r="B189" s="227"/>
      <c r="C189" s="227"/>
      <c r="D189" s="227"/>
      <c r="E189" s="227"/>
      <c r="F189" s="172" t="str">
        <f>IF(F188&gt;=433.26,"CUMPLE","NO CUMPLE")</f>
        <v>CUMPLE</v>
      </c>
      <c r="H189" s="43"/>
    </row>
    <row r="190" spans="1:8" ht="33" customHeight="1">
      <c r="A190" s="227" t="s">
        <v>84</v>
      </c>
      <c r="B190" s="227"/>
      <c r="C190" s="227"/>
      <c r="D190" s="227"/>
      <c r="E190" s="227"/>
      <c r="F190" s="227"/>
      <c r="H190" s="20"/>
    </row>
    <row r="191" spans="1:8">
      <c r="A191" s="246" t="s">
        <v>138</v>
      </c>
      <c r="B191" s="247"/>
      <c r="C191" s="247"/>
      <c r="D191" s="247"/>
      <c r="E191" s="248"/>
      <c r="F191" s="179" t="str">
        <f>IF(AND(E151="cumple",E152="cumple",E153="cumple",E154="cumple",E155="cumple",E156="cumple",E157="cumple",E158="cumple",E159="cumple",F189="cumple"),"CUMPLE","NO CUMPLE")</f>
        <v>CUMPLE</v>
      </c>
      <c r="H191" s="70"/>
    </row>
    <row r="192" spans="1:8" ht="15">
      <c r="A192" s="69"/>
      <c r="B192" s="69"/>
      <c r="C192" s="69"/>
      <c r="D192" s="69"/>
      <c r="E192" s="69"/>
      <c r="F192" s="177"/>
      <c r="H192" s="69"/>
    </row>
    <row r="193" spans="1:8">
      <c r="A193" s="262" t="s">
        <v>137</v>
      </c>
      <c r="B193" s="262"/>
      <c r="C193" s="262"/>
      <c r="D193" s="262"/>
      <c r="E193" s="262"/>
      <c r="F193" s="262"/>
      <c r="H193" s="20"/>
    </row>
    <row r="194" spans="1:8">
      <c r="A194" s="263" t="s">
        <v>104</v>
      </c>
      <c r="B194" s="264"/>
      <c r="C194" s="265"/>
      <c r="D194" s="266" t="s">
        <v>223</v>
      </c>
      <c r="E194" s="267"/>
      <c r="F194" s="268"/>
      <c r="H194" s="20"/>
    </row>
    <row r="195" spans="1:8" ht="14">
      <c r="A195" s="99" t="s">
        <v>105</v>
      </c>
      <c r="B195" s="256" t="s">
        <v>124</v>
      </c>
      <c r="C195" s="256"/>
      <c r="D195" s="52" t="s">
        <v>116</v>
      </c>
      <c r="E195" s="52" t="str">
        <f>IF(D195="","NO CUMPLE","CUMPLE")</f>
        <v>CUMPLE</v>
      </c>
      <c r="F195" s="175"/>
      <c r="H195" s="53"/>
    </row>
    <row r="196" spans="1:8" ht="14">
      <c r="A196" s="99" t="s">
        <v>107</v>
      </c>
      <c r="B196" s="256" t="s">
        <v>108</v>
      </c>
      <c r="C196" s="256"/>
      <c r="D196" s="63" t="s">
        <v>224</v>
      </c>
      <c r="E196" s="55" t="str">
        <f>IF(D196="","NO CUMPLE","CUMPLE")</f>
        <v>CUMPLE</v>
      </c>
      <c r="F196" s="175"/>
      <c r="H196" s="53"/>
    </row>
    <row r="197" spans="1:8" ht="14">
      <c r="A197" s="253" t="s">
        <v>109</v>
      </c>
      <c r="B197" s="254"/>
      <c r="C197" s="255"/>
      <c r="D197" s="56">
        <v>45624</v>
      </c>
      <c r="E197" s="55" t="str">
        <f>IF(($B$4-D197)&gt;183,"NO CUMPLE","CUMPLE")</f>
        <v>CUMPLE</v>
      </c>
      <c r="F197" s="175"/>
      <c r="H197" s="53"/>
    </row>
    <row r="198" spans="1:8" ht="14">
      <c r="A198" s="257" t="s">
        <v>107</v>
      </c>
      <c r="B198" s="256" t="s">
        <v>132</v>
      </c>
      <c r="C198" s="256"/>
      <c r="D198" s="54">
        <v>40850</v>
      </c>
      <c r="E198" s="55" t="str">
        <f>IF(D198="","NO CUMPLE","CUMPLE")</f>
        <v>CUMPLE</v>
      </c>
      <c r="F198" s="175"/>
      <c r="H198" s="53"/>
    </row>
    <row r="199" spans="1:8" ht="14">
      <c r="A199" s="258"/>
      <c r="B199" s="256" t="s">
        <v>269</v>
      </c>
      <c r="C199" s="256"/>
      <c r="D199" s="100">
        <f>IF(D198&gt;0,(($B$4-D198)/365))</f>
        <v>13.098630136986301</v>
      </c>
      <c r="E199" s="101" t="str">
        <f>IF(D198="","NO CUMPLE",IF(D199&gt;=6,"CUMPLE","NO CUMPLE"))</f>
        <v>CUMPLE</v>
      </c>
      <c r="F199" s="175"/>
      <c r="H199" s="53"/>
    </row>
    <row r="200" spans="1:8" ht="14">
      <c r="A200" s="253" t="s">
        <v>125</v>
      </c>
      <c r="B200" s="254"/>
      <c r="C200" s="255"/>
      <c r="D200" s="54" t="s">
        <v>61</v>
      </c>
      <c r="E200" s="55" t="str">
        <f t="shared" ref="E200:E202" si="9">IF(D200="SI","CUMPLE","NO CUMPLE")</f>
        <v>CUMPLE</v>
      </c>
      <c r="F200" s="175"/>
      <c r="H200" s="53"/>
    </row>
    <row r="201" spans="1:8" ht="14">
      <c r="A201" s="253" t="s">
        <v>126</v>
      </c>
      <c r="B201" s="254"/>
      <c r="C201" s="255"/>
      <c r="D201" s="54" t="s">
        <v>61</v>
      </c>
      <c r="E201" s="55" t="str">
        <f t="shared" si="9"/>
        <v>CUMPLE</v>
      </c>
      <c r="F201" s="175"/>
      <c r="H201" s="53"/>
    </row>
    <row r="202" spans="1:8" ht="14">
      <c r="A202" s="253" t="s">
        <v>127</v>
      </c>
      <c r="B202" s="254"/>
      <c r="C202" s="255"/>
      <c r="D202" s="54" t="s">
        <v>61</v>
      </c>
      <c r="E202" s="55" t="str">
        <f t="shared" si="9"/>
        <v>CUMPLE</v>
      </c>
      <c r="F202" s="175"/>
      <c r="H202" s="53"/>
    </row>
    <row r="203" spans="1:8" ht="154">
      <c r="A203" s="269" t="s">
        <v>225</v>
      </c>
      <c r="B203" s="270"/>
      <c r="C203" s="102" t="s">
        <v>122</v>
      </c>
      <c r="D203" s="54" t="s">
        <v>61</v>
      </c>
      <c r="E203" s="55" t="str">
        <f>IF(D203="SI","CUMPLE","NO CUMPLE")</f>
        <v>CUMPLE</v>
      </c>
      <c r="F203" s="201" t="s">
        <v>226</v>
      </c>
      <c r="H203" s="310" t="s">
        <v>226</v>
      </c>
    </row>
    <row r="204" spans="1:8" ht="42">
      <c r="A204" s="271"/>
      <c r="B204" s="272"/>
      <c r="C204" s="102" t="s">
        <v>123</v>
      </c>
      <c r="D204" s="54" t="s">
        <v>61</v>
      </c>
      <c r="E204" s="55" t="str">
        <f>IF(D204="SI","CUMPLE","NO CUMPLE")</f>
        <v>CUMPLE</v>
      </c>
      <c r="F204" s="202"/>
      <c r="H204" s="311"/>
    </row>
    <row r="205" spans="1:8" ht="28">
      <c r="A205" s="271"/>
      <c r="B205" s="272"/>
      <c r="C205" s="102" t="s">
        <v>128</v>
      </c>
      <c r="D205" s="56" t="s">
        <v>219</v>
      </c>
      <c r="E205" s="55" t="str">
        <f>IF(D205="","NO CUMPLE","CUMPLE")</f>
        <v>CUMPLE</v>
      </c>
      <c r="F205" s="202"/>
      <c r="H205" s="311"/>
    </row>
    <row r="206" spans="1:8" ht="14">
      <c r="A206" s="271"/>
      <c r="B206" s="272"/>
      <c r="C206" s="102" t="s">
        <v>129</v>
      </c>
      <c r="D206" s="56" t="s">
        <v>204</v>
      </c>
      <c r="E206" s="55" t="str">
        <f>IF(D206="Residente Interventoría","CUMPLE","NO CUMPLE")</f>
        <v>CUMPLE</v>
      </c>
      <c r="F206" s="202"/>
      <c r="H206" s="311"/>
    </row>
    <row r="207" spans="1:8" ht="14">
      <c r="A207" s="271"/>
      <c r="B207" s="272"/>
      <c r="C207" s="103" t="s">
        <v>110</v>
      </c>
      <c r="D207" s="58">
        <v>242981596</v>
      </c>
      <c r="E207" s="55" t="str">
        <f>IF(D207="","NO CUMPLE","CUMPLE")</f>
        <v>CUMPLE</v>
      </c>
      <c r="F207" s="202"/>
      <c r="H207" s="311"/>
    </row>
    <row r="208" spans="1:8" ht="14">
      <c r="A208" s="271"/>
      <c r="B208" s="272"/>
      <c r="C208" s="103" t="s">
        <v>111</v>
      </c>
      <c r="D208" s="57">
        <v>41338</v>
      </c>
      <c r="E208" s="55" t="str">
        <f>IF(D208="","NO CUMPLE","CUMPLE")</f>
        <v>CUMPLE</v>
      </c>
      <c r="F208" s="202"/>
      <c r="H208" s="311"/>
    </row>
    <row r="209" spans="1:8" ht="14">
      <c r="A209" s="271"/>
      <c r="B209" s="272"/>
      <c r="C209" s="103" t="s">
        <v>112</v>
      </c>
      <c r="D209" s="57">
        <v>42268</v>
      </c>
      <c r="E209" s="55" t="str">
        <f t="shared" ref="E209" si="10">IF(D209="","NO CUMPLE","CUMPLE")</f>
        <v>CUMPLE</v>
      </c>
      <c r="F209" s="202"/>
      <c r="H209" s="311"/>
    </row>
    <row r="210" spans="1:8">
      <c r="A210" s="273"/>
      <c r="B210" s="274"/>
      <c r="C210" s="103" t="s">
        <v>113</v>
      </c>
      <c r="D210" s="100">
        <f>IFERROR((D207/(VLOOKUP((YEAR(D209)),SMMLV!$A$9:$C$49,3,0))),"0")</f>
        <v>377.09567160704586</v>
      </c>
      <c r="E210" s="101"/>
      <c r="F210" s="203"/>
      <c r="H210" s="312"/>
    </row>
    <row r="211" spans="1:8" ht="154">
      <c r="A211" s="269" t="s">
        <v>227</v>
      </c>
      <c r="B211" s="270"/>
      <c r="C211" s="102" t="s">
        <v>122</v>
      </c>
      <c r="D211" s="54" t="s">
        <v>61</v>
      </c>
      <c r="E211" s="55" t="str">
        <f>IF(D211="SI","CUMPLE","NO CUMPLE")</f>
        <v>CUMPLE</v>
      </c>
      <c r="F211" s="175"/>
      <c r="H211" s="53"/>
    </row>
    <row r="212" spans="1:8" ht="42">
      <c r="A212" s="271"/>
      <c r="B212" s="272"/>
      <c r="C212" s="102" t="s">
        <v>123</v>
      </c>
      <c r="D212" s="54" t="s">
        <v>61</v>
      </c>
      <c r="E212" s="55" t="str">
        <f>IF(D212="SI","CUMPLE","NO CUMPLE")</f>
        <v>CUMPLE</v>
      </c>
      <c r="F212" s="175"/>
      <c r="H212" s="53"/>
    </row>
    <row r="213" spans="1:8" ht="28">
      <c r="A213" s="271"/>
      <c r="B213" s="272"/>
      <c r="C213" s="102" t="s">
        <v>128</v>
      </c>
      <c r="D213" s="56" t="s">
        <v>219</v>
      </c>
      <c r="E213" s="55" t="str">
        <f>IF(D213="","NO CUMPLE","CUMPLE")</f>
        <v>CUMPLE</v>
      </c>
      <c r="F213" s="175"/>
      <c r="H213" s="53"/>
    </row>
    <row r="214" spans="1:8" ht="14">
      <c r="A214" s="271"/>
      <c r="B214" s="272"/>
      <c r="C214" s="102" t="s">
        <v>129</v>
      </c>
      <c r="D214" s="56" t="s">
        <v>204</v>
      </c>
      <c r="E214" s="55" t="str">
        <f>IF(D214="Residente Interventoría","CUMPLE","NO CUMPLE")</f>
        <v>CUMPLE</v>
      </c>
      <c r="F214" s="175"/>
      <c r="H214" s="53"/>
    </row>
    <row r="215" spans="1:8" ht="14">
      <c r="A215" s="271"/>
      <c r="B215" s="272"/>
      <c r="C215" s="103" t="s">
        <v>110</v>
      </c>
      <c r="D215" s="58">
        <v>1415052730</v>
      </c>
      <c r="E215" s="55" t="str">
        <f>IF(D215="","NO CUMPLE","CUMPLE")</f>
        <v>CUMPLE</v>
      </c>
      <c r="F215" s="175"/>
      <c r="H215" s="53"/>
    </row>
    <row r="216" spans="1:8" ht="14">
      <c r="A216" s="271"/>
      <c r="B216" s="272"/>
      <c r="C216" s="103" t="s">
        <v>111</v>
      </c>
      <c r="D216" s="57">
        <v>42381</v>
      </c>
      <c r="E216" s="55" t="str">
        <f>IF(D216="","NO CUMPLE","CUMPLE")</f>
        <v>CUMPLE</v>
      </c>
      <c r="F216" s="175"/>
      <c r="H216" s="53"/>
    </row>
    <row r="217" spans="1:8" ht="14">
      <c r="A217" s="271"/>
      <c r="B217" s="272"/>
      <c r="C217" s="103" t="s">
        <v>112</v>
      </c>
      <c r="D217" s="57">
        <v>42978</v>
      </c>
      <c r="E217" s="55" t="str">
        <f t="shared" ref="E217" si="11">IF(D217="","NO CUMPLE","CUMPLE")</f>
        <v>CUMPLE</v>
      </c>
      <c r="F217" s="175"/>
      <c r="H217" s="53"/>
    </row>
    <row r="218" spans="1:8">
      <c r="A218" s="273"/>
      <c r="B218" s="274"/>
      <c r="C218" s="103" t="s">
        <v>113</v>
      </c>
      <c r="D218" s="100">
        <f>IFERROR((D215/(VLOOKUP((YEAR(D217)),SMMLV!$A$9:$C$49,3,0))),"0")</f>
        <v>1918.1511745018754</v>
      </c>
      <c r="E218" s="101"/>
      <c r="F218" s="175"/>
      <c r="H218" s="53"/>
    </row>
    <row r="219" spans="1:8">
      <c r="A219" s="227" t="s">
        <v>202</v>
      </c>
      <c r="B219" s="227"/>
      <c r="C219" s="227"/>
      <c r="D219" s="227"/>
      <c r="E219" s="227"/>
      <c r="F219" s="178">
        <f>D210+D218</f>
        <v>2295.2468461089211</v>
      </c>
      <c r="H219" s="71"/>
    </row>
    <row r="220" spans="1:8">
      <c r="A220" s="227"/>
      <c r="B220" s="227"/>
      <c r="C220" s="227"/>
      <c r="D220" s="227"/>
      <c r="E220" s="227"/>
      <c r="F220" s="172" t="str">
        <f>IF(F219&gt;=216.63,"CUMPLE","NO CUMPLE")</f>
        <v>CUMPLE</v>
      </c>
      <c r="H220" s="43"/>
    </row>
    <row r="221" spans="1:8" ht="27" customHeight="1">
      <c r="A221" s="227" t="s">
        <v>84</v>
      </c>
      <c r="B221" s="227"/>
      <c r="C221" s="227"/>
      <c r="D221" s="227"/>
      <c r="E221" s="227"/>
      <c r="F221" s="227"/>
      <c r="H221" s="20"/>
    </row>
    <row r="222" spans="1:8">
      <c r="A222" s="259" t="s">
        <v>135</v>
      </c>
      <c r="B222" s="260"/>
      <c r="C222" s="260"/>
      <c r="D222" s="260"/>
      <c r="E222" s="261"/>
      <c r="F222" s="172" t="str">
        <f>IF(AND(E195="cumple",E196="cumple",E197="cumple",E198="cumple",E199="cumple",E200="cumple",E201="cumple",E202="cumple",F220="cumple"),"CUMPLE","NO CUMPLE")</f>
        <v>CUMPLE</v>
      </c>
      <c r="H222" s="43"/>
    </row>
    <row r="223" spans="1:8">
      <c r="A223" s="39"/>
      <c r="B223" s="39"/>
      <c r="C223" s="39"/>
      <c r="D223" s="39"/>
      <c r="E223" s="39"/>
      <c r="F223" s="173"/>
      <c r="H223" s="40"/>
    </row>
    <row r="224" spans="1:8">
      <c r="A224" s="262" t="s">
        <v>136</v>
      </c>
      <c r="B224" s="262"/>
      <c r="C224" s="262"/>
      <c r="D224" s="262"/>
      <c r="E224" s="262"/>
      <c r="F224" s="262"/>
      <c r="H224" s="20"/>
    </row>
    <row r="225" spans="1:8">
      <c r="A225" s="263" t="s">
        <v>104</v>
      </c>
      <c r="B225" s="264"/>
      <c r="C225" s="265"/>
      <c r="D225" s="266" t="s">
        <v>228</v>
      </c>
      <c r="E225" s="267"/>
      <c r="F225" s="268"/>
      <c r="H225" s="20"/>
    </row>
    <row r="226" spans="1:8" ht="14">
      <c r="A226" s="99" t="s">
        <v>105</v>
      </c>
      <c r="B226" s="256" t="s">
        <v>124</v>
      </c>
      <c r="C226" s="256"/>
      <c r="D226" s="52" t="s">
        <v>115</v>
      </c>
      <c r="E226" s="52" t="str">
        <f>IF(D226="","NO CUMPLE","CUMPLE")</f>
        <v>CUMPLE</v>
      </c>
      <c r="F226" s="175"/>
      <c r="H226" s="53"/>
    </row>
    <row r="227" spans="1:8" ht="14">
      <c r="A227" s="99" t="s">
        <v>107</v>
      </c>
      <c r="B227" s="256" t="s">
        <v>108</v>
      </c>
      <c r="C227" s="256"/>
      <c r="D227" s="63" t="s">
        <v>229</v>
      </c>
      <c r="E227" s="55" t="str">
        <f>IF(D227="","NO CUMPLE","CUMPLE")</f>
        <v>CUMPLE</v>
      </c>
      <c r="F227" s="175"/>
      <c r="H227" s="53"/>
    </row>
    <row r="228" spans="1:8" ht="14">
      <c r="A228" s="253" t="s">
        <v>109</v>
      </c>
      <c r="B228" s="254"/>
      <c r="C228" s="255"/>
      <c r="D228" s="56">
        <v>45629</v>
      </c>
      <c r="E228" s="55" t="str">
        <f>IF(($B$4-D228)&gt;183,"NO CUMPLE","CUMPLE")</f>
        <v>CUMPLE</v>
      </c>
      <c r="F228" s="175"/>
      <c r="H228" s="53"/>
    </row>
    <row r="229" spans="1:8" ht="14">
      <c r="A229" s="257" t="s">
        <v>107</v>
      </c>
      <c r="B229" s="256" t="s">
        <v>132</v>
      </c>
      <c r="C229" s="256"/>
      <c r="D229" s="54">
        <v>39066</v>
      </c>
      <c r="E229" s="55" t="str">
        <f>IF(D229="","NO CUMPLE","CUMPLE")</f>
        <v>CUMPLE</v>
      </c>
      <c r="F229" s="175"/>
      <c r="H229" s="53"/>
    </row>
    <row r="230" spans="1:8" ht="14">
      <c r="A230" s="258"/>
      <c r="B230" s="256" t="s">
        <v>269</v>
      </c>
      <c r="C230" s="256"/>
      <c r="D230" s="100">
        <f>IF(D229&gt;0,(($B$4-D229)/365))</f>
        <v>17.986301369863014</v>
      </c>
      <c r="E230" s="101" t="str">
        <f>IF(D229="","NO CUMPLE",IF(D230&gt;=6,"CUMPLE","NO CUMPLE"))</f>
        <v>CUMPLE</v>
      </c>
      <c r="F230" s="175"/>
      <c r="H230" s="53"/>
    </row>
    <row r="231" spans="1:8" ht="14">
      <c r="A231" s="253" t="s">
        <v>125</v>
      </c>
      <c r="B231" s="254"/>
      <c r="C231" s="255"/>
      <c r="D231" s="54" t="s">
        <v>61</v>
      </c>
      <c r="E231" s="55" t="str">
        <f t="shared" ref="E231:E233" si="12">IF(D231="SI","CUMPLE","NO CUMPLE")</f>
        <v>CUMPLE</v>
      </c>
      <c r="F231" s="175"/>
      <c r="H231" s="53"/>
    </row>
    <row r="232" spans="1:8" ht="14">
      <c r="A232" s="253" t="s">
        <v>126</v>
      </c>
      <c r="B232" s="254"/>
      <c r="C232" s="255"/>
      <c r="D232" s="54" t="s">
        <v>61</v>
      </c>
      <c r="E232" s="55" t="str">
        <f t="shared" si="12"/>
        <v>CUMPLE</v>
      </c>
      <c r="F232" s="175"/>
      <c r="H232" s="53"/>
    </row>
    <row r="233" spans="1:8" ht="14">
      <c r="A233" s="253" t="s">
        <v>127</v>
      </c>
      <c r="B233" s="254"/>
      <c r="C233" s="255"/>
      <c r="D233" s="54" t="s">
        <v>61</v>
      </c>
      <c r="E233" s="55" t="str">
        <f t="shared" si="12"/>
        <v>CUMPLE</v>
      </c>
      <c r="F233" s="175"/>
      <c r="H233" s="53"/>
    </row>
    <row r="234" spans="1:8" ht="140.25" customHeight="1">
      <c r="A234" s="220" t="s">
        <v>231</v>
      </c>
      <c r="B234" s="221"/>
      <c r="C234" s="102" t="s">
        <v>122</v>
      </c>
      <c r="D234" s="54" t="s">
        <v>61</v>
      </c>
      <c r="E234" s="55" t="str">
        <f>IF(D234="SI","CUMPLE","NO CUMPLE")</f>
        <v>CUMPLE</v>
      </c>
      <c r="F234" s="201" t="s">
        <v>592</v>
      </c>
      <c r="H234" s="310" t="s">
        <v>230</v>
      </c>
    </row>
    <row r="235" spans="1:8" ht="42">
      <c r="A235" s="222"/>
      <c r="B235" s="223"/>
      <c r="C235" s="102" t="s">
        <v>123</v>
      </c>
      <c r="D235" s="54" t="s">
        <v>61</v>
      </c>
      <c r="E235" s="55" t="str">
        <f>IF(D235="SI","CUMPLE","NO CUMPLE")</f>
        <v>CUMPLE</v>
      </c>
      <c r="F235" s="202"/>
      <c r="H235" s="311"/>
    </row>
    <row r="236" spans="1:8" ht="28">
      <c r="A236" s="222"/>
      <c r="B236" s="223"/>
      <c r="C236" s="102" t="s">
        <v>128</v>
      </c>
      <c r="D236" s="56" t="s">
        <v>219</v>
      </c>
      <c r="E236" s="55" t="str">
        <f>IF(D236="","NO CUMPLE","CUMPLE")</f>
        <v>CUMPLE</v>
      </c>
      <c r="F236" s="202"/>
      <c r="H236" s="311"/>
    </row>
    <row r="237" spans="1:8" ht="14">
      <c r="A237" s="222"/>
      <c r="B237" s="223"/>
      <c r="C237" s="102" t="s">
        <v>129</v>
      </c>
      <c r="D237" s="56" t="s">
        <v>204</v>
      </c>
      <c r="E237" s="55" t="str">
        <f>IF(D237="Residente Interventoría","CUMPLE","NO CUMPLE")</f>
        <v>CUMPLE</v>
      </c>
      <c r="F237" s="202"/>
      <c r="H237" s="311"/>
    </row>
    <row r="238" spans="1:8" ht="14">
      <c r="A238" s="222"/>
      <c r="B238" s="223"/>
      <c r="C238" s="103" t="s">
        <v>110</v>
      </c>
      <c r="D238" s="58">
        <v>338367745</v>
      </c>
      <c r="E238" s="55" t="str">
        <f>IF(D238="","NO CUMPLE","CUMPLE")</f>
        <v>CUMPLE</v>
      </c>
      <c r="F238" s="202"/>
      <c r="H238" s="311"/>
    </row>
    <row r="239" spans="1:8" ht="14">
      <c r="A239" s="222"/>
      <c r="B239" s="223"/>
      <c r="C239" s="103" t="s">
        <v>111</v>
      </c>
      <c r="D239" s="57">
        <v>44111</v>
      </c>
      <c r="E239" s="55" t="str">
        <f>IF(D239="","NO CUMPLE","CUMPLE")</f>
        <v>CUMPLE</v>
      </c>
      <c r="F239" s="202"/>
      <c r="H239" s="311"/>
    </row>
    <row r="240" spans="1:8" ht="14">
      <c r="A240" s="222"/>
      <c r="B240" s="223"/>
      <c r="C240" s="103" t="s">
        <v>112</v>
      </c>
      <c r="D240" s="57">
        <v>44650</v>
      </c>
      <c r="E240" s="55" t="str">
        <f t="shared" ref="E240" si="13">IF(D240="","NO CUMPLE","CUMPLE")</f>
        <v>CUMPLE</v>
      </c>
      <c r="F240" s="202"/>
      <c r="H240" s="311"/>
    </row>
    <row r="241" spans="1:8">
      <c r="A241" s="224"/>
      <c r="B241" s="225"/>
      <c r="C241" s="103" t="s">
        <v>113</v>
      </c>
      <c r="D241" s="100">
        <f>IFERROR((D238/(VLOOKUP((YEAR(D240)),SMMLV!$A$9:$C$49,3,0))),"0")</f>
        <v>338.36774500000001</v>
      </c>
      <c r="E241" s="101"/>
      <c r="F241" s="203"/>
      <c r="H241" s="312"/>
    </row>
    <row r="242" spans="1:8" ht="140.25" customHeight="1">
      <c r="A242" s="220" t="s">
        <v>320</v>
      </c>
      <c r="B242" s="221"/>
      <c r="C242" s="102" t="s">
        <v>122</v>
      </c>
      <c r="D242" s="54" t="s">
        <v>61</v>
      </c>
      <c r="E242" s="55" t="str">
        <f>IF(D242="SI","CUMPLE","NO CUMPLE")</f>
        <v>CUMPLE</v>
      </c>
      <c r="F242" s="201" t="s">
        <v>593</v>
      </c>
      <c r="H242" s="310" t="s">
        <v>232</v>
      </c>
    </row>
    <row r="243" spans="1:8" ht="42">
      <c r="A243" s="222"/>
      <c r="B243" s="223"/>
      <c r="C243" s="102" t="s">
        <v>123</v>
      </c>
      <c r="D243" s="54" t="s">
        <v>61</v>
      </c>
      <c r="E243" s="55" t="str">
        <f>IF(D243="SI","CUMPLE","NO CUMPLE")</f>
        <v>CUMPLE</v>
      </c>
      <c r="F243" s="202"/>
      <c r="H243" s="311"/>
    </row>
    <row r="244" spans="1:8" ht="28">
      <c r="A244" s="222"/>
      <c r="B244" s="223"/>
      <c r="C244" s="102" t="s">
        <v>128</v>
      </c>
      <c r="D244" s="56" t="s">
        <v>219</v>
      </c>
      <c r="E244" s="55" t="str">
        <f>IF(D244="","NO CUMPLE","CUMPLE")</f>
        <v>CUMPLE</v>
      </c>
      <c r="F244" s="202"/>
      <c r="H244" s="311"/>
    </row>
    <row r="245" spans="1:8" ht="14">
      <c r="A245" s="222"/>
      <c r="B245" s="223"/>
      <c r="C245" s="102" t="s">
        <v>129</v>
      </c>
      <c r="D245" s="56" t="s">
        <v>204</v>
      </c>
      <c r="E245" s="55" t="str">
        <f>IF(D245="Residente Interventoría","CUMPLE","NO CUMPLE")</f>
        <v>CUMPLE</v>
      </c>
      <c r="F245" s="202"/>
      <c r="H245" s="311"/>
    </row>
    <row r="246" spans="1:8" ht="14">
      <c r="A246" s="222"/>
      <c r="B246" s="223"/>
      <c r="C246" s="103" t="s">
        <v>110</v>
      </c>
      <c r="D246" s="58">
        <v>239492990</v>
      </c>
      <c r="E246" s="55" t="str">
        <f>IF(D246="","NO CUMPLE","CUMPLE")</f>
        <v>CUMPLE</v>
      </c>
      <c r="F246" s="202"/>
      <c r="H246" s="311"/>
    </row>
    <row r="247" spans="1:8" ht="14">
      <c r="A247" s="222"/>
      <c r="B247" s="223"/>
      <c r="C247" s="103" t="s">
        <v>111</v>
      </c>
      <c r="D247" s="57">
        <v>40639</v>
      </c>
      <c r="E247" s="55" t="str">
        <f>IF(D247="","NO CUMPLE","CUMPLE")</f>
        <v>CUMPLE</v>
      </c>
      <c r="F247" s="202"/>
      <c r="H247" s="311"/>
    </row>
    <row r="248" spans="1:8" ht="14">
      <c r="A248" s="222"/>
      <c r="B248" s="223"/>
      <c r="C248" s="103" t="s">
        <v>112</v>
      </c>
      <c r="D248" s="57">
        <v>41035</v>
      </c>
      <c r="E248" s="55" t="str">
        <f t="shared" ref="E248" si="14">IF(D248="","NO CUMPLE","CUMPLE")</f>
        <v>CUMPLE</v>
      </c>
      <c r="F248" s="202"/>
      <c r="H248" s="311"/>
    </row>
    <row r="249" spans="1:8">
      <c r="A249" s="224"/>
      <c r="B249" s="225"/>
      <c r="C249" s="103" t="s">
        <v>113</v>
      </c>
      <c r="D249" s="100">
        <f>IFERROR((D246/(VLOOKUP((YEAR(D248)),SMMLV!$A$9:$C$49,3,0))),"0")</f>
        <v>422.60982883359804</v>
      </c>
      <c r="E249" s="101"/>
      <c r="F249" s="203"/>
      <c r="H249" s="312"/>
    </row>
    <row r="250" spans="1:8">
      <c r="A250" s="227" t="s">
        <v>202</v>
      </c>
      <c r="B250" s="227"/>
      <c r="C250" s="227"/>
      <c r="D250" s="227"/>
      <c r="E250" s="227"/>
      <c r="F250" s="178">
        <f>D241+D249</f>
        <v>760.97757383359806</v>
      </c>
      <c r="H250" s="71">
        <f>F241+F249</f>
        <v>0</v>
      </c>
    </row>
    <row r="251" spans="1:8">
      <c r="A251" s="227"/>
      <c r="B251" s="227"/>
      <c r="C251" s="227"/>
      <c r="D251" s="227"/>
      <c r="E251" s="227"/>
      <c r="F251" s="172" t="str">
        <f>IF(F250&gt;=216.63,"CUMPLE","NO CUMPLE")</f>
        <v>CUMPLE</v>
      </c>
      <c r="H251" s="43" t="str">
        <f>IF(H250&gt;=216.63,"CUMPLE","NO CUMPLE")</f>
        <v>NO CUMPLE</v>
      </c>
    </row>
    <row r="252" spans="1:8" ht="27.75" customHeight="1">
      <c r="A252" s="227" t="s">
        <v>84</v>
      </c>
      <c r="B252" s="227"/>
      <c r="C252" s="227"/>
      <c r="D252" s="227"/>
      <c r="E252" s="227"/>
      <c r="F252" s="227"/>
      <c r="H252" s="20"/>
    </row>
    <row r="253" spans="1:8">
      <c r="A253" s="246" t="s">
        <v>134</v>
      </c>
      <c r="B253" s="247"/>
      <c r="C253" s="247"/>
      <c r="D253" s="247"/>
      <c r="E253" s="248"/>
      <c r="F253" s="185" t="str">
        <f>IF(AND(E226="cumple",E227="cumple",E228="cumple",E229="cumple",E230="cumple",E231="cumple",E232="cumple",E233="cumple",F251="cumple"),"CUMPLE","NO CUMPLE")</f>
        <v>CUMPLE</v>
      </c>
      <c r="H253" s="70" t="str">
        <f>IF(AND(G226="cumple",G227="cumple",G228="cumple",G229="cumple",G230="cumple",G231="cumple",G232="cumple",G233="cumple",H251="cumple"),"CUMPLE","NO CUMPLE")</f>
        <v>NO CUMPLE</v>
      </c>
    </row>
    <row r="254" spans="1:8">
      <c r="A254" s="39"/>
      <c r="B254" s="39"/>
      <c r="C254" s="39"/>
      <c r="D254" s="39"/>
      <c r="E254" s="39"/>
      <c r="F254" s="186"/>
      <c r="H254" s="40"/>
    </row>
    <row r="255" spans="1:8" ht="14">
      <c r="A255" s="249" t="s">
        <v>114</v>
      </c>
      <c r="B255" s="250"/>
      <c r="C255" s="250"/>
      <c r="D255" s="250"/>
      <c r="E255" s="251"/>
      <c r="F255" s="187" t="str">
        <f>IF(AND(F191="CUMPLE",F222="CUMPLE",F253="CUMPLE"),"CUMPLE","NO CUMPLE")</f>
        <v>CUMPLE</v>
      </c>
      <c r="H255" s="104" t="str">
        <f>IF(AND(H191="CUMPLE",H222="CUMPLE",H253="CUMPLE"),"CUMPLE","NO CUMPLE")</f>
        <v>NO CUMPLE</v>
      </c>
    </row>
    <row r="256" spans="1:8">
      <c r="A256" s="39"/>
      <c r="B256" s="39"/>
      <c r="C256" s="39"/>
      <c r="D256" s="39"/>
      <c r="E256" s="39"/>
      <c r="F256" s="173"/>
      <c r="H256" s="40"/>
    </row>
    <row r="257" spans="1:8" ht="14">
      <c r="A257" s="252" t="s">
        <v>139</v>
      </c>
      <c r="B257" s="252"/>
      <c r="C257" s="252"/>
      <c r="D257" s="252"/>
      <c r="E257" s="252"/>
      <c r="F257" s="252"/>
      <c r="H257" s="20"/>
    </row>
    <row r="258" spans="1:8">
      <c r="A258" s="227" t="s">
        <v>140</v>
      </c>
      <c r="B258" s="227"/>
      <c r="C258" s="227"/>
      <c r="D258" s="227"/>
      <c r="E258" s="227"/>
      <c r="F258" s="171" t="s">
        <v>62</v>
      </c>
      <c r="H258" s="46" t="s">
        <v>62</v>
      </c>
    </row>
    <row r="259" spans="1:8">
      <c r="A259" s="227"/>
      <c r="B259" s="227"/>
      <c r="C259" s="227"/>
      <c r="D259" s="227"/>
      <c r="E259" s="227"/>
      <c r="F259" s="188"/>
      <c r="H259" s="43" t="str">
        <f>IF(H258="SI","CUMPLE","NO CUMPLE")</f>
        <v>NO CUMPLE</v>
      </c>
    </row>
    <row r="260" spans="1:8" ht="34.5" customHeight="1">
      <c r="A260" s="227" t="s">
        <v>584</v>
      </c>
      <c r="B260" s="227"/>
      <c r="C260" s="227"/>
      <c r="D260" s="227"/>
      <c r="E260" s="227"/>
      <c r="F260" s="227"/>
      <c r="H260" s="20"/>
    </row>
    <row r="261" spans="1:8" ht="14">
      <c r="A261" s="249" t="s">
        <v>139</v>
      </c>
      <c r="B261" s="250"/>
      <c r="C261" s="250"/>
      <c r="D261" s="250"/>
      <c r="E261" s="251"/>
      <c r="F261" s="180"/>
      <c r="H261" s="104" t="str">
        <f>IF((H259="CUMPLE"),"CUMPLE","NO CUMPLE")</f>
        <v>NO CUMPLE</v>
      </c>
    </row>
    <row r="262" spans="1:8">
      <c r="A262" s="39"/>
      <c r="B262" s="39"/>
      <c r="C262" s="39"/>
      <c r="D262" s="39"/>
      <c r="E262" s="39"/>
      <c r="F262" s="173"/>
      <c r="H262" s="40"/>
    </row>
    <row r="263" spans="1:8" ht="16">
      <c r="A263" s="242" t="s">
        <v>89</v>
      </c>
      <c r="B263" s="243"/>
      <c r="C263" s="243"/>
      <c r="D263" s="243"/>
      <c r="E263" s="244"/>
      <c r="F263" s="189"/>
      <c r="H263" s="105" t="str">
        <f>IF(AND(H138="CUMPLE",H255="CUMPLE",H261="CUMPLE"),"HABILITADO","NO HABILITADO")</f>
        <v>NO HABILITADO</v>
      </c>
    </row>
    <row r="264" spans="1:8" hidden="1">
      <c r="A264" s="39"/>
      <c r="B264" s="39"/>
      <c r="C264" s="39"/>
      <c r="D264" s="39"/>
      <c r="E264" s="39"/>
      <c r="F264" s="173"/>
      <c r="H264" s="40"/>
    </row>
    <row r="265" spans="1:8" hidden="1">
      <c r="A265" s="39"/>
      <c r="B265" s="39"/>
      <c r="C265" s="39"/>
      <c r="D265" s="39"/>
      <c r="E265" s="39"/>
      <c r="F265" s="173"/>
      <c r="H265" s="40"/>
    </row>
    <row r="266" spans="1:8" ht="16" hidden="1">
      <c r="A266" s="245" t="s">
        <v>141</v>
      </c>
      <c r="B266" s="245"/>
      <c r="C266" s="245"/>
      <c r="D266" s="245"/>
      <c r="E266" s="245"/>
      <c r="F266" s="245"/>
      <c r="H266" s="20"/>
    </row>
    <row r="267" spans="1:8" ht="14" hidden="1">
      <c r="A267" s="212" t="s">
        <v>142</v>
      </c>
      <c r="B267" s="212"/>
      <c r="C267" s="212"/>
      <c r="D267" s="212"/>
      <c r="E267" s="212"/>
      <c r="F267" s="212"/>
      <c r="H267" s="20"/>
    </row>
    <row r="268" spans="1:8" hidden="1">
      <c r="A268" s="27"/>
      <c r="B268" s="27"/>
      <c r="C268" s="27"/>
      <c r="D268" s="27"/>
      <c r="E268" s="27"/>
      <c r="F268" s="168"/>
      <c r="H268" s="21"/>
    </row>
    <row r="269" spans="1:8" ht="29.25" hidden="1" customHeight="1">
      <c r="A269" s="28" t="s">
        <v>235</v>
      </c>
      <c r="B269" s="240" t="s">
        <v>236</v>
      </c>
      <c r="C269" s="240"/>
      <c r="D269" s="240"/>
      <c r="E269" s="240"/>
      <c r="F269" s="240"/>
      <c r="H269" s="20"/>
    </row>
    <row r="270" spans="1:8" ht="42.75" hidden="1" customHeight="1">
      <c r="A270" s="28" t="s">
        <v>51</v>
      </c>
      <c r="B270" s="241" t="s">
        <v>234</v>
      </c>
      <c r="C270" s="241"/>
      <c r="D270" s="241"/>
      <c r="E270" s="241"/>
      <c r="F270" s="241"/>
      <c r="H270" s="20"/>
    </row>
    <row r="271" spans="1:8" hidden="1">
      <c r="A271" s="23" t="s">
        <v>52</v>
      </c>
      <c r="B271" s="234" t="s">
        <v>233</v>
      </c>
      <c r="C271" s="234"/>
      <c r="D271" s="234"/>
      <c r="E271" s="234"/>
      <c r="F271" s="234"/>
      <c r="H271" s="20"/>
    </row>
    <row r="272" spans="1:8" hidden="1">
      <c r="A272" s="28" t="s">
        <v>65</v>
      </c>
      <c r="B272" s="31" t="s">
        <v>53</v>
      </c>
      <c r="C272" s="32" t="s">
        <v>66</v>
      </c>
      <c r="D272" s="32" t="s">
        <v>54</v>
      </c>
      <c r="E272" s="32" t="s">
        <v>67</v>
      </c>
      <c r="F272" s="169" t="s">
        <v>55</v>
      </c>
      <c r="H272" s="32" t="s">
        <v>55</v>
      </c>
    </row>
    <row r="273" spans="1:8" hidden="1">
      <c r="A273" s="227" t="s">
        <v>56</v>
      </c>
      <c r="B273" s="33">
        <v>80101600</v>
      </c>
      <c r="C273" s="29">
        <v>80101600</v>
      </c>
      <c r="D273" s="29">
        <v>496</v>
      </c>
      <c r="E273" s="235" t="str">
        <f>IF(B274=C274,"Acredita",IF(B273=C273,"Acredita","No acredita"))</f>
        <v>Acredita</v>
      </c>
      <c r="F273" s="201"/>
      <c r="H273" s="304"/>
    </row>
    <row r="274" spans="1:8" hidden="1">
      <c r="A274" s="227"/>
      <c r="B274" s="33">
        <v>81101500</v>
      </c>
      <c r="C274" s="30">
        <v>81101500</v>
      </c>
      <c r="D274" s="30">
        <v>496</v>
      </c>
      <c r="E274" s="236"/>
      <c r="F274" s="202"/>
      <c r="H274" s="305"/>
    </row>
    <row r="275" spans="1:8" ht="14" hidden="1">
      <c r="A275" s="237" t="s">
        <v>57</v>
      </c>
      <c r="B275" s="238"/>
      <c r="C275" s="239"/>
      <c r="D275" s="34">
        <v>42381</v>
      </c>
      <c r="E275" s="35" t="str">
        <f>IF(D275="","No acredita","Acredita")</f>
        <v>Acredita</v>
      </c>
      <c r="F275" s="202"/>
      <c r="H275" s="305"/>
    </row>
    <row r="276" spans="1:8" ht="14" hidden="1">
      <c r="A276" s="237" t="s">
        <v>58</v>
      </c>
      <c r="B276" s="238"/>
      <c r="C276" s="239"/>
      <c r="D276" s="36">
        <v>1415052729</v>
      </c>
      <c r="E276" s="35" t="str">
        <f>IF(D276="","No acredita","Acredita")</f>
        <v>Acredita</v>
      </c>
      <c r="F276" s="202"/>
      <c r="H276" s="305"/>
    </row>
    <row r="277" spans="1:8" ht="14" hidden="1">
      <c r="A277" s="237" t="s">
        <v>59</v>
      </c>
      <c r="B277" s="238"/>
      <c r="C277" s="239"/>
      <c r="D277" s="89">
        <f>IFERROR((D276/(VLOOKUP((YEAR(D279)),SMMLV!$A$9:$C$49,3,0)))*'O1'!D278,"0")</f>
        <v>959.07558657317099</v>
      </c>
      <c r="E277" s="37" t="str">
        <f>IF(D277="","No acredita","Acredita")</f>
        <v>Acredita</v>
      </c>
      <c r="F277" s="202"/>
      <c r="H277" s="305"/>
    </row>
    <row r="278" spans="1:8" ht="14" hidden="1">
      <c r="A278" s="237" t="s">
        <v>80</v>
      </c>
      <c r="B278" s="238"/>
      <c r="C278" s="239"/>
      <c r="D278" s="45">
        <v>0.5</v>
      </c>
      <c r="E278" s="35" t="str">
        <f>IF(D278="","No acredita","Acredita")</f>
        <v>Acredita</v>
      </c>
      <c r="F278" s="202"/>
      <c r="H278" s="305"/>
    </row>
    <row r="279" spans="1:8" ht="14" hidden="1">
      <c r="A279" s="237" t="s">
        <v>60</v>
      </c>
      <c r="B279" s="238"/>
      <c r="C279" s="239"/>
      <c r="D279" s="34">
        <v>42978</v>
      </c>
      <c r="E279" s="35" t="str">
        <f>IF(D279="","No acredita","Acredita")</f>
        <v>Acredita</v>
      </c>
      <c r="F279" s="202"/>
      <c r="H279" s="305"/>
    </row>
    <row r="280" spans="1:8" ht="62.25" hidden="1" customHeight="1">
      <c r="A280" s="227" t="s">
        <v>91</v>
      </c>
      <c r="B280" s="227"/>
      <c r="C280" s="227"/>
      <c r="D280" s="38" t="s">
        <v>61</v>
      </c>
      <c r="E280" s="35" t="str">
        <f t="shared" ref="E280:E283" si="15">IF(D280="","No acredita",IF(D280="","",IF(D280="SI","Acredita","No acredita")))</f>
        <v>Acredita</v>
      </c>
      <c r="F280" s="202"/>
      <c r="H280" s="305"/>
    </row>
    <row r="281" spans="1:8" ht="30" hidden="1" customHeight="1">
      <c r="A281" s="227" t="s">
        <v>92</v>
      </c>
      <c r="B281" s="227"/>
      <c r="C281" s="227"/>
      <c r="D281" s="38" t="s">
        <v>61</v>
      </c>
      <c r="E281" s="35" t="str">
        <f t="shared" si="15"/>
        <v>Acredita</v>
      </c>
      <c r="F281" s="202"/>
      <c r="H281" s="305"/>
    </row>
    <row r="282" spans="1:8" ht="14" hidden="1">
      <c r="A282" s="227" t="s">
        <v>69</v>
      </c>
      <c r="B282" s="227"/>
      <c r="C282" s="227"/>
      <c r="D282" s="38" t="s">
        <v>61</v>
      </c>
      <c r="E282" s="35" t="str">
        <f t="shared" si="15"/>
        <v>Acredita</v>
      </c>
      <c r="F282" s="202"/>
      <c r="H282" s="305"/>
    </row>
    <row r="283" spans="1:8" ht="14" hidden="1">
      <c r="A283" s="227" t="s">
        <v>103</v>
      </c>
      <c r="B283" s="227"/>
      <c r="C283" s="227"/>
      <c r="D283" s="38" t="s">
        <v>61</v>
      </c>
      <c r="E283" s="35" t="str">
        <f t="shared" si="15"/>
        <v>Acredita</v>
      </c>
      <c r="F283" s="203"/>
      <c r="H283" s="306"/>
    </row>
    <row r="284" spans="1:8" hidden="1">
      <c r="A284" s="231" t="s">
        <v>143</v>
      </c>
      <c r="B284" s="231"/>
      <c r="C284" s="231"/>
      <c r="D284" s="231"/>
      <c r="E284" s="232" t="str">
        <f>IF(AND(E273="acredita",E275="acredita",E276="acredita",E277="acredita",E278="acredita",E279="acredita",E280="acredita",E281="acredita",E282="acredita",E283="acredita"),"CUMPLE","NO CUMPLE")</f>
        <v>CUMPLE</v>
      </c>
      <c r="F284" s="233"/>
      <c r="H284" s="20"/>
    </row>
    <row r="285" spans="1:8" hidden="1">
      <c r="A285" s="26"/>
      <c r="B285" s="26"/>
      <c r="C285" s="26"/>
      <c r="D285" s="26"/>
      <c r="E285" s="22"/>
      <c r="F285" s="166"/>
      <c r="H285" s="22"/>
    </row>
    <row r="286" spans="1:8" hidden="1">
      <c r="A286" s="28" t="s">
        <v>237</v>
      </c>
      <c r="B286" s="240" t="s">
        <v>205</v>
      </c>
      <c r="C286" s="240"/>
      <c r="D286" s="240"/>
      <c r="E286" s="240"/>
      <c r="F286" s="240"/>
      <c r="H286" s="20"/>
    </row>
    <row r="287" spans="1:8" ht="48" hidden="1" customHeight="1">
      <c r="A287" s="28" t="s">
        <v>51</v>
      </c>
      <c r="B287" s="241" t="s">
        <v>239</v>
      </c>
      <c r="C287" s="241"/>
      <c r="D287" s="241"/>
      <c r="E287" s="241"/>
      <c r="F287" s="241"/>
      <c r="H287" s="20"/>
    </row>
    <row r="288" spans="1:8" hidden="1">
      <c r="A288" s="23" t="s">
        <v>52</v>
      </c>
      <c r="B288" s="234" t="s">
        <v>238</v>
      </c>
      <c r="C288" s="234"/>
      <c r="D288" s="234"/>
      <c r="E288" s="234"/>
      <c r="F288" s="234"/>
      <c r="H288" s="20"/>
    </row>
    <row r="289" spans="1:8" hidden="1">
      <c r="A289" s="28" t="s">
        <v>65</v>
      </c>
      <c r="B289" s="31" t="s">
        <v>53</v>
      </c>
      <c r="C289" s="32" t="s">
        <v>66</v>
      </c>
      <c r="D289" s="32" t="s">
        <v>54</v>
      </c>
      <c r="E289" s="32" t="s">
        <v>67</v>
      </c>
      <c r="F289" s="169" t="s">
        <v>55</v>
      </c>
      <c r="H289" s="32" t="s">
        <v>55</v>
      </c>
    </row>
    <row r="290" spans="1:8" hidden="1">
      <c r="A290" s="227" t="s">
        <v>56</v>
      </c>
      <c r="B290" s="33">
        <v>80101600</v>
      </c>
      <c r="C290" s="29">
        <v>80101600</v>
      </c>
      <c r="D290" s="29">
        <v>462</v>
      </c>
      <c r="E290" s="235" t="str">
        <f>IF(B291=C291,"Acredita",IF(B290=C290,"Acredita","No acredita"))</f>
        <v>Acredita</v>
      </c>
      <c r="F290" s="201"/>
      <c r="H290" s="304"/>
    </row>
    <row r="291" spans="1:8" hidden="1">
      <c r="A291" s="227"/>
      <c r="B291" s="33">
        <v>81101500</v>
      </c>
      <c r="C291" s="30">
        <v>81101500</v>
      </c>
      <c r="D291" s="30">
        <v>462</v>
      </c>
      <c r="E291" s="236"/>
      <c r="F291" s="202"/>
      <c r="H291" s="305"/>
    </row>
    <row r="292" spans="1:8" ht="14" hidden="1">
      <c r="A292" s="237" t="s">
        <v>57</v>
      </c>
      <c r="B292" s="238"/>
      <c r="C292" s="239"/>
      <c r="D292" s="34">
        <v>42339</v>
      </c>
      <c r="E292" s="35" t="str">
        <f>IF(D292="","No acredita","Acredita")</f>
        <v>Acredita</v>
      </c>
      <c r="F292" s="202"/>
      <c r="H292" s="305"/>
    </row>
    <row r="293" spans="1:8" ht="14" hidden="1">
      <c r="A293" s="237" t="s">
        <v>58</v>
      </c>
      <c r="B293" s="238"/>
      <c r="C293" s="239"/>
      <c r="D293" s="36">
        <v>202111041</v>
      </c>
      <c r="E293" s="35" t="str">
        <f>IF(D293="","No acredita","Acredita")</f>
        <v>Acredita</v>
      </c>
      <c r="F293" s="202"/>
      <c r="H293" s="305"/>
    </row>
    <row r="294" spans="1:8" ht="14" hidden="1">
      <c r="A294" s="237" t="s">
        <v>59</v>
      </c>
      <c r="B294" s="238"/>
      <c r="C294" s="239"/>
      <c r="D294" s="44">
        <f>IFERROR((D293/(VLOOKUP((YEAR(D296)),SMMLV!$A$9:$C$49,3,0)))*'O1'!D295,"0")</f>
        <v>293.14609510410395</v>
      </c>
      <c r="E294" s="37" t="str">
        <f>IF(D294="","No acredita","Acredita")</f>
        <v>Acredita</v>
      </c>
      <c r="F294" s="202"/>
      <c r="H294" s="305"/>
    </row>
    <row r="295" spans="1:8" ht="14" hidden="1">
      <c r="A295" s="237" t="s">
        <v>80</v>
      </c>
      <c r="B295" s="238"/>
      <c r="C295" s="239"/>
      <c r="D295" s="45">
        <v>1</v>
      </c>
      <c r="E295" s="35" t="str">
        <f>IF(D295="","No acredita","Acredita")</f>
        <v>Acredita</v>
      </c>
      <c r="F295" s="202"/>
      <c r="H295" s="305"/>
    </row>
    <row r="296" spans="1:8" ht="14" hidden="1">
      <c r="A296" s="237" t="s">
        <v>60</v>
      </c>
      <c r="B296" s="238"/>
      <c r="C296" s="239"/>
      <c r="D296" s="34">
        <v>42696</v>
      </c>
      <c r="E296" s="35" t="str">
        <f>IF(D296="","No acredita","Acredita")</f>
        <v>Acredita</v>
      </c>
      <c r="F296" s="202"/>
      <c r="H296" s="305"/>
    </row>
    <row r="297" spans="1:8" ht="70.5" hidden="1" customHeight="1">
      <c r="A297" s="227" t="s">
        <v>91</v>
      </c>
      <c r="B297" s="227"/>
      <c r="C297" s="227"/>
      <c r="D297" s="38" t="s">
        <v>61</v>
      </c>
      <c r="E297" s="35" t="str">
        <f t="shared" ref="E297:E300" si="16">IF(D297="","No acredita",IF(D297="","",IF(D297="SI","Acredita","No acredita")))</f>
        <v>Acredita</v>
      </c>
      <c r="F297" s="202"/>
      <c r="H297" s="305"/>
    </row>
    <row r="298" spans="1:8" ht="30" hidden="1" customHeight="1">
      <c r="A298" s="227" t="s">
        <v>92</v>
      </c>
      <c r="B298" s="227"/>
      <c r="C298" s="227"/>
      <c r="D298" s="38" t="s">
        <v>61</v>
      </c>
      <c r="E298" s="35" t="str">
        <f t="shared" si="16"/>
        <v>Acredita</v>
      </c>
      <c r="F298" s="202"/>
      <c r="H298" s="305"/>
    </row>
    <row r="299" spans="1:8" ht="14" hidden="1">
      <c r="A299" s="227" t="s">
        <v>69</v>
      </c>
      <c r="B299" s="227"/>
      <c r="C299" s="227"/>
      <c r="D299" s="38" t="s">
        <v>61</v>
      </c>
      <c r="E299" s="35" t="str">
        <f t="shared" si="16"/>
        <v>Acredita</v>
      </c>
      <c r="F299" s="202"/>
      <c r="H299" s="305"/>
    </row>
    <row r="300" spans="1:8" ht="14" hidden="1">
      <c r="A300" s="227" t="s">
        <v>103</v>
      </c>
      <c r="B300" s="227"/>
      <c r="C300" s="227"/>
      <c r="D300" s="38" t="s">
        <v>61</v>
      </c>
      <c r="E300" s="35" t="str">
        <f t="shared" si="16"/>
        <v>Acredita</v>
      </c>
      <c r="F300" s="203"/>
      <c r="H300" s="306"/>
    </row>
    <row r="301" spans="1:8" hidden="1">
      <c r="A301" s="231" t="s">
        <v>144</v>
      </c>
      <c r="B301" s="231"/>
      <c r="C301" s="231"/>
      <c r="D301" s="231"/>
      <c r="E301" s="232" t="str">
        <f>IF(AND(E290="acredita",E292="acredita",E293="acredita",E294="acredita",E295="acredita",E296="acredita",E297="acredita",E298="acredita",E299="acredita",E300="acredita"),"CUMPLE","NO CUMPLE")</f>
        <v>CUMPLE</v>
      </c>
      <c r="F301" s="233"/>
      <c r="H301" s="20"/>
    </row>
    <row r="302" spans="1:8" hidden="1"/>
    <row r="303" spans="1:8" hidden="1">
      <c r="A303" s="226" t="s">
        <v>145</v>
      </c>
      <c r="B303" s="226"/>
      <c r="C303" s="226"/>
      <c r="D303" s="226"/>
      <c r="E303" s="226"/>
      <c r="F303" s="181">
        <f>D277+D294</f>
        <v>1252.221681677275</v>
      </c>
      <c r="H303" s="77">
        <f>F277+F294</f>
        <v>0</v>
      </c>
    </row>
    <row r="304" spans="1:8" hidden="1"/>
    <row r="305" spans="1:8" hidden="1">
      <c r="A305" s="228" t="s">
        <v>146</v>
      </c>
      <c r="B305" s="229"/>
      <c r="C305" s="35">
        <v>40</v>
      </c>
      <c r="D305" s="208" t="str">
        <f>IF(F303&gt;433.26,"40",IF(F303&gt;216.63,"30",IF(F303&gt;108.32,"20",IF(F303&gt;43.33,"10","0"))))</f>
        <v>40</v>
      </c>
      <c r="E305" s="230" t="s">
        <v>151</v>
      </c>
      <c r="F305" s="230"/>
      <c r="H305" s="20"/>
    </row>
    <row r="306" spans="1:8" ht="12.75" hidden="1" customHeight="1">
      <c r="A306" s="228" t="s">
        <v>147</v>
      </c>
      <c r="B306" s="229"/>
      <c r="C306" s="35">
        <v>30</v>
      </c>
      <c r="D306" s="209"/>
      <c r="E306" s="230"/>
      <c r="F306" s="230"/>
      <c r="H306" s="20"/>
    </row>
    <row r="307" spans="1:8" ht="12.75" hidden="1" customHeight="1">
      <c r="A307" s="228" t="s">
        <v>148</v>
      </c>
      <c r="B307" s="229"/>
      <c r="C307" s="35">
        <v>20</v>
      </c>
      <c r="D307" s="209"/>
      <c r="E307" s="230"/>
      <c r="F307" s="230"/>
      <c r="H307" s="20"/>
    </row>
    <row r="308" spans="1:8" ht="12.75" hidden="1" customHeight="1">
      <c r="A308" s="228" t="s">
        <v>149</v>
      </c>
      <c r="B308" s="229"/>
      <c r="C308" s="35">
        <v>10</v>
      </c>
      <c r="D308" s="209"/>
      <c r="E308" s="230"/>
      <c r="F308" s="230"/>
      <c r="G308" s="75"/>
      <c r="H308" s="20"/>
    </row>
    <row r="309" spans="1:8" hidden="1">
      <c r="A309" s="228" t="s">
        <v>150</v>
      </c>
      <c r="B309" s="229"/>
      <c r="C309" s="35">
        <v>0</v>
      </c>
      <c r="D309" s="210"/>
      <c r="E309" s="230"/>
      <c r="F309" s="230"/>
      <c r="G309" s="76"/>
      <c r="H309" s="20"/>
    </row>
    <row r="310" spans="1:8" hidden="1">
      <c r="G310" s="76"/>
    </row>
    <row r="311" spans="1:8" ht="14" hidden="1">
      <c r="A311" s="212" t="s">
        <v>152</v>
      </c>
      <c r="B311" s="212"/>
      <c r="C311" s="212"/>
      <c r="D311" s="212"/>
      <c r="E311" s="212"/>
      <c r="F311" s="212"/>
      <c r="G311" s="76"/>
      <c r="H311" s="20"/>
    </row>
    <row r="312" spans="1:8" hidden="1"/>
    <row r="313" spans="1:8" ht="154" hidden="1">
      <c r="A313" s="220" t="s">
        <v>241</v>
      </c>
      <c r="B313" s="221"/>
      <c r="C313" s="102" t="s">
        <v>122</v>
      </c>
      <c r="D313" s="54" t="s">
        <v>61</v>
      </c>
      <c r="E313" s="55" t="str">
        <f>IF(D313="SI","CUMPLE","NO CUMPLE")</f>
        <v>CUMPLE</v>
      </c>
      <c r="F313" s="201" t="s">
        <v>240</v>
      </c>
      <c r="H313" s="310" t="s">
        <v>240</v>
      </c>
    </row>
    <row r="314" spans="1:8" ht="42" hidden="1">
      <c r="A314" s="222"/>
      <c r="B314" s="223"/>
      <c r="C314" s="102" t="s">
        <v>123</v>
      </c>
      <c r="D314" s="54" t="s">
        <v>61</v>
      </c>
      <c r="E314" s="55" t="str">
        <f>IF(D314="SI","CUMPLE","NO CUMPLE")</f>
        <v>CUMPLE</v>
      </c>
      <c r="F314" s="202"/>
      <c r="H314" s="311"/>
    </row>
    <row r="315" spans="1:8" ht="28" hidden="1">
      <c r="A315" s="222"/>
      <c r="B315" s="223"/>
      <c r="C315" s="102" t="s">
        <v>128</v>
      </c>
      <c r="D315" s="56" t="s">
        <v>219</v>
      </c>
      <c r="E315" s="55" t="str">
        <f>IF(D315="","NO CUMPLE","CUMPLE")</f>
        <v>CUMPLE</v>
      </c>
      <c r="F315" s="202"/>
      <c r="H315" s="311"/>
    </row>
    <row r="316" spans="1:8" ht="14" hidden="1">
      <c r="A316" s="222"/>
      <c r="B316" s="223"/>
      <c r="C316" s="102" t="s">
        <v>129</v>
      </c>
      <c r="D316" s="56" t="s">
        <v>130</v>
      </c>
      <c r="E316" s="55" t="str">
        <f>IF(D316="Director Interventoria","CUMPLE","NO CUMPLE")</f>
        <v>CUMPLE</v>
      </c>
      <c r="F316" s="202"/>
      <c r="H316" s="311"/>
    </row>
    <row r="317" spans="1:8" ht="14" hidden="1">
      <c r="A317" s="222"/>
      <c r="B317" s="223"/>
      <c r="C317" s="103" t="s">
        <v>110</v>
      </c>
      <c r="D317" s="58">
        <v>266923339</v>
      </c>
      <c r="E317" s="55" t="str">
        <f>IF(D317="","NO CUMPLE","CUMPLE")</f>
        <v>CUMPLE</v>
      </c>
      <c r="F317" s="202"/>
      <c r="H317" s="311"/>
    </row>
    <row r="318" spans="1:8" ht="14" hidden="1">
      <c r="A318" s="222"/>
      <c r="B318" s="223"/>
      <c r="C318" s="103" t="s">
        <v>111</v>
      </c>
      <c r="D318" s="57">
        <v>42282</v>
      </c>
      <c r="E318" s="55" t="str">
        <f>IF(D318="","NO CUMPLE","CUMPLE")</f>
        <v>CUMPLE</v>
      </c>
      <c r="F318" s="202"/>
      <c r="G318" s="51"/>
      <c r="H318" s="311"/>
    </row>
    <row r="319" spans="1:8" ht="14" hidden="1">
      <c r="A319" s="222"/>
      <c r="B319" s="223"/>
      <c r="C319" s="103" t="s">
        <v>112</v>
      </c>
      <c r="D319" s="57">
        <v>42570</v>
      </c>
      <c r="E319" s="55" t="str">
        <f t="shared" ref="E319" si="17">IF(D319="","NO CUMPLE","CUMPLE")</f>
        <v>CUMPLE</v>
      </c>
      <c r="F319" s="202"/>
      <c r="H319" s="311"/>
    </row>
    <row r="320" spans="1:8" hidden="1">
      <c r="A320" s="224"/>
      <c r="B320" s="225"/>
      <c r="C320" s="103" t="s">
        <v>113</v>
      </c>
      <c r="D320" s="100">
        <f>IFERROR((D317/(VLOOKUP((YEAR(D319)),SMMLV!$A$9:$C$49,3,0))),"0")</f>
        <v>387.15121218933797</v>
      </c>
      <c r="E320" s="101"/>
      <c r="F320" s="203"/>
      <c r="H320" s="312"/>
    </row>
    <row r="321" spans="1:8" ht="154" hidden="1">
      <c r="A321" s="220" t="s">
        <v>242</v>
      </c>
      <c r="B321" s="221"/>
      <c r="C321" s="102" t="s">
        <v>122</v>
      </c>
      <c r="D321" s="54" t="s">
        <v>61</v>
      </c>
      <c r="E321" s="55" t="str">
        <f>IF(D321="SI","CUMPLE","NO CUMPLE")</f>
        <v>CUMPLE</v>
      </c>
      <c r="F321" s="201" t="s">
        <v>240</v>
      </c>
      <c r="H321" s="310" t="s">
        <v>240</v>
      </c>
    </row>
    <row r="322" spans="1:8" ht="42" hidden="1">
      <c r="A322" s="222"/>
      <c r="B322" s="223"/>
      <c r="C322" s="102" t="s">
        <v>123</v>
      </c>
      <c r="D322" s="54" t="s">
        <v>61</v>
      </c>
      <c r="E322" s="55" t="str">
        <f>IF(D322="SI","CUMPLE","NO CUMPLE")</f>
        <v>CUMPLE</v>
      </c>
      <c r="F322" s="202"/>
      <c r="H322" s="311"/>
    </row>
    <row r="323" spans="1:8" ht="28" hidden="1">
      <c r="A323" s="222"/>
      <c r="B323" s="223"/>
      <c r="C323" s="102" t="s">
        <v>128</v>
      </c>
      <c r="D323" s="56" t="s">
        <v>219</v>
      </c>
      <c r="E323" s="55" t="str">
        <f>IF(D323="","NO CUMPLE","CUMPLE")</f>
        <v>CUMPLE</v>
      </c>
      <c r="F323" s="202"/>
      <c r="H323" s="311"/>
    </row>
    <row r="324" spans="1:8" ht="14" hidden="1">
      <c r="A324" s="222"/>
      <c r="B324" s="223"/>
      <c r="C324" s="102" t="s">
        <v>129</v>
      </c>
      <c r="D324" s="56" t="s">
        <v>130</v>
      </c>
      <c r="E324" s="55" t="str">
        <f>IF(D324="Director Interventoria","CUMPLE","NO CUMPLE")</f>
        <v>CUMPLE</v>
      </c>
      <c r="F324" s="202"/>
      <c r="H324" s="311"/>
    </row>
    <row r="325" spans="1:8" ht="14" hidden="1">
      <c r="A325" s="222"/>
      <c r="B325" s="223"/>
      <c r="C325" s="103" t="s">
        <v>110</v>
      </c>
      <c r="D325" s="58">
        <v>587507750</v>
      </c>
      <c r="E325" s="55" t="str">
        <f>IF(D325="","NO CUMPLE","CUMPLE")</f>
        <v>CUMPLE</v>
      </c>
      <c r="F325" s="202"/>
      <c r="H325" s="311"/>
    </row>
    <row r="326" spans="1:8" ht="14" hidden="1">
      <c r="A326" s="222"/>
      <c r="B326" s="223"/>
      <c r="C326" s="103" t="s">
        <v>111</v>
      </c>
      <c r="D326" s="57">
        <v>43559</v>
      </c>
      <c r="E326" s="55" t="str">
        <f>IF(D326="","NO CUMPLE","CUMPLE")</f>
        <v>CUMPLE</v>
      </c>
      <c r="F326" s="202"/>
      <c r="H326" s="311"/>
    </row>
    <row r="327" spans="1:8" ht="14" hidden="1">
      <c r="A327" s="222"/>
      <c r="B327" s="223"/>
      <c r="C327" s="103" t="s">
        <v>112</v>
      </c>
      <c r="D327" s="57">
        <v>43920</v>
      </c>
      <c r="E327" s="55" t="str">
        <f t="shared" ref="E327" si="18">IF(D327="","NO CUMPLE","CUMPLE")</f>
        <v>CUMPLE</v>
      </c>
      <c r="F327" s="202"/>
      <c r="H327" s="311"/>
    </row>
    <row r="328" spans="1:8" hidden="1">
      <c r="A328" s="224"/>
      <c r="B328" s="225"/>
      <c r="C328" s="103" t="s">
        <v>113</v>
      </c>
      <c r="D328" s="100">
        <f>IFERROR((D325/(VLOOKUP((YEAR(D327)),SMMLV!$A$9:$C$49,3,0))),"0")</f>
        <v>669.29339498725801</v>
      </c>
      <c r="E328" s="101"/>
      <c r="F328" s="203"/>
      <c r="H328" s="312"/>
    </row>
    <row r="329" spans="1:8" hidden="1">
      <c r="A329" s="226" t="s">
        <v>155</v>
      </c>
      <c r="B329" s="226"/>
      <c r="C329" s="226"/>
      <c r="D329" s="226"/>
      <c r="E329" s="226"/>
      <c r="F329" s="181">
        <f>D320+D328</f>
        <v>1056.444607176596</v>
      </c>
      <c r="H329" s="77">
        <f>F320+F328</f>
        <v>0</v>
      </c>
    </row>
    <row r="330" spans="1:8" hidden="1"/>
    <row r="331" spans="1:8" hidden="1">
      <c r="A331" s="227" t="s">
        <v>153</v>
      </c>
      <c r="B331" s="227"/>
      <c r="C331" s="227"/>
      <c r="D331" s="35">
        <v>30</v>
      </c>
      <c r="E331" s="208" t="str">
        <f>IF(F329&gt;=346.608,"30","0")</f>
        <v>30</v>
      </c>
      <c r="F331" s="214" t="s">
        <v>151</v>
      </c>
      <c r="H331" s="313" t="s">
        <v>151</v>
      </c>
    </row>
    <row r="332" spans="1:8" hidden="1">
      <c r="A332" s="227" t="s">
        <v>154</v>
      </c>
      <c r="B332" s="227"/>
      <c r="C332" s="227"/>
      <c r="D332" s="35">
        <v>0</v>
      </c>
      <c r="E332" s="210"/>
      <c r="F332" s="216"/>
      <c r="H332" s="314"/>
    </row>
    <row r="333" spans="1:8" hidden="1"/>
    <row r="334" spans="1:8" ht="14" hidden="1">
      <c r="A334" s="212" t="s">
        <v>156</v>
      </c>
      <c r="B334" s="212"/>
      <c r="C334" s="212"/>
      <c r="D334" s="212"/>
      <c r="E334" s="212"/>
      <c r="F334" s="212"/>
      <c r="H334" s="20"/>
    </row>
    <row r="335" spans="1:8" ht="28.5" hidden="1" customHeight="1">
      <c r="A335" s="198" t="s">
        <v>157</v>
      </c>
      <c r="B335" s="198"/>
      <c r="C335" s="198"/>
      <c r="D335" s="78" t="s">
        <v>160</v>
      </c>
      <c r="E335" s="208" t="str">
        <f>IF(D335="X","18,92",IF(D336="X","10",IF(D337="X","0","0")))</f>
        <v>18,92</v>
      </c>
      <c r="F335" s="217" t="s">
        <v>243</v>
      </c>
      <c r="H335" s="315" t="s">
        <v>243</v>
      </c>
    </row>
    <row r="336" spans="1:8" ht="28.5" hidden="1" customHeight="1">
      <c r="A336" s="198" t="s">
        <v>158</v>
      </c>
      <c r="B336" s="198"/>
      <c r="C336" s="198"/>
      <c r="D336" s="78"/>
      <c r="E336" s="209"/>
      <c r="F336" s="218"/>
      <c r="H336" s="316"/>
    </row>
    <row r="337" spans="1:8" ht="28.5" hidden="1" customHeight="1">
      <c r="A337" s="199" t="s">
        <v>159</v>
      </c>
      <c r="B337" s="199"/>
      <c r="C337" s="199"/>
      <c r="D337" s="78"/>
      <c r="E337" s="210"/>
      <c r="F337" s="219"/>
      <c r="H337" s="317"/>
    </row>
    <row r="338" spans="1:8" hidden="1"/>
    <row r="339" spans="1:8" ht="14" hidden="1">
      <c r="A339" s="212" t="s">
        <v>161</v>
      </c>
      <c r="B339" s="212"/>
      <c r="C339" s="212"/>
      <c r="D339" s="212"/>
      <c r="E339" s="212"/>
      <c r="F339" s="212"/>
      <c r="H339" s="20"/>
    </row>
    <row r="340" spans="1:8" ht="53.25" hidden="1" customHeight="1">
      <c r="A340" s="198" t="s">
        <v>162</v>
      </c>
      <c r="B340" s="198"/>
      <c r="C340" s="198"/>
      <c r="D340" s="78" t="s">
        <v>160</v>
      </c>
      <c r="E340" s="208" t="str">
        <f>IF(D340="X","10",IF(D341="X","5",IF(D342="X","0","0")))</f>
        <v>10</v>
      </c>
      <c r="F340" s="214" t="s">
        <v>151</v>
      </c>
      <c r="H340" s="313" t="s">
        <v>151</v>
      </c>
    </row>
    <row r="341" spans="1:8" ht="31.5" hidden="1" customHeight="1">
      <c r="A341" s="198" t="s">
        <v>163</v>
      </c>
      <c r="B341" s="198"/>
      <c r="C341" s="198"/>
      <c r="D341" s="78"/>
      <c r="E341" s="209"/>
      <c r="F341" s="215"/>
      <c r="H341" s="318"/>
    </row>
    <row r="342" spans="1:8" ht="39.75" hidden="1" customHeight="1">
      <c r="A342" s="198" t="s">
        <v>164</v>
      </c>
      <c r="B342" s="198"/>
      <c r="C342" s="198"/>
      <c r="D342" s="78"/>
      <c r="E342" s="210"/>
      <c r="F342" s="216"/>
      <c r="H342" s="314"/>
    </row>
    <row r="343" spans="1:8" hidden="1"/>
    <row r="344" spans="1:8" ht="14" hidden="1">
      <c r="A344" s="212" t="s">
        <v>165</v>
      </c>
      <c r="B344" s="212"/>
      <c r="C344" s="212"/>
      <c r="D344" s="212"/>
      <c r="E344" s="212"/>
      <c r="F344" s="212"/>
      <c r="H344" s="20"/>
    </row>
    <row r="345" spans="1:8" ht="12.75" hidden="1" customHeight="1">
      <c r="A345" s="207" t="s">
        <v>166</v>
      </c>
      <c r="B345" s="207"/>
      <c r="C345" s="79" t="s">
        <v>61</v>
      </c>
      <c r="D345" s="78" t="str">
        <f>IF(C345="NO","No Cumple",IF(C345="","","Cumple"))</f>
        <v>Cumple</v>
      </c>
      <c r="E345" s="208" t="str">
        <f>IF(AND(D345="cumple",D346="cumple",D347="cumple",D348="cumple"),"1","0")</f>
        <v>1</v>
      </c>
      <c r="F345" s="211" t="s">
        <v>151</v>
      </c>
      <c r="H345" s="230" t="s">
        <v>151</v>
      </c>
    </row>
    <row r="346" spans="1:8" ht="12.75" hidden="1" customHeight="1">
      <c r="A346" s="207" t="s">
        <v>167</v>
      </c>
      <c r="B346" s="207"/>
      <c r="C346" s="79" t="s">
        <v>61</v>
      </c>
      <c r="D346" s="78" t="str">
        <f t="shared" ref="D346" si="19">IF(C346="NO","No Cumple",IF(C346="","","Cumple"))</f>
        <v>Cumple</v>
      </c>
      <c r="E346" s="209"/>
      <c r="F346" s="211"/>
      <c r="H346" s="230"/>
    </row>
    <row r="347" spans="1:8" ht="14" hidden="1">
      <c r="A347" s="207" t="s">
        <v>168</v>
      </c>
      <c r="B347" s="207"/>
      <c r="C347" s="80">
        <v>45541</v>
      </c>
      <c r="D347" s="78" t="str">
        <f>IF(C347="","",IF($B$4-C347&gt;183,"No Cumple","Cumple"))</f>
        <v>Cumple</v>
      </c>
      <c r="E347" s="209"/>
      <c r="F347" s="211"/>
      <c r="H347" s="230"/>
    </row>
    <row r="348" spans="1:8" hidden="1">
      <c r="A348" s="207" t="s">
        <v>169</v>
      </c>
      <c r="B348" s="207"/>
      <c r="C348" s="85">
        <f>F126</f>
        <v>1248.8377135381866</v>
      </c>
      <c r="D348" s="81" t="str">
        <f>IF(C348="","",IF(C348&lt;$B$5*40%,"No Cumple","Cumple"))</f>
        <v>Cumple</v>
      </c>
      <c r="E348" s="210"/>
      <c r="F348" s="211"/>
      <c r="H348" s="230"/>
    </row>
    <row r="349" spans="1:8" hidden="1"/>
    <row r="350" spans="1:8" ht="14" hidden="1">
      <c r="A350" s="212" t="s">
        <v>170</v>
      </c>
      <c r="B350" s="212"/>
      <c r="C350" s="212"/>
      <c r="D350" s="212"/>
      <c r="E350" s="212"/>
      <c r="F350" s="212"/>
      <c r="H350" s="20"/>
    </row>
    <row r="351" spans="1:8" ht="14" hidden="1">
      <c r="A351" s="83"/>
      <c r="B351" s="83"/>
      <c r="C351" s="83"/>
      <c r="D351" s="83"/>
      <c r="E351" s="83"/>
      <c r="F351" s="183"/>
      <c r="H351" s="83"/>
    </row>
    <row r="352" spans="1:8" ht="14" hidden="1">
      <c r="A352" s="204" t="s">
        <v>172</v>
      </c>
      <c r="B352" s="205"/>
      <c r="C352" s="205"/>
      <c r="D352" s="205"/>
      <c r="E352" s="205"/>
      <c r="F352" s="206"/>
      <c r="H352" s="20"/>
    </row>
    <row r="353" spans="1:8" ht="14" hidden="1">
      <c r="A353" s="207" t="s">
        <v>171</v>
      </c>
      <c r="B353" s="207"/>
      <c r="C353" s="79" t="s">
        <v>61</v>
      </c>
      <c r="D353" s="78" t="str">
        <f>IF(C353="NO","No Cumple",IF(C353="","","Cumple"))</f>
        <v>Cumple</v>
      </c>
      <c r="E353" s="208" t="str">
        <f>IF(AND(D353="cumple",D354="cumple",D355="cumple",D356="cumple"),"0,08","0")</f>
        <v>0,08</v>
      </c>
      <c r="F353" s="213" t="s">
        <v>244</v>
      </c>
      <c r="H353" s="319" t="s">
        <v>244</v>
      </c>
    </row>
    <row r="354" spans="1:8" ht="14" hidden="1">
      <c r="A354" s="207" t="s">
        <v>174</v>
      </c>
      <c r="B354" s="207"/>
      <c r="C354" s="84">
        <v>0.51</v>
      </c>
      <c r="D354" s="78" t="str">
        <f>IF(C354&gt;=50%,"Cumple",IF(C354="",""," No Cumple"))</f>
        <v>Cumple</v>
      </c>
      <c r="E354" s="209"/>
      <c r="F354" s="211"/>
      <c r="H354" s="230"/>
    </row>
    <row r="355" spans="1:8" ht="14" hidden="1">
      <c r="A355" s="207" t="s">
        <v>173</v>
      </c>
      <c r="B355" s="207"/>
      <c r="C355" s="79" t="s">
        <v>61</v>
      </c>
      <c r="D355" s="78" t="str">
        <f>IF(C355="NO","No Cumple",IF(C355="","","Cumple"))</f>
        <v>Cumple</v>
      </c>
      <c r="E355" s="209"/>
      <c r="F355" s="211"/>
      <c r="H355" s="230"/>
    </row>
    <row r="356" spans="1:8" ht="14" hidden="1">
      <c r="A356" s="207" t="s">
        <v>183</v>
      </c>
      <c r="B356" s="207"/>
      <c r="C356" s="88">
        <v>1</v>
      </c>
      <c r="D356" s="78" t="str">
        <f>IF(C356&lt;10%,"No Cumple","Cumple")</f>
        <v>Cumple</v>
      </c>
      <c r="E356" s="210"/>
      <c r="F356" s="211"/>
      <c r="H356" s="230"/>
    </row>
    <row r="357" spans="1:8" hidden="1"/>
    <row r="358" spans="1:8" ht="14" hidden="1">
      <c r="A358" s="204" t="s">
        <v>175</v>
      </c>
      <c r="B358" s="205"/>
      <c r="C358" s="205"/>
      <c r="D358" s="205"/>
      <c r="E358" s="205"/>
      <c r="F358" s="206"/>
      <c r="H358" s="20"/>
    </row>
    <row r="359" spans="1:8" ht="14" hidden="1">
      <c r="A359" s="207" t="s">
        <v>171</v>
      </c>
      <c r="B359" s="207"/>
      <c r="C359" s="79"/>
      <c r="D359" s="78" t="str">
        <f>IF(C359="NO","No Cumple",IF(C359="","","Cumple"))</f>
        <v/>
      </c>
      <c r="E359" s="208" t="str">
        <f>IF(AND(D359="cumple",D360="cumple",D361="cumple",D362="cumple",D363="cumple"),"0,08","0")</f>
        <v>0</v>
      </c>
      <c r="F359" s="211" t="s">
        <v>151</v>
      </c>
      <c r="H359" s="230" t="s">
        <v>151</v>
      </c>
    </row>
    <row r="360" spans="1:8" ht="14" hidden="1">
      <c r="A360" s="207" t="s">
        <v>176</v>
      </c>
      <c r="B360" s="207"/>
      <c r="C360" s="79"/>
      <c r="D360" s="78" t="str">
        <f t="shared" ref="D360:D362" si="20">IF(C360="NO","No Cumple",IF(C360="","","Cumple"))</f>
        <v/>
      </c>
      <c r="E360" s="209"/>
      <c r="F360" s="211"/>
      <c r="H360" s="230"/>
    </row>
    <row r="361" spans="1:8" ht="27.75" hidden="1" customHeight="1">
      <c r="A361" s="207" t="s">
        <v>177</v>
      </c>
      <c r="B361" s="207"/>
      <c r="C361" s="79"/>
      <c r="D361" s="78" t="str">
        <f t="shared" si="20"/>
        <v/>
      </c>
      <c r="E361" s="209"/>
      <c r="F361" s="211"/>
      <c r="H361" s="230"/>
    </row>
    <row r="362" spans="1:8" ht="14" hidden="1">
      <c r="A362" s="207" t="s">
        <v>178</v>
      </c>
      <c r="B362" s="207"/>
      <c r="C362" s="79"/>
      <c r="D362" s="78" t="str">
        <f t="shared" si="20"/>
        <v/>
      </c>
      <c r="E362" s="209"/>
      <c r="F362" s="211"/>
      <c r="H362" s="230"/>
    </row>
    <row r="363" spans="1:8" ht="14" hidden="1">
      <c r="A363" s="207" t="s">
        <v>182</v>
      </c>
      <c r="B363" s="207"/>
      <c r="C363" s="88">
        <v>0</v>
      </c>
      <c r="D363" s="78" t="str">
        <f>IF(C363&lt;10%,"No Cumple","Cumple")</f>
        <v>No Cumple</v>
      </c>
      <c r="E363" s="210"/>
      <c r="F363" s="211"/>
      <c r="G363" s="95"/>
      <c r="H363" s="230"/>
    </row>
    <row r="364" spans="1:8" hidden="1"/>
    <row r="365" spans="1:8" ht="31.5" hidden="1" customHeight="1">
      <c r="A365" s="198" t="s">
        <v>180</v>
      </c>
      <c r="B365" s="198"/>
      <c r="C365" s="198"/>
      <c r="D365" s="198"/>
      <c r="E365" s="86"/>
      <c r="F365" s="184"/>
      <c r="H365" s="30"/>
    </row>
    <row r="366" spans="1:8" hidden="1">
      <c r="A366" s="199" t="s">
        <v>181</v>
      </c>
      <c r="B366" s="199"/>
      <c r="C366" s="199"/>
      <c r="D366" s="199"/>
      <c r="E366" s="86"/>
      <c r="F366" s="184"/>
      <c r="H366" s="30"/>
    </row>
    <row r="367" spans="1:8" hidden="1"/>
    <row r="368" spans="1:8" ht="18" hidden="1">
      <c r="B368" s="200" t="s">
        <v>179</v>
      </c>
      <c r="C368" s="200"/>
      <c r="D368" s="200"/>
      <c r="E368" s="87">
        <f>SUM(D305+E331+E335+E340+E345+E353+E359-E365-E366)</f>
        <v>100</v>
      </c>
    </row>
    <row r="369" spans="1:6" hidden="1"/>
    <row r="370" spans="1:6" hidden="1"/>
    <row r="371" spans="1:6" hidden="1"/>
    <row r="372" spans="1:6" hidden="1"/>
    <row r="373" spans="1:6" hidden="1"/>
    <row r="374" spans="1:6" hidden="1">
      <c r="A374" s="151" t="s">
        <v>579</v>
      </c>
      <c r="B374" s="151" t="s">
        <v>578</v>
      </c>
      <c r="C374" s="151"/>
      <c r="D374" s="151">
        <v>19275138</v>
      </c>
    </row>
    <row r="375" spans="1:6" hidden="1">
      <c r="A375" s="151" t="s">
        <v>580</v>
      </c>
      <c r="B375" s="151" t="s">
        <v>581</v>
      </c>
      <c r="C375" s="151"/>
      <c r="D375" s="151">
        <v>51740684</v>
      </c>
    </row>
    <row r="376" spans="1:6" hidden="1">
      <c r="A376" s="151" t="s">
        <v>583</v>
      </c>
      <c r="B376" s="151" t="s">
        <v>582</v>
      </c>
      <c r="C376" s="151"/>
      <c r="D376" s="151">
        <v>53009097</v>
      </c>
    </row>
    <row r="377" spans="1:6" hidden="1"/>
    <row r="379" spans="1:6" ht="25.5" customHeight="1">
      <c r="A379" s="197" t="s">
        <v>594</v>
      </c>
      <c r="B379" s="197"/>
      <c r="C379" s="197"/>
      <c r="D379" s="197"/>
      <c r="E379" s="197"/>
      <c r="F379" s="197"/>
    </row>
    <row r="380" spans="1:6" ht="25.5" customHeight="1">
      <c r="A380" s="197"/>
      <c r="B380" s="197"/>
      <c r="C380" s="197"/>
      <c r="D380" s="197"/>
      <c r="E380" s="197"/>
      <c r="F380" s="197"/>
    </row>
    <row r="381" spans="1:6" ht="25.5" customHeight="1">
      <c r="A381" s="197"/>
      <c r="B381" s="197"/>
      <c r="C381" s="197"/>
      <c r="D381" s="197"/>
      <c r="E381" s="197"/>
      <c r="F381" s="197"/>
    </row>
    <row r="382" spans="1:6" ht="25.5" customHeight="1">
      <c r="A382" s="197"/>
      <c r="B382" s="197"/>
      <c r="C382" s="197"/>
      <c r="D382" s="197"/>
      <c r="E382" s="197"/>
      <c r="F382" s="197"/>
    </row>
  </sheetData>
  <sheetProtection algorithmName="SHA-512" hashValue="Uomoya3wnZCI7d1ya3l+v7vCNy8Q1p1+PWDtqxGnqqEl505xI80rVshrlYTM2tOcKieGd4WYSR+i8Kyx+f9p6g==" saltValue="kb2aUyjTqhcIen0c3BQTGA==" spinCount="100000" sheet="1" objects="1" scenarios="1" selectLockedCells="1" selectUnlockedCells="1"/>
  <mergeCells count="321">
    <mergeCell ref="H313:H320"/>
    <mergeCell ref="H321:H328"/>
    <mergeCell ref="H331:H332"/>
    <mergeCell ref="H335:H337"/>
    <mergeCell ref="H340:H342"/>
    <mergeCell ref="H345:H348"/>
    <mergeCell ref="H353:H356"/>
    <mergeCell ref="H359:H363"/>
    <mergeCell ref="H116:H119"/>
    <mergeCell ref="H161:H167"/>
    <mergeCell ref="H170:H176"/>
    <mergeCell ref="H179:H185"/>
    <mergeCell ref="H203:H210"/>
    <mergeCell ref="H234:H241"/>
    <mergeCell ref="H242:H249"/>
    <mergeCell ref="H273:H283"/>
    <mergeCell ref="H290:H300"/>
    <mergeCell ref="H20:H30"/>
    <mergeCell ref="H31:H34"/>
    <mergeCell ref="H41:H51"/>
    <mergeCell ref="H52:H55"/>
    <mergeCell ref="H62:H72"/>
    <mergeCell ref="H73:H76"/>
    <mergeCell ref="H83:H93"/>
    <mergeCell ref="H94:H97"/>
    <mergeCell ref="H105:H115"/>
    <mergeCell ref="B9:D9"/>
    <mergeCell ref="B10:D10"/>
    <mergeCell ref="B11:D11"/>
    <mergeCell ref="A13:F13"/>
    <mergeCell ref="A14:F14"/>
    <mergeCell ref="B16:F16"/>
    <mergeCell ref="A1:F1"/>
    <mergeCell ref="A2:F2"/>
    <mergeCell ref="B4:C4"/>
    <mergeCell ref="B5:C5"/>
    <mergeCell ref="B6:C6"/>
    <mergeCell ref="B7:F7"/>
    <mergeCell ref="B17:F17"/>
    <mergeCell ref="B18:F18"/>
    <mergeCell ref="A20:A21"/>
    <mergeCell ref="E20:E21"/>
    <mergeCell ref="F20:F30"/>
    <mergeCell ref="A22:C22"/>
    <mergeCell ref="A23:C23"/>
    <mergeCell ref="A24:C24"/>
    <mergeCell ref="A25:C25"/>
    <mergeCell ref="A26:C26"/>
    <mergeCell ref="F31:F34"/>
    <mergeCell ref="B32:C32"/>
    <mergeCell ref="B33:C33"/>
    <mergeCell ref="B34:C34"/>
    <mergeCell ref="A35:D35"/>
    <mergeCell ref="E35:F35"/>
    <mergeCell ref="A27:C27"/>
    <mergeCell ref="A28:C28"/>
    <mergeCell ref="A29:C29"/>
    <mergeCell ref="A30:C30"/>
    <mergeCell ref="A31:A34"/>
    <mergeCell ref="B31:C31"/>
    <mergeCell ref="B37:F37"/>
    <mergeCell ref="B38:F38"/>
    <mergeCell ref="B39:F39"/>
    <mergeCell ref="A41:A42"/>
    <mergeCell ref="E41:E42"/>
    <mergeCell ref="F41:F51"/>
    <mergeCell ref="A43:C43"/>
    <mergeCell ref="A44:C44"/>
    <mergeCell ref="A45:C45"/>
    <mergeCell ref="A46:C46"/>
    <mergeCell ref="F52:F55"/>
    <mergeCell ref="B53:C53"/>
    <mergeCell ref="B54:C54"/>
    <mergeCell ref="B55:C55"/>
    <mergeCell ref="A56:D56"/>
    <mergeCell ref="E56:F56"/>
    <mergeCell ref="A47:C47"/>
    <mergeCell ref="A48:C48"/>
    <mergeCell ref="A49:C49"/>
    <mergeCell ref="A50:C50"/>
    <mergeCell ref="A51:C51"/>
    <mergeCell ref="A52:A55"/>
    <mergeCell ref="B52:C52"/>
    <mergeCell ref="B58:F58"/>
    <mergeCell ref="B59:F59"/>
    <mergeCell ref="B60:F60"/>
    <mergeCell ref="A62:A63"/>
    <mergeCell ref="E62:E63"/>
    <mergeCell ref="F62:F72"/>
    <mergeCell ref="A64:C64"/>
    <mergeCell ref="A65:C65"/>
    <mergeCell ref="A66:C66"/>
    <mergeCell ref="A67:C67"/>
    <mergeCell ref="F73:F76"/>
    <mergeCell ref="B74:C74"/>
    <mergeCell ref="B75:C75"/>
    <mergeCell ref="B76:C76"/>
    <mergeCell ref="A77:D77"/>
    <mergeCell ref="E77:F77"/>
    <mergeCell ref="A68:C68"/>
    <mergeCell ref="A69:C69"/>
    <mergeCell ref="A70:C70"/>
    <mergeCell ref="A71:C71"/>
    <mergeCell ref="A72:C72"/>
    <mergeCell ref="A73:A76"/>
    <mergeCell ref="B73:C73"/>
    <mergeCell ref="B79:F79"/>
    <mergeCell ref="B80:F80"/>
    <mergeCell ref="B81:F81"/>
    <mergeCell ref="A83:A84"/>
    <mergeCell ref="E83:E84"/>
    <mergeCell ref="F83:F93"/>
    <mergeCell ref="A85:C85"/>
    <mergeCell ref="A86:C86"/>
    <mergeCell ref="A87:C87"/>
    <mergeCell ref="A88:C88"/>
    <mergeCell ref="F94:F97"/>
    <mergeCell ref="B95:C95"/>
    <mergeCell ref="B96:C96"/>
    <mergeCell ref="B97:C97"/>
    <mergeCell ref="A98:D98"/>
    <mergeCell ref="E98:F98"/>
    <mergeCell ref="A89:C89"/>
    <mergeCell ref="A90:C90"/>
    <mergeCell ref="A91:C91"/>
    <mergeCell ref="A92:C92"/>
    <mergeCell ref="A93:C93"/>
    <mergeCell ref="A94:A97"/>
    <mergeCell ref="B94:C94"/>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49:F149"/>
    <mergeCell ref="A150:C150"/>
    <mergeCell ref="D150:F150"/>
    <mergeCell ref="B151:C151"/>
    <mergeCell ref="B152:C152"/>
    <mergeCell ref="B153:C153"/>
    <mergeCell ref="A130:E131"/>
    <mergeCell ref="A132:F132"/>
    <mergeCell ref="A134:E135"/>
    <mergeCell ref="A136:F136"/>
    <mergeCell ref="A138:E138"/>
    <mergeCell ref="A147:F147"/>
    <mergeCell ref="A159:C159"/>
    <mergeCell ref="A161:B168"/>
    <mergeCell ref="A170:B177"/>
    <mergeCell ref="A179:B186"/>
    <mergeCell ref="A188:E189"/>
    <mergeCell ref="A190:F190"/>
    <mergeCell ref="A154:C154"/>
    <mergeCell ref="A155:A156"/>
    <mergeCell ref="B155:C155"/>
    <mergeCell ref="B156:C156"/>
    <mergeCell ref="A157:C157"/>
    <mergeCell ref="A158:C158"/>
    <mergeCell ref="B196:C196"/>
    <mergeCell ref="A197:C197"/>
    <mergeCell ref="A198:A199"/>
    <mergeCell ref="B198:C198"/>
    <mergeCell ref="B199:C199"/>
    <mergeCell ref="A200:C200"/>
    <mergeCell ref="A191:E191"/>
    <mergeCell ref="A193:F193"/>
    <mergeCell ref="A194:C194"/>
    <mergeCell ref="D194:F194"/>
    <mergeCell ref="B195:C195"/>
    <mergeCell ref="A222:E222"/>
    <mergeCell ref="A224:F224"/>
    <mergeCell ref="A225:C225"/>
    <mergeCell ref="D225:F225"/>
    <mergeCell ref="B226:C226"/>
    <mergeCell ref="A201:C201"/>
    <mergeCell ref="A202:C202"/>
    <mergeCell ref="A203:B210"/>
    <mergeCell ref="A211:B218"/>
    <mergeCell ref="A219:E220"/>
    <mergeCell ref="A221:F221"/>
    <mergeCell ref="A232:C232"/>
    <mergeCell ref="A233:C233"/>
    <mergeCell ref="A234:B241"/>
    <mergeCell ref="A242:B249"/>
    <mergeCell ref="A250:E251"/>
    <mergeCell ref="A252:F252"/>
    <mergeCell ref="B227:C227"/>
    <mergeCell ref="A228:C228"/>
    <mergeCell ref="A229:A230"/>
    <mergeCell ref="B229:C229"/>
    <mergeCell ref="B230:C230"/>
    <mergeCell ref="A231:C231"/>
    <mergeCell ref="A263:E263"/>
    <mergeCell ref="A266:F266"/>
    <mergeCell ref="A267:F267"/>
    <mergeCell ref="B269:F269"/>
    <mergeCell ref="B270:F270"/>
    <mergeCell ref="B271:F271"/>
    <mergeCell ref="A253:E253"/>
    <mergeCell ref="A255:E255"/>
    <mergeCell ref="A257:F257"/>
    <mergeCell ref="A258:E259"/>
    <mergeCell ref="A260:F260"/>
    <mergeCell ref="A261:E261"/>
    <mergeCell ref="A282:C282"/>
    <mergeCell ref="A283:C283"/>
    <mergeCell ref="A284:D284"/>
    <mergeCell ref="E284:F284"/>
    <mergeCell ref="B286:F286"/>
    <mergeCell ref="B287:F287"/>
    <mergeCell ref="A273:A274"/>
    <mergeCell ref="E273:E274"/>
    <mergeCell ref="F273:F283"/>
    <mergeCell ref="A275:C275"/>
    <mergeCell ref="A276:C276"/>
    <mergeCell ref="A277:C277"/>
    <mergeCell ref="A278:C278"/>
    <mergeCell ref="A279:C279"/>
    <mergeCell ref="A280:C280"/>
    <mergeCell ref="A281:C281"/>
    <mergeCell ref="B288:F288"/>
    <mergeCell ref="A290:A291"/>
    <mergeCell ref="E290:E291"/>
    <mergeCell ref="F290:F300"/>
    <mergeCell ref="A292:C292"/>
    <mergeCell ref="A293:C293"/>
    <mergeCell ref="A294:C294"/>
    <mergeCell ref="A295:C295"/>
    <mergeCell ref="A296:C296"/>
    <mergeCell ref="A297:C297"/>
    <mergeCell ref="A305:B305"/>
    <mergeCell ref="D305:D309"/>
    <mergeCell ref="E305:F309"/>
    <mergeCell ref="A306:B306"/>
    <mergeCell ref="A307:B307"/>
    <mergeCell ref="A308:B308"/>
    <mergeCell ref="A309:B309"/>
    <mergeCell ref="A298:C298"/>
    <mergeCell ref="A299:C299"/>
    <mergeCell ref="A300:C300"/>
    <mergeCell ref="A301:D301"/>
    <mergeCell ref="E301:F301"/>
    <mergeCell ref="A303:E303"/>
    <mergeCell ref="A311:F311"/>
    <mergeCell ref="A313:B320"/>
    <mergeCell ref="A321:B328"/>
    <mergeCell ref="A329:E329"/>
    <mergeCell ref="A331:C331"/>
    <mergeCell ref="E331:E332"/>
    <mergeCell ref="F331:F332"/>
    <mergeCell ref="A332:C332"/>
    <mergeCell ref="F313:F320"/>
    <mergeCell ref="F321:F328"/>
    <mergeCell ref="A339:F339"/>
    <mergeCell ref="A340:C340"/>
    <mergeCell ref="E340:E342"/>
    <mergeCell ref="F340:F342"/>
    <mergeCell ref="A341:C341"/>
    <mergeCell ref="A342:C342"/>
    <mergeCell ref="A334:F334"/>
    <mergeCell ref="A335:C335"/>
    <mergeCell ref="E335:E337"/>
    <mergeCell ref="F335:F337"/>
    <mergeCell ref="A336:C336"/>
    <mergeCell ref="A337:C337"/>
    <mergeCell ref="A355:B355"/>
    <mergeCell ref="A356:B356"/>
    <mergeCell ref="A344:F344"/>
    <mergeCell ref="A345:B345"/>
    <mergeCell ref="E345:E348"/>
    <mergeCell ref="F345:F348"/>
    <mergeCell ref="A346:B346"/>
    <mergeCell ref="A347:B347"/>
    <mergeCell ref="A348:B348"/>
    <mergeCell ref="A379:F382"/>
    <mergeCell ref="A365:D365"/>
    <mergeCell ref="A366:D366"/>
    <mergeCell ref="B368:D368"/>
    <mergeCell ref="F170:F176"/>
    <mergeCell ref="F161:F167"/>
    <mergeCell ref="F179:F185"/>
    <mergeCell ref="F203:F210"/>
    <mergeCell ref="F234:F241"/>
    <mergeCell ref="F242:F249"/>
    <mergeCell ref="A358:F358"/>
    <mergeCell ref="A359:B359"/>
    <mergeCell ref="E359:E363"/>
    <mergeCell ref="F359:F363"/>
    <mergeCell ref="A360:B360"/>
    <mergeCell ref="A361:B361"/>
    <mergeCell ref="A362:B362"/>
    <mergeCell ref="A363:B363"/>
    <mergeCell ref="A350:F350"/>
    <mergeCell ref="A352:F352"/>
    <mergeCell ref="A353:B353"/>
    <mergeCell ref="E353:E356"/>
    <mergeCell ref="F353:F356"/>
    <mergeCell ref="A354:B354"/>
  </mergeCells>
  <conditionalFormatting sqref="E151:E168">
    <cfRule type="expression" dxfId="373" priority="55">
      <formula>"NO CUMPLE"</formula>
    </cfRule>
  </conditionalFormatting>
  <conditionalFormatting sqref="E170:E177">
    <cfRule type="expression" dxfId="372" priority="34">
      <formula>"NO CUMPLE"</formula>
    </cfRule>
  </conditionalFormatting>
  <conditionalFormatting sqref="E179:E186">
    <cfRule type="expression" dxfId="371" priority="33">
      <formula>"NO CUMPLE"</formula>
    </cfRule>
  </conditionalFormatting>
  <conditionalFormatting sqref="E195:E218">
    <cfRule type="expression" dxfId="370" priority="32">
      <formula>"NO CUMPLE"</formula>
    </cfRule>
  </conditionalFormatting>
  <conditionalFormatting sqref="E226:E249">
    <cfRule type="expression" dxfId="369" priority="30">
      <formula>"NO CUMPLE"</formula>
    </cfRule>
  </conditionalFormatting>
  <conditionalFormatting sqref="E313:E328">
    <cfRule type="expression" dxfId="368" priority="35">
      <formula>"NO CUMPLE"</formula>
    </cfRule>
  </conditionalFormatting>
  <conditionalFormatting sqref="E35:F35">
    <cfRule type="containsText" dxfId="367" priority="66" stopIfTrue="1" operator="containsText" text="NO CUMPLE">
      <formula>NOT(ISERROR(SEARCH("NO CUMPLE",E35)))</formula>
    </cfRule>
  </conditionalFormatting>
  <conditionalFormatting sqref="E56:F56">
    <cfRule type="containsText" dxfId="366" priority="62" stopIfTrue="1" operator="containsText" text="NO CUMPLE">
      <formula>NOT(ISERROR(SEARCH("NO CUMPLE",E56)))</formula>
    </cfRule>
  </conditionalFormatting>
  <conditionalFormatting sqref="E77:F77">
    <cfRule type="containsText" dxfId="365" priority="61" stopIfTrue="1" operator="containsText" text="NO CUMPLE">
      <formula>NOT(ISERROR(SEARCH("NO CUMPLE",E77)))</formula>
    </cfRule>
  </conditionalFormatting>
  <conditionalFormatting sqref="E98:F98">
    <cfRule type="containsText" dxfId="364" priority="60" stopIfTrue="1" operator="containsText" text="NO CUMPLE">
      <formula>NOT(ISERROR(SEARCH("NO CUMPLE",E98)))</formula>
    </cfRule>
  </conditionalFormatting>
  <conditionalFormatting sqref="E120:F120">
    <cfRule type="containsText" dxfId="363" priority="59" stopIfTrue="1" operator="containsText" text="NO CUMPLE">
      <formula>NOT(ISERROR(SEARCH("NO CUMPLE",E120)))</formula>
    </cfRule>
  </conditionalFormatting>
  <conditionalFormatting sqref="E284:F284">
    <cfRule type="containsText" dxfId="362" priority="37" stopIfTrue="1" operator="containsText" text="NO CUMPLE">
      <formula>NOT(ISERROR(SEARCH("NO CUMPLE",E284)))</formula>
    </cfRule>
  </conditionalFormatting>
  <conditionalFormatting sqref="E301:F301">
    <cfRule type="containsText" dxfId="361" priority="36" stopIfTrue="1" operator="containsText" text="NO CUMPLE">
      <formula>NOT(ISERROR(SEARCH("NO CUMPLE",E301)))</formula>
    </cfRule>
  </conditionalFormatting>
  <conditionalFormatting sqref="F123">
    <cfRule type="containsText" dxfId="360" priority="57" stopIfTrue="1" operator="containsText" text="NO CUMPLE">
      <formula>NOT(ISERROR(SEARCH("NO CUMPLE",F123)))</formula>
    </cfRule>
  </conditionalFormatting>
  <conditionalFormatting sqref="F127 F129">
    <cfRule type="containsText" dxfId="359" priority="65" stopIfTrue="1" operator="containsText" text="NO CUMPLE">
      <formula>NOT(ISERROR(SEARCH("NO CUMPLE",F127)))</formula>
    </cfRule>
  </conditionalFormatting>
  <conditionalFormatting sqref="F131">
    <cfRule type="containsText" dxfId="358" priority="64" stopIfTrue="1" operator="containsText" text="NO CUMPLE">
      <formula>NOT(ISERROR(SEARCH("NO CUMPLE",F131)))</formula>
    </cfRule>
  </conditionalFormatting>
  <conditionalFormatting sqref="F135">
    <cfRule type="containsText" dxfId="357" priority="63" stopIfTrue="1" operator="containsText" text="NO CUMPLE">
      <formula>NOT(ISERROR(SEARCH("NO CUMPLE",F135)))</formula>
    </cfRule>
  </conditionalFormatting>
  <conditionalFormatting sqref="F138">
    <cfRule type="containsText" dxfId="356" priority="58" stopIfTrue="1" operator="containsText" text="NO HABILITADO">
      <formula>NOT(ISERROR(SEARCH("NO HABILITADO",F138)))</formula>
    </cfRule>
    <cfRule type="containsText" dxfId="355" priority="56" operator="containsText" text="NO CUMPLE">
      <formula>NOT(ISERROR(SEARCH("NO CUMPLE",F138)))</formula>
    </cfRule>
  </conditionalFormatting>
  <conditionalFormatting sqref="F189">
    <cfRule type="containsText" dxfId="354" priority="53" stopIfTrue="1" operator="containsText" text="NO CUMPLE">
      <formula>NOT(ISERROR(SEARCH("NO CUMPLE",F189)))</formula>
    </cfRule>
  </conditionalFormatting>
  <conditionalFormatting sqref="F191">
    <cfRule type="containsText" dxfId="353" priority="52" operator="containsText" text="NO CUMPLE">
      <formula>NOT(ISERROR(SEARCH("NO CUMPLE",F191)))</formula>
    </cfRule>
    <cfRule type="containsText" dxfId="352" priority="54" stopIfTrue="1" operator="containsText" text="NO HABILITADO">
      <formula>NOT(ISERROR(SEARCH("NO HABILITADO",F191)))</formula>
    </cfRule>
  </conditionalFormatting>
  <conditionalFormatting sqref="F220">
    <cfRule type="containsText" dxfId="351" priority="50" stopIfTrue="1" operator="containsText" text="NO CUMPLE">
      <formula>NOT(ISERROR(SEARCH("NO CUMPLE",F220)))</formula>
    </cfRule>
  </conditionalFormatting>
  <conditionalFormatting sqref="F222">
    <cfRule type="containsText" dxfId="350" priority="51" stopIfTrue="1" operator="containsText" text="NO HABILITADO">
      <formula>NOT(ISERROR(SEARCH("NO HABILITADO",F222)))</formula>
    </cfRule>
    <cfRule type="containsText" dxfId="349" priority="49" operator="containsText" text="NO CUMPLE">
      <formula>NOT(ISERROR(SEARCH("NO CUMPLE",F222)))</formula>
    </cfRule>
  </conditionalFormatting>
  <conditionalFormatting sqref="F251">
    <cfRule type="containsText" dxfId="348" priority="46" stopIfTrue="1" operator="containsText" text="NO CUMPLE">
      <formula>NOT(ISERROR(SEARCH("NO CUMPLE",F251)))</formula>
    </cfRule>
  </conditionalFormatting>
  <conditionalFormatting sqref="F253">
    <cfRule type="containsText" dxfId="347" priority="47" stopIfTrue="1" operator="containsText" text="NO HABILITADO">
      <formula>NOT(ISERROR(SEARCH("NO HABILITADO",F253)))</formula>
    </cfRule>
    <cfRule type="containsText" dxfId="346" priority="45" operator="containsText" text="NO CUMPLE">
      <formula>NOT(ISERROR(SEARCH("NO CUMPLE",F253)))</formula>
    </cfRule>
  </conditionalFormatting>
  <conditionalFormatting sqref="F255">
    <cfRule type="containsText" dxfId="345" priority="44" stopIfTrue="1" operator="containsText" text="NO HABILITADO">
      <formula>NOT(ISERROR(SEARCH("NO HABILITADO",F255)))</formula>
    </cfRule>
    <cfRule type="containsText" dxfId="344" priority="43" operator="containsText" text="NO CUMPLE">
      <formula>NOT(ISERROR(SEARCH("NO CUMPLE",F255)))</formula>
    </cfRule>
  </conditionalFormatting>
  <conditionalFormatting sqref="F259">
    <cfRule type="containsText" dxfId="343" priority="42" stopIfTrue="1" operator="containsText" text="NO CUMPLE">
      <formula>NOT(ISERROR(SEARCH("NO CUMPLE",F259)))</formula>
    </cfRule>
  </conditionalFormatting>
  <conditionalFormatting sqref="F261">
    <cfRule type="containsText" dxfId="342" priority="41" stopIfTrue="1" operator="containsText" text="NO HABILITADO">
      <formula>NOT(ISERROR(SEARCH("NO HABILITADO",F261)))</formula>
    </cfRule>
    <cfRule type="containsText" dxfId="341" priority="40" operator="containsText" text="NO CUMPLE">
      <formula>NOT(ISERROR(SEARCH("NO CUMPLE",F261)))</formula>
    </cfRule>
  </conditionalFormatting>
  <conditionalFormatting sqref="F263">
    <cfRule type="containsText" dxfId="340" priority="39" stopIfTrue="1" operator="containsText" text="NO HABILITADO">
      <formula>NOT(ISERROR(SEARCH("NO HABILITADO",F263)))</formula>
    </cfRule>
    <cfRule type="containsText" dxfId="339" priority="38" operator="containsText" text="NO CUMPLE">
      <formula>NOT(ISERROR(SEARCH("NO CUMPLE",F263)))</formula>
    </cfRule>
  </conditionalFormatting>
  <conditionalFormatting sqref="H35">
    <cfRule type="containsText" dxfId="338" priority="29" stopIfTrue="1" operator="containsText" text="NO CUMPLE">
      <formula>NOT(ISERROR(SEARCH("NO CUMPLE",H35)))</formula>
    </cfRule>
  </conditionalFormatting>
  <conditionalFormatting sqref="H56">
    <cfRule type="containsText" dxfId="337" priority="25" stopIfTrue="1" operator="containsText" text="NO CUMPLE">
      <formula>NOT(ISERROR(SEARCH("NO CUMPLE",H56)))</formula>
    </cfRule>
  </conditionalFormatting>
  <conditionalFormatting sqref="H77">
    <cfRule type="containsText" dxfId="336" priority="24" stopIfTrue="1" operator="containsText" text="NO CUMPLE">
      <formula>NOT(ISERROR(SEARCH("NO CUMPLE",H77)))</formula>
    </cfRule>
  </conditionalFormatting>
  <conditionalFormatting sqref="H98">
    <cfRule type="containsText" dxfId="335" priority="23" stopIfTrue="1" operator="containsText" text="NO CUMPLE">
      <formula>NOT(ISERROR(SEARCH("NO CUMPLE",H98)))</formula>
    </cfRule>
  </conditionalFormatting>
  <conditionalFormatting sqref="H120">
    <cfRule type="containsText" dxfId="334" priority="22" stopIfTrue="1" operator="containsText" text="NO CUMPLE">
      <formula>NOT(ISERROR(SEARCH("NO CUMPLE",H120)))</formula>
    </cfRule>
  </conditionalFormatting>
  <conditionalFormatting sqref="H123">
    <cfRule type="containsText" dxfId="333" priority="20" stopIfTrue="1" operator="containsText" text="NO CUMPLE">
      <formula>NOT(ISERROR(SEARCH("NO CUMPLE",H123)))</formula>
    </cfRule>
  </conditionalFormatting>
  <conditionalFormatting sqref="H127 H129">
    <cfRule type="containsText" dxfId="332" priority="28" stopIfTrue="1" operator="containsText" text="NO CUMPLE">
      <formula>NOT(ISERROR(SEARCH("NO CUMPLE",H127)))</formula>
    </cfRule>
  </conditionalFormatting>
  <conditionalFormatting sqref="H131">
    <cfRule type="containsText" dxfId="331" priority="27" stopIfTrue="1" operator="containsText" text="NO CUMPLE">
      <formula>NOT(ISERROR(SEARCH("NO CUMPLE",H131)))</formula>
    </cfRule>
  </conditionalFormatting>
  <conditionalFormatting sqref="H135">
    <cfRule type="containsText" dxfId="330" priority="26" stopIfTrue="1" operator="containsText" text="NO CUMPLE">
      <formula>NOT(ISERROR(SEARCH("NO CUMPLE",H135)))</formula>
    </cfRule>
  </conditionalFormatting>
  <conditionalFormatting sqref="H138">
    <cfRule type="containsText" dxfId="329" priority="19" operator="containsText" text="NO CUMPLE">
      <formula>NOT(ISERROR(SEARCH("NO CUMPLE",H138)))</formula>
    </cfRule>
    <cfRule type="containsText" dxfId="328" priority="21" stopIfTrue="1" operator="containsText" text="NO HABILITADO">
      <formula>NOT(ISERROR(SEARCH("NO HABILITADO",H138)))</formula>
    </cfRule>
  </conditionalFormatting>
  <conditionalFormatting sqref="H189">
    <cfRule type="containsText" dxfId="327" priority="17" stopIfTrue="1" operator="containsText" text="NO CUMPLE">
      <formula>NOT(ISERROR(SEARCH("NO CUMPLE",H189)))</formula>
    </cfRule>
  </conditionalFormatting>
  <conditionalFormatting sqref="H191">
    <cfRule type="containsText" dxfId="326" priority="16" operator="containsText" text="NO CUMPLE">
      <formula>NOT(ISERROR(SEARCH("NO CUMPLE",H191)))</formula>
    </cfRule>
    <cfRule type="containsText" dxfId="325" priority="18" stopIfTrue="1" operator="containsText" text="NO HABILITADO">
      <formula>NOT(ISERROR(SEARCH("NO HABILITADO",H191)))</formula>
    </cfRule>
  </conditionalFormatting>
  <conditionalFormatting sqref="H220">
    <cfRule type="containsText" dxfId="324" priority="14" stopIfTrue="1" operator="containsText" text="NO CUMPLE">
      <formula>NOT(ISERROR(SEARCH("NO CUMPLE",H220)))</formula>
    </cfRule>
  </conditionalFormatting>
  <conditionalFormatting sqref="H222">
    <cfRule type="containsText" dxfId="323" priority="15" stopIfTrue="1" operator="containsText" text="NO HABILITADO">
      <formula>NOT(ISERROR(SEARCH("NO HABILITADO",H222)))</formula>
    </cfRule>
    <cfRule type="containsText" dxfId="322" priority="13" operator="containsText" text="NO CUMPLE">
      <formula>NOT(ISERROR(SEARCH("NO CUMPLE",H222)))</formula>
    </cfRule>
  </conditionalFormatting>
  <conditionalFormatting sqref="H251">
    <cfRule type="containsText" dxfId="321" priority="11" stopIfTrue="1" operator="containsText" text="NO CUMPLE">
      <formula>NOT(ISERROR(SEARCH("NO CUMPLE",H251)))</formula>
    </cfRule>
  </conditionalFormatting>
  <conditionalFormatting sqref="H253">
    <cfRule type="containsText" dxfId="320" priority="10" operator="containsText" text="NO CUMPLE">
      <formula>NOT(ISERROR(SEARCH("NO CUMPLE",H253)))</formula>
    </cfRule>
    <cfRule type="containsText" dxfId="319" priority="12" stopIfTrue="1" operator="containsText" text="NO HABILITADO">
      <formula>NOT(ISERROR(SEARCH("NO HABILITADO",H253)))</formula>
    </cfRule>
  </conditionalFormatting>
  <conditionalFormatting sqref="H255">
    <cfRule type="containsText" dxfId="318" priority="8" operator="containsText" text="NO CUMPLE">
      <formula>NOT(ISERROR(SEARCH("NO CUMPLE",H255)))</formula>
    </cfRule>
    <cfRule type="containsText" dxfId="317" priority="9" stopIfTrue="1" operator="containsText" text="NO HABILITADO">
      <formula>NOT(ISERROR(SEARCH("NO HABILITADO",H255)))</formula>
    </cfRule>
  </conditionalFormatting>
  <conditionalFormatting sqref="H259">
    <cfRule type="containsText" dxfId="316" priority="7" stopIfTrue="1" operator="containsText" text="NO CUMPLE">
      <formula>NOT(ISERROR(SEARCH("NO CUMPLE",H259)))</formula>
    </cfRule>
  </conditionalFormatting>
  <conditionalFormatting sqref="H261">
    <cfRule type="containsText" dxfId="315" priority="5" operator="containsText" text="NO CUMPLE">
      <formula>NOT(ISERROR(SEARCH("NO CUMPLE",H261)))</formula>
    </cfRule>
    <cfRule type="containsText" dxfId="314" priority="6" stopIfTrue="1" operator="containsText" text="NO HABILITADO">
      <formula>NOT(ISERROR(SEARCH("NO HABILITADO",H261)))</formula>
    </cfRule>
  </conditionalFormatting>
  <conditionalFormatting sqref="H263">
    <cfRule type="containsText" dxfId="313" priority="3" operator="containsText" text="NO CUMPLE">
      <formula>NOT(ISERROR(SEARCH("NO CUMPLE",H263)))</formula>
    </cfRule>
    <cfRule type="containsText" dxfId="312" priority="4" stopIfTrue="1" operator="containsText" text="NO HABILITADO">
      <formula>NOT(ISERROR(SEARCH("NO HABILITADO",H263)))</formula>
    </cfRule>
  </conditionalFormatting>
  <conditionalFormatting sqref="H284">
    <cfRule type="containsText" dxfId="311" priority="2" stopIfTrue="1" operator="containsText" text="NO CUMPLE">
      <formula>NOT(ISERROR(SEARCH("NO CUMPLE",H284)))</formula>
    </cfRule>
  </conditionalFormatting>
  <conditionalFormatting sqref="H301">
    <cfRule type="containsText" dxfId="310" priority="1" stopIfTrue="1" operator="containsText" text="NO CUMPLE">
      <formula>NOT(ISERROR(SEARCH("NO CUMPLE",H301)))</formula>
    </cfRule>
  </conditionalFormatting>
  <dataValidations count="3">
    <dataValidation type="whole" allowBlank="1" showInputMessage="1" showErrorMessage="1" sqref="D165 D174 D183 D207 D215 D238 D246 D317 D325" xr:uid="{00000000-0002-0000-0400-000000000000}">
      <formula1>0</formula1>
      <formula2>1E+44</formula2>
    </dataValidation>
    <dataValidation type="date" operator="greaterThan" allowBlank="1" showInputMessage="1" showErrorMessage="1" errorTitle="OJO" error="REVISAR QUE FECHA DE TERMINACIÓN SEA MAYOR QUE LA DE SUSCRIPCIÓN DEL CONTRATO" sqref="D26 D47 D68 D89 D111 D279 D296" xr:uid="{00000000-0002-0000-0400-000001000000}">
      <formula1>D22</formula1>
    </dataValidation>
    <dataValidation allowBlank="1" showInputMessage="1" showErrorMessage="1" errorTitle="FECHA DE CIERRE DEL PROCESO" error="SOLO COLOCAR FECHA_x000a_" sqref="B4:B6" xr:uid="{00000000-0002-0000-0400-000002000000}"/>
  </dataValidations>
  <pageMargins left="0.59" right="0.31496062992125984" top="0.74803149606299213" bottom="0.74803149606299213" header="0.31496062992125984" footer="0.31496062992125984"/>
  <pageSetup scale="85"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400-000003000000}">
          <x14:formula1>
            <xm:f>Ref!$B$6:$C$6</xm:f>
          </x14:formula1>
          <xm:sqref>D206 D214 D237 D245</xm:sqref>
        </x14:dataValidation>
        <x14:dataValidation type="list" allowBlank="1" showInputMessage="1" showErrorMessage="1" xr:uid="{00000000-0002-0000-0400-000004000000}">
          <x14:formula1>
            <xm:f>Ref!$B$7</xm:f>
          </x14:formula1>
          <xm:sqref>D335:D337 D340:D342</xm:sqref>
        </x14:dataValidation>
        <x14:dataValidation type="list" allowBlank="1" showInputMessage="1" showErrorMessage="1" xr:uid="{00000000-0002-0000-0400-000005000000}">
          <x14:formula1>
            <xm:f>Ref!$B$5:$C$5</xm:f>
          </x14:formula1>
          <xm:sqref>D164 D324 D173 D182 D316</xm:sqref>
        </x14:dataValidation>
        <x14:dataValidation type="list" allowBlank="1" showInputMessage="1" showErrorMessage="1" xr:uid="{00000000-0002-0000-0400-000006000000}">
          <x14:formula1>
            <xm:f>Ref!$B$4:$G$4</xm:f>
          </x14:formula1>
          <xm:sqref>D151 D195 D226</xm:sqref>
        </x14:dataValidation>
        <x14:dataValidation type="list" allowBlank="1" showInputMessage="1" showErrorMessage="1" xr:uid="{00000000-0002-0000-0400-000007000000}">
          <x14:formula1>
            <xm:f>Ref!$B$3:$C$3</xm:f>
          </x14:formula1>
          <xm:sqref>F134 F130 F122 D27:D34 D48:D55 D69 D90:D97 D112:D119 D152 D161:D162 D157:D159 D170:D171 D179:D180 D200:D204 D211:D212 D231:D235 D242:D243 F258 D280:D283 D297:D300 D313:D314 D321:D322 C345:C346 C353 C355 C359:C362 H134 H130 H122 H258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68"/>
  <sheetViews>
    <sheetView topLeftCell="A349" zoomScaleNormal="100" workbookViewId="0">
      <selection activeCell="H345" sqref="H1:H1048576"/>
    </sheetView>
  </sheetViews>
  <sheetFormatPr baseColWidth="10" defaultColWidth="40.5" defaultRowHeight="13"/>
  <cols>
    <col min="1" max="1" width="31.83203125" style="20" customWidth="1"/>
    <col min="2" max="2" width="17" style="20" customWidth="1"/>
    <col min="3" max="3" width="20.5" style="20" customWidth="1"/>
    <col min="4" max="4" width="20.1640625" style="20" customWidth="1"/>
    <col min="5" max="5" width="28.5" style="20" customWidth="1"/>
    <col min="6" max="6" width="38.33203125" style="42" customWidth="1"/>
    <col min="7" max="7" width="2.83203125" style="20" customWidth="1"/>
    <col min="8" max="8" width="38.33203125" style="42" hidden="1" customWidth="1"/>
    <col min="9" max="16384" width="40.5" style="20"/>
  </cols>
  <sheetData>
    <row r="1" spans="1:8" ht="15" customHeight="1">
      <c r="A1" s="297" t="s">
        <v>87</v>
      </c>
      <c r="B1" s="297"/>
      <c r="C1" s="297"/>
      <c r="D1" s="297"/>
      <c r="E1" s="297"/>
      <c r="F1" s="297"/>
      <c r="H1" s="20"/>
    </row>
    <row r="2" spans="1:8" ht="28.5" customHeight="1">
      <c r="A2" s="297" t="s">
        <v>88</v>
      </c>
      <c r="B2" s="297"/>
      <c r="C2" s="297"/>
      <c r="D2" s="297"/>
      <c r="E2" s="297"/>
      <c r="F2" s="297"/>
      <c r="H2" s="20"/>
    </row>
    <row r="3" spans="1:8">
      <c r="A3" s="21"/>
      <c r="B3" s="22"/>
      <c r="C3" s="22"/>
      <c r="D3" s="22"/>
      <c r="E3" s="22"/>
      <c r="F3" s="22"/>
      <c r="H3" s="22"/>
    </row>
    <row r="4" spans="1:8">
      <c r="A4" s="23" t="s">
        <v>49</v>
      </c>
      <c r="B4" s="298">
        <v>45631</v>
      </c>
      <c r="C4" s="298"/>
      <c r="D4" s="22"/>
      <c r="E4" s="22"/>
      <c r="F4" s="22"/>
      <c r="H4" s="22"/>
    </row>
    <row r="5" spans="1:8">
      <c r="A5" s="23" t="s">
        <v>64</v>
      </c>
      <c r="B5" s="299">
        <f>SUM(B6/1300000)</f>
        <v>433.26314615384615</v>
      </c>
      <c r="C5" s="299"/>
      <c r="D5" s="22"/>
      <c r="E5" s="22"/>
      <c r="F5" s="22"/>
      <c r="H5" s="22"/>
    </row>
    <row r="6" spans="1:8">
      <c r="A6" s="23" t="s">
        <v>63</v>
      </c>
      <c r="B6" s="300">
        <v>563242090</v>
      </c>
      <c r="C6" s="300"/>
      <c r="D6" s="22"/>
      <c r="E6" s="22"/>
      <c r="F6" s="22"/>
      <c r="H6" s="22"/>
    </row>
    <row r="7" spans="1:8" ht="15.75" customHeight="1">
      <c r="A7" s="24" t="s">
        <v>50</v>
      </c>
      <c r="B7" s="301" t="s">
        <v>249</v>
      </c>
      <c r="C7" s="302"/>
      <c r="D7" s="302"/>
      <c r="E7" s="302"/>
      <c r="F7" s="303"/>
      <c r="H7" s="20"/>
    </row>
    <row r="8" spans="1:8">
      <c r="B8" s="25"/>
      <c r="C8" s="25"/>
      <c r="D8" s="25"/>
      <c r="E8" s="25"/>
      <c r="F8" s="25"/>
      <c r="H8" s="25"/>
    </row>
    <row r="9" spans="1:8">
      <c r="A9" s="24" t="s">
        <v>184</v>
      </c>
      <c r="B9" s="294" t="s">
        <v>253</v>
      </c>
      <c r="C9" s="294"/>
      <c r="D9" s="294"/>
      <c r="E9" s="90">
        <v>0.8</v>
      </c>
      <c r="F9" s="25"/>
      <c r="H9" s="25"/>
    </row>
    <row r="10" spans="1:8" ht="26.25" customHeight="1">
      <c r="A10" s="24" t="s">
        <v>185</v>
      </c>
      <c r="B10" s="294" t="s">
        <v>262</v>
      </c>
      <c r="C10" s="294"/>
      <c r="D10" s="294"/>
      <c r="E10" s="90">
        <v>0.2</v>
      </c>
      <c r="F10" s="25"/>
      <c r="H10" s="25"/>
    </row>
    <row r="11" spans="1:8" hidden="1">
      <c r="A11" s="24" t="s">
        <v>186</v>
      </c>
      <c r="B11" s="240"/>
      <c r="C11" s="240"/>
      <c r="D11" s="240"/>
      <c r="E11" s="90">
        <v>0</v>
      </c>
      <c r="F11" s="25"/>
      <c r="H11" s="25"/>
    </row>
    <row r="12" spans="1:8">
      <c r="B12" s="25"/>
      <c r="C12" s="25"/>
      <c r="D12" s="25"/>
      <c r="E12" s="25"/>
      <c r="F12" s="25"/>
      <c r="H12" s="25"/>
    </row>
    <row r="13" spans="1:8" ht="16">
      <c r="A13" s="245" t="s">
        <v>89</v>
      </c>
      <c r="B13" s="245"/>
      <c r="C13" s="245"/>
      <c r="D13" s="245"/>
      <c r="E13" s="245"/>
      <c r="F13" s="245"/>
      <c r="H13" s="20"/>
    </row>
    <row r="14" spans="1:8" ht="14">
      <c r="A14" s="212" t="s">
        <v>90</v>
      </c>
      <c r="B14" s="212"/>
      <c r="C14" s="212"/>
      <c r="D14" s="212"/>
      <c r="E14" s="212"/>
      <c r="F14" s="212"/>
      <c r="H14" s="20"/>
    </row>
    <row r="15" spans="1:8">
      <c r="A15" s="27"/>
      <c r="B15" s="27"/>
      <c r="C15" s="27"/>
      <c r="D15" s="27"/>
      <c r="E15" s="27"/>
      <c r="F15" s="21"/>
      <c r="H15" s="21"/>
    </row>
    <row r="16" spans="1:8" ht="27.75" customHeight="1">
      <c r="A16" s="28" t="s">
        <v>250</v>
      </c>
      <c r="B16" s="294" t="s">
        <v>251</v>
      </c>
      <c r="C16" s="294"/>
      <c r="D16" s="294"/>
      <c r="E16" s="294"/>
      <c r="F16" s="294"/>
      <c r="H16" s="20"/>
    </row>
    <row r="17" spans="1:8" ht="48" customHeight="1">
      <c r="A17" s="28" t="s">
        <v>51</v>
      </c>
      <c r="B17" s="241" t="s">
        <v>252</v>
      </c>
      <c r="C17" s="241"/>
      <c r="D17" s="241"/>
      <c r="E17" s="241"/>
      <c r="F17" s="241"/>
      <c r="H17" s="20"/>
    </row>
    <row r="18" spans="1:8" ht="20.25" customHeight="1">
      <c r="A18" s="23" t="s">
        <v>52</v>
      </c>
      <c r="B18" s="234" t="s">
        <v>268</v>
      </c>
      <c r="C18" s="234"/>
      <c r="D18" s="234"/>
      <c r="E18" s="234"/>
      <c r="F18" s="234"/>
      <c r="H18" s="20"/>
    </row>
    <row r="19" spans="1:8">
      <c r="A19" s="28" t="s">
        <v>65</v>
      </c>
      <c r="B19" s="31" t="s">
        <v>53</v>
      </c>
      <c r="C19" s="32" t="s">
        <v>66</v>
      </c>
      <c r="D19" s="32" t="s">
        <v>54</v>
      </c>
      <c r="E19" s="32" t="s">
        <v>67</v>
      </c>
      <c r="F19" s="32" t="s">
        <v>55</v>
      </c>
      <c r="H19" s="32" t="s">
        <v>55</v>
      </c>
    </row>
    <row r="20" spans="1:8" ht="12.75" customHeight="1">
      <c r="A20" s="227" t="s">
        <v>56</v>
      </c>
      <c r="B20" s="33">
        <v>80101600</v>
      </c>
      <c r="C20" s="29">
        <v>80101600</v>
      </c>
      <c r="D20" s="29">
        <v>32</v>
      </c>
      <c r="E20" s="235" t="str">
        <f>IF(B21=C21,"Acredita",IF(B20=C20,"Acredita","No acredita"))</f>
        <v>Acredita</v>
      </c>
      <c r="F20" s="304"/>
      <c r="H20" s="304"/>
    </row>
    <row r="21" spans="1:8">
      <c r="A21" s="227"/>
      <c r="B21" s="33">
        <v>81101500</v>
      </c>
      <c r="C21" s="30">
        <v>81101500</v>
      </c>
      <c r="D21" s="30">
        <v>32</v>
      </c>
      <c r="E21" s="236"/>
      <c r="F21" s="305"/>
      <c r="H21" s="305"/>
    </row>
    <row r="22" spans="1:8" ht="14">
      <c r="A22" s="237" t="s">
        <v>57</v>
      </c>
      <c r="B22" s="238"/>
      <c r="C22" s="239"/>
      <c r="D22" s="34">
        <v>42985</v>
      </c>
      <c r="E22" s="35" t="str">
        <f>IF(D22="","No acredita","Acredita")</f>
        <v>Acredita</v>
      </c>
      <c r="F22" s="305"/>
      <c r="H22" s="305"/>
    </row>
    <row r="23" spans="1:8" ht="14">
      <c r="A23" s="237" t="s">
        <v>58</v>
      </c>
      <c r="B23" s="238"/>
      <c r="C23" s="239"/>
      <c r="D23" s="36">
        <v>231764400</v>
      </c>
      <c r="E23" s="35" t="str">
        <f>IF(D23="","No acredita","Acredita")</f>
        <v>Acredita</v>
      </c>
      <c r="F23" s="305"/>
      <c r="H23" s="305"/>
    </row>
    <row r="24" spans="1:8" ht="14">
      <c r="A24" s="237" t="s">
        <v>59</v>
      </c>
      <c r="B24" s="238"/>
      <c r="C24" s="239"/>
      <c r="D24" s="44">
        <f>IFERROR((D23/(VLOOKUP((YEAR(D26)),SMMLV!$A$9:$C$49,3,0)))*'O2'!D25,"0")</f>
        <v>69.96737172087002</v>
      </c>
      <c r="E24" s="37" t="str">
        <f>IF(D24="","No acredita","Acredita")</f>
        <v>Acredita</v>
      </c>
      <c r="F24" s="305"/>
      <c r="H24" s="305"/>
    </row>
    <row r="25" spans="1:8" ht="14">
      <c r="A25" s="237" t="s">
        <v>80</v>
      </c>
      <c r="B25" s="238"/>
      <c r="C25" s="239"/>
      <c r="D25" s="45">
        <v>0.25</v>
      </c>
      <c r="E25" s="35" t="str">
        <f>IF(D25="","No acredita","Acredita")</f>
        <v>Acredita</v>
      </c>
      <c r="F25" s="305"/>
      <c r="H25" s="305"/>
    </row>
    <row r="26" spans="1:8" ht="14">
      <c r="A26" s="237" t="s">
        <v>60</v>
      </c>
      <c r="B26" s="238"/>
      <c r="C26" s="239"/>
      <c r="D26" s="34">
        <v>43504</v>
      </c>
      <c r="E26" s="35" t="str">
        <f>IF(D26="","No acredita","Acredita")</f>
        <v>Acredita</v>
      </c>
      <c r="F26" s="305"/>
      <c r="G26" s="47"/>
      <c r="H26" s="305"/>
    </row>
    <row r="27" spans="1:8" ht="68.25" customHeight="1">
      <c r="A27" s="227" t="s">
        <v>91</v>
      </c>
      <c r="B27" s="227"/>
      <c r="C27" s="227"/>
      <c r="D27" s="38" t="s">
        <v>61</v>
      </c>
      <c r="E27" s="35" t="str">
        <f t="shared" ref="E27:E34" si="0">IF(D27="","No acredita",IF(D27="","",IF(D27="SI","Acredita","No acredita")))</f>
        <v>Acredita</v>
      </c>
      <c r="F27" s="305"/>
      <c r="H27" s="305"/>
    </row>
    <row r="28" spans="1:8" ht="31.5" customHeight="1">
      <c r="A28" s="227" t="s">
        <v>92</v>
      </c>
      <c r="B28" s="227"/>
      <c r="C28" s="227"/>
      <c r="D28" s="38" t="s">
        <v>61</v>
      </c>
      <c r="E28" s="35" t="str">
        <f t="shared" si="0"/>
        <v>Acredita</v>
      </c>
      <c r="F28" s="305"/>
      <c r="H28" s="305"/>
    </row>
    <row r="29" spans="1:8" ht="14">
      <c r="A29" s="227" t="s">
        <v>69</v>
      </c>
      <c r="B29" s="227"/>
      <c r="C29" s="227"/>
      <c r="D29" s="38" t="s">
        <v>61</v>
      </c>
      <c r="E29" s="35" t="str">
        <f t="shared" si="0"/>
        <v>Acredita</v>
      </c>
      <c r="F29" s="305"/>
      <c r="H29" s="305"/>
    </row>
    <row r="30" spans="1:8" ht="14">
      <c r="A30" s="227" t="s">
        <v>103</v>
      </c>
      <c r="B30" s="227"/>
      <c r="C30" s="227"/>
      <c r="D30" s="38" t="s">
        <v>61</v>
      </c>
      <c r="E30" s="35" t="str">
        <f t="shared" si="0"/>
        <v>Acredita</v>
      </c>
      <c r="F30" s="305"/>
      <c r="H30" s="305"/>
    </row>
    <row r="31" spans="1:8" ht="14">
      <c r="A31" s="235" t="s">
        <v>97</v>
      </c>
      <c r="B31" s="288" t="s">
        <v>93</v>
      </c>
      <c r="C31" s="289"/>
      <c r="D31" s="38" t="s">
        <v>61</v>
      </c>
      <c r="E31" s="35" t="str">
        <f t="shared" si="0"/>
        <v>Acredita</v>
      </c>
      <c r="F31" s="305"/>
      <c r="H31" s="305"/>
    </row>
    <row r="32" spans="1:8" ht="14">
      <c r="A32" s="287"/>
      <c r="B32" s="288" t="s">
        <v>94</v>
      </c>
      <c r="C32" s="289"/>
      <c r="D32" s="38" t="s">
        <v>61</v>
      </c>
      <c r="E32" s="35" t="str">
        <f t="shared" si="0"/>
        <v>Acredita</v>
      </c>
      <c r="F32" s="305"/>
      <c r="H32" s="305"/>
    </row>
    <row r="33" spans="1:8" ht="14">
      <c r="A33" s="287"/>
      <c r="B33" s="288" t="s">
        <v>95</v>
      </c>
      <c r="C33" s="289"/>
      <c r="D33" s="38" t="s">
        <v>61</v>
      </c>
      <c r="E33" s="35" t="str">
        <f t="shared" si="0"/>
        <v>Acredita</v>
      </c>
      <c r="F33" s="305"/>
      <c r="H33" s="305"/>
    </row>
    <row r="34" spans="1:8" ht="14">
      <c r="A34" s="236"/>
      <c r="B34" s="288" t="s">
        <v>96</v>
      </c>
      <c r="C34" s="289"/>
      <c r="D34" s="38" t="s">
        <v>61</v>
      </c>
      <c r="E34" s="35" t="str">
        <f t="shared" si="0"/>
        <v>Acredita</v>
      </c>
      <c r="F34" s="306"/>
      <c r="H34" s="306"/>
    </row>
    <row r="35" spans="1:8">
      <c r="A35" s="231" t="s">
        <v>68</v>
      </c>
      <c r="B35" s="231"/>
      <c r="C35" s="231"/>
      <c r="D35" s="231"/>
      <c r="E35" s="232" t="str">
        <f>IF(AND(E20="acredita",E22="acredita",E23="acredita",E24="acredita",E25="acredita",E26="acredita",E27="acredita",E28="acredita",E29="acredita",E30="acredita"),"CUMPLE","NO CUMPLE")</f>
        <v>CUMPLE</v>
      </c>
      <c r="F35" s="233"/>
      <c r="H35" s="20"/>
    </row>
    <row r="36" spans="1:8">
      <c r="A36" s="26"/>
      <c r="B36" s="26"/>
      <c r="C36" s="26"/>
      <c r="D36" s="26"/>
      <c r="E36" s="22"/>
      <c r="F36" s="22"/>
      <c r="H36" s="22"/>
    </row>
    <row r="37" spans="1:8" ht="28.5" customHeight="1">
      <c r="A37" s="28" t="s">
        <v>255</v>
      </c>
      <c r="B37" s="294" t="s">
        <v>254</v>
      </c>
      <c r="C37" s="294"/>
      <c r="D37" s="294"/>
      <c r="E37" s="294"/>
      <c r="F37" s="294"/>
      <c r="H37" s="20"/>
    </row>
    <row r="38" spans="1:8" ht="31.5" customHeight="1">
      <c r="A38" s="28" t="s">
        <v>51</v>
      </c>
      <c r="B38" s="241" t="s">
        <v>256</v>
      </c>
      <c r="C38" s="241"/>
      <c r="D38" s="241"/>
      <c r="E38" s="241"/>
      <c r="F38" s="241"/>
      <c r="H38" s="20"/>
    </row>
    <row r="39" spans="1:8">
      <c r="A39" s="23" t="s">
        <v>52</v>
      </c>
      <c r="B39" s="234" t="s">
        <v>257</v>
      </c>
      <c r="C39" s="234"/>
      <c r="D39" s="234"/>
      <c r="E39" s="234"/>
      <c r="F39" s="234"/>
      <c r="H39" s="20"/>
    </row>
    <row r="40" spans="1:8">
      <c r="A40" s="28" t="s">
        <v>65</v>
      </c>
      <c r="B40" s="31" t="s">
        <v>53</v>
      </c>
      <c r="C40" s="32" t="s">
        <v>66</v>
      </c>
      <c r="D40" s="32" t="s">
        <v>54</v>
      </c>
      <c r="E40" s="32" t="s">
        <v>67</v>
      </c>
      <c r="F40" s="32" t="s">
        <v>55</v>
      </c>
      <c r="H40" s="32" t="s">
        <v>55</v>
      </c>
    </row>
    <row r="41" spans="1:8">
      <c r="A41" s="227" t="s">
        <v>56</v>
      </c>
      <c r="B41" s="33">
        <v>80101600</v>
      </c>
      <c r="C41" s="29">
        <v>80101600</v>
      </c>
      <c r="D41" s="29">
        <v>98</v>
      </c>
      <c r="E41" s="235" t="str">
        <f>IF(B42=C42,"Acredita",IF(B41=C41,"Acredita","No acredita"))</f>
        <v>Acredita</v>
      </c>
      <c r="F41" s="304"/>
      <c r="H41" s="304"/>
    </row>
    <row r="42" spans="1:8">
      <c r="A42" s="227"/>
      <c r="B42" s="33">
        <v>81101500</v>
      </c>
      <c r="C42" s="30">
        <v>81101500</v>
      </c>
      <c r="D42" s="30">
        <v>98</v>
      </c>
      <c r="E42" s="236"/>
      <c r="F42" s="305"/>
      <c r="H42" s="305"/>
    </row>
    <row r="43" spans="1:8" ht="14">
      <c r="A43" s="237" t="s">
        <v>57</v>
      </c>
      <c r="B43" s="238"/>
      <c r="C43" s="239"/>
      <c r="D43" s="34">
        <v>44812</v>
      </c>
      <c r="E43" s="35" t="str">
        <f>IF(D43="","No acredita","Acredita")</f>
        <v>Acredita</v>
      </c>
      <c r="F43" s="305"/>
      <c r="H43" s="305"/>
    </row>
    <row r="44" spans="1:8" ht="14">
      <c r="A44" s="237" t="s">
        <v>58</v>
      </c>
      <c r="B44" s="238"/>
      <c r="C44" s="239"/>
      <c r="D44" s="36">
        <v>78803400</v>
      </c>
      <c r="E44" s="35" t="str">
        <f>IF(D44="","No acredita","Acredita")</f>
        <v>Acredita</v>
      </c>
      <c r="F44" s="305"/>
      <c r="H44" s="305"/>
    </row>
    <row r="45" spans="1:8" ht="14">
      <c r="A45" s="237" t="s">
        <v>59</v>
      </c>
      <c r="B45" s="238"/>
      <c r="C45" s="239"/>
      <c r="D45" s="44">
        <f>IFERROR((D44/(VLOOKUP((YEAR(D47)),SMMLV!$A$9:$C$49,3,0)))*'O2'!D46,"0")</f>
        <v>13.586793103448276</v>
      </c>
      <c r="E45" s="37" t="str">
        <f>IF(D45="","No acredita","Acredita")</f>
        <v>Acredita</v>
      </c>
      <c r="F45" s="305"/>
      <c r="H45" s="305"/>
    </row>
    <row r="46" spans="1:8" ht="14">
      <c r="A46" s="237" t="s">
        <v>80</v>
      </c>
      <c r="B46" s="238"/>
      <c r="C46" s="239"/>
      <c r="D46" s="45">
        <v>0.2</v>
      </c>
      <c r="E46" s="35" t="str">
        <f>IF(D46="","No acredita","Acredita")</f>
        <v>Acredita</v>
      </c>
      <c r="F46" s="305"/>
      <c r="H46" s="305"/>
    </row>
    <row r="47" spans="1:8" ht="14">
      <c r="A47" s="237" t="s">
        <v>60</v>
      </c>
      <c r="B47" s="238"/>
      <c r="C47" s="239"/>
      <c r="D47" s="34">
        <v>45054</v>
      </c>
      <c r="E47" s="35" t="str">
        <f>IF(D47="","No acredita","Acredita")</f>
        <v>Acredita</v>
      </c>
      <c r="F47" s="305"/>
      <c r="H47" s="305"/>
    </row>
    <row r="48" spans="1:8" ht="72" customHeight="1">
      <c r="A48" s="227" t="s">
        <v>91</v>
      </c>
      <c r="B48" s="227"/>
      <c r="C48" s="227"/>
      <c r="D48" s="38" t="s">
        <v>61</v>
      </c>
      <c r="E48" s="35" t="str">
        <f t="shared" ref="E48:E55" si="1">IF(D48="","No acredita",IF(D48="","",IF(D48="SI","Acredita","No acredita")))</f>
        <v>Acredita</v>
      </c>
      <c r="F48" s="305"/>
      <c r="H48" s="305"/>
    </row>
    <row r="49" spans="1:8" ht="33" customHeight="1">
      <c r="A49" s="227" t="s">
        <v>92</v>
      </c>
      <c r="B49" s="227"/>
      <c r="C49" s="227"/>
      <c r="D49" s="38" t="s">
        <v>61</v>
      </c>
      <c r="E49" s="35" t="str">
        <f t="shared" si="1"/>
        <v>Acredita</v>
      </c>
      <c r="F49" s="305"/>
      <c r="H49" s="305"/>
    </row>
    <row r="50" spans="1:8" ht="14">
      <c r="A50" s="227" t="s">
        <v>69</v>
      </c>
      <c r="B50" s="227"/>
      <c r="C50" s="227"/>
      <c r="D50" s="38" t="s">
        <v>61</v>
      </c>
      <c r="E50" s="35" t="str">
        <f t="shared" si="1"/>
        <v>Acredita</v>
      </c>
      <c r="F50" s="305"/>
      <c r="H50" s="305"/>
    </row>
    <row r="51" spans="1:8" ht="14">
      <c r="A51" s="227" t="s">
        <v>103</v>
      </c>
      <c r="B51" s="227"/>
      <c r="C51" s="227"/>
      <c r="D51" s="38" t="s">
        <v>61</v>
      </c>
      <c r="E51" s="35" t="str">
        <f t="shared" si="1"/>
        <v>Acredita</v>
      </c>
      <c r="F51" s="305"/>
      <c r="H51" s="305"/>
    </row>
    <row r="52" spans="1:8" ht="14">
      <c r="A52" s="235" t="s">
        <v>97</v>
      </c>
      <c r="B52" s="288" t="s">
        <v>93</v>
      </c>
      <c r="C52" s="289"/>
      <c r="D52" s="38" t="s">
        <v>61</v>
      </c>
      <c r="E52" s="35" t="str">
        <f t="shared" si="1"/>
        <v>Acredita</v>
      </c>
      <c r="F52" s="305"/>
      <c r="H52" s="305"/>
    </row>
    <row r="53" spans="1:8" ht="14">
      <c r="A53" s="287"/>
      <c r="B53" s="288" t="s">
        <v>94</v>
      </c>
      <c r="C53" s="289"/>
      <c r="D53" s="38" t="s">
        <v>61</v>
      </c>
      <c r="E53" s="35" t="str">
        <f t="shared" si="1"/>
        <v>Acredita</v>
      </c>
      <c r="F53" s="305"/>
      <c r="H53" s="305"/>
    </row>
    <row r="54" spans="1:8" ht="14">
      <c r="A54" s="287"/>
      <c r="B54" s="288" t="s">
        <v>95</v>
      </c>
      <c r="C54" s="289"/>
      <c r="D54" s="38" t="s">
        <v>61</v>
      </c>
      <c r="E54" s="35" t="str">
        <f t="shared" si="1"/>
        <v>Acredita</v>
      </c>
      <c r="F54" s="305"/>
      <c r="H54" s="305"/>
    </row>
    <row r="55" spans="1:8" ht="14">
      <c r="A55" s="236"/>
      <c r="B55" s="288" t="s">
        <v>96</v>
      </c>
      <c r="C55" s="289"/>
      <c r="D55" s="38" t="s">
        <v>61</v>
      </c>
      <c r="E55" s="35" t="str">
        <f t="shared" si="1"/>
        <v>Acredita</v>
      </c>
      <c r="F55" s="306"/>
      <c r="H55" s="306"/>
    </row>
    <row r="56" spans="1:8">
      <c r="A56" s="231" t="s">
        <v>70</v>
      </c>
      <c r="B56" s="231"/>
      <c r="C56" s="231"/>
      <c r="D56" s="231"/>
      <c r="E56" s="232" t="str">
        <f>IF(AND(E41="acredita",E43="acredita",E44="acredita",E45="acredita",E46="acredita",E47="acredita",E48="acredita",E49="acredita",E50="acredita",E51="acredita"),"CUMPLE","NO CUMPLE")</f>
        <v>CUMPLE</v>
      </c>
      <c r="F56" s="233"/>
      <c r="H56" s="20"/>
    </row>
    <row r="57" spans="1:8">
      <c r="A57" s="26"/>
      <c r="B57" s="26"/>
      <c r="C57" s="26"/>
      <c r="D57" s="26"/>
      <c r="E57" s="22"/>
      <c r="F57" s="22"/>
      <c r="H57" s="22"/>
    </row>
    <row r="58" spans="1:8">
      <c r="A58" s="28" t="s">
        <v>258</v>
      </c>
      <c r="B58" s="294" t="s">
        <v>261</v>
      </c>
      <c r="C58" s="294"/>
      <c r="D58" s="294"/>
      <c r="E58" s="294"/>
      <c r="F58" s="294"/>
      <c r="H58" s="20"/>
    </row>
    <row r="59" spans="1:8" ht="71.25" customHeight="1">
      <c r="A59" s="28" t="s">
        <v>51</v>
      </c>
      <c r="B59" s="328" t="s">
        <v>259</v>
      </c>
      <c r="C59" s="328"/>
      <c r="D59" s="328"/>
      <c r="E59" s="328"/>
      <c r="F59" s="328"/>
      <c r="H59" s="20"/>
    </row>
    <row r="60" spans="1:8" ht="19.5" customHeight="1">
      <c r="A60" s="23" t="s">
        <v>52</v>
      </c>
      <c r="B60" s="234" t="s">
        <v>260</v>
      </c>
      <c r="C60" s="234"/>
      <c r="D60" s="234"/>
      <c r="E60" s="234"/>
      <c r="F60" s="234"/>
      <c r="H60" s="20"/>
    </row>
    <row r="61" spans="1:8">
      <c r="A61" s="28" t="s">
        <v>65</v>
      </c>
      <c r="B61" s="31" t="s">
        <v>53</v>
      </c>
      <c r="C61" s="32" t="s">
        <v>66</v>
      </c>
      <c r="D61" s="32" t="s">
        <v>54</v>
      </c>
      <c r="E61" s="32" t="s">
        <v>67</v>
      </c>
      <c r="F61" s="32" t="s">
        <v>55</v>
      </c>
      <c r="H61" s="32" t="s">
        <v>55</v>
      </c>
    </row>
    <row r="62" spans="1:8">
      <c r="A62" s="227" t="s">
        <v>56</v>
      </c>
      <c r="B62" s="33">
        <v>80101600</v>
      </c>
      <c r="C62" s="29">
        <v>80101600</v>
      </c>
      <c r="D62" s="29">
        <v>185</v>
      </c>
      <c r="E62" s="235" t="str">
        <f>IF(B63=C63,"Acredita",IF(B62=C62,"Acredita","No acredita"))</f>
        <v>Acredita</v>
      </c>
      <c r="F62" s="304"/>
      <c r="H62" s="304"/>
    </row>
    <row r="63" spans="1:8">
      <c r="A63" s="227"/>
      <c r="B63" s="33">
        <v>81101500</v>
      </c>
      <c r="C63" s="30">
        <v>81101500</v>
      </c>
      <c r="D63" s="30">
        <v>185</v>
      </c>
      <c r="E63" s="236"/>
      <c r="F63" s="305"/>
      <c r="H63" s="305"/>
    </row>
    <row r="64" spans="1:8" ht="14">
      <c r="A64" s="237" t="s">
        <v>57</v>
      </c>
      <c r="B64" s="238"/>
      <c r="C64" s="239"/>
      <c r="D64" s="34">
        <v>38425</v>
      </c>
      <c r="E64" s="35" t="str">
        <f>IF(D64="","No acredita","Acredita")</f>
        <v>Acredita</v>
      </c>
      <c r="F64" s="305"/>
      <c r="H64" s="305"/>
    </row>
    <row r="65" spans="1:8" ht="14">
      <c r="A65" s="237" t="s">
        <v>58</v>
      </c>
      <c r="B65" s="238"/>
      <c r="C65" s="239"/>
      <c r="D65" s="36">
        <v>1301052293</v>
      </c>
      <c r="E65" s="35" t="str">
        <f>IF(D65="","No acredita","Acredita")</f>
        <v>Acredita</v>
      </c>
      <c r="F65" s="305"/>
      <c r="H65" s="305"/>
    </row>
    <row r="66" spans="1:8" ht="14">
      <c r="A66" s="237" t="s">
        <v>59</v>
      </c>
      <c r="B66" s="238"/>
      <c r="C66" s="239"/>
      <c r="D66" s="44">
        <f>IFERROR((D65/(VLOOKUP((YEAR(D68)),SMMLV!$A$9:$C$49,3,0)))*'O2'!D67,"0")</f>
        <v>3410.359876802097</v>
      </c>
      <c r="E66" s="37" t="str">
        <f>IF(D66="","No acredita","Acredita")</f>
        <v>Acredita</v>
      </c>
      <c r="F66" s="305"/>
      <c r="H66" s="305"/>
    </row>
    <row r="67" spans="1:8" ht="14">
      <c r="A67" s="237" t="s">
        <v>80</v>
      </c>
      <c r="B67" s="238"/>
      <c r="C67" s="239"/>
      <c r="D67" s="45">
        <v>1</v>
      </c>
      <c r="E67" s="35" t="str">
        <f>IF(D67="","No acredita","Acredita")</f>
        <v>Acredita</v>
      </c>
      <c r="F67" s="305"/>
      <c r="H67" s="305"/>
    </row>
    <row r="68" spans="1:8" ht="14">
      <c r="A68" s="237" t="s">
        <v>60</v>
      </c>
      <c r="B68" s="238"/>
      <c r="C68" s="239"/>
      <c r="D68" s="34">
        <v>38702</v>
      </c>
      <c r="E68" s="35" t="str">
        <f>IF(D68="","No acredita","Acredita")</f>
        <v>Acredita</v>
      </c>
      <c r="F68" s="305"/>
      <c r="H68" s="305"/>
    </row>
    <row r="69" spans="1:8" ht="65.25" customHeight="1">
      <c r="A69" s="227" t="s">
        <v>91</v>
      </c>
      <c r="B69" s="227"/>
      <c r="C69" s="227"/>
      <c r="D69" s="38" t="s">
        <v>61</v>
      </c>
      <c r="E69" s="35" t="str">
        <f t="shared" ref="E69:E76" si="2">IF(D69="","No acredita",IF(D69="","",IF(D69="SI","Acredita","No acredita")))</f>
        <v>Acredita</v>
      </c>
      <c r="F69" s="305"/>
      <c r="H69" s="305"/>
    </row>
    <row r="70" spans="1:8" ht="28.5" customHeight="1">
      <c r="A70" s="227" t="s">
        <v>92</v>
      </c>
      <c r="B70" s="227"/>
      <c r="C70" s="227"/>
      <c r="D70" s="38" t="s">
        <v>61</v>
      </c>
      <c r="E70" s="35" t="str">
        <f t="shared" si="2"/>
        <v>Acredita</v>
      </c>
      <c r="F70" s="305"/>
      <c r="H70" s="305"/>
    </row>
    <row r="71" spans="1:8" ht="14">
      <c r="A71" s="227" t="s">
        <v>69</v>
      </c>
      <c r="B71" s="227"/>
      <c r="C71" s="227"/>
      <c r="D71" s="38" t="s">
        <v>61</v>
      </c>
      <c r="E71" s="35" t="str">
        <f t="shared" si="2"/>
        <v>Acredita</v>
      </c>
      <c r="F71" s="305"/>
      <c r="H71" s="305"/>
    </row>
    <row r="72" spans="1:8" ht="14">
      <c r="A72" s="227" t="s">
        <v>102</v>
      </c>
      <c r="B72" s="227"/>
      <c r="C72" s="227"/>
      <c r="D72" s="38" t="s">
        <v>61</v>
      </c>
      <c r="E72" s="35" t="str">
        <f t="shared" si="2"/>
        <v>Acredita</v>
      </c>
      <c r="F72" s="305"/>
      <c r="H72" s="305"/>
    </row>
    <row r="73" spans="1:8" ht="14">
      <c r="A73" s="235" t="s">
        <v>97</v>
      </c>
      <c r="B73" s="288" t="s">
        <v>93</v>
      </c>
      <c r="C73" s="289"/>
      <c r="D73" s="38" t="s">
        <v>62</v>
      </c>
      <c r="E73" s="35" t="str">
        <f t="shared" si="2"/>
        <v>No acredita</v>
      </c>
      <c r="F73" s="305"/>
      <c r="H73" s="305"/>
    </row>
    <row r="74" spans="1:8" ht="14">
      <c r="A74" s="287"/>
      <c r="B74" s="288" t="s">
        <v>94</v>
      </c>
      <c r="C74" s="289"/>
      <c r="D74" s="38" t="s">
        <v>61</v>
      </c>
      <c r="E74" s="35" t="str">
        <f t="shared" si="2"/>
        <v>Acredita</v>
      </c>
      <c r="F74" s="305"/>
      <c r="H74" s="305"/>
    </row>
    <row r="75" spans="1:8" ht="14">
      <c r="A75" s="287"/>
      <c r="B75" s="288" t="s">
        <v>95</v>
      </c>
      <c r="C75" s="289"/>
      <c r="D75" s="38" t="s">
        <v>61</v>
      </c>
      <c r="E75" s="35" t="str">
        <f t="shared" si="2"/>
        <v>Acredita</v>
      </c>
      <c r="F75" s="305"/>
      <c r="H75" s="305"/>
    </row>
    <row r="76" spans="1:8" ht="14">
      <c r="A76" s="236"/>
      <c r="B76" s="288" t="s">
        <v>96</v>
      </c>
      <c r="C76" s="289"/>
      <c r="D76" s="38" t="s">
        <v>62</v>
      </c>
      <c r="E76" s="35" t="str">
        <f t="shared" si="2"/>
        <v>No acredita</v>
      </c>
      <c r="F76" s="306"/>
      <c r="H76" s="306"/>
    </row>
    <row r="77" spans="1:8">
      <c r="A77" s="231" t="s">
        <v>71</v>
      </c>
      <c r="B77" s="231"/>
      <c r="C77" s="231"/>
      <c r="D77" s="231"/>
      <c r="E77" s="232" t="str">
        <f>IF(AND(E62="acredita",E64="acredita",E65="acredita",E66="acredita",E67="acredita",E68="acredita",E69="acredita",E70="acredita",E71="acredita",E72="acredita"),"CUMPLE","NO CUMPLE")</f>
        <v>CUMPLE</v>
      </c>
      <c r="F77" s="233"/>
      <c r="H77" s="20"/>
    </row>
    <row r="78" spans="1:8">
      <c r="A78" s="26"/>
      <c r="B78" s="26"/>
      <c r="C78" s="26"/>
      <c r="D78" s="26"/>
      <c r="E78" s="22"/>
      <c r="F78" s="22"/>
      <c r="H78" s="22"/>
    </row>
    <row r="79" spans="1:8" hidden="1">
      <c r="A79" s="28" t="s">
        <v>82</v>
      </c>
      <c r="B79" s="294"/>
      <c r="C79" s="294"/>
      <c r="D79" s="294"/>
      <c r="E79" s="294"/>
      <c r="F79" s="294"/>
      <c r="H79" s="20"/>
    </row>
    <row r="80" spans="1:8" hidden="1">
      <c r="A80" s="28" t="s">
        <v>51</v>
      </c>
      <c r="B80" s="241"/>
      <c r="C80" s="241"/>
      <c r="D80" s="241"/>
      <c r="E80" s="241"/>
      <c r="F80" s="241"/>
      <c r="H80" s="20"/>
    </row>
    <row r="81" spans="1:8" hidden="1">
      <c r="A81" s="23" t="s">
        <v>52</v>
      </c>
      <c r="B81" s="234"/>
      <c r="C81" s="234"/>
      <c r="D81" s="234"/>
      <c r="E81" s="234"/>
      <c r="F81" s="234"/>
      <c r="H81" s="20"/>
    </row>
    <row r="82" spans="1:8" hidden="1">
      <c r="A82" s="28" t="s">
        <v>65</v>
      </c>
      <c r="B82" s="31" t="s">
        <v>53</v>
      </c>
      <c r="C82" s="32" t="s">
        <v>66</v>
      </c>
      <c r="D82" s="32" t="s">
        <v>54</v>
      </c>
      <c r="E82" s="32" t="s">
        <v>67</v>
      </c>
      <c r="F82" s="32" t="s">
        <v>55</v>
      </c>
      <c r="H82" s="32"/>
    </row>
    <row r="83" spans="1:8" hidden="1">
      <c r="A83" s="227" t="s">
        <v>56</v>
      </c>
      <c r="B83" s="33">
        <v>80101600</v>
      </c>
      <c r="C83" s="29"/>
      <c r="D83" s="29"/>
      <c r="E83" s="235" t="str">
        <f>IF(B84=C84,"Acredita",IF(B83=C83,"Acredita","No acredita"))</f>
        <v>No acredita</v>
      </c>
      <c r="F83" s="304"/>
      <c r="H83" s="304"/>
    </row>
    <row r="84" spans="1:8" hidden="1">
      <c r="A84" s="227"/>
      <c r="B84" s="33">
        <v>81101500</v>
      </c>
      <c r="C84" s="30"/>
      <c r="D84" s="30"/>
      <c r="E84" s="236"/>
      <c r="F84" s="305"/>
      <c r="H84" s="305"/>
    </row>
    <row r="85" spans="1:8" ht="14" hidden="1">
      <c r="A85" s="237" t="s">
        <v>57</v>
      </c>
      <c r="B85" s="238"/>
      <c r="C85" s="239"/>
      <c r="D85" s="34"/>
      <c r="E85" s="35" t="str">
        <f>IF(D85="","No acredita","Acredita")</f>
        <v>No acredita</v>
      </c>
      <c r="F85" s="305"/>
      <c r="H85" s="305"/>
    </row>
    <row r="86" spans="1:8" ht="14" hidden="1">
      <c r="A86" s="237" t="s">
        <v>58</v>
      </c>
      <c r="B86" s="238"/>
      <c r="C86" s="239"/>
      <c r="D86" s="36"/>
      <c r="E86" s="35" t="str">
        <f>IF(D86="","No acredita","Acredita")</f>
        <v>No acredita</v>
      </c>
      <c r="F86" s="305"/>
      <c r="H86" s="305"/>
    </row>
    <row r="87" spans="1:8" ht="14" hidden="1">
      <c r="A87" s="237" t="s">
        <v>59</v>
      </c>
      <c r="B87" s="238"/>
      <c r="C87" s="239"/>
      <c r="D87" s="44" t="str">
        <f>IFERROR((D86/(VLOOKUP((YEAR(D89)),SMMLV!$A$9:$C$49,3,0)))*'O2'!D88,"0")</f>
        <v>0</v>
      </c>
      <c r="E87" s="37" t="str">
        <f>IF(D87="","No acredita","Acredita")</f>
        <v>Acredita</v>
      </c>
      <c r="F87" s="305"/>
      <c r="H87" s="305"/>
    </row>
    <row r="88" spans="1:8" ht="14" hidden="1">
      <c r="A88" s="237" t="s">
        <v>80</v>
      </c>
      <c r="B88" s="238"/>
      <c r="C88" s="239"/>
      <c r="D88" s="45"/>
      <c r="E88" s="35" t="str">
        <f>IF(D88="","No acredita","Acredita")</f>
        <v>No acredita</v>
      </c>
      <c r="F88" s="305"/>
      <c r="H88" s="305"/>
    </row>
    <row r="89" spans="1:8" ht="14" hidden="1">
      <c r="A89" s="237" t="s">
        <v>60</v>
      </c>
      <c r="B89" s="238"/>
      <c r="C89" s="239"/>
      <c r="D89" s="34"/>
      <c r="E89" s="35" t="str">
        <f>IF(D89="","No acredita","Acredita")</f>
        <v>No acredita</v>
      </c>
      <c r="F89" s="305"/>
      <c r="H89" s="305"/>
    </row>
    <row r="90" spans="1:8" ht="69.75" hidden="1" customHeight="1">
      <c r="A90" s="227" t="s">
        <v>91</v>
      </c>
      <c r="B90" s="227"/>
      <c r="C90" s="227"/>
      <c r="D90" s="38"/>
      <c r="E90" s="35" t="str">
        <f t="shared" ref="E90:E97" si="3">IF(D90="","No acredita",IF(D90="","",IF(D90="SI","Acredita","No acredita")))</f>
        <v>No acredita</v>
      </c>
      <c r="F90" s="305"/>
      <c r="H90" s="305"/>
    </row>
    <row r="91" spans="1:8" ht="32.25" hidden="1" customHeight="1">
      <c r="A91" s="227" t="s">
        <v>92</v>
      </c>
      <c r="B91" s="227"/>
      <c r="C91" s="227"/>
      <c r="D91" s="38" t="s">
        <v>62</v>
      </c>
      <c r="E91" s="35" t="str">
        <f t="shared" si="3"/>
        <v>No acredita</v>
      </c>
      <c r="F91" s="305"/>
      <c r="H91" s="305"/>
    </row>
    <row r="92" spans="1:8" ht="14" hidden="1">
      <c r="A92" s="227" t="s">
        <v>69</v>
      </c>
      <c r="B92" s="227"/>
      <c r="C92" s="227"/>
      <c r="D92" s="38"/>
      <c r="E92" s="35" t="str">
        <f t="shared" si="3"/>
        <v>No acredita</v>
      </c>
      <c r="F92" s="305"/>
      <c r="H92" s="305"/>
    </row>
    <row r="93" spans="1:8" ht="14" hidden="1">
      <c r="A93" s="227" t="s">
        <v>102</v>
      </c>
      <c r="B93" s="227"/>
      <c r="C93" s="227"/>
      <c r="D93" s="38"/>
      <c r="E93" s="35" t="str">
        <f t="shared" si="3"/>
        <v>No acredita</v>
      </c>
      <c r="F93" s="306"/>
      <c r="H93" s="306"/>
    </row>
    <row r="94" spans="1:8" ht="14" hidden="1">
      <c r="A94" s="235" t="s">
        <v>97</v>
      </c>
      <c r="B94" s="288" t="s">
        <v>93</v>
      </c>
      <c r="C94" s="289"/>
      <c r="D94" s="38"/>
      <c r="E94" s="35" t="str">
        <f t="shared" si="3"/>
        <v>No acredita</v>
      </c>
      <c r="F94" s="307"/>
      <c r="H94" s="307"/>
    </row>
    <row r="95" spans="1:8" ht="14" hidden="1">
      <c r="A95" s="287"/>
      <c r="B95" s="288" t="s">
        <v>94</v>
      </c>
      <c r="C95" s="289"/>
      <c r="D95" s="38"/>
      <c r="E95" s="35" t="str">
        <f t="shared" si="3"/>
        <v>No acredita</v>
      </c>
      <c r="F95" s="308"/>
      <c r="H95" s="308"/>
    </row>
    <row r="96" spans="1:8" ht="14" hidden="1">
      <c r="A96" s="287"/>
      <c r="B96" s="288" t="s">
        <v>95</v>
      </c>
      <c r="C96" s="289"/>
      <c r="D96" s="38"/>
      <c r="E96" s="35" t="str">
        <f t="shared" si="3"/>
        <v>No acredita</v>
      </c>
      <c r="F96" s="308"/>
      <c r="H96" s="308"/>
    </row>
    <row r="97" spans="1:8" ht="14" hidden="1">
      <c r="A97" s="236"/>
      <c r="B97" s="288" t="s">
        <v>96</v>
      </c>
      <c r="C97" s="289"/>
      <c r="D97" s="38"/>
      <c r="E97" s="35" t="str">
        <f t="shared" si="3"/>
        <v>No acredita</v>
      </c>
      <c r="F97" s="309"/>
      <c r="H97" s="309"/>
    </row>
    <row r="98" spans="1:8" hidden="1">
      <c r="A98" s="231" t="s">
        <v>72</v>
      </c>
      <c r="B98" s="231"/>
      <c r="C98" s="231"/>
      <c r="D98" s="231"/>
      <c r="E98" s="232" t="str">
        <f>IF(AND(E83="acredita",E85="acredita",E86="acredita",E87="acredita",E88="acredita",E89="acredita",E90="acredita",E91="acredita",E92="acredita",E93="acredita"),"CUMPLE","NO CUMPLE")</f>
        <v>NO CUMPLE</v>
      </c>
      <c r="F98" s="233"/>
      <c r="H98" s="20"/>
    </row>
    <row r="99" spans="1:8" hidden="1">
      <c r="A99" s="26"/>
      <c r="B99" s="26"/>
      <c r="C99" s="26"/>
      <c r="D99" s="26"/>
      <c r="E99" s="22"/>
      <c r="F99" s="22"/>
      <c r="H99" s="22"/>
    </row>
    <row r="100" spans="1:8" hidden="1">
      <c r="A100" s="293" t="s">
        <v>98</v>
      </c>
      <c r="B100" s="293"/>
      <c r="C100" s="293"/>
      <c r="D100" s="293"/>
      <c r="E100" s="293"/>
      <c r="F100" s="293"/>
      <c r="H100" s="20"/>
    </row>
    <row r="101" spans="1:8" hidden="1">
      <c r="A101" s="28" t="s">
        <v>83</v>
      </c>
      <c r="B101" s="294"/>
      <c r="C101" s="294"/>
      <c r="D101" s="294"/>
      <c r="E101" s="294"/>
      <c r="F101" s="294"/>
      <c r="H101" s="20"/>
    </row>
    <row r="102" spans="1:8" hidden="1">
      <c r="A102" s="28" t="s">
        <v>51</v>
      </c>
      <c r="B102" s="241"/>
      <c r="C102" s="241"/>
      <c r="D102" s="241"/>
      <c r="E102" s="241"/>
      <c r="F102" s="241"/>
      <c r="H102" s="20"/>
    </row>
    <row r="103" spans="1:8" hidden="1">
      <c r="A103" s="23" t="s">
        <v>52</v>
      </c>
      <c r="B103" s="234"/>
      <c r="C103" s="234"/>
      <c r="D103" s="234"/>
      <c r="E103" s="234"/>
      <c r="F103" s="234"/>
      <c r="H103" s="20"/>
    </row>
    <row r="104" spans="1:8" hidden="1">
      <c r="A104" s="28" t="s">
        <v>65</v>
      </c>
      <c r="B104" s="31" t="s">
        <v>53</v>
      </c>
      <c r="C104" s="32" t="s">
        <v>66</v>
      </c>
      <c r="D104" s="32" t="s">
        <v>54</v>
      </c>
      <c r="E104" s="32" t="s">
        <v>67</v>
      </c>
      <c r="F104" s="32" t="s">
        <v>55</v>
      </c>
      <c r="H104" s="32"/>
    </row>
    <row r="105" spans="1:8" hidden="1">
      <c r="A105" s="227" t="s">
        <v>56</v>
      </c>
      <c r="B105" s="33">
        <v>80101600</v>
      </c>
      <c r="C105" s="29"/>
      <c r="D105" s="29"/>
      <c r="E105" s="235" t="str">
        <f>IF(B106=C106,"Acredita",IF(B105=C105,"Acredita","No acredita"))</f>
        <v>No acredita</v>
      </c>
      <c r="F105" s="304"/>
      <c r="H105" s="304"/>
    </row>
    <row r="106" spans="1:8" hidden="1">
      <c r="A106" s="227"/>
      <c r="B106" s="33">
        <v>81101500</v>
      </c>
      <c r="C106" s="30"/>
      <c r="D106" s="30"/>
      <c r="E106" s="236"/>
      <c r="F106" s="305"/>
      <c r="H106" s="305"/>
    </row>
    <row r="107" spans="1:8" ht="14" hidden="1">
      <c r="A107" s="237" t="s">
        <v>57</v>
      </c>
      <c r="B107" s="238"/>
      <c r="C107" s="239"/>
      <c r="D107" s="34"/>
      <c r="E107" s="35" t="str">
        <f>IF(D107="","No acredita","Acredita")</f>
        <v>No acredita</v>
      </c>
      <c r="F107" s="305"/>
      <c r="H107" s="305"/>
    </row>
    <row r="108" spans="1:8" ht="14" hidden="1">
      <c r="A108" s="237" t="s">
        <v>58</v>
      </c>
      <c r="B108" s="238"/>
      <c r="C108" s="239"/>
      <c r="D108" s="36"/>
      <c r="E108" s="35" t="str">
        <f>IF(D108="","No acredita","Acredita")</f>
        <v>No acredita</v>
      </c>
      <c r="F108" s="305"/>
      <c r="H108" s="305"/>
    </row>
    <row r="109" spans="1:8" ht="14" hidden="1">
      <c r="A109" s="237" t="s">
        <v>59</v>
      </c>
      <c r="B109" s="238"/>
      <c r="C109" s="239"/>
      <c r="D109" s="44" t="str">
        <f>IFERROR((D108/(VLOOKUP((YEAR(D111)),SMMLV!$A$9:$C$49,3,0)))*'O2'!D110,"0")</f>
        <v>0</v>
      </c>
      <c r="E109" s="37" t="str">
        <f>IF(D109="","No acredita","Acredita")</f>
        <v>Acredita</v>
      </c>
      <c r="F109" s="305"/>
      <c r="H109" s="305"/>
    </row>
    <row r="110" spans="1:8" ht="14" hidden="1">
      <c r="A110" s="237" t="s">
        <v>80</v>
      </c>
      <c r="B110" s="238"/>
      <c r="C110" s="239"/>
      <c r="D110" s="45"/>
      <c r="E110" s="35" t="str">
        <f>IF(D110="","No acredita","Acredita")</f>
        <v>No acredita</v>
      </c>
      <c r="F110" s="305"/>
      <c r="H110" s="305"/>
    </row>
    <row r="111" spans="1:8" ht="14" hidden="1">
      <c r="A111" s="237" t="s">
        <v>60</v>
      </c>
      <c r="B111" s="238"/>
      <c r="C111" s="239"/>
      <c r="D111" s="34"/>
      <c r="E111" s="35" t="str">
        <f>IF(D111="","No acredita","Acredita")</f>
        <v>No acredita</v>
      </c>
      <c r="F111" s="305"/>
      <c r="H111" s="305"/>
    </row>
    <row r="112" spans="1:8" ht="68.25" hidden="1" customHeight="1">
      <c r="A112" s="227" t="s">
        <v>91</v>
      </c>
      <c r="B112" s="227"/>
      <c r="C112" s="227"/>
      <c r="D112" s="38"/>
      <c r="E112" s="35" t="str">
        <f t="shared" ref="E112:E119" si="4">IF(D112="","No acredita",IF(D112="","",IF(D112="SI","Acredita","No acredita")))</f>
        <v>No acredita</v>
      </c>
      <c r="F112" s="305"/>
      <c r="H112" s="305"/>
    </row>
    <row r="113" spans="1:8" ht="27" hidden="1" customHeight="1">
      <c r="A113" s="227" t="s">
        <v>92</v>
      </c>
      <c r="B113" s="227"/>
      <c r="C113" s="227"/>
      <c r="D113" s="38"/>
      <c r="E113" s="35" t="str">
        <f t="shared" si="4"/>
        <v>No acredita</v>
      </c>
      <c r="F113" s="305"/>
      <c r="H113" s="305"/>
    </row>
    <row r="114" spans="1:8" ht="14" hidden="1">
      <c r="A114" s="227" t="s">
        <v>69</v>
      </c>
      <c r="B114" s="227"/>
      <c r="C114" s="227"/>
      <c r="D114" s="38"/>
      <c r="E114" s="35" t="str">
        <f t="shared" si="4"/>
        <v>No acredita</v>
      </c>
      <c r="F114" s="305"/>
      <c r="H114" s="305"/>
    </row>
    <row r="115" spans="1:8" ht="14" hidden="1">
      <c r="A115" s="227" t="s">
        <v>102</v>
      </c>
      <c r="B115" s="227"/>
      <c r="C115" s="227"/>
      <c r="D115" s="38"/>
      <c r="E115" s="35" t="str">
        <f t="shared" si="4"/>
        <v>No acredita</v>
      </c>
      <c r="F115" s="306"/>
      <c r="H115" s="306"/>
    </row>
    <row r="116" spans="1:8" ht="14" hidden="1">
      <c r="A116" s="235" t="s">
        <v>97</v>
      </c>
      <c r="B116" s="288" t="s">
        <v>93</v>
      </c>
      <c r="C116" s="289"/>
      <c r="D116" s="38"/>
      <c r="E116" s="35" t="str">
        <f t="shared" si="4"/>
        <v>No acredita</v>
      </c>
      <c r="F116" s="307"/>
      <c r="H116" s="307"/>
    </row>
    <row r="117" spans="1:8" ht="14" hidden="1">
      <c r="A117" s="287"/>
      <c r="B117" s="288" t="s">
        <v>94</v>
      </c>
      <c r="C117" s="289"/>
      <c r="D117" s="38"/>
      <c r="E117" s="35" t="str">
        <f t="shared" si="4"/>
        <v>No acredita</v>
      </c>
      <c r="F117" s="308"/>
      <c r="H117" s="308"/>
    </row>
    <row r="118" spans="1:8" ht="14" hidden="1">
      <c r="A118" s="287"/>
      <c r="B118" s="288" t="s">
        <v>95</v>
      </c>
      <c r="C118" s="289"/>
      <c r="D118" s="38"/>
      <c r="E118" s="35" t="str">
        <f t="shared" si="4"/>
        <v>No acredita</v>
      </c>
      <c r="F118" s="308"/>
      <c r="H118" s="308"/>
    </row>
    <row r="119" spans="1:8" ht="14" hidden="1">
      <c r="A119" s="236"/>
      <c r="B119" s="288" t="s">
        <v>96</v>
      </c>
      <c r="C119" s="289"/>
      <c r="D119" s="38"/>
      <c r="E119" s="35" t="str">
        <f t="shared" si="4"/>
        <v>No acredita</v>
      </c>
      <c r="F119" s="309"/>
      <c r="H119" s="309"/>
    </row>
    <row r="120" spans="1:8" hidden="1">
      <c r="A120" s="231" t="s">
        <v>73</v>
      </c>
      <c r="B120" s="231"/>
      <c r="C120" s="231"/>
      <c r="D120" s="231"/>
      <c r="E120" s="232" t="str">
        <f>IF(AND(E105="acredita",E107="acredita",E108="acredita",E109="acredita",E110="acredita",E111="acredita",E112="acredita",E113="acredita",E114="acredita",E115="acredita"),"CUMPLE","NO CUMPLE")</f>
        <v>NO CUMPLE</v>
      </c>
      <c r="F120" s="233"/>
      <c r="H120" s="20"/>
    </row>
    <row r="121" spans="1:8" hidden="1">
      <c r="A121" s="26"/>
      <c r="B121" s="26"/>
      <c r="C121" s="26"/>
      <c r="D121" s="26"/>
      <c r="E121" s="22"/>
      <c r="F121" s="22"/>
      <c r="H121" s="22"/>
    </row>
    <row r="122" spans="1:8">
      <c r="A122" s="227" t="s">
        <v>101</v>
      </c>
      <c r="B122" s="227"/>
      <c r="C122" s="227"/>
      <c r="D122" s="227"/>
      <c r="E122" s="227"/>
      <c r="F122" s="46" t="s">
        <v>61</v>
      </c>
      <c r="H122" s="46"/>
    </row>
    <row r="123" spans="1:8">
      <c r="A123" s="227"/>
      <c r="B123" s="227"/>
      <c r="C123" s="227"/>
      <c r="D123" s="227"/>
      <c r="E123" s="227"/>
      <c r="F123" s="43" t="str">
        <f>IF(F122="SI","CUMPLE","NO CUMPLE")</f>
        <v>CUMPLE</v>
      </c>
      <c r="H123" s="43"/>
    </row>
    <row r="124" spans="1:8" ht="31.5" customHeight="1">
      <c r="A124" s="227" t="s">
        <v>86</v>
      </c>
      <c r="B124" s="227"/>
      <c r="C124" s="227"/>
      <c r="D124" s="227"/>
      <c r="E124" s="227"/>
      <c r="F124" s="227"/>
      <c r="H124" s="20"/>
    </row>
    <row r="125" spans="1:8">
      <c r="A125" s="26"/>
      <c r="B125" s="26"/>
      <c r="C125" s="26"/>
      <c r="D125" s="26"/>
      <c r="E125" s="22"/>
      <c r="F125" s="22"/>
      <c r="H125" s="22"/>
    </row>
    <row r="126" spans="1:8">
      <c r="A126" s="227" t="s">
        <v>99</v>
      </c>
      <c r="B126" s="227"/>
      <c r="C126" s="227"/>
      <c r="D126" s="227"/>
      <c r="E126" s="227"/>
      <c r="F126" s="46">
        <f>SUM(D24+D45+D66+D87+D109)</f>
        <v>3493.9140416264154</v>
      </c>
      <c r="H126" s="46"/>
    </row>
    <row r="127" spans="1:8">
      <c r="A127" s="227"/>
      <c r="B127" s="227"/>
      <c r="C127" s="227"/>
      <c r="D127" s="227"/>
      <c r="E127" s="227"/>
      <c r="F127" s="43" t="str">
        <f>IF(F126&gt;=433.26,"CUMPLE","NO CUMPLE")</f>
        <v>CUMPLE</v>
      </c>
      <c r="H127" s="43"/>
    </row>
    <row r="128" spans="1:8" ht="33" customHeight="1">
      <c r="A128" s="227" t="s">
        <v>86</v>
      </c>
      <c r="B128" s="227"/>
      <c r="C128" s="227"/>
      <c r="D128" s="227"/>
      <c r="E128" s="227"/>
      <c r="F128" s="227"/>
      <c r="H128" s="20"/>
    </row>
    <row r="129" spans="1:8">
      <c r="A129" s="41"/>
      <c r="B129" s="41"/>
      <c r="C129" s="41"/>
      <c r="D129" s="41"/>
      <c r="E129" s="41"/>
      <c r="F129" s="22"/>
      <c r="H129" s="22"/>
    </row>
    <row r="130" spans="1:8">
      <c r="A130" s="227" t="s">
        <v>100</v>
      </c>
      <c r="B130" s="227"/>
      <c r="C130" s="227"/>
      <c r="D130" s="227"/>
      <c r="E130" s="227"/>
      <c r="F130" s="46" t="s">
        <v>61</v>
      </c>
      <c r="H130" s="46"/>
    </row>
    <row r="131" spans="1:8" ht="27" customHeight="1">
      <c r="A131" s="227"/>
      <c r="B131" s="227"/>
      <c r="C131" s="227"/>
      <c r="D131" s="227"/>
      <c r="E131" s="227"/>
      <c r="F131" s="43" t="str">
        <f>IF(F130="SI","CUMPLE","NO CUMPLE")</f>
        <v>CUMPLE</v>
      </c>
      <c r="H131" s="43"/>
    </row>
    <row r="132" spans="1:8" ht="29.25" customHeight="1">
      <c r="A132" s="227" t="s">
        <v>84</v>
      </c>
      <c r="B132" s="227"/>
      <c r="C132" s="227"/>
      <c r="D132" s="227"/>
      <c r="E132" s="227"/>
      <c r="F132" s="227"/>
      <c r="H132" s="20"/>
    </row>
    <row r="133" spans="1:8">
      <c r="A133" s="39"/>
      <c r="B133" s="39"/>
      <c r="C133" s="39"/>
      <c r="D133" s="39"/>
      <c r="E133" s="39"/>
      <c r="F133" s="40"/>
      <c r="H133" s="40"/>
    </row>
    <row r="134" spans="1:8">
      <c r="A134" s="227" t="s">
        <v>74</v>
      </c>
      <c r="B134" s="227"/>
      <c r="C134" s="227"/>
      <c r="D134" s="227"/>
      <c r="E134" s="227"/>
      <c r="F134" s="46" t="s">
        <v>61</v>
      </c>
      <c r="H134" s="46"/>
    </row>
    <row r="135" spans="1:8">
      <c r="A135" s="227"/>
      <c r="B135" s="227"/>
      <c r="C135" s="227"/>
      <c r="D135" s="227"/>
      <c r="E135" s="227"/>
      <c r="F135" s="43" t="str">
        <f>IF(F134="SI","CUMPLE","NO CUMPLE")</f>
        <v>CUMPLE</v>
      </c>
      <c r="H135" s="43"/>
    </row>
    <row r="136" spans="1:8" ht="27.75" customHeight="1">
      <c r="A136" s="227" t="s">
        <v>84</v>
      </c>
      <c r="B136" s="227"/>
      <c r="C136" s="227"/>
      <c r="D136" s="227"/>
      <c r="E136" s="227"/>
      <c r="F136" s="227"/>
      <c r="H136" s="20"/>
    </row>
    <row r="137" spans="1:8">
      <c r="A137" s="39"/>
      <c r="B137" s="39"/>
      <c r="C137" s="39"/>
      <c r="D137" s="39"/>
      <c r="E137" s="39"/>
      <c r="F137" s="40"/>
      <c r="H137" s="40"/>
    </row>
    <row r="138" spans="1:8" ht="14">
      <c r="A138" s="284" t="s">
        <v>90</v>
      </c>
      <c r="B138" s="285"/>
      <c r="C138" s="285"/>
      <c r="D138" s="285"/>
      <c r="E138" s="286"/>
      <c r="F138" s="74" t="str">
        <f>IF(AND(F123="cumple",F127="cumple",F131="cumple",F135="cumple"),"CUMPLE","NO CUMPLE")</f>
        <v>CUMPLE</v>
      </c>
      <c r="H138" s="74"/>
    </row>
    <row r="139" spans="1:8">
      <c r="A139" s="39"/>
      <c r="B139" s="39"/>
      <c r="C139" s="39"/>
      <c r="D139" s="39"/>
      <c r="E139" s="39"/>
      <c r="F139" s="40"/>
      <c r="H139" s="40"/>
    </row>
    <row r="140" spans="1:8" hidden="1">
      <c r="A140" s="39"/>
      <c r="B140" s="39"/>
      <c r="C140" s="39"/>
      <c r="D140" s="39"/>
      <c r="E140" s="39"/>
      <c r="F140" s="40"/>
      <c r="H140" s="40"/>
    </row>
    <row r="141" spans="1:8" hidden="1">
      <c r="A141" s="39"/>
      <c r="B141" s="39"/>
      <c r="C141" s="39"/>
      <c r="D141" s="39"/>
      <c r="E141" s="39"/>
      <c r="F141" s="40"/>
      <c r="H141" s="40"/>
    </row>
    <row r="142" spans="1:8" hidden="1">
      <c r="A142" s="39"/>
      <c r="B142" s="39"/>
      <c r="C142" s="39"/>
      <c r="D142" s="39"/>
      <c r="E142" s="39"/>
      <c r="F142" s="40"/>
      <c r="H142" s="40"/>
    </row>
    <row r="143" spans="1:8" hidden="1">
      <c r="A143" s="39"/>
      <c r="B143" s="39"/>
      <c r="C143" s="39"/>
      <c r="D143" s="39"/>
      <c r="E143" s="39"/>
      <c r="F143" s="40"/>
      <c r="H143" s="40"/>
    </row>
    <row r="144" spans="1:8" hidden="1">
      <c r="A144" s="39"/>
      <c r="B144" s="39"/>
      <c r="C144" s="39"/>
      <c r="D144" s="39"/>
      <c r="E144" s="39"/>
      <c r="F144" s="40"/>
      <c r="H144" s="40"/>
    </row>
    <row r="145" spans="1:8" hidden="1">
      <c r="A145" s="39"/>
      <c r="B145" s="39"/>
      <c r="C145" s="39"/>
      <c r="D145" s="39"/>
      <c r="E145" s="39"/>
      <c r="F145" s="40"/>
      <c r="H145" s="40"/>
    </row>
    <row r="146" spans="1:8" hidden="1">
      <c r="A146" s="39"/>
      <c r="B146" s="39"/>
      <c r="C146" s="39"/>
      <c r="D146" s="39"/>
      <c r="E146" s="39"/>
      <c r="F146" s="40"/>
      <c r="H146" s="40"/>
    </row>
    <row r="147" spans="1:8" ht="14">
      <c r="A147" s="212" t="s">
        <v>114</v>
      </c>
      <c r="B147" s="212"/>
      <c r="C147" s="212"/>
      <c r="D147" s="212"/>
      <c r="E147" s="212"/>
      <c r="F147" s="212"/>
      <c r="H147" s="20"/>
    </row>
    <row r="148" spans="1:8">
      <c r="A148" s="39"/>
      <c r="B148" s="39"/>
      <c r="C148" s="39"/>
      <c r="D148" s="39"/>
      <c r="E148" s="39"/>
      <c r="F148" s="40"/>
      <c r="H148" s="40"/>
    </row>
    <row r="149" spans="1:8">
      <c r="A149" s="262" t="s">
        <v>138</v>
      </c>
      <c r="B149" s="262"/>
      <c r="C149" s="262"/>
      <c r="D149" s="262"/>
      <c r="E149" s="262"/>
      <c r="F149" s="262"/>
      <c r="H149" s="20"/>
    </row>
    <row r="150" spans="1:8">
      <c r="A150" s="281" t="s">
        <v>104</v>
      </c>
      <c r="B150" s="282"/>
      <c r="C150" s="283"/>
      <c r="D150" s="266" t="s">
        <v>263</v>
      </c>
      <c r="E150" s="267"/>
      <c r="F150" s="268"/>
      <c r="H150" s="20"/>
    </row>
    <row r="151" spans="1:8" ht="69.75" customHeight="1">
      <c r="A151" s="73" t="s">
        <v>105</v>
      </c>
      <c r="B151" s="280" t="s">
        <v>124</v>
      </c>
      <c r="C151" s="280"/>
      <c r="D151" s="52" t="s">
        <v>115</v>
      </c>
      <c r="E151" s="52" t="str">
        <f>IF(D151="","NO CUMPLE","CUMPLE")</f>
        <v>CUMPLE</v>
      </c>
      <c r="F151" s="53"/>
      <c r="H151" s="53"/>
    </row>
    <row r="152" spans="1:8" ht="14">
      <c r="A152" s="73" t="s">
        <v>106</v>
      </c>
      <c r="B152" s="280" t="s">
        <v>133</v>
      </c>
      <c r="C152" s="280"/>
      <c r="D152" s="54" t="s">
        <v>61</v>
      </c>
      <c r="E152" s="55" t="str">
        <f>IF(D152="SI","CUMPLE","NO CUMPLE")</f>
        <v>CUMPLE</v>
      </c>
      <c r="F152" s="53" t="s">
        <v>265</v>
      </c>
      <c r="H152" s="53" t="s">
        <v>265</v>
      </c>
    </row>
    <row r="153" spans="1:8" ht="14">
      <c r="A153" s="73" t="s">
        <v>107</v>
      </c>
      <c r="B153" s="280" t="s">
        <v>108</v>
      </c>
      <c r="C153" s="280"/>
      <c r="D153" s="63" t="s">
        <v>264</v>
      </c>
      <c r="E153" s="55" t="str">
        <f>IF(D153="","NO CUMPLE","CUMPLE")</f>
        <v>CUMPLE</v>
      </c>
      <c r="F153" s="53"/>
      <c r="H153" s="53"/>
    </row>
    <row r="154" spans="1:8" ht="14">
      <c r="A154" s="275" t="s">
        <v>109</v>
      </c>
      <c r="B154" s="276"/>
      <c r="C154" s="277"/>
      <c r="D154" s="56">
        <v>45630</v>
      </c>
      <c r="E154" s="55" t="str">
        <f>IF(($B$4-D154)&gt;183,"NO CUMPLE","CUMPLE")</f>
        <v>CUMPLE</v>
      </c>
      <c r="F154" s="53"/>
      <c r="H154" s="53"/>
    </row>
    <row r="155" spans="1:8" ht="14">
      <c r="A155" s="278" t="s">
        <v>107</v>
      </c>
      <c r="B155" s="280" t="s">
        <v>132</v>
      </c>
      <c r="C155" s="280"/>
      <c r="D155" s="54">
        <v>31091</v>
      </c>
      <c r="E155" s="55" t="str">
        <f>IF(D155="","NO CUMPLE","CUMPLE")</f>
        <v>CUMPLE</v>
      </c>
      <c r="F155" s="53"/>
      <c r="G155" s="50"/>
      <c r="H155" s="53"/>
    </row>
    <row r="156" spans="1:8" ht="14">
      <c r="A156" s="279"/>
      <c r="B156" s="280" t="s">
        <v>121</v>
      </c>
      <c r="C156" s="280"/>
      <c r="D156" s="61">
        <f>IF(D155&gt;0,(($B$4-D155)/365))</f>
        <v>39.835616438356162</v>
      </c>
      <c r="E156" s="62" t="str">
        <f>IF(D155="","NO CUMPLE",IF(D156&gt;=10,"CUMPLE","NO CUMPLE"))</f>
        <v>CUMPLE</v>
      </c>
      <c r="F156" s="53"/>
      <c r="G156" s="50"/>
      <c r="H156" s="53"/>
    </row>
    <row r="157" spans="1:8" ht="14">
      <c r="A157" s="275" t="s">
        <v>125</v>
      </c>
      <c r="B157" s="276"/>
      <c r="C157" s="277"/>
      <c r="D157" s="34" t="s">
        <v>61</v>
      </c>
      <c r="E157" s="106" t="str">
        <f>IF(D157="SI","CUMPLE","NO CUMPLE")</f>
        <v>CUMPLE</v>
      </c>
      <c r="F157" s="53"/>
      <c r="G157" s="50"/>
      <c r="H157" s="53"/>
    </row>
    <row r="158" spans="1:8" ht="14">
      <c r="A158" s="275" t="s">
        <v>126</v>
      </c>
      <c r="B158" s="276"/>
      <c r="C158" s="277"/>
      <c r="D158" s="54" t="s">
        <v>61</v>
      </c>
      <c r="E158" s="55" t="str">
        <f t="shared" ref="E158:E159" si="5">IF(D158="SI","CUMPLE","NO CUMPLE")</f>
        <v>CUMPLE</v>
      </c>
      <c r="F158" s="53"/>
      <c r="G158" s="50"/>
      <c r="H158" s="53"/>
    </row>
    <row r="159" spans="1:8" ht="14">
      <c r="A159" s="275" t="s">
        <v>127</v>
      </c>
      <c r="B159" s="276"/>
      <c r="C159" s="277"/>
      <c r="D159" s="54" t="s">
        <v>61</v>
      </c>
      <c r="E159" s="55" t="str">
        <f t="shared" si="5"/>
        <v>CUMPLE</v>
      </c>
      <c r="F159" s="53"/>
      <c r="G159" s="50"/>
      <c r="H159" s="53"/>
    </row>
    <row r="160" spans="1:8">
      <c r="A160" s="64"/>
      <c r="B160" s="65"/>
      <c r="C160" s="65"/>
      <c r="D160" s="66"/>
      <c r="E160" s="67"/>
      <c r="F160" s="68"/>
      <c r="G160" s="50"/>
      <c r="H160" s="68"/>
    </row>
    <row r="161" spans="1:8" ht="146.25" customHeight="1">
      <c r="A161" s="220" t="s">
        <v>266</v>
      </c>
      <c r="B161" s="221"/>
      <c r="C161" s="59" t="s">
        <v>122</v>
      </c>
      <c r="D161" s="54" t="s">
        <v>61</v>
      </c>
      <c r="E161" s="55" t="str">
        <f>IF(D161="SI","CUMPLE","NO CUMPLE")</f>
        <v>CUMPLE</v>
      </c>
      <c r="F161" s="310" t="s">
        <v>294</v>
      </c>
      <c r="H161" s="310"/>
    </row>
    <row r="162" spans="1:8" ht="28">
      <c r="A162" s="222"/>
      <c r="B162" s="223"/>
      <c r="C162" s="59" t="s">
        <v>123</v>
      </c>
      <c r="D162" s="54" t="s">
        <v>61</v>
      </c>
      <c r="E162" s="55" t="str">
        <f>IF(D162="SI","CUMPLE","NO CUMPLE")</f>
        <v>CUMPLE</v>
      </c>
      <c r="F162" s="311"/>
      <c r="H162" s="311"/>
    </row>
    <row r="163" spans="1:8" ht="42">
      <c r="A163" s="222"/>
      <c r="B163" s="223"/>
      <c r="C163" s="59" t="s">
        <v>128</v>
      </c>
      <c r="D163" s="133" t="s">
        <v>267</v>
      </c>
      <c r="E163" s="55" t="str">
        <f>IF(D163="","NO CUMPLE","CUMPLE")</f>
        <v>CUMPLE</v>
      </c>
      <c r="F163" s="311"/>
      <c r="H163" s="311"/>
    </row>
    <row r="164" spans="1:8" ht="14">
      <c r="A164" s="222"/>
      <c r="B164" s="223"/>
      <c r="C164" s="59" t="s">
        <v>129</v>
      </c>
      <c r="D164" s="56" t="s">
        <v>130</v>
      </c>
      <c r="E164" s="55" t="str">
        <f>IF(D164="Director Interventoria","CUMPLE","NO CUMPLE")</f>
        <v>CUMPLE</v>
      </c>
      <c r="F164" s="311"/>
      <c r="H164" s="311"/>
    </row>
    <row r="165" spans="1:8" ht="14">
      <c r="A165" s="222"/>
      <c r="B165" s="223"/>
      <c r="C165" s="60" t="s">
        <v>110</v>
      </c>
      <c r="D165" s="58">
        <v>12022450636</v>
      </c>
      <c r="E165" s="55" t="str">
        <f>IF(D165="","NO CUMPLE","CUMPLE")</f>
        <v>CUMPLE</v>
      </c>
      <c r="F165" s="311"/>
      <c r="H165" s="311"/>
    </row>
    <row r="166" spans="1:8" ht="14">
      <c r="A166" s="222"/>
      <c r="B166" s="223"/>
      <c r="C166" s="60" t="s">
        <v>111</v>
      </c>
      <c r="D166" s="57">
        <v>40533</v>
      </c>
      <c r="E166" s="55" t="str">
        <f>IF(D166="","NO CUMPLE","CUMPLE")</f>
        <v>CUMPLE</v>
      </c>
      <c r="F166" s="311"/>
      <c r="H166" s="311"/>
    </row>
    <row r="167" spans="1:8" ht="14">
      <c r="A167" s="222"/>
      <c r="B167" s="223"/>
      <c r="C167" s="60" t="s">
        <v>112</v>
      </c>
      <c r="D167" s="57">
        <v>41486</v>
      </c>
      <c r="E167" s="55" t="str">
        <f t="shared" ref="E167" si="6">IF(D167="","NO CUMPLE","CUMPLE")</f>
        <v>CUMPLE</v>
      </c>
      <c r="F167" s="312"/>
      <c r="G167" s="51"/>
      <c r="H167" s="312"/>
    </row>
    <row r="168" spans="1:8">
      <c r="A168" s="224"/>
      <c r="B168" s="225"/>
      <c r="C168" s="60" t="s">
        <v>113</v>
      </c>
      <c r="D168" s="107">
        <f>IFERROR((D165/(VLOOKUP((YEAR(D167)),SMMLV!$A$9:$C$49,3,0))),"0")</f>
        <v>20394.318296861748</v>
      </c>
      <c r="E168" s="62"/>
      <c r="F168" s="109"/>
      <c r="H168" s="109"/>
    </row>
    <row r="169" spans="1:8" ht="15">
      <c r="A169" s="69"/>
      <c r="B169" s="69"/>
      <c r="C169" s="69"/>
      <c r="D169" s="69"/>
      <c r="E169" s="69"/>
      <c r="F169" s="69"/>
      <c r="H169" s="69"/>
    </row>
    <row r="170" spans="1:8" ht="126" hidden="1">
      <c r="A170" s="220" t="s">
        <v>245</v>
      </c>
      <c r="B170" s="221"/>
      <c r="C170" s="59" t="s">
        <v>122</v>
      </c>
      <c r="D170" s="54"/>
      <c r="E170" s="55" t="str">
        <f>IF(D170="SI","CUMPLE","NO CUMPLE")</f>
        <v>NO CUMPLE</v>
      </c>
      <c r="F170" s="310"/>
      <c r="H170" s="310"/>
    </row>
    <row r="171" spans="1:8" ht="28" hidden="1">
      <c r="A171" s="222"/>
      <c r="B171" s="223"/>
      <c r="C171" s="59" t="s">
        <v>123</v>
      </c>
      <c r="D171" s="54"/>
      <c r="E171" s="55" t="str">
        <f>IF(D171="SI","CUMPLE","NO CUMPLE")</f>
        <v>NO CUMPLE</v>
      </c>
      <c r="F171" s="311"/>
      <c r="H171" s="311"/>
    </row>
    <row r="172" spans="1:8" ht="14" hidden="1">
      <c r="A172" s="222"/>
      <c r="B172" s="223"/>
      <c r="C172" s="59" t="s">
        <v>128</v>
      </c>
      <c r="D172" s="56"/>
      <c r="E172" s="55" t="str">
        <f>IF(D172="","NO CUMPLE","CUMPLE")</f>
        <v>NO CUMPLE</v>
      </c>
      <c r="F172" s="311"/>
      <c r="H172" s="311"/>
    </row>
    <row r="173" spans="1:8" ht="14" hidden="1">
      <c r="A173" s="222"/>
      <c r="B173" s="223"/>
      <c r="C173" s="59" t="s">
        <v>129</v>
      </c>
      <c r="D173" s="56"/>
      <c r="E173" s="55" t="str">
        <f>IF(D173="Director Interventoria","CUMPLE","NO CUMPLE")</f>
        <v>NO CUMPLE</v>
      </c>
      <c r="F173" s="311"/>
      <c r="H173" s="311"/>
    </row>
    <row r="174" spans="1:8" ht="14" hidden="1">
      <c r="A174" s="222"/>
      <c r="B174" s="223"/>
      <c r="C174" s="60" t="s">
        <v>110</v>
      </c>
      <c r="D174" s="58"/>
      <c r="E174" s="55" t="str">
        <f>IF(D174="","NO CUMPLE","CUMPLE")</f>
        <v>NO CUMPLE</v>
      </c>
      <c r="F174" s="311"/>
      <c r="H174" s="311"/>
    </row>
    <row r="175" spans="1:8" ht="14" hidden="1">
      <c r="A175" s="222"/>
      <c r="B175" s="223"/>
      <c r="C175" s="60" t="s">
        <v>111</v>
      </c>
      <c r="D175" s="57"/>
      <c r="E175" s="55" t="str">
        <f>IF(D175="","NO CUMPLE","CUMPLE")</f>
        <v>NO CUMPLE</v>
      </c>
      <c r="F175" s="311"/>
      <c r="H175" s="311"/>
    </row>
    <row r="176" spans="1:8" ht="14" hidden="1">
      <c r="A176" s="222"/>
      <c r="B176" s="223"/>
      <c r="C176" s="60" t="s">
        <v>112</v>
      </c>
      <c r="D176" s="57"/>
      <c r="E176" s="55" t="str">
        <f t="shared" ref="E176" si="7">IF(D176="","NO CUMPLE","CUMPLE")</f>
        <v>NO CUMPLE</v>
      </c>
      <c r="F176" s="312"/>
      <c r="H176" s="312"/>
    </row>
    <row r="177" spans="1:8" hidden="1">
      <c r="A177" s="224"/>
      <c r="B177" s="225"/>
      <c r="C177" s="60" t="s">
        <v>113</v>
      </c>
      <c r="D177" s="61" t="str">
        <f>IFERROR((D174/(VLOOKUP((YEAR(D176)),SMMLV!$A$9:$C$49,3,0))),"0")</f>
        <v>0</v>
      </c>
      <c r="E177" s="62"/>
      <c r="F177" s="53"/>
      <c r="H177" s="53"/>
    </row>
    <row r="178" spans="1:8" ht="15" hidden="1">
      <c r="A178" s="69"/>
      <c r="B178" s="69"/>
      <c r="C178" s="69"/>
      <c r="D178" s="69"/>
      <c r="E178" s="69"/>
      <c r="F178" s="69"/>
      <c r="H178" s="69"/>
    </row>
    <row r="179" spans="1:8" ht="126" hidden="1">
      <c r="A179" s="269" t="s">
        <v>246</v>
      </c>
      <c r="B179" s="270"/>
      <c r="C179" s="59" t="s">
        <v>122</v>
      </c>
      <c r="D179" s="54"/>
      <c r="E179" s="55" t="str">
        <f>IF(D179="SI","CUMPLE","NO CUMPLE")</f>
        <v>NO CUMPLE</v>
      </c>
      <c r="F179" s="310"/>
      <c r="H179" s="310"/>
    </row>
    <row r="180" spans="1:8" ht="28" hidden="1">
      <c r="A180" s="271"/>
      <c r="B180" s="272"/>
      <c r="C180" s="59" t="s">
        <v>123</v>
      </c>
      <c r="D180" s="54"/>
      <c r="E180" s="55" t="str">
        <f>IF(D180="SI","CUMPLE","NO CUMPLE")</f>
        <v>NO CUMPLE</v>
      </c>
      <c r="F180" s="311"/>
      <c r="H180" s="311"/>
    </row>
    <row r="181" spans="1:8" ht="14" hidden="1">
      <c r="A181" s="271"/>
      <c r="B181" s="272"/>
      <c r="C181" s="59" t="s">
        <v>128</v>
      </c>
      <c r="D181" s="56"/>
      <c r="E181" s="55" t="str">
        <f>IF(D181="","NO CUMPLE","CUMPLE")</f>
        <v>NO CUMPLE</v>
      </c>
      <c r="F181" s="311"/>
      <c r="H181" s="311"/>
    </row>
    <row r="182" spans="1:8" ht="14" hidden="1">
      <c r="A182" s="271"/>
      <c r="B182" s="272"/>
      <c r="C182" s="59" t="s">
        <v>129</v>
      </c>
      <c r="D182" s="56"/>
      <c r="E182" s="55" t="str">
        <f>IF(D182="Director Interventoria","CUMPLE","NO CUMPLE")</f>
        <v>NO CUMPLE</v>
      </c>
      <c r="F182" s="311"/>
      <c r="H182" s="311"/>
    </row>
    <row r="183" spans="1:8" ht="14" hidden="1">
      <c r="A183" s="271"/>
      <c r="B183" s="272"/>
      <c r="C183" s="60" t="s">
        <v>110</v>
      </c>
      <c r="D183" s="58"/>
      <c r="E183" s="55" t="str">
        <f>IF(D183="","NO CUMPLE","CUMPLE")</f>
        <v>NO CUMPLE</v>
      </c>
      <c r="F183" s="311"/>
      <c r="H183" s="311"/>
    </row>
    <row r="184" spans="1:8" ht="14" hidden="1">
      <c r="A184" s="271"/>
      <c r="B184" s="272"/>
      <c r="C184" s="60" t="s">
        <v>111</v>
      </c>
      <c r="D184" s="57"/>
      <c r="E184" s="55" t="str">
        <f>IF(D184="","NO CUMPLE","CUMPLE")</f>
        <v>NO CUMPLE</v>
      </c>
      <c r="F184" s="311"/>
      <c r="H184" s="311"/>
    </row>
    <row r="185" spans="1:8" ht="14" hidden="1">
      <c r="A185" s="271"/>
      <c r="B185" s="272"/>
      <c r="C185" s="60" t="s">
        <v>112</v>
      </c>
      <c r="D185" s="57"/>
      <c r="E185" s="55" t="str">
        <f t="shared" ref="E185" si="8">IF(D185="","NO CUMPLE","CUMPLE")</f>
        <v>NO CUMPLE</v>
      </c>
      <c r="F185" s="312"/>
      <c r="H185" s="312"/>
    </row>
    <row r="186" spans="1:8" hidden="1">
      <c r="A186" s="273"/>
      <c r="B186" s="274"/>
      <c r="C186" s="60" t="s">
        <v>113</v>
      </c>
      <c r="D186" s="61" t="str">
        <f>IFERROR((D183/(VLOOKUP((YEAR(D185)),SMMLV!$A$9:$C$49,3,0))),"0")</f>
        <v>0</v>
      </c>
      <c r="E186" s="62"/>
      <c r="F186" s="53"/>
      <c r="H186" s="53"/>
    </row>
    <row r="187" spans="1:8" ht="15" hidden="1">
      <c r="A187" s="69"/>
      <c r="B187" s="69"/>
      <c r="C187" s="69"/>
      <c r="D187" s="69"/>
      <c r="E187" s="69"/>
      <c r="F187" s="69"/>
      <c r="H187" s="69"/>
    </row>
    <row r="188" spans="1:8">
      <c r="A188" s="227" t="s">
        <v>203</v>
      </c>
      <c r="B188" s="227"/>
      <c r="C188" s="227"/>
      <c r="D188" s="227"/>
      <c r="E188" s="227"/>
      <c r="F188" s="71">
        <f>SUM(D168+D177+D186)</f>
        <v>20394.318296861748</v>
      </c>
      <c r="H188" s="71"/>
    </row>
    <row r="189" spans="1:8">
      <c r="A189" s="227"/>
      <c r="B189" s="227"/>
      <c r="C189" s="227"/>
      <c r="D189" s="227"/>
      <c r="E189" s="227"/>
      <c r="F189" s="43" t="str">
        <f>IF(F188&gt;=433.26,"CUMPLE","NO CUMPLE")</f>
        <v>CUMPLE</v>
      </c>
      <c r="H189" s="43"/>
    </row>
    <row r="190" spans="1:8" ht="33" customHeight="1">
      <c r="A190" s="227" t="s">
        <v>84</v>
      </c>
      <c r="B190" s="227"/>
      <c r="C190" s="227"/>
      <c r="D190" s="227"/>
      <c r="E190" s="227"/>
      <c r="F190" s="227"/>
      <c r="H190" s="20"/>
    </row>
    <row r="191" spans="1:8">
      <c r="A191" s="246" t="s">
        <v>138</v>
      </c>
      <c r="B191" s="247"/>
      <c r="C191" s="247"/>
      <c r="D191" s="247"/>
      <c r="E191" s="248"/>
      <c r="F191" s="70" t="str">
        <f>IF(AND(E151="cumple",E152="cumple",E153="cumple",E154="cumple",E155="cumple",E156="cumple",E157="cumple",E158="cumple",E159="cumple",F189="cumple"),"CUMPLE","NO CUMPLE")</f>
        <v>CUMPLE</v>
      </c>
      <c r="H191" s="70"/>
    </row>
    <row r="192" spans="1:8" ht="15">
      <c r="A192" s="69"/>
      <c r="B192" s="69"/>
      <c r="C192" s="69"/>
      <c r="D192" s="69"/>
      <c r="E192" s="69"/>
      <c r="F192" s="69"/>
      <c r="H192" s="69"/>
    </row>
    <row r="193" spans="1:8">
      <c r="A193" s="262" t="s">
        <v>137</v>
      </c>
      <c r="B193" s="262"/>
      <c r="C193" s="262"/>
      <c r="D193" s="262"/>
      <c r="E193" s="262"/>
      <c r="F193" s="262"/>
      <c r="H193" s="20"/>
    </row>
    <row r="194" spans="1:8">
      <c r="A194" s="263" t="s">
        <v>104</v>
      </c>
      <c r="B194" s="264"/>
      <c r="C194" s="265"/>
      <c r="D194" s="266" t="s">
        <v>270</v>
      </c>
      <c r="E194" s="267"/>
      <c r="F194" s="268"/>
      <c r="H194" s="20"/>
    </row>
    <row r="195" spans="1:8" ht="14">
      <c r="A195" s="99" t="s">
        <v>105</v>
      </c>
      <c r="B195" s="256" t="s">
        <v>124</v>
      </c>
      <c r="C195" s="256"/>
      <c r="D195" s="52" t="s">
        <v>115</v>
      </c>
      <c r="E195" s="52" t="str">
        <f>IF(D195="","NO CUMPLE","CUMPLE")</f>
        <v>CUMPLE</v>
      </c>
      <c r="F195" s="53"/>
      <c r="H195" s="53"/>
    </row>
    <row r="196" spans="1:8" ht="14">
      <c r="A196" s="99" t="s">
        <v>107</v>
      </c>
      <c r="B196" s="256" t="s">
        <v>108</v>
      </c>
      <c r="C196" s="256"/>
      <c r="D196" s="63" t="s">
        <v>271</v>
      </c>
      <c r="E196" s="55" t="str">
        <f>IF(D196="","NO CUMPLE","CUMPLE")</f>
        <v>CUMPLE</v>
      </c>
      <c r="F196" s="53"/>
      <c r="H196" s="53"/>
    </row>
    <row r="197" spans="1:8" ht="14">
      <c r="A197" s="253" t="s">
        <v>109</v>
      </c>
      <c r="B197" s="254"/>
      <c r="C197" s="255"/>
      <c r="D197" s="56">
        <v>45630</v>
      </c>
      <c r="E197" s="55" t="str">
        <f>IF(($B$4-D197)&gt;183,"NO CUMPLE","CUMPLE")</f>
        <v>CUMPLE</v>
      </c>
      <c r="F197" s="53"/>
      <c r="H197" s="53"/>
    </row>
    <row r="198" spans="1:8" ht="14">
      <c r="A198" s="257" t="s">
        <v>107</v>
      </c>
      <c r="B198" s="256" t="s">
        <v>132</v>
      </c>
      <c r="C198" s="256"/>
      <c r="D198" s="54">
        <v>38946</v>
      </c>
      <c r="E198" s="55" t="str">
        <f>IF(D198="","NO CUMPLE","CUMPLE")</f>
        <v>CUMPLE</v>
      </c>
      <c r="F198" s="53"/>
      <c r="H198" s="53"/>
    </row>
    <row r="199" spans="1:8" ht="14">
      <c r="A199" s="258"/>
      <c r="B199" s="256" t="s">
        <v>269</v>
      </c>
      <c r="C199" s="256"/>
      <c r="D199" s="100">
        <f>IF(D198&gt;0,(($B$4-D198)/365))</f>
        <v>18.315068493150687</v>
      </c>
      <c r="E199" s="101" t="str">
        <f>IF(D198="","NO CUMPLE",IF(D199&gt;=6,"CUMPLE","NO CUMPLE"))</f>
        <v>CUMPLE</v>
      </c>
      <c r="F199" s="53"/>
      <c r="H199" s="53"/>
    </row>
    <row r="200" spans="1:8" ht="14">
      <c r="A200" s="253" t="s">
        <v>125</v>
      </c>
      <c r="B200" s="254"/>
      <c r="C200" s="255"/>
      <c r="D200" s="54" t="s">
        <v>61</v>
      </c>
      <c r="E200" s="55" t="str">
        <f t="shared" ref="E200:E202" si="9">IF(D200="SI","CUMPLE","NO CUMPLE")</f>
        <v>CUMPLE</v>
      </c>
      <c r="F200" s="53"/>
      <c r="H200" s="53"/>
    </row>
    <row r="201" spans="1:8" ht="14">
      <c r="A201" s="253" t="s">
        <v>126</v>
      </c>
      <c r="B201" s="254"/>
      <c r="C201" s="255"/>
      <c r="D201" s="54" t="s">
        <v>61</v>
      </c>
      <c r="E201" s="55" t="str">
        <f t="shared" si="9"/>
        <v>CUMPLE</v>
      </c>
      <c r="F201" s="53"/>
      <c r="H201" s="53"/>
    </row>
    <row r="202" spans="1:8" ht="14">
      <c r="A202" s="253" t="s">
        <v>127</v>
      </c>
      <c r="B202" s="254"/>
      <c r="C202" s="255"/>
      <c r="D202" s="54" t="s">
        <v>61</v>
      </c>
      <c r="E202" s="55" t="str">
        <f t="shared" si="9"/>
        <v>CUMPLE</v>
      </c>
      <c r="F202" s="53"/>
      <c r="H202" s="53"/>
    </row>
    <row r="203" spans="1:8" ht="144" customHeight="1">
      <c r="A203" s="269" t="s">
        <v>273</v>
      </c>
      <c r="B203" s="270"/>
      <c r="C203" s="102" t="s">
        <v>122</v>
      </c>
      <c r="D203" s="54" t="s">
        <v>61</v>
      </c>
      <c r="E203" s="55" t="str">
        <f>IF(D203="SI","CUMPLE","NO CUMPLE")</f>
        <v>CUMPLE</v>
      </c>
      <c r="F203" s="310" t="s">
        <v>567</v>
      </c>
      <c r="H203" s="310" t="s">
        <v>561</v>
      </c>
    </row>
    <row r="204" spans="1:8" ht="28">
      <c r="A204" s="271"/>
      <c r="B204" s="272"/>
      <c r="C204" s="102" t="s">
        <v>123</v>
      </c>
      <c r="D204" s="34" t="s">
        <v>61</v>
      </c>
      <c r="E204" s="106" t="str">
        <f>IF(D204="SI","CUMPLE","NO CUMPLE")</f>
        <v>CUMPLE</v>
      </c>
      <c r="F204" s="311"/>
      <c r="H204" s="311"/>
    </row>
    <row r="205" spans="1:8" ht="27" customHeight="1">
      <c r="A205" s="271"/>
      <c r="B205" s="272"/>
      <c r="C205" s="102" t="s">
        <v>128</v>
      </c>
      <c r="D205" s="133" t="s">
        <v>272</v>
      </c>
      <c r="E205" s="55" t="str">
        <f>IF(D205="","NO CUMPLE","CUMPLE")</f>
        <v>CUMPLE</v>
      </c>
      <c r="F205" s="311"/>
      <c r="H205" s="311"/>
    </row>
    <row r="206" spans="1:8" ht="24.75" customHeight="1">
      <c r="A206" s="271"/>
      <c r="B206" s="272"/>
      <c r="C206" s="102" t="s">
        <v>129</v>
      </c>
      <c r="D206" s="56" t="s">
        <v>204</v>
      </c>
      <c r="E206" s="55" t="str">
        <f>IF(D206="Residente Interventoría","CUMPLE","NO CUMPLE")</f>
        <v>CUMPLE</v>
      </c>
      <c r="F206" s="311"/>
      <c r="H206" s="311"/>
    </row>
    <row r="207" spans="1:8" ht="14">
      <c r="A207" s="271"/>
      <c r="B207" s="272"/>
      <c r="C207" s="103" t="s">
        <v>110</v>
      </c>
      <c r="D207" s="58">
        <f>308921426</f>
        <v>308921426</v>
      </c>
      <c r="E207" s="55" t="str">
        <f>IF(D207="","NO CUMPLE","CUMPLE")</f>
        <v>CUMPLE</v>
      </c>
      <c r="F207" s="311"/>
      <c r="H207" s="311"/>
    </row>
    <row r="208" spans="1:8" ht="14">
      <c r="A208" s="271"/>
      <c r="B208" s="272"/>
      <c r="C208" s="103" t="s">
        <v>111</v>
      </c>
      <c r="D208" s="57">
        <v>42282</v>
      </c>
      <c r="E208" s="55" t="str">
        <f>IF(D208="","NO CUMPLE","CUMPLE")</f>
        <v>CUMPLE</v>
      </c>
      <c r="F208" s="311"/>
      <c r="H208" s="311"/>
    </row>
    <row r="209" spans="1:8" ht="14">
      <c r="A209" s="271"/>
      <c r="B209" s="272"/>
      <c r="C209" s="103" t="s">
        <v>112</v>
      </c>
      <c r="D209" s="57">
        <v>42515</v>
      </c>
      <c r="E209" s="55" t="str">
        <f t="shared" ref="E209" si="10">IF(D209="","NO CUMPLE","CUMPLE")</f>
        <v>CUMPLE</v>
      </c>
      <c r="F209" s="311"/>
      <c r="H209" s="311"/>
    </row>
    <row r="210" spans="1:8">
      <c r="A210" s="273"/>
      <c r="B210" s="274"/>
      <c r="C210" s="103" t="s">
        <v>113</v>
      </c>
      <c r="D210" s="135">
        <f>IFERROR((D207/(VLOOKUP((YEAR(D209)),SMMLV!$A$9:$C$49,3,0))),"0")</f>
        <v>448.0661188910081</v>
      </c>
      <c r="E210" s="101"/>
      <c r="F210" s="312"/>
      <c r="H210" s="312"/>
    </row>
    <row r="211" spans="1:8" ht="143.25" customHeight="1">
      <c r="A211" s="322" t="s">
        <v>542</v>
      </c>
      <c r="B211" s="323"/>
      <c r="C211" s="102" t="s">
        <v>122</v>
      </c>
      <c r="D211" s="54" t="s">
        <v>61</v>
      </c>
      <c r="E211" s="55" t="str">
        <f>IF(D211="SI","CUMPLE","NO CUMPLE")</f>
        <v>CUMPLE</v>
      </c>
      <c r="F211" s="310" t="s">
        <v>566</v>
      </c>
      <c r="H211" s="310" t="s">
        <v>275</v>
      </c>
    </row>
    <row r="212" spans="1:8" ht="28">
      <c r="A212" s="324"/>
      <c r="B212" s="325"/>
      <c r="C212" s="102" t="s">
        <v>123</v>
      </c>
      <c r="D212" s="54" t="s">
        <v>61</v>
      </c>
      <c r="E212" s="55" t="str">
        <f>IF(D212="SI","CUMPLE","NO CUMPLE")</f>
        <v>CUMPLE</v>
      </c>
      <c r="F212" s="311"/>
      <c r="H212" s="311"/>
    </row>
    <row r="213" spans="1:8" ht="42">
      <c r="A213" s="324"/>
      <c r="B213" s="325"/>
      <c r="C213" s="102" t="s">
        <v>128</v>
      </c>
      <c r="D213" s="133" t="s">
        <v>274</v>
      </c>
      <c r="E213" s="55" t="str">
        <f>IF(D213="","NO CUMPLE","CUMPLE")</f>
        <v>CUMPLE</v>
      </c>
      <c r="F213" s="311"/>
      <c r="H213" s="311"/>
    </row>
    <row r="214" spans="1:8" ht="25.5" customHeight="1">
      <c r="A214" s="324"/>
      <c r="B214" s="325"/>
      <c r="C214" s="102" t="s">
        <v>129</v>
      </c>
      <c r="D214" s="56" t="s">
        <v>204</v>
      </c>
      <c r="E214" s="55" t="str">
        <f>IF(D214="Residente Interventoría","CUMPLE","NO CUMPLE")</f>
        <v>CUMPLE</v>
      </c>
      <c r="F214" s="311"/>
      <c r="H214" s="311"/>
    </row>
    <row r="215" spans="1:8" ht="14">
      <c r="A215" s="324"/>
      <c r="B215" s="325"/>
      <c r="C215" s="103" t="s">
        <v>110</v>
      </c>
      <c r="D215" s="58">
        <f>938758632</f>
        <v>938758632</v>
      </c>
      <c r="E215" s="55" t="str">
        <f>IF(D215="","NO CUMPLE","CUMPLE")</f>
        <v>CUMPLE</v>
      </c>
      <c r="F215" s="311"/>
      <c r="H215" s="311"/>
    </row>
    <row r="216" spans="1:8" ht="14">
      <c r="A216" s="324"/>
      <c r="B216" s="325"/>
      <c r="C216" s="103" t="s">
        <v>111</v>
      </c>
      <c r="D216" s="57">
        <v>43017</v>
      </c>
      <c r="E216" s="55" t="str">
        <f>IF(D216="","NO CUMPLE","CUMPLE")</f>
        <v>CUMPLE</v>
      </c>
      <c r="F216" s="311"/>
      <c r="H216" s="311"/>
    </row>
    <row r="217" spans="1:8" ht="14">
      <c r="A217" s="324"/>
      <c r="B217" s="325"/>
      <c r="C217" s="103" t="s">
        <v>112</v>
      </c>
      <c r="D217" s="57">
        <v>43368</v>
      </c>
      <c r="E217" s="55" t="str">
        <f t="shared" ref="E217" si="11">IF(D217="","NO CUMPLE","CUMPLE")</f>
        <v>CUMPLE</v>
      </c>
      <c r="F217" s="311"/>
      <c r="H217" s="311"/>
    </row>
    <row r="218" spans="1:8">
      <c r="A218" s="326"/>
      <c r="B218" s="327"/>
      <c r="C218" s="103" t="s">
        <v>113</v>
      </c>
      <c r="D218" s="113">
        <f>IFERROR((D215/(VLOOKUP((YEAR(D217)),SMMLV!$A$9:$C$49,3,0))),"0")*0</f>
        <v>0</v>
      </c>
      <c r="E218" s="101"/>
      <c r="F218" s="312"/>
      <c r="H218" s="312"/>
    </row>
    <row r="219" spans="1:8">
      <c r="A219" s="227" t="s">
        <v>202</v>
      </c>
      <c r="B219" s="227"/>
      <c r="C219" s="227"/>
      <c r="D219" s="227"/>
      <c r="E219" s="227"/>
      <c r="F219" s="71">
        <f>D210+D218</f>
        <v>448.0661188910081</v>
      </c>
      <c r="H219" s="71"/>
    </row>
    <row r="220" spans="1:8">
      <c r="A220" s="227"/>
      <c r="B220" s="227"/>
      <c r="C220" s="227"/>
      <c r="D220" s="227"/>
      <c r="E220" s="227"/>
      <c r="F220" s="43" t="str">
        <f>IF(F219&gt;=216.63,"CUMPLE","NO CUMPLE")</f>
        <v>CUMPLE</v>
      </c>
      <c r="H220" s="43"/>
    </row>
    <row r="221" spans="1:8" ht="27" customHeight="1">
      <c r="A221" s="227" t="s">
        <v>84</v>
      </c>
      <c r="B221" s="227"/>
      <c r="C221" s="227"/>
      <c r="D221" s="227"/>
      <c r="E221" s="227"/>
      <c r="F221" s="227"/>
      <c r="H221" s="20"/>
    </row>
    <row r="222" spans="1:8">
      <c r="A222" s="259" t="s">
        <v>135</v>
      </c>
      <c r="B222" s="260"/>
      <c r="C222" s="260"/>
      <c r="D222" s="260"/>
      <c r="E222" s="261"/>
      <c r="F222" s="43" t="str">
        <f>IF(AND(E195="cumple",E196="cumple",E197="cumple",E198="cumple",E199="cumple",E200="cumple",E201="cumple",E202="cumple",F220="cumple"),"CUMPLE","NO CUMPLE")</f>
        <v>CUMPLE</v>
      </c>
      <c r="H222" s="43"/>
    </row>
    <row r="223" spans="1:8">
      <c r="A223" s="39"/>
      <c r="B223" s="39"/>
      <c r="C223" s="39"/>
      <c r="D223" s="39"/>
      <c r="E223" s="39"/>
      <c r="F223" s="40"/>
      <c r="H223" s="40"/>
    </row>
    <row r="224" spans="1:8">
      <c r="A224" s="262" t="s">
        <v>136</v>
      </c>
      <c r="B224" s="262"/>
      <c r="C224" s="262"/>
      <c r="D224" s="262"/>
      <c r="E224" s="262"/>
      <c r="F224" s="262"/>
      <c r="H224" s="20"/>
    </row>
    <row r="225" spans="1:8">
      <c r="A225" s="263" t="s">
        <v>104</v>
      </c>
      <c r="B225" s="264"/>
      <c r="C225" s="265"/>
      <c r="D225" s="266" t="s">
        <v>276</v>
      </c>
      <c r="E225" s="267"/>
      <c r="F225" s="268"/>
      <c r="H225" s="20"/>
    </row>
    <row r="226" spans="1:8" ht="14">
      <c r="A226" s="99" t="s">
        <v>105</v>
      </c>
      <c r="B226" s="256" t="s">
        <v>124</v>
      </c>
      <c r="C226" s="256"/>
      <c r="D226" s="52" t="s">
        <v>115</v>
      </c>
      <c r="E226" s="52" t="str">
        <f>IF(D226="","NO CUMPLE","CUMPLE")</f>
        <v>CUMPLE</v>
      </c>
      <c r="F226" s="53"/>
      <c r="H226" s="53"/>
    </row>
    <row r="227" spans="1:8" ht="14">
      <c r="A227" s="99" t="s">
        <v>107</v>
      </c>
      <c r="B227" s="256" t="s">
        <v>108</v>
      </c>
      <c r="C227" s="256"/>
      <c r="D227" s="63" t="s">
        <v>277</v>
      </c>
      <c r="E227" s="55" t="str">
        <f>IF(D227="","NO CUMPLE","CUMPLE")</f>
        <v>CUMPLE</v>
      </c>
      <c r="F227" s="53"/>
      <c r="H227" s="53"/>
    </row>
    <row r="228" spans="1:8" ht="14">
      <c r="A228" s="253" t="s">
        <v>109</v>
      </c>
      <c r="B228" s="254"/>
      <c r="C228" s="255"/>
      <c r="D228" s="56">
        <v>45630</v>
      </c>
      <c r="E228" s="55" t="str">
        <f>IF(($B$4-D228)&gt;183,"NO CUMPLE","CUMPLE")</f>
        <v>CUMPLE</v>
      </c>
      <c r="F228" s="53"/>
      <c r="H228" s="53"/>
    </row>
    <row r="229" spans="1:8" ht="14">
      <c r="A229" s="257" t="s">
        <v>107</v>
      </c>
      <c r="B229" s="256" t="s">
        <v>132</v>
      </c>
      <c r="C229" s="256"/>
      <c r="D229" s="54">
        <v>40410</v>
      </c>
      <c r="E229" s="55" t="str">
        <f>IF(D229="","NO CUMPLE","CUMPLE")</f>
        <v>CUMPLE</v>
      </c>
      <c r="F229" s="53"/>
      <c r="H229" s="53"/>
    </row>
    <row r="230" spans="1:8" ht="14">
      <c r="A230" s="258"/>
      <c r="B230" s="256" t="s">
        <v>269</v>
      </c>
      <c r="C230" s="256"/>
      <c r="D230" s="100">
        <f>IF(D229&gt;0,(($B$4-D229)/365))</f>
        <v>14.304109589041095</v>
      </c>
      <c r="E230" s="101" t="str">
        <f>IF(D229="","NO CUMPLE",IF(D230&gt;=6,"CUMPLE","NO CUMPLE"))</f>
        <v>CUMPLE</v>
      </c>
      <c r="F230" s="53"/>
      <c r="H230" s="53"/>
    </row>
    <row r="231" spans="1:8" ht="14">
      <c r="A231" s="253" t="s">
        <v>125</v>
      </c>
      <c r="B231" s="254"/>
      <c r="C231" s="255"/>
      <c r="D231" s="54" t="s">
        <v>61</v>
      </c>
      <c r="E231" s="55" t="str">
        <f t="shared" ref="E231:E233" si="12">IF(D231="SI","CUMPLE","NO CUMPLE")</f>
        <v>CUMPLE</v>
      </c>
      <c r="F231" s="53"/>
      <c r="H231" s="53"/>
    </row>
    <row r="232" spans="1:8" ht="14">
      <c r="A232" s="253" t="s">
        <v>126</v>
      </c>
      <c r="B232" s="254"/>
      <c r="C232" s="255"/>
      <c r="D232" s="54" t="s">
        <v>61</v>
      </c>
      <c r="E232" s="55" t="str">
        <f t="shared" si="12"/>
        <v>CUMPLE</v>
      </c>
      <c r="F232" s="53"/>
      <c r="H232" s="53"/>
    </row>
    <row r="233" spans="1:8" ht="14">
      <c r="A233" s="253" t="s">
        <v>127</v>
      </c>
      <c r="B233" s="254"/>
      <c r="C233" s="255"/>
      <c r="D233" s="54" t="s">
        <v>61</v>
      </c>
      <c r="E233" s="55" t="str">
        <f t="shared" si="12"/>
        <v>CUMPLE</v>
      </c>
      <c r="F233" s="53"/>
      <c r="H233" s="53"/>
    </row>
    <row r="234" spans="1:8" ht="140.25" customHeight="1">
      <c r="A234" s="220" t="s">
        <v>278</v>
      </c>
      <c r="B234" s="221"/>
      <c r="C234" s="102" t="s">
        <v>122</v>
      </c>
      <c r="D234" s="54" t="s">
        <v>61</v>
      </c>
      <c r="E234" s="55" t="str">
        <f>IF(D234="SI","CUMPLE","NO CUMPLE")</f>
        <v>CUMPLE</v>
      </c>
      <c r="F234" s="310" t="s">
        <v>562</v>
      </c>
      <c r="H234" s="310" t="s">
        <v>562</v>
      </c>
    </row>
    <row r="235" spans="1:8" ht="28">
      <c r="A235" s="222"/>
      <c r="B235" s="223"/>
      <c r="C235" s="102" t="s">
        <v>123</v>
      </c>
      <c r="D235" s="54" t="s">
        <v>61</v>
      </c>
      <c r="E235" s="55" t="str">
        <f>IF(D235="SI","CUMPLE","NO CUMPLE")</f>
        <v>CUMPLE</v>
      </c>
      <c r="F235" s="311"/>
      <c r="H235" s="311"/>
    </row>
    <row r="236" spans="1:8" ht="28">
      <c r="A236" s="222"/>
      <c r="B236" s="223"/>
      <c r="C236" s="102" t="s">
        <v>128</v>
      </c>
      <c r="D236" s="134" t="s">
        <v>279</v>
      </c>
      <c r="E236" s="55" t="str">
        <f>IF(D228="","NO CUMPLE","CUMPLE")</f>
        <v>CUMPLE</v>
      </c>
      <c r="F236" s="311"/>
      <c r="H236" s="311"/>
    </row>
    <row r="237" spans="1:8" ht="29.25" customHeight="1">
      <c r="A237" s="222"/>
      <c r="B237" s="223"/>
      <c r="C237" s="102" t="s">
        <v>129</v>
      </c>
      <c r="D237" s="56" t="s">
        <v>204</v>
      </c>
      <c r="E237" s="55" t="str">
        <f>IF(D237="Residente Interventoría","CUMPLE","NO CUMPLE")</f>
        <v>CUMPLE</v>
      </c>
      <c r="F237" s="311"/>
      <c r="H237" s="311"/>
    </row>
    <row r="238" spans="1:8" ht="14">
      <c r="A238" s="222"/>
      <c r="B238" s="223"/>
      <c r="C238" s="103" t="s">
        <v>110</v>
      </c>
      <c r="D238" s="58">
        <f>476339604</f>
        <v>476339604</v>
      </c>
      <c r="E238" s="55" t="str">
        <f>IF(D238="","NO CUMPLE","CUMPLE")</f>
        <v>CUMPLE</v>
      </c>
      <c r="F238" s="311"/>
      <c r="H238" s="311"/>
    </row>
    <row r="239" spans="1:8" ht="14">
      <c r="A239" s="222"/>
      <c r="B239" s="223"/>
      <c r="C239" s="103" t="s">
        <v>111</v>
      </c>
      <c r="D239" s="57">
        <v>42121</v>
      </c>
      <c r="E239" s="55" t="str">
        <f>IF(D239="","NO CUMPLE","CUMPLE")</f>
        <v>CUMPLE</v>
      </c>
      <c r="F239" s="311"/>
      <c r="H239" s="311"/>
    </row>
    <row r="240" spans="1:8" ht="14">
      <c r="A240" s="222"/>
      <c r="B240" s="223"/>
      <c r="C240" s="103" t="s">
        <v>112</v>
      </c>
      <c r="D240" s="57">
        <v>42490</v>
      </c>
      <c r="E240" s="55" t="str">
        <f>IF(D240="","NO CUMPLE","CUMPLE")</f>
        <v>CUMPLE</v>
      </c>
      <c r="F240" s="311"/>
      <c r="H240" s="311"/>
    </row>
    <row r="241" spans="1:8">
      <c r="A241" s="224"/>
      <c r="B241" s="225"/>
      <c r="C241" s="103" t="s">
        <v>113</v>
      </c>
      <c r="D241" s="135">
        <f>IFERROR((D238/(VLOOKUP((YEAR(D240)),SMMLV!$A$9:$C$49,3,0))),"0")</f>
        <v>690.89295748090888</v>
      </c>
      <c r="E241" s="101"/>
      <c r="F241" s="312"/>
      <c r="H241" s="312"/>
    </row>
    <row r="242" spans="1:8" ht="140.25" customHeight="1">
      <c r="A242" s="220" t="s">
        <v>281</v>
      </c>
      <c r="B242" s="221"/>
      <c r="C242" s="102" t="s">
        <v>122</v>
      </c>
      <c r="D242" s="54" t="s">
        <v>61</v>
      </c>
      <c r="E242" s="55" t="str">
        <f>IF(D242="SI","CUMPLE","NO CUMPLE")</f>
        <v>CUMPLE</v>
      </c>
      <c r="F242" s="310" t="s">
        <v>563</v>
      </c>
      <c r="H242" s="310" t="s">
        <v>563</v>
      </c>
    </row>
    <row r="243" spans="1:8" ht="28">
      <c r="A243" s="222"/>
      <c r="B243" s="223"/>
      <c r="C243" s="102" t="s">
        <v>123</v>
      </c>
      <c r="D243" s="54" t="s">
        <v>61</v>
      </c>
      <c r="E243" s="55" t="str">
        <f>IF(D243="SI","CUMPLE","NO CUMPLE")</f>
        <v>CUMPLE</v>
      </c>
      <c r="F243" s="311"/>
      <c r="H243" s="311"/>
    </row>
    <row r="244" spans="1:8" ht="41.25" customHeight="1">
      <c r="A244" s="222"/>
      <c r="B244" s="223"/>
      <c r="C244" s="102" t="s">
        <v>128</v>
      </c>
      <c r="D244" s="136" t="s">
        <v>280</v>
      </c>
      <c r="E244" s="55" t="str">
        <f>IF(D236="","NO CUMPLE","CUMPLE")</f>
        <v>CUMPLE</v>
      </c>
      <c r="F244" s="311"/>
      <c r="H244" s="311"/>
    </row>
    <row r="245" spans="1:8" ht="25.5" customHeight="1">
      <c r="A245" s="222"/>
      <c r="B245" s="223"/>
      <c r="C245" s="102" t="s">
        <v>129</v>
      </c>
      <c r="D245" s="56" t="s">
        <v>204</v>
      </c>
      <c r="E245" s="55" t="str">
        <f>IF(D245="Residente Interventoría","CUMPLE","NO CUMPLE")</f>
        <v>CUMPLE</v>
      </c>
      <c r="F245" s="311"/>
      <c r="H245" s="311"/>
    </row>
    <row r="246" spans="1:8" ht="14">
      <c r="A246" s="222"/>
      <c r="B246" s="223"/>
      <c r="C246" s="103" t="s">
        <v>110</v>
      </c>
      <c r="D246" s="58">
        <v>914298420</v>
      </c>
      <c r="E246" s="55" t="str">
        <f>IF(D246="","NO CUMPLE","CUMPLE")</f>
        <v>CUMPLE</v>
      </c>
      <c r="F246" s="311"/>
      <c r="H246" s="311"/>
    </row>
    <row r="247" spans="1:8" ht="14">
      <c r="A247" s="222"/>
      <c r="B247" s="223"/>
      <c r="C247" s="103" t="s">
        <v>111</v>
      </c>
      <c r="D247" s="57">
        <v>44767</v>
      </c>
      <c r="E247" s="55" t="str">
        <f>IF(D247="","NO CUMPLE","CUMPLE")</f>
        <v>CUMPLE</v>
      </c>
      <c r="F247" s="311"/>
      <c r="H247" s="311"/>
    </row>
    <row r="248" spans="1:8" ht="14">
      <c r="A248" s="222"/>
      <c r="B248" s="223"/>
      <c r="C248" s="103" t="s">
        <v>112</v>
      </c>
      <c r="D248" s="57">
        <v>44911</v>
      </c>
      <c r="E248" s="55" t="str">
        <f>IF(D248="","NO CUMPLE","CUMPLE")</f>
        <v>CUMPLE</v>
      </c>
      <c r="F248" s="311"/>
      <c r="H248" s="311"/>
    </row>
    <row r="249" spans="1:8">
      <c r="A249" s="224"/>
      <c r="B249" s="225"/>
      <c r="C249" s="103" t="s">
        <v>113</v>
      </c>
      <c r="D249" s="135">
        <f>IFERROR((D246/(VLOOKUP((YEAR(D248)),SMMLV!$A$9:$C$49,3,0))),"0")</f>
        <v>914.29841999999996</v>
      </c>
      <c r="E249" s="101"/>
      <c r="F249" s="312"/>
      <c r="H249" s="312"/>
    </row>
    <row r="250" spans="1:8">
      <c r="A250" s="227" t="s">
        <v>202</v>
      </c>
      <c r="B250" s="227"/>
      <c r="C250" s="227"/>
      <c r="D250" s="227"/>
      <c r="E250" s="227"/>
      <c r="F250" s="71">
        <f>D241+D249</f>
        <v>1605.1913774809088</v>
      </c>
      <c r="H250" s="71"/>
    </row>
    <row r="251" spans="1:8">
      <c r="A251" s="227"/>
      <c r="B251" s="227"/>
      <c r="C251" s="227"/>
      <c r="D251" s="227"/>
      <c r="E251" s="227"/>
      <c r="F251" s="43" t="str">
        <f>IF(F250&gt;=216.63,"CUMPLE","NO CUMPLE")</f>
        <v>CUMPLE</v>
      </c>
      <c r="H251" s="43"/>
    </row>
    <row r="252" spans="1:8" ht="27.75" customHeight="1">
      <c r="A252" s="227" t="s">
        <v>84</v>
      </c>
      <c r="B252" s="227"/>
      <c r="C252" s="227"/>
      <c r="D252" s="227"/>
      <c r="E252" s="227"/>
      <c r="F252" s="227"/>
      <c r="H252" s="20"/>
    </row>
    <row r="253" spans="1:8">
      <c r="A253" s="246" t="s">
        <v>134</v>
      </c>
      <c r="B253" s="247"/>
      <c r="C253" s="247"/>
      <c r="D253" s="247"/>
      <c r="E253" s="248"/>
      <c r="F253" s="70" t="str">
        <f>IF(AND(E226="cumple",E227="cumple",E228="cumple",E229="cumple",E230="cumple",E231="cumple",E232="cumple",E233="cumple",F251="cumple"),"CUMPLE","NO CUMPLE")</f>
        <v>CUMPLE</v>
      </c>
      <c r="H253" s="70"/>
    </row>
    <row r="254" spans="1:8">
      <c r="A254" s="39"/>
      <c r="B254" s="39"/>
      <c r="C254" s="39"/>
      <c r="D254" s="39"/>
      <c r="E254" s="39"/>
      <c r="F254" s="40"/>
      <c r="H254" s="40"/>
    </row>
    <row r="255" spans="1:8" ht="14">
      <c r="A255" s="249" t="s">
        <v>114</v>
      </c>
      <c r="B255" s="250"/>
      <c r="C255" s="250"/>
      <c r="D255" s="250"/>
      <c r="E255" s="251"/>
      <c r="F255" s="104" t="str">
        <f>IF(AND(F191="CUMPLE",F222="CUMPLE",F253="CUMPLE"),"CUMPLE","NO CUMPLE")</f>
        <v>CUMPLE</v>
      </c>
      <c r="H255" s="104"/>
    </row>
    <row r="256" spans="1:8">
      <c r="A256" s="39"/>
      <c r="B256" s="39"/>
      <c r="C256" s="39"/>
      <c r="D256" s="39"/>
      <c r="E256" s="39"/>
      <c r="F256" s="40"/>
      <c r="H256" s="40"/>
    </row>
    <row r="257" spans="1:8" ht="14">
      <c r="A257" s="252" t="s">
        <v>139</v>
      </c>
      <c r="B257" s="252"/>
      <c r="C257" s="252"/>
      <c r="D257" s="252"/>
      <c r="E257" s="252"/>
      <c r="F257" s="252"/>
      <c r="H257" s="20"/>
    </row>
    <row r="258" spans="1:8">
      <c r="A258" s="227" t="s">
        <v>140</v>
      </c>
      <c r="B258" s="227"/>
      <c r="C258" s="227"/>
      <c r="D258" s="227"/>
      <c r="E258" s="227"/>
      <c r="F258" s="46" t="s">
        <v>61</v>
      </c>
      <c r="H258" s="46"/>
    </row>
    <row r="259" spans="1:8">
      <c r="A259" s="227"/>
      <c r="B259" s="227"/>
      <c r="C259" s="227"/>
      <c r="D259" s="227"/>
      <c r="E259" s="227"/>
      <c r="F259" s="43" t="str">
        <f>IF(F258="SI","CUMPLE","NO CUMPLE")</f>
        <v>CUMPLE</v>
      </c>
      <c r="H259" s="43"/>
    </row>
    <row r="260" spans="1:8" ht="34.5" customHeight="1">
      <c r="A260" s="227" t="s">
        <v>568</v>
      </c>
      <c r="B260" s="227"/>
      <c r="C260" s="227"/>
      <c r="D260" s="227"/>
      <c r="E260" s="227"/>
      <c r="F260" s="227"/>
      <c r="H260" s="20"/>
    </row>
    <row r="261" spans="1:8" ht="14">
      <c r="A261" s="249" t="s">
        <v>139</v>
      </c>
      <c r="B261" s="250"/>
      <c r="C261" s="250"/>
      <c r="D261" s="250"/>
      <c r="E261" s="251"/>
      <c r="F261" s="104" t="str">
        <f>IF((F259="CUMPLE"),"CUMPLE","NO CUMPLE")</f>
        <v>CUMPLE</v>
      </c>
      <c r="H261" s="104"/>
    </row>
    <row r="262" spans="1:8">
      <c r="A262" s="39"/>
      <c r="B262" s="39"/>
      <c r="C262" s="39"/>
      <c r="D262" s="39"/>
      <c r="E262" s="39"/>
      <c r="F262" s="40"/>
      <c r="H262" s="40"/>
    </row>
    <row r="263" spans="1:8" ht="16">
      <c r="A263" s="242" t="s">
        <v>89</v>
      </c>
      <c r="B263" s="243"/>
      <c r="C263" s="243"/>
      <c r="D263" s="243"/>
      <c r="E263" s="244"/>
      <c r="F263" s="105" t="str">
        <f>IF(AND(F138="CUMPLE",F255="CUMPLE",F261="CUMPLE"),"HABILITADO","NO HABILITADO")</f>
        <v>HABILITADO</v>
      </c>
      <c r="H263" s="105"/>
    </row>
    <row r="264" spans="1:8">
      <c r="A264" s="39"/>
      <c r="B264" s="39"/>
      <c r="C264" s="39"/>
      <c r="D264" s="39"/>
      <c r="E264" s="39"/>
      <c r="F264" s="40"/>
      <c r="H264" s="40"/>
    </row>
    <row r="265" spans="1:8">
      <c r="A265" s="39"/>
      <c r="B265" s="39"/>
      <c r="C265" s="39"/>
      <c r="D265" s="39"/>
      <c r="E265" s="39"/>
      <c r="F265" s="40"/>
      <c r="H265" s="40"/>
    </row>
    <row r="266" spans="1:8" ht="16">
      <c r="A266" s="245" t="s">
        <v>141</v>
      </c>
      <c r="B266" s="245"/>
      <c r="C266" s="245"/>
      <c r="D266" s="245"/>
      <c r="E266" s="245"/>
      <c r="F266" s="245"/>
      <c r="H266" s="20"/>
    </row>
    <row r="267" spans="1:8" ht="14">
      <c r="A267" s="212" t="s">
        <v>142</v>
      </c>
      <c r="B267" s="212"/>
      <c r="C267" s="212"/>
      <c r="D267" s="212"/>
      <c r="E267" s="212"/>
      <c r="F267" s="212"/>
      <c r="H267" s="20"/>
    </row>
    <row r="268" spans="1:8">
      <c r="A268" s="27"/>
      <c r="B268" s="27"/>
      <c r="C268" s="27"/>
      <c r="D268" s="27"/>
      <c r="E268" s="27"/>
      <c r="F268" s="21"/>
      <c r="H268" s="21"/>
    </row>
    <row r="269" spans="1:8" ht="29.25" customHeight="1">
      <c r="A269" s="28" t="s">
        <v>248</v>
      </c>
      <c r="B269" s="240" t="s">
        <v>284</v>
      </c>
      <c r="C269" s="240"/>
      <c r="D269" s="240"/>
      <c r="E269" s="240"/>
      <c r="F269" s="240"/>
      <c r="H269" s="20"/>
    </row>
    <row r="270" spans="1:8" ht="42.75" customHeight="1">
      <c r="A270" s="28" t="s">
        <v>51</v>
      </c>
      <c r="B270" s="241" t="s">
        <v>282</v>
      </c>
      <c r="C270" s="241"/>
      <c r="D270" s="241"/>
      <c r="E270" s="241"/>
      <c r="F270" s="241"/>
      <c r="H270" s="20"/>
    </row>
    <row r="271" spans="1:8">
      <c r="A271" s="23" t="s">
        <v>52</v>
      </c>
      <c r="B271" s="234" t="s">
        <v>283</v>
      </c>
      <c r="C271" s="234"/>
      <c r="D271" s="234"/>
      <c r="E271" s="234"/>
      <c r="F271" s="234"/>
      <c r="H271" s="20"/>
    </row>
    <row r="272" spans="1:8">
      <c r="A272" s="28" t="s">
        <v>65</v>
      </c>
      <c r="B272" s="31" t="s">
        <v>53</v>
      </c>
      <c r="C272" s="32" t="s">
        <v>66</v>
      </c>
      <c r="D272" s="32" t="s">
        <v>54</v>
      </c>
      <c r="E272" s="32" t="s">
        <v>67</v>
      </c>
      <c r="F272" s="32" t="s">
        <v>55</v>
      </c>
      <c r="H272" s="32" t="s">
        <v>55</v>
      </c>
    </row>
    <row r="273" spans="1:8">
      <c r="A273" s="227" t="s">
        <v>56</v>
      </c>
      <c r="B273" s="33">
        <v>80101600</v>
      </c>
      <c r="C273" s="29">
        <v>80101600</v>
      </c>
      <c r="D273" s="29">
        <v>182</v>
      </c>
      <c r="E273" s="235" t="str">
        <f>IF(B274=C274,"Acredita",IF(B273=C273,"Acredita","No acredita"))</f>
        <v>Acredita</v>
      </c>
      <c r="F273" s="304"/>
      <c r="H273" s="304"/>
    </row>
    <row r="274" spans="1:8">
      <c r="A274" s="227"/>
      <c r="B274" s="33">
        <v>81101500</v>
      </c>
      <c r="C274" s="30">
        <v>81101500</v>
      </c>
      <c r="D274" s="30">
        <v>182</v>
      </c>
      <c r="E274" s="236"/>
      <c r="F274" s="305"/>
      <c r="H274" s="305"/>
    </row>
    <row r="275" spans="1:8" ht="14">
      <c r="A275" s="237" t="s">
        <v>57</v>
      </c>
      <c r="B275" s="238"/>
      <c r="C275" s="239"/>
      <c r="D275" s="34">
        <v>43024</v>
      </c>
      <c r="E275" s="35" t="str">
        <f>IF(D275="","No acredita","Acredita")</f>
        <v>Acredita</v>
      </c>
      <c r="F275" s="305"/>
      <c r="H275" s="305"/>
    </row>
    <row r="276" spans="1:8" ht="14">
      <c r="A276" s="237" t="s">
        <v>58</v>
      </c>
      <c r="B276" s="238"/>
      <c r="C276" s="239"/>
      <c r="D276" s="36">
        <v>3716486390.5</v>
      </c>
      <c r="E276" s="35" t="str">
        <f>IF(D276="","No acredita","Acredita")</f>
        <v>Acredita</v>
      </c>
      <c r="F276" s="305"/>
      <c r="H276" s="305"/>
    </row>
    <row r="277" spans="1:8" ht="14">
      <c r="A277" s="237" t="s">
        <v>59</v>
      </c>
      <c r="B277" s="238"/>
      <c r="C277" s="239"/>
      <c r="D277" s="89">
        <f>IFERROR((D276/(VLOOKUP((YEAR(D279)),SMMLV!$A$9:$C$49,3,0)))*'O2'!D278,"0")</f>
        <v>4233.8501810770758</v>
      </c>
      <c r="E277" s="37" t="str">
        <f>IF(D277="","No acredita","Acredita")</f>
        <v>Acredita</v>
      </c>
      <c r="F277" s="305"/>
      <c r="H277" s="305"/>
    </row>
    <row r="278" spans="1:8" ht="14">
      <c r="A278" s="237" t="s">
        <v>80</v>
      </c>
      <c r="B278" s="238"/>
      <c r="C278" s="239"/>
      <c r="D278" s="45">
        <v>1</v>
      </c>
      <c r="E278" s="35" t="str">
        <f>IF(D278="","No acredita","Acredita")</f>
        <v>Acredita</v>
      </c>
      <c r="F278" s="305"/>
      <c r="H278" s="305"/>
    </row>
    <row r="279" spans="1:8" ht="14">
      <c r="A279" s="237" t="s">
        <v>60</v>
      </c>
      <c r="B279" s="238"/>
      <c r="C279" s="239"/>
      <c r="D279" s="34">
        <v>44126</v>
      </c>
      <c r="E279" s="35" t="str">
        <f>IF(D279="","No acredita","Acredita")</f>
        <v>Acredita</v>
      </c>
      <c r="F279" s="305"/>
      <c r="H279" s="305"/>
    </row>
    <row r="280" spans="1:8" ht="62.25" customHeight="1">
      <c r="A280" s="227" t="s">
        <v>91</v>
      </c>
      <c r="B280" s="227"/>
      <c r="C280" s="227"/>
      <c r="D280" s="38" t="s">
        <v>61</v>
      </c>
      <c r="E280" s="35" t="str">
        <f t="shared" ref="E280:E283" si="13">IF(D280="","No acredita",IF(D280="","",IF(D280="SI","Acredita","No acredita")))</f>
        <v>Acredita</v>
      </c>
      <c r="F280" s="305"/>
      <c r="H280" s="305"/>
    </row>
    <row r="281" spans="1:8" ht="30" customHeight="1">
      <c r="A281" s="227" t="s">
        <v>92</v>
      </c>
      <c r="B281" s="227"/>
      <c r="C281" s="227"/>
      <c r="D281" s="38" t="s">
        <v>61</v>
      </c>
      <c r="E281" s="35" t="str">
        <f t="shared" si="13"/>
        <v>Acredita</v>
      </c>
      <c r="F281" s="305"/>
      <c r="H281" s="305"/>
    </row>
    <row r="282" spans="1:8" ht="14">
      <c r="A282" s="227" t="s">
        <v>69</v>
      </c>
      <c r="B282" s="227"/>
      <c r="C282" s="227"/>
      <c r="D282" s="38" t="s">
        <v>61</v>
      </c>
      <c r="E282" s="35" t="str">
        <f t="shared" si="13"/>
        <v>Acredita</v>
      </c>
      <c r="F282" s="305"/>
      <c r="H282" s="305"/>
    </row>
    <row r="283" spans="1:8" ht="14">
      <c r="A283" s="227" t="s">
        <v>103</v>
      </c>
      <c r="B283" s="227"/>
      <c r="C283" s="227"/>
      <c r="D283" s="38" t="s">
        <v>61</v>
      </c>
      <c r="E283" s="35" t="str">
        <f t="shared" si="13"/>
        <v>Acredita</v>
      </c>
      <c r="F283" s="306"/>
      <c r="H283" s="306"/>
    </row>
    <row r="284" spans="1:8">
      <c r="A284" s="231" t="s">
        <v>143</v>
      </c>
      <c r="B284" s="231"/>
      <c r="C284" s="231"/>
      <c r="D284" s="231"/>
      <c r="E284" s="232" t="str">
        <f>IF(AND(E273="acredita",E275="acredita",E276="acredita",E277="acredita",E278="acredita",E279="acredita",E280="acredita",E281="acredita",E282="acredita",E283="acredita"),"CUMPLE","NO CUMPLE")</f>
        <v>CUMPLE</v>
      </c>
      <c r="F284" s="233"/>
      <c r="H284" s="20"/>
    </row>
    <row r="285" spans="1:8" hidden="1">
      <c r="A285" s="26"/>
      <c r="B285" s="26"/>
      <c r="C285" s="26"/>
      <c r="D285" s="26"/>
      <c r="E285" s="22"/>
      <c r="F285" s="22"/>
      <c r="H285" s="22"/>
    </row>
    <row r="286" spans="1:8" hidden="1">
      <c r="A286" s="28" t="s">
        <v>85</v>
      </c>
      <c r="B286" s="240"/>
      <c r="C286" s="240"/>
      <c r="D286" s="240"/>
      <c r="E286" s="240"/>
      <c r="F286" s="240"/>
      <c r="H286" s="20"/>
    </row>
    <row r="287" spans="1:8" ht="48" hidden="1" customHeight="1">
      <c r="A287" s="28" t="s">
        <v>51</v>
      </c>
      <c r="B287" s="241"/>
      <c r="C287" s="241"/>
      <c r="D287" s="241"/>
      <c r="E287" s="241"/>
      <c r="F287" s="241"/>
      <c r="H287" s="20"/>
    </row>
    <row r="288" spans="1:8" hidden="1">
      <c r="A288" s="23" t="s">
        <v>52</v>
      </c>
      <c r="B288" s="234"/>
      <c r="C288" s="234"/>
      <c r="D288" s="234"/>
      <c r="E288" s="234"/>
      <c r="F288" s="234"/>
      <c r="H288" s="20"/>
    </row>
    <row r="289" spans="1:8" hidden="1">
      <c r="A289" s="28" t="s">
        <v>65</v>
      </c>
      <c r="B289" s="31" t="s">
        <v>53</v>
      </c>
      <c r="C289" s="32" t="s">
        <v>66</v>
      </c>
      <c r="D289" s="32" t="s">
        <v>54</v>
      </c>
      <c r="E289" s="32" t="s">
        <v>67</v>
      </c>
      <c r="F289" s="32" t="s">
        <v>55</v>
      </c>
      <c r="H289" s="32" t="s">
        <v>55</v>
      </c>
    </row>
    <row r="290" spans="1:8" hidden="1">
      <c r="A290" s="227" t="s">
        <v>56</v>
      </c>
      <c r="B290" s="33">
        <v>80101600</v>
      </c>
      <c r="C290" s="29"/>
      <c r="D290" s="29"/>
      <c r="E290" s="235" t="str">
        <f>IF(B291=C291,"Acredita",IF(B290=C290,"Acredita","No acredita"))</f>
        <v>No acredita</v>
      </c>
      <c r="F290" s="304"/>
      <c r="H290" s="304"/>
    </row>
    <row r="291" spans="1:8" hidden="1">
      <c r="A291" s="227"/>
      <c r="B291" s="33">
        <v>81101500</v>
      </c>
      <c r="C291" s="30"/>
      <c r="D291" s="30"/>
      <c r="E291" s="236"/>
      <c r="F291" s="305"/>
      <c r="H291" s="305"/>
    </row>
    <row r="292" spans="1:8" ht="14" hidden="1">
      <c r="A292" s="237" t="s">
        <v>57</v>
      </c>
      <c r="B292" s="238"/>
      <c r="C292" s="239"/>
      <c r="D292" s="34"/>
      <c r="E292" s="35" t="str">
        <f>IF(D292="","No acredita","Acredita")</f>
        <v>No acredita</v>
      </c>
      <c r="F292" s="305"/>
      <c r="H292" s="305"/>
    </row>
    <row r="293" spans="1:8" ht="14" hidden="1">
      <c r="A293" s="237" t="s">
        <v>58</v>
      </c>
      <c r="B293" s="238"/>
      <c r="C293" s="239"/>
      <c r="D293" s="36"/>
      <c r="E293" s="35" t="str">
        <f>IF(D293="","No acredita","Acredita")</f>
        <v>No acredita</v>
      </c>
      <c r="F293" s="305"/>
      <c r="H293" s="305"/>
    </row>
    <row r="294" spans="1:8" ht="14" hidden="1">
      <c r="A294" s="237" t="s">
        <v>59</v>
      </c>
      <c r="B294" s="238"/>
      <c r="C294" s="239"/>
      <c r="D294" s="44" t="str">
        <f>IFERROR((D293/(VLOOKUP((YEAR(D296)),SMMLV!$A$9:$C$49,3,0)))*'O2'!D295,"0")</f>
        <v>0</v>
      </c>
      <c r="E294" s="37" t="str">
        <f>IF(D294="","No acredita","Acredita")</f>
        <v>Acredita</v>
      </c>
      <c r="F294" s="305"/>
      <c r="H294" s="305"/>
    </row>
    <row r="295" spans="1:8" ht="14" hidden="1">
      <c r="A295" s="237" t="s">
        <v>80</v>
      </c>
      <c r="B295" s="238"/>
      <c r="C295" s="239"/>
      <c r="D295" s="45">
        <v>1</v>
      </c>
      <c r="E295" s="35" t="str">
        <f>IF(D295="","No acredita","Acredita")</f>
        <v>Acredita</v>
      </c>
      <c r="F295" s="305"/>
      <c r="H295" s="305"/>
    </row>
    <row r="296" spans="1:8" ht="14" hidden="1">
      <c r="A296" s="237" t="s">
        <v>60</v>
      </c>
      <c r="B296" s="238"/>
      <c r="C296" s="239"/>
      <c r="D296" s="34"/>
      <c r="E296" s="35" t="str">
        <f>IF(D296="","No acredita","Acredita")</f>
        <v>No acredita</v>
      </c>
      <c r="F296" s="305"/>
      <c r="H296" s="305"/>
    </row>
    <row r="297" spans="1:8" ht="70.5" hidden="1" customHeight="1">
      <c r="A297" s="227" t="s">
        <v>91</v>
      </c>
      <c r="B297" s="227"/>
      <c r="C297" s="227"/>
      <c r="D297" s="38"/>
      <c r="E297" s="35" t="str">
        <f t="shared" ref="E297:E300" si="14">IF(D297="","No acredita",IF(D297="","",IF(D297="SI","Acredita","No acredita")))</f>
        <v>No acredita</v>
      </c>
      <c r="F297" s="305"/>
      <c r="H297" s="305"/>
    </row>
    <row r="298" spans="1:8" ht="30" hidden="1" customHeight="1">
      <c r="A298" s="227" t="s">
        <v>92</v>
      </c>
      <c r="B298" s="227"/>
      <c r="C298" s="227"/>
      <c r="D298" s="38"/>
      <c r="E298" s="35" t="str">
        <f t="shared" si="14"/>
        <v>No acredita</v>
      </c>
      <c r="F298" s="305"/>
      <c r="H298" s="305"/>
    </row>
    <row r="299" spans="1:8" ht="14" hidden="1">
      <c r="A299" s="227" t="s">
        <v>69</v>
      </c>
      <c r="B299" s="227"/>
      <c r="C299" s="227"/>
      <c r="D299" s="38"/>
      <c r="E299" s="35" t="str">
        <f t="shared" si="14"/>
        <v>No acredita</v>
      </c>
      <c r="F299" s="305"/>
      <c r="H299" s="305"/>
    </row>
    <row r="300" spans="1:8" ht="14" hidden="1">
      <c r="A300" s="227" t="s">
        <v>103</v>
      </c>
      <c r="B300" s="227"/>
      <c r="C300" s="227"/>
      <c r="D300" s="38"/>
      <c r="E300" s="35" t="str">
        <f t="shared" si="14"/>
        <v>No acredita</v>
      </c>
      <c r="F300" s="306"/>
      <c r="H300" s="306"/>
    </row>
    <row r="301" spans="1:8" hidden="1">
      <c r="A301" s="231" t="s">
        <v>144</v>
      </c>
      <c r="B301" s="231"/>
      <c r="C301" s="231"/>
      <c r="D301" s="231"/>
      <c r="E301" s="232" t="str">
        <f>IF(AND(E290="acredita",E292="acredita",E293="acredita",E294="acredita",E295="acredita",E296="acredita",E297="acredita",E298="acredita",E299="acredita",E300="acredita"),"CUMPLE","NO CUMPLE")</f>
        <v>NO CUMPLE</v>
      </c>
      <c r="F301" s="233"/>
      <c r="H301" s="20"/>
    </row>
    <row r="303" spans="1:8">
      <c r="A303" s="226" t="s">
        <v>145</v>
      </c>
      <c r="B303" s="226"/>
      <c r="C303" s="226"/>
      <c r="D303" s="226"/>
      <c r="E303" s="226"/>
      <c r="F303" s="77">
        <f>D277+D294</f>
        <v>4233.8501810770758</v>
      </c>
      <c r="H303" s="77">
        <f>F277+F294</f>
        <v>0</v>
      </c>
    </row>
    <row r="305" spans="1:8">
      <c r="A305" s="228" t="s">
        <v>146</v>
      </c>
      <c r="B305" s="229"/>
      <c r="C305" s="35">
        <v>40</v>
      </c>
      <c r="D305" s="208" t="str">
        <f>IF(F303&gt;433.26,"40",IF(F303&gt;216.63,"30",IF(F303&gt;108.32,"20",IF(F303&gt;43.33,"10","0"))))</f>
        <v>40</v>
      </c>
      <c r="E305" s="230" t="s">
        <v>151</v>
      </c>
      <c r="F305" s="230"/>
      <c r="H305" s="20"/>
    </row>
    <row r="306" spans="1:8" ht="12.75" customHeight="1">
      <c r="A306" s="228" t="s">
        <v>147</v>
      </c>
      <c r="B306" s="229"/>
      <c r="C306" s="35">
        <v>30</v>
      </c>
      <c r="D306" s="209"/>
      <c r="E306" s="230"/>
      <c r="F306" s="230"/>
      <c r="H306" s="20"/>
    </row>
    <row r="307" spans="1:8" ht="12.75" customHeight="1">
      <c r="A307" s="228" t="s">
        <v>148</v>
      </c>
      <c r="B307" s="229"/>
      <c r="C307" s="35">
        <v>20</v>
      </c>
      <c r="D307" s="209"/>
      <c r="E307" s="230"/>
      <c r="F307" s="230"/>
      <c r="H307" s="20"/>
    </row>
    <row r="308" spans="1:8" ht="12.75" customHeight="1">
      <c r="A308" s="228" t="s">
        <v>149</v>
      </c>
      <c r="B308" s="229"/>
      <c r="C308" s="35">
        <v>10</v>
      </c>
      <c r="D308" s="209"/>
      <c r="E308" s="230"/>
      <c r="F308" s="230"/>
      <c r="G308" s="75"/>
      <c r="H308" s="20"/>
    </row>
    <row r="309" spans="1:8">
      <c r="A309" s="228" t="s">
        <v>150</v>
      </c>
      <c r="B309" s="229"/>
      <c r="C309" s="35">
        <v>0</v>
      </c>
      <c r="D309" s="210"/>
      <c r="E309" s="230"/>
      <c r="F309" s="230"/>
      <c r="G309" s="76"/>
      <c r="H309" s="20"/>
    </row>
    <row r="310" spans="1:8">
      <c r="G310" s="76"/>
    </row>
    <row r="311" spans="1:8" ht="14">
      <c r="A311" s="212" t="s">
        <v>152</v>
      </c>
      <c r="B311" s="212"/>
      <c r="C311" s="212"/>
      <c r="D311" s="212"/>
      <c r="E311" s="212"/>
      <c r="F311" s="212"/>
      <c r="G311" s="76"/>
      <c r="H311" s="20"/>
    </row>
    <row r="313" spans="1:8" ht="139.5" customHeight="1">
      <c r="A313" s="220" t="s">
        <v>287</v>
      </c>
      <c r="B313" s="221"/>
      <c r="C313" s="102" t="s">
        <v>122</v>
      </c>
      <c r="D313" s="54" t="s">
        <v>61</v>
      </c>
      <c r="E313" s="55" t="str">
        <f>IF(D313="SI","CUMPLE","NO CUMPLE")</f>
        <v>CUMPLE</v>
      </c>
      <c r="F313" s="310" t="s">
        <v>286</v>
      </c>
      <c r="H313" s="310" t="s">
        <v>286</v>
      </c>
    </row>
    <row r="314" spans="1:8" ht="28">
      <c r="A314" s="222"/>
      <c r="B314" s="223"/>
      <c r="C314" s="102" t="s">
        <v>123</v>
      </c>
      <c r="D314" s="54" t="s">
        <v>61</v>
      </c>
      <c r="E314" s="55" t="str">
        <f>IF(D314="SI","CUMPLE","NO CUMPLE")</f>
        <v>CUMPLE</v>
      </c>
      <c r="F314" s="311"/>
      <c r="H314" s="311"/>
    </row>
    <row r="315" spans="1:8" ht="42">
      <c r="A315" s="222"/>
      <c r="B315" s="223"/>
      <c r="C315" s="102" t="s">
        <v>128</v>
      </c>
      <c r="D315" s="56" t="s">
        <v>285</v>
      </c>
      <c r="E315" s="55" t="str">
        <f>IF(D315="","NO CUMPLE","CUMPLE")</f>
        <v>CUMPLE</v>
      </c>
      <c r="F315" s="311"/>
      <c r="H315" s="311"/>
    </row>
    <row r="316" spans="1:8" ht="14">
      <c r="A316" s="222"/>
      <c r="B316" s="223"/>
      <c r="C316" s="102" t="s">
        <v>129</v>
      </c>
      <c r="D316" s="56" t="s">
        <v>130</v>
      </c>
      <c r="E316" s="55" t="str">
        <f>IF(D316="Director Interventoria","CUMPLE","NO CUMPLE")</f>
        <v>CUMPLE</v>
      </c>
      <c r="F316" s="311"/>
      <c r="H316" s="311"/>
    </row>
    <row r="317" spans="1:8" ht="14">
      <c r="A317" s="222"/>
      <c r="B317" s="223"/>
      <c r="C317" s="103" t="s">
        <v>110</v>
      </c>
      <c r="D317" s="58">
        <v>1062148073</v>
      </c>
      <c r="E317" s="55" t="str">
        <f>IF(D317="","NO CUMPLE","CUMPLE")</f>
        <v>CUMPLE</v>
      </c>
      <c r="F317" s="311"/>
      <c r="H317" s="311"/>
    </row>
    <row r="318" spans="1:8" ht="14">
      <c r="A318" s="222"/>
      <c r="B318" s="223"/>
      <c r="C318" s="103" t="s">
        <v>111</v>
      </c>
      <c r="D318" s="57">
        <v>42745</v>
      </c>
      <c r="E318" s="55" t="str">
        <f>IF(D318="","NO CUMPLE","CUMPLE")</f>
        <v>CUMPLE</v>
      </c>
      <c r="F318" s="311"/>
      <c r="G318" s="51"/>
      <c r="H318" s="311"/>
    </row>
    <row r="319" spans="1:8" ht="14">
      <c r="A319" s="222"/>
      <c r="B319" s="223"/>
      <c r="C319" s="103" t="s">
        <v>112</v>
      </c>
      <c r="D319" s="57">
        <v>43084</v>
      </c>
      <c r="E319" s="55" t="str">
        <f t="shared" ref="E319" si="15">IF(D319="","NO CUMPLE","CUMPLE")</f>
        <v>CUMPLE</v>
      </c>
      <c r="F319" s="311"/>
      <c r="H319" s="311"/>
    </row>
    <row r="320" spans="1:8">
      <c r="A320" s="224"/>
      <c r="B320" s="225"/>
      <c r="C320" s="103" t="s">
        <v>113</v>
      </c>
      <c r="D320" s="100">
        <f>IFERROR((D317/(VLOOKUP((YEAR(D319)),SMMLV!$A$9:$C$49,3,0))),"0")</f>
        <v>1439.7771408277158</v>
      </c>
      <c r="E320" s="101"/>
      <c r="F320" s="312"/>
      <c r="H320" s="312"/>
    </row>
    <row r="321" spans="1:8" ht="139.5" customHeight="1">
      <c r="A321" s="220" t="s">
        <v>288</v>
      </c>
      <c r="B321" s="221"/>
      <c r="C321" s="102" t="s">
        <v>122</v>
      </c>
      <c r="D321" s="54" t="s">
        <v>61</v>
      </c>
      <c r="E321" s="55" t="str">
        <f>IF(D321="SI","CUMPLE","NO CUMPLE")</f>
        <v>CUMPLE</v>
      </c>
      <c r="F321" s="310" t="s">
        <v>289</v>
      </c>
      <c r="H321" s="310" t="s">
        <v>289</v>
      </c>
    </row>
    <row r="322" spans="1:8" ht="28">
      <c r="A322" s="222"/>
      <c r="B322" s="223"/>
      <c r="C322" s="102" t="s">
        <v>123</v>
      </c>
      <c r="D322" s="54" t="s">
        <v>61</v>
      </c>
      <c r="E322" s="55" t="str">
        <f>IF(D322="SI","CUMPLE","NO CUMPLE")</f>
        <v>CUMPLE</v>
      </c>
      <c r="F322" s="311"/>
      <c r="H322" s="311"/>
    </row>
    <row r="323" spans="1:8" ht="42">
      <c r="A323" s="222"/>
      <c r="B323" s="223"/>
      <c r="C323" s="102" t="s">
        <v>128</v>
      </c>
      <c r="D323" s="110" t="s">
        <v>274</v>
      </c>
      <c r="E323" s="55" t="str">
        <f>IF(D323="","NO CUMPLE","CUMPLE")</f>
        <v>CUMPLE</v>
      </c>
      <c r="F323" s="311"/>
      <c r="H323" s="311"/>
    </row>
    <row r="324" spans="1:8" ht="14">
      <c r="A324" s="222"/>
      <c r="B324" s="223"/>
      <c r="C324" s="102" t="s">
        <v>129</v>
      </c>
      <c r="D324" s="56" t="s">
        <v>130</v>
      </c>
      <c r="E324" s="55" t="str">
        <f>IF(D324="Director Interventoria","CUMPLE","NO CUMPLE")</f>
        <v>CUMPLE</v>
      </c>
      <c r="F324" s="311"/>
      <c r="H324" s="311"/>
    </row>
    <row r="325" spans="1:8" ht="14">
      <c r="A325" s="222"/>
      <c r="B325" s="223"/>
      <c r="C325" s="103" t="s">
        <v>110</v>
      </c>
      <c r="D325" s="58">
        <v>938758632</v>
      </c>
      <c r="E325" s="55" t="str">
        <f>IF(D325="","NO CUMPLE","CUMPLE")</f>
        <v>CUMPLE</v>
      </c>
      <c r="F325" s="311"/>
      <c r="H325" s="311"/>
    </row>
    <row r="326" spans="1:8" ht="14">
      <c r="A326" s="222"/>
      <c r="B326" s="223"/>
      <c r="C326" s="103" t="s">
        <v>111</v>
      </c>
      <c r="D326" s="57">
        <v>43017</v>
      </c>
      <c r="E326" s="55" t="str">
        <f>IF(D326="","NO CUMPLE","CUMPLE")</f>
        <v>CUMPLE</v>
      </c>
      <c r="F326" s="311"/>
      <c r="H326" s="311"/>
    </row>
    <row r="327" spans="1:8" ht="14">
      <c r="A327" s="222"/>
      <c r="B327" s="223"/>
      <c r="C327" s="103" t="s">
        <v>112</v>
      </c>
      <c r="D327" s="57">
        <v>43368</v>
      </c>
      <c r="E327" s="55" t="str">
        <f t="shared" ref="E327" si="16">IF(D327="","NO CUMPLE","CUMPLE")</f>
        <v>CUMPLE</v>
      </c>
      <c r="F327" s="311"/>
      <c r="H327" s="311"/>
    </row>
    <row r="328" spans="1:8">
      <c r="A328" s="224"/>
      <c r="B328" s="225"/>
      <c r="C328" s="103" t="s">
        <v>113</v>
      </c>
      <c r="D328" s="100">
        <f>IFERROR((D325/(VLOOKUP((YEAR(D327)),SMMLV!$A$9:$C$49,3,0))),"0")*0</f>
        <v>0</v>
      </c>
      <c r="E328" s="101"/>
      <c r="F328" s="312"/>
      <c r="H328" s="312"/>
    </row>
    <row r="329" spans="1:8">
      <c r="A329" s="226" t="s">
        <v>155</v>
      </c>
      <c r="B329" s="226"/>
      <c r="C329" s="226"/>
      <c r="D329" s="226"/>
      <c r="E329" s="226"/>
      <c r="F329" s="77">
        <f>D320+D328</f>
        <v>1439.7771408277158</v>
      </c>
      <c r="H329" s="77">
        <f>F320+F328</f>
        <v>0</v>
      </c>
    </row>
    <row r="331" spans="1:8">
      <c r="A331" s="227" t="s">
        <v>153</v>
      </c>
      <c r="B331" s="227"/>
      <c r="C331" s="227"/>
      <c r="D331" s="35">
        <v>30</v>
      </c>
      <c r="E331" s="208" t="str">
        <f>IF(F329&gt;=346.608,"30","0")</f>
        <v>30</v>
      </c>
      <c r="F331" s="320" t="s">
        <v>290</v>
      </c>
      <c r="H331" s="320" t="s">
        <v>290</v>
      </c>
    </row>
    <row r="332" spans="1:8">
      <c r="A332" s="227" t="s">
        <v>154</v>
      </c>
      <c r="B332" s="227"/>
      <c r="C332" s="227"/>
      <c r="D332" s="35">
        <v>0</v>
      </c>
      <c r="E332" s="210"/>
      <c r="F332" s="321"/>
      <c r="H332" s="321"/>
    </row>
    <row r="334" spans="1:8" ht="14">
      <c r="A334" s="212" t="s">
        <v>156</v>
      </c>
      <c r="B334" s="212"/>
      <c r="C334" s="212"/>
      <c r="D334" s="212"/>
      <c r="E334" s="212"/>
      <c r="F334" s="212"/>
      <c r="H334" s="20"/>
    </row>
    <row r="335" spans="1:8" ht="31.5" customHeight="1">
      <c r="A335" s="198" t="s">
        <v>157</v>
      </c>
      <c r="B335" s="198"/>
      <c r="C335" s="198"/>
      <c r="D335" s="78"/>
      <c r="E335" s="208" t="str">
        <f>IF(D335="X","18,92",IF(D336="X","10",IF(D337="X","0","0")))</f>
        <v>10</v>
      </c>
      <c r="F335" s="315" t="s">
        <v>291</v>
      </c>
      <c r="H335" s="315" t="s">
        <v>291</v>
      </c>
    </row>
    <row r="336" spans="1:8" ht="31.5" customHeight="1">
      <c r="A336" s="198" t="s">
        <v>158</v>
      </c>
      <c r="B336" s="198"/>
      <c r="C336" s="198"/>
      <c r="D336" s="78" t="s">
        <v>160</v>
      </c>
      <c r="E336" s="209"/>
      <c r="F336" s="316"/>
      <c r="H336" s="316"/>
    </row>
    <row r="337" spans="1:8" ht="31.5" customHeight="1">
      <c r="A337" s="199" t="s">
        <v>159</v>
      </c>
      <c r="B337" s="199"/>
      <c r="C337" s="199"/>
      <c r="D337" s="78"/>
      <c r="E337" s="210"/>
      <c r="F337" s="317"/>
      <c r="H337" s="317"/>
    </row>
    <row r="339" spans="1:8" ht="14">
      <c r="A339" s="212" t="s">
        <v>161</v>
      </c>
      <c r="B339" s="212"/>
      <c r="C339" s="212"/>
      <c r="D339" s="212"/>
      <c r="E339" s="212"/>
      <c r="F339" s="212"/>
      <c r="H339" s="20"/>
    </row>
    <row r="340" spans="1:8" ht="53.25" customHeight="1">
      <c r="A340" s="198" t="s">
        <v>162</v>
      </c>
      <c r="B340" s="198"/>
      <c r="C340" s="198"/>
      <c r="D340" s="78" t="s">
        <v>160</v>
      </c>
      <c r="E340" s="208" t="str">
        <f>IF(D340="X","10",IF(D341="X","5",IF(D342="X","0","0")))</f>
        <v>10</v>
      </c>
      <c r="F340" s="313" t="s">
        <v>151</v>
      </c>
      <c r="H340" s="313" t="s">
        <v>151</v>
      </c>
    </row>
    <row r="341" spans="1:8" ht="31.5" customHeight="1">
      <c r="A341" s="198" t="s">
        <v>163</v>
      </c>
      <c r="B341" s="198"/>
      <c r="C341" s="198"/>
      <c r="D341" s="78"/>
      <c r="E341" s="209"/>
      <c r="F341" s="318"/>
      <c r="H341" s="318"/>
    </row>
    <row r="342" spans="1:8" ht="39.75" customHeight="1">
      <c r="A342" s="198" t="s">
        <v>164</v>
      </c>
      <c r="B342" s="198"/>
      <c r="C342" s="198"/>
      <c r="D342" s="78"/>
      <c r="E342" s="210"/>
      <c r="F342" s="314"/>
      <c r="H342" s="314"/>
    </row>
    <row r="344" spans="1:8" ht="14">
      <c r="A344" s="212" t="s">
        <v>165</v>
      </c>
      <c r="B344" s="212"/>
      <c r="C344" s="212"/>
      <c r="D344" s="212"/>
      <c r="E344" s="212"/>
      <c r="F344" s="212"/>
      <c r="H344" s="20"/>
    </row>
    <row r="345" spans="1:8" ht="25.5" customHeight="1">
      <c r="A345" s="207" t="s">
        <v>166</v>
      </c>
      <c r="B345" s="207"/>
      <c r="C345" s="79" t="s">
        <v>61</v>
      </c>
      <c r="D345" s="78" t="str">
        <f>IF(C345="NO","No Cumple",IF(C345="","","Cumple"))</f>
        <v>Cumple</v>
      </c>
      <c r="E345" s="208" t="str">
        <f>IF(AND(D345="cumple",D346="cumple",D347="cumple",D348="cumple"),"1","0")</f>
        <v>1</v>
      </c>
      <c r="F345" s="319" t="s">
        <v>292</v>
      </c>
      <c r="H345" s="319" t="s">
        <v>292</v>
      </c>
    </row>
    <row r="346" spans="1:8" ht="12.75" customHeight="1">
      <c r="A346" s="207" t="s">
        <v>167</v>
      </c>
      <c r="B346" s="207"/>
      <c r="C346" s="79" t="s">
        <v>61</v>
      </c>
      <c r="D346" s="78" t="str">
        <f t="shared" ref="D346" si="17">IF(C346="NO","No Cumple",IF(C346="","","Cumple"))</f>
        <v>Cumple</v>
      </c>
      <c r="E346" s="209"/>
      <c r="F346" s="230"/>
      <c r="H346" s="230"/>
    </row>
    <row r="347" spans="1:8" ht="14">
      <c r="A347" s="207" t="s">
        <v>168</v>
      </c>
      <c r="B347" s="207"/>
      <c r="C347" s="80">
        <v>45559</v>
      </c>
      <c r="D347" s="78" t="str">
        <f>IF(C347="","",IF($B$4-C347&gt;183,"No Cumple","Cumple"))</f>
        <v>Cumple</v>
      </c>
      <c r="E347" s="209"/>
      <c r="F347" s="230"/>
      <c r="H347" s="230"/>
    </row>
    <row r="348" spans="1:8">
      <c r="A348" s="207" t="s">
        <v>169</v>
      </c>
      <c r="B348" s="207"/>
      <c r="C348" s="85">
        <f>D66</f>
        <v>3410.359876802097</v>
      </c>
      <c r="D348" s="81" t="str">
        <f>IF(C348="","",IF(C348&lt;$B$5*40%,"No Cumple","Cumple"))</f>
        <v>Cumple</v>
      </c>
      <c r="E348" s="210"/>
      <c r="F348" s="230"/>
      <c r="H348" s="230"/>
    </row>
    <row r="350" spans="1:8" ht="14">
      <c r="A350" s="212" t="s">
        <v>170</v>
      </c>
      <c r="B350" s="212"/>
      <c r="C350" s="212"/>
      <c r="D350" s="212"/>
      <c r="E350" s="212"/>
      <c r="F350" s="212"/>
      <c r="H350" s="20"/>
    </row>
    <row r="351" spans="1:8" ht="14">
      <c r="A351" s="83"/>
      <c r="B351" s="83"/>
      <c r="C351" s="83"/>
      <c r="D351" s="83"/>
      <c r="E351" s="83"/>
      <c r="F351" s="83"/>
      <c r="H351" s="83"/>
    </row>
    <row r="352" spans="1:8" ht="14">
      <c r="A352" s="204" t="s">
        <v>172</v>
      </c>
      <c r="B352" s="205"/>
      <c r="C352" s="205"/>
      <c r="D352" s="205"/>
      <c r="E352" s="205"/>
      <c r="F352" s="206"/>
      <c r="H352" s="20"/>
    </row>
    <row r="353" spans="1:8" ht="14">
      <c r="A353" s="207" t="s">
        <v>171</v>
      </c>
      <c r="B353" s="207"/>
      <c r="C353" s="79"/>
      <c r="D353" s="78" t="str">
        <f>IF(C353="NO","No Cumple",IF(C353="","","Cumple"))</f>
        <v/>
      </c>
      <c r="E353" s="208" t="str">
        <f>IF(AND(D353="cumple",D354="cumple",D355="cumple",D356="cumple"),"0,08","0")</f>
        <v>0</v>
      </c>
      <c r="F353" s="319" t="s">
        <v>151</v>
      </c>
      <c r="H353" s="319" t="s">
        <v>151</v>
      </c>
    </row>
    <row r="354" spans="1:8" ht="14">
      <c r="A354" s="207" t="s">
        <v>174</v>
      </c>
      <c r="B354" s="207"/>
      <c r="C354" s="84"/>
      <c r="D354" s="78" t="str">
        <f>IF(C354&gt;=50%,"Cumple",IF(C354="",""," No Cumple"))</f>
        <v/>
      </c>
      <c r="E354" s="209"/>
      <c r="F354" s="230"/>
      <c r="H354" s="230"/>
    </row>
    <row r="355" spans="1:8" ht="14">
      <c r="A355" s="207" t="s">
        <v>173</v>
      </c>
      <c r="B355" s="207"/>
      <c r="C355" s="79"/>
      <c r="D355" s="78" t="str">
        <f>IF(C355="NO","No Cumple",IF(C355="","","Cumple"))</f>
        <v/>
      </c>
      <c r="E355" s="209"/>
      <c r="F355" s="230"/>
      <c r="H355" s="230"/>
    </row>
    <row r="356" spans="1:8" ht="14">
      <c r="A356" s="207" t="s">
        <v>183</v>
      </c>
      <c r="B356" s="207"/>
      <c r="C356" s="88">
        <v>0</v>
      </c>
      <c r="D356" s="78" t="str">
        <f>IF(C356&lt;10%,"No Cumple","Cumple")</f>
        <v>No Cumple</v>
      </c>
      <c r="E356" s="210"/>
      <c r="F356" s="230"/>
      <c r="H356" s="230"/>
    </row>
    <row r="358" spans="1:8" ht="14">
      <c r="A358" s="204" t="s">
        <v>175</v>
      </c>
      <c r="B358" s="205"/>
      <c r="C358" s="205"/>
      <c r="D358" s="205"/>
      <c r="E358" s="205"/>
      <c r="F358" s="206"/>
      <c r="H358" s="20"/>
    </row>
    <row r="359" spans="1:8" ht="14">
      <c r="A359" s="207" t="s">
        <v>171</v>
      </c>
      <c r="B359" s="207"/>
      <c r="C359" s="79" t="s">
        <v>61</v>
      </c>
      <c r="D359" s="78" t="str">
        <f>IF(C359="NO","No Cumple",IF(C359="","","Cumple"))</f>
        <v>Cumple</v>
      </c>
      <c r="E359" s="208" t="str">
        <f>IF(AND(D359="cumple",D360="cumple",D361="cumple",D362="cumple",D363="cumple"),"0,08","0")</f>
        <v>0,08</v>
      </c>
      <c r="F359" s="319" t="s">
        <v>293</v>
      </c>
      <c r="H359" s="319" t="s">
        <v>293</v>
      </c>
    </row>
    <row r="360" spans="1:8" ht="14">
      <c r="A360" s="207" t="s">
        <v>176</v>
      </c>
      <c r="B360" s="207"/>
      <c r="C360" s="79" t="s">
        <v>61</v>
      </c>
      <c r="D360" s="78" t="str">
        <f t="shared" ref="D360:D362" si="18">IF(C360="NO","No Cumple",IF(C360="","","Cumple"))</f>
        <v>Cumple</v>
      </c>
      <c r="E360" s="209"/>
      <c r="F360" s="230"/>
      <c r="H360" s="230"/>
    </row>
    <row r="361" spans="1:8" ht="27.75" customHeight="1">
      <c r="A361" s="207" t="s">
        <v>177</v>
      </c>
      <c r="B361" s="207"/>
      <c r="C361" s="79" t="s">
        <v>61</v>
      </c>
      <c r="D361" s="78" t="str">
        <f t="shared" si="18"/>
        <v>Cumple</v>
      </c>
      <c r="E361" s="209"/>
      <c r="F361" s="230"/>
      <c r="H361" s="230"/>
    </row>
    <row r="362" spans="1:8" ht="28.5" customHeight="1">
      <c r="A362" s="207" t="s">
        <v>178</v>
      </c>
      <c r="B362" s="207"/>
      <c r="C362" s="79" t="s">
        <v>61</v>
      </c>
      <c r="D362" s="78" t="str">
        <f t="shared" si="18"/>
        <v>Cumple</v>
      </c>
      <c r="E362" s="209"/>
      <c r="F362" s="230"/>
      <c r="H362" s="230"/>
    </row>
    <row r="363" spans="1:8" ht="14">
      <c r="A363" s="207" t="s">
        <v>182</v>
      </c>
      <c r="B363" s="207"/>
      <c r="C363" s="88">
        <v>0.8</v>
      </c>
      <c r="D363" s="78" t="str">
        <f>IF(C363&lt;10%,"No Cumple","Cumple")</f>
        <v>Cumple</v>
      </c>
      <c r="E363" s="210"/>
      <c r="F363" s="230"/>
      <c r="G363" s="95"/>
      <c r="H363" s="230"/>
    </row>
    <row r="365" spans="1:8" ht="31.5" customHeight="1">
      <c r="A365" s="198" t="s">
        <v>180</v>
      </c>
      <c r="B365" s="198"/>
      <c r="C365" s="198"/>
      <c r="D365" s="198"/>
      <c r="E365" s="86"/>
      <c r="F365" s="30"/>
      <c r="H365" s="30"/>
    </row>
    <row r="366" spans="1:8">
      <c r="A366" s="199" t="s">
        <v>181</v>
      </c>
      <c r="B366" s="199"/>
      <c r="C366" s="199"/>
      <c r="D366" s="199"/>
      <c r="E366" s="86"/>
      <c r="F366" s="30"/>
      <c r="H366" s="30"/>
    </row>
    <row r="368" spans="1:8" ht="18">
      <c r="B368" s="200" t="s">
        <v>179</v>
      </c>
      <c r="C368" s="200"/>
      <c r="D368" s="200"/>
      <c r="E368" s="87">
        <f>SUM(D305+E331+E335+E340+E345+E353+E359-E365-E366)</f>
        <v>91.08</v>
      </c>
    </row>
  </sheetData>
  <sheetProtection algorithmName="SHA-512" hashValue="F8sSPuTFkpgT7D0H06HGjJ9J2GjQioWKMs96+UDqv/pd0JSXBWcFZledKu/dCzMAxbUDQGt6fxt05EVWzMlk4A==" saltValue="GLWYqqHJ7Wl1vcj5ow902Q==" spinCount="100000" sheet="1" objects="1" scenarios="1" selectLockedCells="1" selectUnlockedCells="1"/>
  <mergeCells count="316">
    <mergeCell ref="H331:H332"/>
    <mergeCell ref="H335:H337"/>
    <mergeCell ref="H340:H342"/>
    <mergeCell ref="H345:H348"/>
    <mergeCell ref="H353:H356"/>
    <mergeCell ref="H359:H363"/>
    <mergeCell ref="H179:H185"/>
    <mergeCell ref="H203:H210"/>
    <mergeCell ref="H211:H218"/>
    <mergeCell ref="H234:H241"/>
    <mergeCell ref="H242:H249"/>
    <mergeCell ref="H273:H283"/>
    <mergeCell ref="H290:H300"/>
    <mergeCell ref="H313:H320"/>
    <mergeCell ref="H321:H328"/>
    <mergeCell ref="H20:H34"/>
    <mergeCell ref="H41:H55"/>
    <mergeCell ref="H62:H76"/>
    <mergeCell ref="H83:H93"/>
    <mergeCell ref="H94:H97"/>
    <mergeCell ref="H105:H115"/>
    <mergeCell ref="H116:H119"/>
    <mergeCell ref="H161:H167"/>
    <mergeCell ref="H170:H176"/>
    <mergeCell ref="B9:D9"/>
    <mergeCell ref="B10:D10"/>
    <mergeCell ref="B11:D11"/>
    <mergeCell ref="A13:F13"/>
    <mergeCell ref="A14:F14"/>
    <mergeCell ref="B16:F16"/>
    <mergeCell ref="A1:F1"/>
    <mergeCell ref="A2:F2"/>
    <mergeCell ref="B4:C4"/>
    <mergeCell ref="B5:C5"/>
    <mergeCell ref="B6:C6"/>
    <mergeCell ref="B7:F7"/>
    <mergeCell ref="B17:F17"/>
    <mergeCell ref="B18:F18"/>
    <mergeCell ref="A20:A21"/>
    <mergeCell ref="E20:E21"/>
    <mergeCell ref="A22:C22"/>
    <mergeCell ref="A23:C23"/>
    <mergeCell ref="A24:C24"/>
    <mergeCell ref="A25:C25"/>
    <mergeCell ref="A26:C26"/>
    <mergeCell ref="B32:C32"/>
    <mergeCell ref="B33:C33"/>
    <mergeCell ref="B34:C34"/>
    <mergeCell ref="A35:D35"/>
    <mergeCell ref="E35:F35"/>
    <mergeCell ref="A27:C27"/>
    <mergeCell ref="A28:C28"/>
    <mergeCell ref="A29:C29"/>
    <mergeCell ref="A30:C30"/>
    <mergeCell ref="A31:A34"/>
    <mergeCell ref="B31:C31"/>
    <mergeCell ref="B37:F37"/>
    <mergeCell ref="B38:F38"/>
    <mergeCell ref="B39:F39"/>
    <mergeCell ref="A41:A42"/>
    <mergeCell ref="E41:E42"/>
    <mergeCell ref="A43:C43"/>
    <mergeCell ref="A44:C44"/>
    <mergeCell ref="A45:C45"/>
    <mergeCell ref="A46:C46"/>
    <mergeCell ref="B53:C53"/>
    <mergeCell ref="B54:C54"/>
    <mergeCell ref="B55:C55"/>
    <mergeCell ref="A56:D56"/>
    <mergeCell ref="E56:F56"/>
    <mergeCell ref="A47:C47"/>
    <mergeCell ref="A48:C48"/>
    <mergeCell ref="A49:C49"/>
    <mergeCell ref="A50:C50"/>
    <mergeCell ref="A51:C51"/>
    <mergeCell ref="A52:A55"/>
    <mergeCell ref="B52:C52"/>
    <mergeCell ref="B58:F58"/>
    <mergeCell ref="B59:F59"/>
    <mergeCell ref="B60:F60"/>
    <mergeCell ref="A62:A63"/>
    <mergeCell ref="E62:E63"/>
    <mergeCell ref="A64:C64"/>
    <mergeCell ref="A65:C65"/>
    <mergeCell ref="A66:C66"/>
    <mergeCell ref="A67:C67"/>
    <mergeCell ref="B74:C74"/>
    <mergeCell ref="B75:C75"/>
    <mergeCell ref="B76:C76"/>
    <mergeCell ref="A77:D77"/>
    <mergeCell ref="E77:F77"/>
    <mergeCell ref="A68:C68"/>
    <mergeCell ref="A69:C69"/>
    <mergeCell ref="A70:C70"/>
    <mergeCell ref="A71:C71"/>
    <mergeCell ref="A72:C72"/>
    <mergeCell ref="A73:A76"/>
    <mergeCell ref="B73:C73"/>
    <mergeCell ref="B79:F79"/>
    <mergeCell ref="B80:F80"/>
    <mergeCell ref="B81:F81"/>
    <mergeCell ref="A83:A84"/>
    <mergeCell ref="E83:E84"/>
    <mergeCell ref="F83:F93"/>
    <mergeCell ref="A85:C85"/>
    <mergeCell ref="A86:C86"/>
    <mergeCell ref="A87:C87"/>
    <mergeCell ref="A88:C88"/>
    <mergeCell ref="F94:F97"/>
    <mergeCell ref="B95:C95"/>
    <mergeCell ref="B96:C96"/>
    <mergeCell ref="B97:C97"/>
    <mergeCell ref="A98:D98"/>
    <mergeCell ref="E98:F98"/>
    <mergeCell ref="A89:C89"/>
    <mergeCell ref="A90:C90"/>
    <mergeCell ref="A91:C91"/>
    <mergeCell ref="A92:C92"/>
    <mergeCell ref="A93:C93"/>
    <mergeCell ref="A94:A97"/>
    <mergeCell ref="B94:C94"/>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49:F149"/>
    <mergeCell ref="A150:C150"/>
    <mergeCell ref="D150:F150"/>
    <mergeCell ref="B151:C151"/>
    <mergeCell ref="B152:C152"/>
    <mergeCell ref="B153:C153"/>
    <mergeCell ref="A130:E131"/>
    <mergeCell ref="A132:F132"/>
    <mergeCell ref="A134:E135"/>
    <mergeCell ref="A136:F136"/>
    <mergeCell ref="A138:E138"/>
    <mergeCell ref="A147:F147"/>
    <mergeCell ref="A159:C159"/>
    <mergeCell ref="A161:B168"/>
    <mergeCell ref="F161:F167"/>
    <mergeCell ref="A170:B177"/>
    <mergeCell ref="F170:F176"/>
    <mergeCell ref="A179:B186"/>
    <mergeCell ref="F179:F185"/>
    <mergeCell ref="A154:C154"/>
    <mergeCell ref="A155:A156"/>
    <mergeCell ref="B155:C155"/>
    <mergeCell ref="B156:C156"/>
    <mergeCell ref="A157:C157"/>
    <mergeCell ref="A158:C158"/>
    <mergeCell ref="B195:C195"/>
    <mergeCell ref="B196:C196"/>
    <mergeCell ref="A197:C197"/>
    <mergeCell ref="A198:A199"/>
    <mergeCell ref="B198:C198"/>
    <mergeCell ref="B199:C199"/>
    <mergeCell ref="A188:E189"/>
    <mergeCell ref="A190:F190"/>
    <mergeCell ref="A191:E191"/>
    <mergeCell ref="A193:F193"/>
    <mergeCell ref="A194:C194"/>
    <mergeCell ref="D194:F194"/>
    <mergeCell ref="A219:E220"/>
    <mergeCell ref="A221:F221"/>
    <mergeCell ref="A222:E222"/>
    <mergeCell ref="A224:F224"/>
    <mergeCell ref="A225:C225"/>
    <mergeCell ref="D225:F225"/>
    <mergeCell ref="A200:C200"/>
    <mergeCell ref="A201:C201"/>
    <mergeCell ref="A202:C202"/>
    <mergeCell ref="A203:B210"/>
    <mergeCell ref="F203:F210"/>
    <mergeCell ref="A211:B218"/>
    <mergeCell ref="F211:F218"/>
    <mergeCell ref="A231:C231"/>
    <mergeCell ref="A232:C232"/>
    <mergeCell ref="A233:C233"/>
    <mergeCell ref="A234:B241"/>
    <mergeCell ref="F234:F241"/>
    <mergeCell ref="A242:B249"/>
    <mergeCell ref="F242:F249"/>
    <mergeCell ref="B226:C226"/>
    <mergeCell ref="B227:C227"/>
    <mergeCell ref="A228:C228"/>
    <mergeCell ref="A229:A230"/>
    <mergeCell ref="B229:C229"/>
    <mergeCell ref="B230:C230"/>
    <mergeCell ref="A260:F260"/>
    <mergeCell ref="A261:E261"/>
    <mergeCell ref="A263:E263"/>
    <mergeCell ref="A266:F266"/>
    <mergeCell ref="A267:F267"/>
    <mergeCell ref="B269:F269"/>
    <mergeCell ref="A250:E251"/>
    <mergeCell ref="A252:F252"/>
    <mergeCell ref="A253:E253"/>
    <mergeCell ref="A255:E255"/>
    <mergeCell ref="A257:F257"/>
    <mergeCell ref="A258:E259"/>
    <mergeCell ref="A280:C280"/>
    <mergeCell ref="A281:C281"/>
    <mergeCell ref="A282:C282"/>
    <mergeCell ref="A283:C283"/>
    <mergeCell ref="A284:D284"/>
    <mergeCell ref="E284:F284"/>
    <mergeCell ref="B270:F270"/>
    <mergeCell ref="B271:F271"/>
    <mergeCell ref="A273:A274"/>
    <mergeCell ref="E273:E274"/>
    <mergeCell ref="F273:F283"/>
    <mergeCell ref="A275:C275"/>
    <mergeCell ref="A276:C276"/>
    <mergeCell ref="A277:C277"/>
    <mergeCell ref="A278:C278"/>
    <mergeCell ref="A279:C279"/>
    <mergeCell ref="A296:C296"/>
    <mergeCell ref="A297:C297"/>
    <mergeCell ref="A298:C298"/>
    <mergeCell ref="A299:C299"/>
    <mergeCell ref="A300:C300"/>
    <mergeCell ref="A301:D301"/>
    <mergeCell ref="B286:F286"/>
    <mergeCell ref="B287:F287"/>
    <mergeCell ref="B288:F288"/>
    <mergeCell ref="A290:A291"/>
    <mergeCell ref="E290:E291"/>
    <mergeCell ref="F290:F300"/>
    <mergeCell ref="A292:C292"/>
    <mergeCell ref="A293:C293"/>
    <mergeCell ref="A294:C294"/>
    <mergeCell ref="A295:C295"/>
    <mergeCell ref="A311:F311"/>
    <mergeCell ref="A313:B320"/>
    <mergeCell ref="F313:F320"/>
    <mergeCell ref="A321:B328"/>
    <mergeCell ref="F321:F328"/>
    <mergeCell ref="A329:E329"/>
    <mergeCell ref="E301:F301"/>
    <mergeCell ref="A303:E303"/>
    <mergeCell ref="A305:B305"/>
    <mergeCell ref="D305:D309"/>
    <mergeCell ref="E305:F309"/>
    <mergeCell ref="A306:B306"/>
    <mergeCell ref="A307:B307"/>
    <mergeCell ref="A308:B308"/>
    <mergeCell ref="A309:B309"/>
    <mergeCell ref="A331:C331"/>
    <mergeCell ref="E331:E332"/>
    <mergeCell ref="F331:F332"/>
    <mergeCell ref="A332:C332"/>
    <mergeCell ref="A334:F334"/>
    <mergeCell ref="A335:C335"/>
    <mergeCell ref="E335:E337"/>
    <mergeCell ref="F335:F337"/>
    <mergeCell ref="A336:C336"/>
    <mergeCell ref="A337:C337"/>
    <mergeCell ref="E345:E348"/>
    <mergeCell ref="F345:F348"/>
    <mergeCell ref="A346:B346"/>
    <mergeCell ref="A347:B347"/>
    <mergeCell ref="A348:B348"/>
    <mergeCell ref="A339:F339"/>
    <mergeCell ref="A340:C340"/>
    <mergeCell ref="E340:E342"/>
    <mergeCell ref="F340:F342"/>
    <mergeCell ref="A341:C341"/>
    <mergeCell ref="A342:C342"/>
    <mergeCell ref="A365:D365"/>
    <mergeCell ref="A366:D366"/>
    <mergeCell ref="B368:D368"/>
    <mergeCell ref="F20:F34"/>
    <mergeCell ref="F41:F55"/>
    <mergeCell ref="F62:F76"/>
    <mergeCell ref="A358:F358"/>
    <mergeCell ref="A359:B359"/>
    <mergeCell ref="E359:E363"/>
    <mergeCell ref="F359:F363"/>
    <mergeCell ref="A360:B360"/>
    <mergeCell ref="A361:B361"/>
    <mergeCell ref="A362:B362"/>
    <mergeCell ref="A363:B363"/>
    <mergeCell ref="A350:F350"/>
    <mergeCell ref="A352:F352"/>
    <mergeCell ref="A353:B353"/>
    <mergeCell ref="E353:E356"/>
    <mergeCell ref="F353:F356"/>
    <mergeCell ref="A354:B354"/>
    <mergeCell ref="A355:B355"/>
    <mergeCell ref="A356:B356"/>
    <mergeCell ref="A344:F344"/>
    <mergeCell ref="A345:B345"/>
  </mergeCells>
  <conditionalFormatting sqref="E151:E168">
    <cfRule type="expression" dxfId="309" priority="53">
      <formula>"NO CUMPLE"</formula>
    </cfRule>
  </conditionalFormatting>
  <conditionalFormatting sqref="E170:E177">
    <cfRule type="expression" dxfId="308" priority="33">
      <formula>"NO CUMPLE"</formula>
    </cfRule>
  </conditionalFormatting>
  <conditionalFormatting sqref="E179:E186">
    <cfRule type="expression" dxfId="307" priority="32">
      <formula>"NO CUMPLE"</formula>
    </cfRule>
  </conditionalFormatting>
  <conditionalFormatting sqref="E195:E218">
    <cfRule type="expression" dxfId="306" priority="31">
      <formula>"NO CUMPLE"</formula>
    </cfRule>
  </conditionalFormatting>
  <conditionalFormatting sqref="E226:E249">
    <cfRule type="expression" dxfId="305" priority="30">
      <formula>"NO CUMPLE"</formula>
    </cfRule>
  </conditionalFormatting>
  <conditionalFormatting sqref="E313:E328">
    <cfRule type="expression" dxfId="304" priority="34">
      <formula>"NO CUMPLE"</formula>
    </cfRule>
  </conditionalFormatting>
  <conditionalFormatting sqref="E35:F35">
    <cfRule type="containsText" dxfId="303" priority="64" stopIfTrue="1" operator="containsText" text="NO CUMPLE">
      <formula>NOT(ISERROR(SEARCH("NO CUMPLE",E35)))</formula>
    </cfRule>
  </conditionalFormatting>
  <conditionalFormatting sqref="E56:F56">
    <cfRule type="containsText" dxfId="302" priority="60" stopIfTrue="1" operator="containsText" text="NO CUMPLE">
      <formula>NOT(ISERROR(SEARCH("NO CUMPLE",E56)))</formula>
    </cfRule>
  </conditionalFormatting>
  <conditionalFormatting sqref="E77:F77">
    <cfRule type="containsText" dxfId="301" priority="59" stopIfTrue="1" operator="containsText" text="NO CUMPLE">
      <formula>NOT(ISERROR(SEARCH("NO CUMPLE",E77)))</formula>
    </cfRule>
  </conditionalFormatting>
  <conditionalFormatting sqref="E98:F98">
    <cfRule type="containsText" dxfId="300" priority="58" stopIfTrue="1" operator="containsText" text="NO CUMPLE">
      <formula>NOT(ISERROR(SEARCH("NO CUMPLE",E98)))</formula>
    </cfRule>
  </conditionalFormatting>
  <conditionalFormatting sqref="E120:F120">
    <cfRule type="containsText" dxfId="299" priority="57" stopIfTrue="1" operator="containsText" text="NO CUMPLE">
      <formula>NOT(ISERROR(SEARCH("NO CUMPLE",E120)))</formula>
    </cfRule>
  </conditionalFormatting>
  <conditionalFormatting sqref="E284:F284">
    <cfRule type="containsText" dxfId="298" priority="36" stopIfTrue="1" operator="containsText" text="NO CUMPLE">
      <formula>NOT(ISERROR(SEARCH("NO CUMPLE",E284)))</formula>
    </cfRule>
  </conditionalFormatting>
  <conditionalFormatting sqref="E301:F301">
    <cfRule type="containsText" dxfId="297" priority="35" stopIfTrue="1" operator="containsText" text="NO CUMPLE">
      <formula>NOT(ISERROR(SEARCH("NO CUMPLE",E301)))</formula>
    </cfRule>
  </conditionalFormatting>
  <conditionalFormatting sqref="F123">
    <cfRule type="containsText" dxfId="296" priority="55" stopIfTrue="1" operator="containsText" text="NO CUMPLE">
      <formula>NOT(ISERROR(SEARCH("NO CUMPLE",F123)))</formula>
    </cfRule>
  </conditionalFormatting>
  <conditionalFormatting sqref="F127 F129">
    <cfRule type="containsText" dxfId="295" priority="63" stopIfTrue="1" operator="containsText" text="NO CUMPLE">
      <formula>NOT(ISERROR(SEARCH("NO CUMPLE",F127)))</formula>
    </cfRule>
  </conditionalFormatting>
  <conditionalFormatting sqref="F131">
    <cfRule type="containsText" dxfId="294" priority="62" stopIfTrue="1" operator="containsText" text="NO CUMPLE">
      <formula>NOT(ISERROR(SEARCH("NO CUMPLE",F131)))</formula>
    </cfRule>
  </conditionalFormatting>
  <conditionalFormatting sqref="F135">
    <cfRule type="containsText" dxfId="293" priority="61" stopIfTrue="1" operator="containsText" text="NO CUMPLE">
      <formula>NOT(ISERROR(SEARCH("NO CUMPLE",F135)))</formula>
    </cfRule>
  </conditionalFormatting>
  <conditionalFormatting sqref="F138">
    <cfRule type="containsText" dxfId="292" priority="56" stopIfTrue="1" operator="containsText" text="NO HABILITADO">
      <formula>NOT(ISERROR(SEARCH("NO HABILITADO",F138)))</formula>
    </cfRule>
    <cfRule type="containsText" dxfId="291" priority="54" operator="containsText" text="NO CUMPLE">
      <formula>NOT(ISERROR(SEARCH("NO CUMPLE",F138)))</formula>
    </cfRule>
  </conditionalFormatting>
  <conditionalFormatting sqref="F189">
    <cfRule type="containsText" dxfId="290" priority="51" stopIfTrue="1" operator="containsText" text="NO CUMPLE">
      <formula>NOT(ISERROR(SEARCH("NO CUMPLE",F189)))</formula>
    </cfRule>
  </conditionalFormatting>
  <conditionalFormatting sqref="F191">
    <cfRule type="containsText" dxfId="289" priority="50" operator="containsText" text="NO CUMPLE">
      <formula>NOT(ISERROR(SEARCH("NO CUMPLE",F191)))</formula>
    </cfRule>
    <cfRule type="containsText" dxfId="288" priority="52" stopIfTrue="1" operator="containsText" text="NO HABILITADO">
      <formula>NOT(ISERROR(SEARCH("NO HABILITADO",F191)))</formula>
    </cfRule>
  </conditionalFormatting>
  <conditionalFormatting sqref="F220">
    <cfRule type="containsText" dxfId="287" priority="48" stopIfTrue="1" operator="containsText" text="NO CUMPLE">
      <formula>NOT(ISERROR(SEARCH("NO CUMPLE",F220)))</formula>
    </cfRule>
  </conditionalFormatting>
  <conditionalFormatting sqref="F222">
    <cfRule type="containsText" dxfId="286" priority="49" stopIfTrue="1" operator="containsText" text="NO HABILITADO">
      <formula>NOT(ISERROR(SEARCH("NO HABILITADO",F222)))</formula>
    </cfRule>
    <cfRule type="containsText" dxfId="285" priority="47" operator="containsText" text="NO CUMPLE">
      <formula>NOT(ISERROR(SEARCH("NO CUMPLE",F222)))</formula>
    </cfRule>
  </conditionalFormatting>
  <conditionalFormatting sqref="F251">
    <cfRule type="containsText" dxfId="284" priority="45" stopIfTrue="1" operator="containsText" text="NO CUMPLE">
      <formula>NOT(ISERROR(SEARCH("NO CUMPLE",F251)))</formula>
    </cfRule>
  </conditionalFormatting>
  <conditionalFormatting sqref="F253">
    <cfRule type="containsText" dxfId="283" priority="46" stopIfTrue="1" operator="containsText" text="NO HABILITADO">
      <formula>NOT(ISERROR(SEARCH("NO HABILITADO",F253)))</formula>
    </cfRule>
    <cfRule type="containsText" dxfId="282" priority="44" operator="containsText" text="NO CUMPLE">
      <formula>NOT(ISERROR(SEARCH("NO CUMPLE",F253)))</formula>
    </cfRule>
  </conditionalFormatting>
  <conditionalFormatting sqref="F255">
    <cfRule type="containsText" dxfId="281" priority="43" stopIfTrue="1" operator="containsText" text="NO HABILITADO">
      <formula>NOT(ISERROR(SEARCH("NO HABILITADO",F255)))</formula>
    </cfRule>
    <cfRule type="containsText" dxfId="280" priority="42" operator="containsText" text="NO CUMPLE">
      <formula>NOT(ISERROR(SEARCH("NO CUMPLE",F255)))</formula>
    </cfRule>
  </conditionalFormatting>
  <conditionalFormatting sqref="F259">
    <cfRule type="containsText" dxfId="279" priority="41" stopIfTrue="1" operator="containsText" text="NO CUMPLE">
      <formula>NOT(ISERROR(SEARCH("NO CUMPLE",F259)))</formula>
    </cfRule>
  </conditionalFormatting>
  <conditionalFormatting sqref="F261">
    <cfRule type="containsText" dxfId="278" priority="40" stopIfTrue="1" operator="containsText" text="NO HABILITADO">
      <formula>NOT(ISERROR(SEARCH("NO HABILITADO",F261)))</formula>
    </cfRule>
    <cfRule type="containsText" dxfId="277" priority="39" operator="containsText" text="NO CUMPLE">
      <formula>NOT(ISERROR(SEARCH("NO CUMPLE",F261)))</formula>
    </cfRule>
  </conditionalFormatting>
  <conditionalFormatting sqref="F263">
    <cfRule type="containsText" dxfId="276" priority="38" stopIfTrue="1" operator="containsText" text="NO HABILITADO">
      <formula>NOT(ISERROR(SEARCH("NO HABILITADO",F263)))</formula>
    </cfRule>
    <cfRule type="containsText" dxfId="275" priority="37" operator="containsText" text="NO CUMPLE">
      <formula>NOT(ISERROR(SEARCH("NO CUMPLE",F263)))</formula>
    </cfRule>
  </conditionalFormatting>
  <conditionalFormatting sqref="H35">
    <cfRule type="containsText" dxfId="274" priority="29" stopIfTrue="1" operator="containsText" text="NO CUMPLE">
      <formula>NOT(ISERROR(SEARCH("NO CUMPLE",H35)))</formula>
    </cfRule>
  </conditionalFormatting>
  <conditionalFormatting sqref="H56">
    <cfRule type="containsText" dxfId="273" priority="25" stopIfTrue="1" operator="containsText" text="NO CUMPLE">
      <formula>NOT(ISERROR(SEARCH("NO CUMPLE",H56)))</formula>
    </cfRule>
  </conditionalFormatting>
  <conditionalFormatting sqref="H77">
    <cfRule type="containsText" dxfId="272" priority="24" stopIfTrue="1" operator="containsText" text="NO CUMPLE">
      <formula>NOT(ISERROR(SEARCH("NO CUMPLE",H77)))</formula>
    </cfRule>
  </conditionalFormatting>
  <conditionalFormatting sqref="H98">
    <cfRule type="containsText" dxfId="271" priority="23" stopIfTrue="1" operator="containsText" text="NO CUMPLE">
      <formula>NOT(ISERROR(SEARCH("NO CUMPLE",H98)))</formula>
    </cfRule>
  </conditionalFormatting>
  <conditionalFormatting sqref="H120">
    <cfRule type="containsText" dxfId="270" priority="22" stopIfTrue="1" operator="containsText" text="NO CUMPLE">
      <formula>NOT(ISERROR(SEARCH("NO CUMPLE",H120)))</formula>
    </cfRule>
  </conditionalFormatting>
  <conditionalFormatting sqref="H123">
    <cfRule type="containsText" dxfId="269" priority="20" stopIfTrue="1" operator="containsText" text="NO CUMPLE">
      <formula>NOT(ISERROR(SEARCH("NO CUMPLE",H123)))</formula>
    </cfRule>
  </conditionalFormatting>
  <conditionalFormatting sqref="H127 H129">
    <cfRule type="containsText" dxfId="268" priority="28" stopIfTrue="1" operator="containsText" text="NO CUMPLE">
      <formula>NOT(ISERROR(SEARCH("NO CUMPLE",H127)))</formula>
    </cfRule>
  </conditionalFormatting>
  <conditionalFormatting sqref="H131">
    <cfRule type="containsText" dxfId="267" priority="27" stopIfTrue="1" operator="containsText" text="NO CUMPLE">
      <formula>NOT(ISERROR(SEARCH("NO CUMPLE",H131)))</formula>
    </cfRule>
  </conditionalFormatting>
  <conditionalFormatting sqref="H135">
    <cfRule type="containsText" dxfId="266" priority="26" stopIfTrue="1" operator="containsText" text="NO CUMPLE">
      <formula>NOT(ISERROR(SEARCH("NO CUMPLE",H135)))</formula>
    </cfRule>
  </conditionalFormatting>
  <conditionalFormatting sqref="H138">
    <cfRule type="containsText" dxfId="265" priority="19" operator="containsText" text="NO CUMPLE">
      <formula>NOT(ISERROR(SEARCH("NO CUMPLE",H138)))</formula>
    </cfRule>
    <cfRule type="containsText" dxfId="264" priority="21" stopIfTrue="1" operator="containsText" text="NO HABILITADO">
      <formula>NOT(ISERROR(SEARCH("NO HABILITADO",H138)))</formula>
    </cfRule>
  </conditionalFormatting>
  <conditionalFormatting sqref="H189">
    <cfRule type="containsText" dxfId="263" priority="17" stopIfTrue="1" operator="containsText" text="NO CUMPLE">
      <formula>NOT(ISERROR(SEARCH("NO CUMPLE",H189)))</formula>
    </cfRule>
  </conditionalFormatting>
  <conditionalFormatting sqref="H191">
    <cfRule type="containsText" dxfId="262" priority="16" operator="containsText" text="NO CUMPLE">
      <formula>NOT(ISERROR(SEARCH("NO CUMPLE",H191)))</formula>
    </cfRule>
    <cfRule type="containsText" dxfId="261" priority="18" stopIfTrue="1" operator="containsText" text="NO HABILITADO">
      <formula>NOT(ISERROR(SEARCH("NO HABILITADO",H191)))</formula>
    </cfRule>
  </conditionalFormatting>
  <conditionalFormatting sqref="H220">
    <cfRule type="containsText" dxfId="260" priority="14" stopIfTrue="1" operator="containsText" text="NO CUMPLE">
      <formula>NOT(ISERROR(SEARCH("NO CUMPLE",H220)))</formula>
    </cfRule>
  </conditionalFormatting>
  <conditionalFormatting sqref="H222">
    <cfRule type="containsText" dxfId="259" priority="15" stopIfTrue="1" operator="containsText" text="NO HABILITADO">
      <formula>NOT(ISERROR(SEARCH("NO HABILITADO",H222)))</formula>
    </cfRule>
    <cfRule type="containsText" dxfId="258" priority="13" operator="containsText" text="NO CUMPLE">
      <formula>NOT(ISERROR(SEARCH("NO CUMPLE",H222)))</formula>
    </cfRule>
  </conditionalFormatting>
  <conditionalFormatting sqref="H251">
    <cfRule type="containsText" dxfId="257" priority="11" stopIfTrue="1" operator="containsText" text="NO CUMPLE">
      <formula>NOT(ISERROR(SEARCH("NO CUMPLE",H251)))</formula>
    </cfRule>
  </conditionalFormatting>
  <conditionalFormatting sqref="H253">
    <cfRule type="containsText" dxfId="256" priority="10" operator="containsText" text="NO CUMPLE">
      <formula>NOT(ISERROR(SEARCH("NO CUMPLE",H253)))</formula>
    </cfRule>
    <cfRule type="containsText" dxfId="255" priority="12" stopIfTrue="1" operator="containsText" text="NO HABILITADO">
      <formula>NOT(ISERROR(SEARCH("NO HABILITADO",H253)))</formula>
    </cfRule>
  </conditionalFormatting>
  <conditionalFormatting sqref="H255">
    <cfRule type="containsText" dxfId="254" priority="8" operator="containsText" text="NO CUMPLE">
      <formula>NOT(ISERROR(SEARCH("NO CUMPLE",H255)))</formula>
    </cfRule>
    <cfRule type="containsText" dxfId="253" priority="9" stopIfTrue="1" operator="containsText" text="NO HABILITADO">
      <formula>NOT(ISERROR(SEARCH("NO HABILITADO",H255)))</formula>
    </cfRule>
  </conditionalFormatting>
  <conditionalFormatting sqref="H259">
    <cfRule type="containsText" dxfId="252" priority="7" stopIfTrue="1" operator="containsText" text="NO CUMPLE">
      <formula>NOT(ISERROR(SEARCH("NO CUMPLE",H259)))</formula>
    </cfRule>
  </conditionalFormatting>
  <conditionalFormatting sqref="H261">
    <cfRule type="containsText" dxfId="251" priority="5" operator="containsText" text="NO CUMPLE">
      <formula>NOT(ISERROR(SEARCH("NO CUMPLE",H261)))</formula>
    </cfRule>
    <cfRule type="containsText" dxfId="250" priority="6" stopIfTrue="1" operator="containsText" text="NO HABILITADO">
      <formula>NOT(ISERROR(SEARCH("NO HABILITADO",H261)))</formula>
    </cfRule>
  </conditionalFormatting>
  <conditionalFormatting sqref="H263">
    <cfRule type="containsText" dxfId="249" priority="3" operator="containsText" text="NO CUMPLE">
      <formula>NOT(ISERROR(SEARCH("NO CUMPLE",H263)))</formula>
    </cfRule>
    <cfRule type="containsText" dxfId="248" priority="4" stopIfTrue="1" operator="containsText" text="NO HABILITADO">
      <formula>NOT(ISERROR(SEARCH("NO HABILITADO",H263)))</formula>
    </cfRule>
  </conditionalFormatting>
  <conditionalFormatting sqref="H284">
    <cfRule type="containsText" dxfId="247" priority="2" stopIfTrue="1" operator="containsText" text="NO CUMPLE">
      <formula>NOT(ISERROR(SEARCH("NO CUMPLE",H284)))</formula>
    </cfRule>
  </conditionalFormatting>
  <conditionalFormatting sqref="H301">
    <cfRule type="containsText" dxfId="246" priority="1" stopIfTrue="1" operator="containsText" text="NO CUMPLE">
      <formula>NOT(ISERROR(SEARCH("NO CUMPLE",H301)))</formula>
    </cfRule>
  </conditionalFormatting>
  <dataValidations count="3">
    <dataValidation allowBlank="1" showInputMessage="1" showErrorMessage="1" errorTitle="FECHA DE CIERRE DEL PROCESO" error="SOLO COLOCAR FECHA_x000a_" sqref="B4:B6" xr:uid="{00000000-0002-0000-0500-000000000000}"/>
    <dataValidation type="date" operator="greaterThan" allowBlank="1" showInputMessage="1" showErrorMessage="1" errorTitle="OJO" error="REVISAR QUE FECHA DE TERMINACIÓN SEA MAYOR QUE LA DE SUSCRIPCIÓN DEL CONTRATO" sqref="D26 D47 D68 D89 D111 D279 D296" xr:uid="{00000000-0002-0000-0500-000001000000}">
      <formula1>D22</formula1>
    </dataValidation>
    <dataValidation type="whole" allowBlank="1" showInputMessage="1" showErrorMessage="1" sqref="D165 D174 D183 D207 D215 D238 D246 D317 D325" xr:uid="{00000000-0002-0000-0500-000002000000}">
      <formula1>0</formula1>
      <formula2>1E+44</formula2>
    </dataValidation>
  </dataValidations>
  <pageMargins left="0.59" right="0.31496062992125984" top="0.74803149606299213" bottom="0.74803149606299213" header="0.31496062992125984" footer="0.31496062992125984"/>
  <pageSetup scale="85"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500-000003000000}">
          <x14:formula1>
            <xm:f>Ref!$B$3:$C$3</xm:f>
          </x14:formula1>
          <xm:sqref>F134 F130 F122 D27:D34 D48:D55 D69:D76 D90:D97 D112:D119 D152 D161:D162 D157:D159 D170:D171 D179:D180 D200:D204 D211:D212 D231:D235 D242:D243 F258 D280:D283 D297:D300 D313:D314 D321:D322 C345:C346 C353 C355 C359:C362 H134 H130 H122 H258</xm:sqref>
        </x14:dataValidation>
        <x14:dataValidation type="list" allowBlank="1" showInputMessage="1" showErrorMessage="1" xr:uid="{00000000-0002-0000-0500-000004000000}">
          <x14:formula1>
            <xm:f>Ref!$B$4:$G$4</xm:f>
          </x14:formula1>
          <xm:sqref>D151 D195 D226</xm:sqref>
        </x14:dataValidation>
        <x14:dataValidation type="list" allowBlank="1" showInputMessage="1" showErrorMessage="1" xr:uid="{00000000-0002-0000-0500-000005000000}">
          <x14:formula1>
            <xm:f>Ref!$B$5:$C$5</xm:f>
          </x14:formula1>
          <xm:sqref>D164 D324 D173 D182 D316</xm:sqref>
        </x14:dataValidation>
        <x14:dataValidation type="list" allowBlank="1" showInputMessage="1" showErrorMessage="1" xr:uid="{00000000-0002-0000-0500-000006000000}">
          <x14:formula1>
            <xm:f>Ref!$B$7</xm:f>
          </x14:formula1>
          <xm:sqref>D335:D337 D340:D342</xm:sqref>
        </x14:dataValidation>
        <x14:dataValidation type="list" allowBlank="1" showInputMessage="1" showErrorMessage="1" xr:uid="{00000000-0002-0000-0500-000007000000}">
          <x14:formula1>
            <xm:f>Ref!$B$6:$C$6</xm:f>
          </x14:formula1>
          <xm:sqref>D206 D214 D237 D245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367"/>
  <sheetViews>
    <sheetView zoomScaleNormal="100" workbookViewId="0">
      <selection activeCell="J341" sqref="J341"/>
    </sheetView>
  </sheetViews>
  <sheetFormatPr baseColWidth="10" defaultColWidth="40.5" defaultRowHeight="13"/>
  <cols>
    <col min="1" max="1" width="31.83203125" style="20" customWidth="1"/>
    <col min="2" max="2" width="19.33203125" style="20" customWidth="1"/>
    <col min="3" max="3" width="20.6640625" style="20" customWidth="1"/>
    <col min="4" max="4" width="20.1640625" style="20" customWidth="1"/>
    <col min="5" max="5" width="28.5" style="20" customWidth="1"/>
    <col min="6" max="6" width="38.33203125" style="42" customWidth="1"/>
    <col min="7" max="7" width="2.33203125" style="20" customWidth="1"/>
    <col min="8" max="8" width="38.33203125" style="42" hidden="1" customWidth="1"/>
    <col min="9" max="9" width="0" style="20" hidden="1" customWidth="1"/>
    <col min="10" max="16384" width="40.5" style="20"/>
  </cols>
  <sheetData>
    <row r="1" spans="1:8" ht="15" customHeight="1">
      <c r="A1" s="297" t="s">
        <v>87</v>
      </c>
      <c r="B1" s="297"/>
      <c r="C1" s="297"/>
      <c r="D1" s="297"/>
      <c r="E1" s="297"/>
      <c r="F1" s="297"/>
      <c r="H1" s="20"/>
    </row>
    <row r="2" spans="1:8" ht="28.5" customHeight="1">
      <c r="A2" s="297" t="s">
        <v>88</v>
      </c>
      <c r="B2" s="297"/>
      <c r="C2" s="297"/>
      <c r="D2" s="297"/>
      <c r="E2" s="297"/>
      <c r="F2" s="297"/>
      <c r="H2" s="20"/>
    </row>
    <row r="3" spans="1:8">
      <c r="A3" s="21"/>
      <c r="B3" s="22"/>
      <c r="C3" s="22"/>
      <c r="D3" s="22"/>
      <c r="E3" s="22"/>
      <c r="F3" s="22"/>
      <c r="H3" s="22"/>
    </row>
    <row r="4" spans="1:8">
      <c r="A4" s="23" t="s">
        <v>49</v>
      </c>
      <c r="B4" s="298">
        <v>45631</v>
      </c>
      <c r="C4" s="298"/>
      <c r="D4" s="22"/>
      <c r="E4" s="22"/>
      <c r="F4" s="22"/>
      <c r="H4" s="22"/>
    </row>
    <row r="5" spans="1:8">
      <c r="A5" s="23" t="s">
        <v>64</v>
      </c>
      <c r="B5" s="299">
        <f>SUM(B6/1300000)</f>
        <v>433.26314615384615</v>
      </c>
      <c r="C5" s="299"/>
      <c r="D5" s="22"/>
      <c r="E5" s="22"/>
      <c r="F5" s="22"/>
      <c r="H5" s="22"/>
    </row>
    <row r="6" spans="1:8">
      <c r="A6" s="23" t="s">
        <v>63</v>
      </c>
      <c r="B6" s="300">
        <v>563242090</v>
      </c>
      <c r="C6" s="300"/>
      <c r="D6" s="22"/>
      <c r="E6" s="22"/>
      <c r="F6" s="22"/>
      <c r="H6" s="22"/>
    </row>
    <row r="7" spans="1:8" ht="16">
      <c r="A7" s="24" t="s">
        <v>50</v>
      </c>
      <c r="B7" s="301" t="s">
        <v>335</v>
      </c>
      <c r="C7" s="302"/>
      <c r="D7" s="302"/>
      <c r="E7" s="302"/>
      <c r="F7" s="303"/>
      <c r="H7" s="20"/>
    </row>
    <row r="8" spans="1:8">
      <c r="B8" s="25"/>
      <c r="C8" s="25"/>
      <c r="D8" s="25"/>
      <c r="E8" s="25"/>
      <c r="F8" s="25"/>
      <c r="H8" s="25"/>
    </row>
    <row r="9" spans="1:8">
      <c r="A9" s="24" t="s">
        <v>184</v>
      </c>
      <c r="B9" s="294" t="s">
        <v>333</v>
      </c>
      <c r="C9" s="294"/>
      <c r="D9" s="294"/>
      <c r="E9" s="90">
        <v>0.5</v>
      </c>
      <c r="F9" s="25"/>
      <c r="H9" s="25"/>
    </row>
    <row r="10" spans="1:8">
      <c r="A10" s="24" t="s">
        <v>185</v>
      </c>
      <c r="B10" s="294" t="s">
        <v>334</v>
      </c>
      <c r="C10" s="294"/>
      <c r="D10" s="294"/>
      <c r="E10" s="90">
        <v>0.5</v>
      </c>
      <c r="F10" s="25"/>
      <c r="H10" s="25"/>
    </row>
    <row r="11" spans="1:8" hidden="1">
      <c r="A11" s="24" t="s">
        <v>186</v>
      </c>
      <c r="B11" s="240"/>
      <c r="C11" s="240"/>
      <c r="D11" s="240"/>
      <c r="E11" s="90">
        <v>0</v>
      </c>
      <c r="F11" s="25"/>
      <c r="H11" s="25"/>
    </row>
    <row r="12" spans="1:8">
      <c r="B12" s="25"/>
      <c r="C12" s="25"/>
      <c r="D12" s="25"/>
      <c r="E12" s="25"/>
      <c r="F12" s="25"/>
      <c r="H12" s="25"/>
    </row>
    <row r="13" spans="1:8" ht="16">
      <c r="A13" s="245" t="s">
        <v>89</v>
      </c>
      <c r="B13" s="245"/>
      <c r="C13" s="245"/>
      <c r="D13" s="245"/>
      <c r="E13" s="245"/>
      <c r="F13" s="245"/>
      <c r="H13" s="20"/>
    </row>
    <row r="14" spans="1:8" ht="14">
      <c r="A14" s="212" t="s">
        <v>90</v>
      </c>
      <c r="B14" s="212"/>
      <c r="C14" s="212"/>
      <c r="D14" s="212"/>
      <c r="E14" s="212"/>
      <c r="F14" s="212"/>
      <c r="H14" s="20"/>
    </row>
    <row r="15" spans="1:8">
      <c r="A15" s="27"/>
      <c r="B15" s="27"/>
      <c r="C15" s="27"/>
      <c r="D15" s="27"/>
      <c r="E15" s="27"/>
      <c r="F15" s="21"/>
      <c r="H15" s="21"/>
    </row>
    <row r="16" spans="1:8" ht="41.25" customHeight="1">
      <c r="A16" s="28" t="s">
        <v>340</v>
      </c>
      <c r="B16" s="294" t="s">
        <v>343</v>
      </c>
      <c r="C16" s="294"/>
      <c r="D16" s="294"/>
      <c r="E16" s="294"/>
      <c r="F16" s="294"/>
      <c r="H16" s="20"/>
    </row>
    <row r="17" spans="1:8" ht="59.25" customHeight="1">
      <c r="A17" s="28" t="s">
        <v>51</v>
      </c>
      <c r="B17" s="241" t="s">
        <v>336</v>
      </c>
      <c r="C17" s="241"/>
      <c r="D17" s="241"/>
      <c r="E17" s="241"/>
      <c r="F17" s="241"/>
      <c r="H17" s="20"/>
    </row>
    <row r="18" spans="1:8" ht="20.25" customHeight="1">
      <c r="A18" s="23" t="s">
        <v>52</v>
      </c>
      <c r="B18" s="241" t="s">
        <v>349</v>
      </c>
      <c r="C18" s="234"/>
      <c r="D18" s="234"/>
      <c r="E18" s="234"/>
      <c r="F18" s="234"/>
      <c r="H18" s="20"/>
    </row>
    <row r="19" spans="1:8">
      <c r="A19" s="28" t="s">
        <v>65</v>
      </c>
      <c r="B19" s="31" t="s">
        <v>53</v>
      </c>
      <c r="C19" s="32" t="s">
        <v>66</v>
      </c>
      <c r="D19" s="32" t="s">
        <v>54</v>
      </c>
      <c r="E19" s="32" t="s">
        <v>67</v>
      </c>
      <c r="F19" s="32" t="s">
        <v>55</v>
      </c>
      <c r="H19" s="32" t="s">
        <v>55</v>
      </c>
    </row>
    <row r="20" spans="1:8" ht="12.75" customHeight="1">
      <c r="A20" s="227" t="s">
        <v>56</v>
      </c>
      <c r="B20" s="33">
        <v>80101600</v>
      </c>
      <c r="C20" s="29">
        <v>80101600</v>
      </c>
      <c r="D20" s="29">
        <v>68</v>
      </c>
      <c r="E20" s="235" t="str">
        <f>IF(B21=C21,"Acredita",IF(B20=C20,"Acredita","No acredita"))</f>
        <v>Acredita</v>
      </c>
      <c r="F20" s="304"/>
      <c r="H20" s="304"/>
    </row>
    <row r="21" spans="1:8">
      <c r="A21" s="227"/>
      <c r="B21" s="33">
        <v>81101500</v>
      </c>
      <c r="C21" s="30">
        <v>81101500</v>
      </c>
      <c r="D21" s="30">
        <v>68</v>
      </c>
      <c r="E21" s="236"/>
      <c r="F21" s="305"/>
      <c r="H21" s="305"/>
    </row>
    <row r="22" spans="1:8" ht="14">
      <c r="A22" s="237" t="s">
        <v>57</v>
      </c>
      <c r="B22" s="238"/>
      <c r="C22" s="239"/>
      <c r="D22" s="34">
        <v>44880</v>
      </c>
      <c r="E22" s="35" t="str">
        <f>IF(D22="","No acredita","Acredita")</f>
        <v>Acredita</v>
      </c>
      <c r="F22" s="305"/>
      <c r="H22" s="305"/>
    </row>
    <row r="23" spans="1:8" ht="14">
      <c r="A23" s="237" t="s">
        <v>58</v>
      </c>
      <c r="B23" s="238"/>
      <c r="C23" s="239"/>
      <c r="D23" s="36">
        <v>812792912.73000002</v>
      </c>
      <c r="E23" s="35" t="str">
        <f>IF(D23="","No acredita","Acredita")</f>
        <v>Acredita</v>
      </c>
      <c r="F23" s="305"/>
      <c r="H23" s="305"/>
    </row>
    <row r="24" spans="1:8" ht="14">
      <c r="A24" s="237" t="s">
        <v>59</v>
      </c>
      <c r="B24" s="238"/>
      <c r="C24" s="239"/>
      <c r="D24" s="44">
        <f>IFERROR((D23/(VLOOKUP((YEAR(D26)),SMMLV!$A$9:$C$49,3,0)))*'O3'!D25,"0")</f>
        <v>312.6126587423077</v>
      </c>
      <c r="E24" s="37" t="str">
        <f>IF(D24="","No acredita","Acredita")</f>
        <v>Acredita</v>
      </c>
      <c r="F24" s="305"/>
      <c r="H24" s="305"/>
    </row>
    <row r="25" spans="1:8" ht="14">
      <c r="A25" s="237" t="s">
        <v>80</v>
      </c>
      <c r="B25" s="238"/>
      <c r="C25" s="239"/>
      <c r="D25" s="45">
        <v>0.5</v>
      </c>
      <c r="E25" s="35" t="str">
        <f>IF(D25="","No acredita","Acredita")</f>
        <v>Acredita</v>
      </c>
      <c r="F25" s="305"/>
      <c r="H25" s="305"/>
    </row>
    <row r="26" spans="1:8" ht="14">
      <c r="A26" s="237" t="s">
        <v>60</v>
      </c>
      <c r="B26" s="238"/>
      <c r="C26" s="239"/>
      <c r="D26" s="34">
        <v>45382</v>
      </c>
      <c r="E26" s="35" t="str">
        <f>IF(D26="","No acredita","Acredita")</f>
        <v>Acredita</v>
      </c>
      <c r="F26" s="305"/>
      <c r="G26" s="47"/>
      <c r="H26" s="305"/>
    </row>
    <row r="27" spans="1:8" ht="68.25" customHeight="1">
      <c r="A27" s="227" t="s">
        <v>91</v>
      </c>
      <c r="B27" s="227"/>
      <c r="C27" s="227"/>
      <c r="D27" s="38" t="s">
        <v>61</v>
      </c>
      <c r="E27" s="35" t="str">
        <f t="shared" ref="E27:E34" si="0">IF(D27="","No acredita",IF(D27="","",IF(D27="SI","Acredita","No acredita")))</f>
        <v>Acredita</v>
      </c>
      <c r="F27" s="305"/>
      <c r="H27" s="305"/>
    </row>
    <row r="28" spans="1:8" ht="31.5" customHeight="1">
      <c r="A28" s="227" t="s">
        <v>92</v>
      </c>
      <c r="B28" s="227"/>
      <c r="C28" s="227"/>
      <c r="D28" s="38" t="s">
        <v>61</v>
      </c>
      <c r="E28" s="35" t="str">
        <f t="shared" si="0"/>
        <v>Acredita</v>
      </c>
      <c r="F28" s="305"/>
      <c r="H28" s="305"/>
    </row>
    <row r="29" spans="1:8" ht="14">
      <c r="A29" s="227" t="s">
        <v>69</v>
      </c>
      <c r="B29" s="227"/>
      <c r="C29" s="227"/>
      <c r="D29" s="38" t="s">
        <v>61</v>
      </c>
      <c r="E29" s="35" t="str">
        <f t="shared" si="0"/>
        <v>Acredita</v>
      </c>
      <c r="F29" s="305"/>
      <c r="H29" s="305"/>
    </row>
    <row r="30" spans="1:8" ht="14">
      <c r="A30" s="227" t="s">
        <v>103</v>
      </c>
      <c r="B30" s="227"/>
      <c r="C30" s="227"/>
      <c r="D30" s="38" t="s">
        <v>61</v>
      </c>
      <c r="E30" s="35" t="str">
        <f t="shared" si="0"/>
        <v>Acredita</v>
      </c>
      <c r="F30" s="306"/>
      <c r="H30" s="306"/>
    </row>
    <row r="31" spans="1:8" ht="14">
      <c r="A31" s="235" t="s">
        <v>97</v>
      </c>
      <c r="B31" s="288" t="s">
        <v>93</v>
      </c>
      <c r="C31" s="289"/>
      <c r="D31" s="38" t="s">
        <v>61</v>
      </c>
      <c r="E31" s="35" t="str">
        <f t="shared" si="0"/>
        <v>Acredita</v>
      </c>
      <c r="F31" s="307"/>
      <c r="H31" s="307"/>
    </row>
    <row r="32" spans="1:8" ht="14">
      <c r="A32" s="287"/>
      <c r="B32" s="288" t="s">
        <v>94</v>
      </c>
      <c r="C32" s="289"/>
      <c r="D32" s="38" t="s">
        <v>61</v>
      </c>
      <c r="E32" s="35" t="str">
        <f t="shared" si="0"/>
        <v>Acredita</v>
      </c>
      <c r="F32" s="308"/>
      <c r="H32" s="308"/>
    </row>
    <row r="33" spans="1:8" ht="14">
      <c r="A33" s="287"/>
      <c r="B33" s="288" t="s">
        <v>95</v>
      </c>
      <c r="C33" s="289"/>
      <c r="D33" s="38" t="s">
        <v>61</v>
      </c>
      <c r="E33" s="35" t="str">
        <f t="shared" si="0"/>
        <v>Acredita</v>
      </c>
      <c r="F33" s="308"/>
      <c r="H33" s="308"/>
    </row>
    <row r="34" spans="1:8" ht="14">
      <c r="A34" s="236"/>
      <c r="B34" s="288" t="s">
        <v>96</v>
      </c>
      <c r="C34" s="289"/>
      <c r="D34" s="38" t="s">
        <v>61</v>
      </c>
      <c r="E34" s="35" t="str">
        <f t="shared" si="0"/>
        <v>Acredita</v>
      </c>
      <c r="F34" s="309"/>
      <c r="H34" s="309"/>
    </row>
    <row r="35" spans="1:8">
      <c r="A35" s="231" t="s">
        <v>68</v>
      </c>
      <c r="B35" s="231"/>
      <c r="C35" s="231"/>
      <c r="D35" s="231"/>
      <c r="E35" s="232" t="str">
        <f>IF(AND(E20="acredita",E22="acredita",E23="acredita",E24="acredita",E25="acredita",E26="acredita",E27="acredita",E28="acredita",E29="acredita",E30="acredita"),"CUMPLE","NO CUMPLE")</f>
        <v>CUMPLE</v>
      </c>
      <c r="F35" s="233"/>
      <c r="H35" s="20"/>
    </row>
    <row r="36" spans="1:8">
      <c r="A36" s="26"/>
      <c r="B36" s="26"/>
      <c r="C36" s="26"/>
      <c r="D36" s="26"/>
      <c r="E36" s="22"/>
      <c r="F36" s="22"/>
      <c r="H36" s="22"/>
    </row>
    <row r="37" spans="1:8" ht="42" customHeight="1">
      <c r="A37" s="28" t="s">
        <v>342</v>
      </c>
      <c r="B37" s="294" t="s">
        <v>344</v>
      </c>
      <c r="C37" s="294"/>
      <c r="D37" s="294"/>
      <c r="E37" s="294"/>
      <c r="F37" s="294"/>
      <c r="H37" s="20"/>
    </row>
    <row r="38" spans="1:8" ht="38.25" customHeight="1">
      <c r="A38" s="28" t="s">
        <v>51</v>
      </c>
      <c r="B38" s="241" t="s">
        <v>337</v>
      </c>
      <c r="C38" s="241"/>
      <c r="D38" s="241"/>
      <c r="E38" s="241"/>
      <c r="F38" s="241"/>
      <c r="H38" s="20"/>
    </row>
    <row r="39" spans="1:8">
      <c r="A39" s="23" t="s">
        <v>52</v>
      </c>
      <c r="B39" s="234" t="s">
        <v>341</v>
      </c>
      <c r="C39" s="234"/>
      <c r="D39" s="234"/>
      <c r="E39" s="234"/>
      <c r="F39" s="234"/>
      <c r="H39" s="20"/>
    </row>
    <row r="40" spans="1:8">
      <c r="A40" s="28" t="s">
        <v>65</v>
      </c>
      <c r="B40" s="31" t="s">
        <v>53</v>
      </c>
      <c r="C40" s="32" t="s">
        <v>66</v>
      </c>
      <c r="D40" s="32" t="s">
        <v>54</v>
      </c>
      <c r="E40" s="32" t="s">
        <v>67</v>
      </c>
      <c r="F40" s="32" t="s">
        <v>55</v>
      </c>
      <c r="H40" s="32" t="s">
        <v>55</v>
      </c>
    </row>
    <row r="41" spans="1:8">
      <c r="A41" s="227" t="s">
        <v>56</v>
      </c>
      <c r="B41" s="33">
        <v>80101600</v>
      </c>
      <c r="C41" s="29">
        <v>80101600</v>
      </c>
      <c r="D41" s="29">
        <v>70</v>
      </c>
      <c r="E41" s="235" t="str">
        <f>IF(B42=C42,"Acredita",IF(B41=C41,"Acredita","No acredita"))</f>
        <v>Acredita</v>
      </c>
      <c r="F41" s="304"/>
      <c r="H41" s="304"/>
    </row>
    <row r="42" spans="1:8">
      <c r="A42" s="227"/>
      <c r="B42" s="33">
        <v>81101500</v>
      </c>
      <c r="C42" s="30">
        <v>81101500</v>
      </c>
      <c r="D42" s="30">
        <v>70</v>
      </c>
      <c r="E42" s="236"/>
      <c r="F42" s="305"/>
      <c r="H42" s="305"/>
    </row>
    <row r="43" spans="1:8" ht="14">
      <c r="A43" s="237" t="s">
        <v>57</v>
      </c>
      <c r="B43" s="238"/>
      <c r="C43" s="239"/>
      <c r="D43" s="34">
        <v>42264</v>
      </c>
      <c r="E43" s="35" t="str">
        <f>IF(D43="","No acredita","Acredita")</f>
        <v>Acredita</v>
      </c>
      <c r="F43" s="305"/>
      <c r="H43" s="305"/>
    </row>
    <row r="44" spans="1:8" ht="14">
      <c r="A44" s="237" t="s">
        <v>58</v>
      </c>
      <c r="B44" s="238"/>
      <c r="C44" s="239"/>
      <c r="D44" s="36">
        <v>1103386000</v>
      </c>
      <c r="E44" s="35" t="str">
        <f>IF(D44="","No acredita","Acredita")</f>
        <v>Acredita</v>
      </c>
      <c r="F44" s="305"/>
      <c r="H44" s="305"/>
    </row>
    <row r="45" spans="1:8" ht="14">
      <c r="A45" s="237" t="s">
        <v>59</v>
      </c>
      <c r="B45" s="238"/>
      <c r="C45" s="239"/>
      <c r="D45" s="44">
        <f>IFERROR((D44/(VLOOKUP((YEAR(D47)),SMMLV!$A$9:$C$49,3,0)))*'O3'!D46,"0")</f>
        <v>747.83826318222305</v>
      </c>
      <c r="E45" s="37" t="str">
        <f>IF(D45="","No acredita","Acredita")</f>
        <v>Acredita</v>
      </c>
      <c r="F45" s="305"/>
      <c r="H45" s="305"/>
    </row>
    <row r="46" spans="1:8" ht="14">
      <c r="A46" s="237" t="s">
        <v>80</v>
      </c>
      <c r="B46" s="238"/>
      <c r="C46" s="239"/>
      <c r="D46" s="45">
        <v>0.5</v>
      </c>
      <c r="E46" s="35" t="str">
        <f>IF(D46="","No acredita","Acredita")</f>
        <v>Acredita</v>
      </c>
      <c r="F46" s="305"/>
      <c r="H46" s="305"/>
    </row>
    <row r="47" spans="1:8" ht="14">
      <c r="A47" s="237" t="s">
        <v>60</v>
      </c>
      <c r="B47" s="238"/>
      <c r="C47" s="239"/>
      <c r="D47" s="34">
        <v>42916</v>
      </c>
      <c r="E47" s="35" t="str">
        <f>IF(D47="","No acredita","Acredita")</f>
        <v>Acredita</v>
      </c>
      <c r="F47" s="305"/>
      <c r="H47" s="305"/>
    </row>
    <row r="48" spans="1:8" ht="72" customHeight="1">
      <c r="A48" s="227" t="s">
        <v>91</v>
      </c>
      <c r="B48" s="227"/>
      <c r="C48" s="227"/>
      <c r="D48" s="38" t="s">
        <v>61</v>
      </c>
      <c r="E48" s="35" t="str">
        <f t="shared" ref="E48:E55" si="1">IF(D48="","No acredita",IF(D48="","",IF(D48="SI","Acredita","No acredita")))</f>
        <v>Acredita</v>
      </c>
      <c r="F48" s="305"/>
      <c r="H48" s="305"/>
    </row>
    <row r="49" spans="1:8" ht="33" customHeight="1">
      <c r="A49" s="227" t="s">
        <v>92</v>
      </c>
      <c r="B49" s="227"/>
      <c r="C49" s="227"/>
      <c r="D49" s="38" t="s">
        <v>61</v>
      </c>
      <c r="E49" s="35" t="str">
        <f t="shared" si="1"/>
        <v>Acredita</v>
      </c>
      <c r="F49" s="305"/>
      <c r="H49" s="305"/>
    </row>
    <row r="50" spans="1:8" ht="14">
      <c r="A50" s="227" t="s">
        <v>69</v>
      </c>
      <c r="B50" s="227"/>
      <c r="C50" s="227"/>
      <c r="D50" s="38" t="s">
        <v>61</v>
      </c>
      <c r="E50" s="35" t="str">
        <f t="shared" si="1"/>
        <v>Acredita</v>
      </c>
      <c r="F50" s="305"/>
      <c r="H50" s="305"/>
    </row>
    <row r="51" spans="1:8" ht="14">
      <c r="A51" s="227" t="s">
        <v>103</v>
      </c>
      <c r="B51" s="227"/>
      <c r="C51" s="227"/>
      <c r="D51" s="38" t="s">
        <v>61</v>
      </c>
      <c r="E51" s="35" t="str">
        <f t="shared" si="1"/>
        <v>Acredita</v>
      </c>
      <c r="F51" s="306"/>
      <c r="H51" s="306"/>
    </row>
    <row r="52" spans="1:8" ht="14">
      <c r="A52" s="235" t="s">
        <v>97</v>
      </c>
      <c r="B52" s="288" t="s">
        <v>93</v>
      </c>
      <c r="C52" s="289"/>
      <c r="D52" s="38" t="s">
        <v>61</v>
      </c>
      <c r="E52" s="35" t="str">
        <f t="shared" si="1"/>
        <v>Acredita</v>
      </c>
      <c r="F52" s="307"/>
      <c r="H52" s="307"/>
    </row>
    <row r="53" spans="1:8" ht="14">
      <c r="A53" s="287"/>
      <c r="B53" s="288" t="s">
        <v>94</v>
      </c>
      <c r="C53" s="289"/>
      <c r="D53" s="38" t="s">
        <v>61</v>
      </c>
      <c r="E53" s="35" t="str">
        <f t="shared" si="1"/>
        <v>Acredita</v>
      </c>
      <c r="F53" s="308"/>
      <c r="H53" s="308"/>
    </row>
    <row r="54" spans="1:8" ht="14">
      <c r="A54" s="287"/>
      <c r="B54" s="288" t="s">
        <v>95</v>
      </c>
      <c r="C54" s="289"/>
      <c r="D54" s="38" t="s">
        <v>61</v>
      </c>
      <c r="E54" s="35" t="str">
        <f t="shared" si="1"/>
        <v>Acredita</v>
      </c>
      <c r="F54" s="308"/>
      <c r="H54" s="308"/>
    </row>
    <row r="55" spans="1:8" ht="14">
      <c r="A55" s="236"/>
      <c r="B55" s="288" t="s">
        <v>96</v>
      </c>
      <c r="C55" s="289"/>
      <c r="D55" s="38" t="s">
        <v>61</v>
      </c>
      <c r="E55" s="35" t="str">
        <f t="shared" si="1"/>
        <v>Acredita</v>
      </c>
      <c r="F55" s="309"/>
      <c r="H55" s="309"/>
    </row>
    <row r="56" spans="1:8">
      <c r="A56" s="231" t="s">
        <v>70</v>
      </c>
      <c r="B56" s="231"/>
      <c r="C56" s="231"/>
      <c r="D56" s="231"/>
      <c r="E56" s="232" t="str">
        <f>IF(AND(E41="acredita",E43="acredita",E44="acredita",E45="acredita",E46="acredita",E47="acredita",E48="acredita",E49="acredita",E50="acredita",E51="acredita"),"CUMPLE","NO CUMPLE")</f>
        <v>CUMPLE</v>
      </c>
      <c r="F56" s="233"/>
      <c r="H56" s="20"/>
    </row>
    <row r="57" spans="1:8">
      <c r="A57" s="26"/>
      <c r="B57" s="26"/>
      <c r="C57" s="26"/>
      <c r="D57" s="26"/>
      <c r="E57" s="22"/>
      <c r="F57" s="22"/>
      <c r="H57" s="22"/>
    </row>
    <row r="58" spans="1:8" ht="55.5" customHeight="1">
      <c r="A58" s="28" t="s">
        <v>345</v>
      </c>
      <c r="B58" s="294" t="s">
        <v>346</v>
      </c>
      <c r="C58" s="294"/>
      <c r="D58" s="294"/>
      <c r="E58" s="294"/>
      <c r="F58" s="294"/>
      <c r="H58" s="20"/>
    </row>
    <row r="59" spans="1:8" ht="28.5" customHeight="1">
      <c r="A59" s="28" t="s">
        <v>51</v>
      </c>
      <c r="B59" s="241" t="s">
        <v>338</v>
      </c>
      <c r="C59" s="241"/>
      <c r="D59" s="241"/>
      <c r="E59" s="241"/>
      <c r="F59" s="241"/>
      <c r="H59" s="20"/>
    </row>
    <row r="60" spans="1:8">
      <c r="A60" s="23" t="s">
        <v>52</v>
      </c>
      <c r="B60" s="241" t="s">
        <v>350</v>
      </c>
      <c r="C60" s="234"/>
      <c r="D60" s="234"/>
      <c r="E60" s="234"/>
      <c r="F60" s="234"/>
      <c r="H60" s="20"/>
    </row>
    <row r="61" spans="1:8">
      <c r="A61" s="28" t="s">
        <v>65</v>
      </c>
      <c r="B61" s="31" t="s">
        <v>53</v>
      </c>
      <c r="C61" s="32" t="s">
        <v>66</v>
      </c>
      <c r="D61" s="32" t="s">
        <v>54</v>
      </c>
      <c r="E61" s="32" t="s">
        <v>67</v>
      </c>
      <c r="F61" s="32" t="s">
        <v>55</v>
      </c>
      <c r="H61" s="32" t="s">
        <v>55</v>
      </c>
    </row>
    <row r="62" spans="1:8" ht="14">
      <c r="A62" s="227" t="s">
        <v>56</v>
      </c>
      <c r="B62" s="33">
        <v>80101600</v>
      </c>
      <c r="C62" s="29">
        <v>80101600</v>
      </c>
      <c r="D62" s="29" t="s">
        <v>352</v>
      </c>
      <c r="E62" s="235" t="str">
        <f>IF(B63=C63,"Acredita",IF(B62=C62,"Acredita","No acredita"))</f>
        <v>Acredita</v>
      </c>
      <c r="F62" s="332" t="s">
        <v>574</v>
      </c>
      <c r="H62" s="304" t="s">
        <v>347</v>
      </c>
    </row>
    <row r="63" spans="1:8" ht="14">
      <c r="A63" s="227"/>
      <c r="B63" s="33">
        <v>81101500</v>
      </c>
      <c r="C63" s="30">
        <v>81101500</v>
      </c>
      <c r="D63" s="29" t="s">
        <v>352</v>
      </c>
      <c r="E63" s="236"/>
      <c r="F63" s="305"/>
      <c r="H63" s="305"/>
    </row>
    <row r="64" spans="1:8" ht="14">
      <c r="A64" s="237" t="s">
        <v>57</v>
      </c>
      <c r="B64" s="238"/>
      <c r="C64" s="239"/>
      <c r="D64" s="34">
        <v>44293</v>
      </c>
      <c r="E64" s="35" t="str">
        <f>IF(D64="","No acredita","Acredita")</f>
        <v>Acredita</v>
      </c>
      <c r="F64" s="305"/>
      <c r="H64" s="305"/>
    </row>
    <row r="65" spans="1:8" ht="14">
      <c r="A65" s="237" t="s">
        <v>58</v>
      </c>
      <c r="B65" s="238"/>
      <c r="C65" s="239"/>
      <c r="D65" s="36">
        <f>865487786*0</f>
        <v>0</v>
      </c>
      <c r="E65" s="35" t="str">
        <f>IF(D65="","No acredita","Acredita")</f>
        <v>Acredita</v>
      </c>
      <c r="F65" s="305"/>
      <c r="H65" s="305"/>
    </row>
    <row r="66" spans="1:8" ht="14">
      <c r="A66" s="237" t="s">
        <v>59</v>
      </c>
      <c r="B66" s="238"/>
      <c r="C66" s="239"/>
      <c r="D66" s="44">
        <f>IFERROR((D65/(VLOOKUP((YEAR(D68)),SMMLV!$A$9:$C$49,3,0)))*'O3'!D67,"0")</f>
        <v>0</v>
      </c>
      <c r="E66" s="118" t="str">
        <f>IF(D66="","No acredita","Acredita")</f>
        <v>Acredita</v>
      </c>
      <c r="F66" s="305"/>
      <c r="H66" s="305"/>
    </row>
    <row r="67" spans="1:8" ht="14">
      <c r="A67" s="237" t="s">
        <v>80</v>
      </c>
      <c r="B67" s="238"/>
      <c r="C67" s="239"/>
      <c r="D67" s="45">
        <v>1</v>
      </c>
      <c r="E67" s="35" t="str">
        <f>IF(D67="","No acredita","Acredita")</f>
        <v>Acredita</v>
      </c>
      <c r="F67" s="305"/>
      <c r="H67" s="305"/>
    </row>
    <row r="68" spans="1:8" ht="14">
      <c r="A68" s="237" t="s">
        <v>60</v>
      </c>
      <c r="B68" s="238"/>
      <c r="C68" s="239"/>
      <c r="D68" s="34">
        <v>45066</v>
      </c>
      <c r="E68" s="35" t="str">
        <f>IF(D68="","No acredita","Acredita")</f>
        <v>Acredita</v>
      </c>
      <c r="F68" s="305"/>
      <c r="H68" s="305"/>
    </row>
    <row r="69" spans="1:8" ht="65.25" customHeight="1">
      <c r="A69" s="227" t="s">
        <v>91</v>
      </c>
      <c r="B69" s="227"/>
      <c r="C69" s="227"/>
      <c r="D69" s="116" t="s">
        <v>62</v>
      </c>
      <c r="E69" s="117" t="str">
        <f t="shared" ref="E69:E76" si="2">IF(D69="","No acredita",IF(D69="","",IF(D69="SI","Acredita","No acredita")))</f>
        <v>No acredita</v>
      </c>
      <c r="F69" s="305"/>
      <c r="H69" s="305"/>
    </row>
    <row r="70" spans="1:8" ht="28.5" customHeight="1">
      <c r="A70" s="227" t="s">
        <v>92</v>
      </c>
      <c r="B70" s="227"/>
      <c r="C70" s="227"/>
      <c r="D70" s="38" t="s">
        <v>61</v>
      </c>
      <c r="E70" s="35" t="str">
        <f t="shared" si="2"/>
        <v>Acredita</v>
      </c>
      <c r="F70" s="305"/>
      <c r="H70" s="305"/>
    </row>
    <row r="71" spans="1:8" ht="14">
      <c r="A71" s="227" t="s">
        <v>69</v>
      </c>
      <c r="B71" s="227"/>
      <c r="C71" s="227"/>
      <c r="D71" s="38" t="s">
        <v>61</v>
      </c>
      <c r="E71" s="35" t="str">
        <f t="shared" si="2"/>
        <v>Acredita</v>
      </c>
      <c r="F71" s="305"/>
      <c r="H71" s="305"/>
    </row>
    <row r="72" spans="1:8" ht="14">
      <c r="A72" s="227" t="s">
        <v>102</v>
      </c>
      <c r="B72" s="227"/>
      <c r="C72" s="227"/>
      <c r="D72" s="38" t="s">
        <v>61</v>
      </c>
      <c r="E72" s="35" t="str">
        <f t="shared" si="2"/>
        <v>Acredita</v>
      </c>
      <c r="F72" s="306"/>
      <c r="H72" s="306"/>
    </row>
    <row r="73" spans="1:8" ht="14">
      <c r="A73" s="235" t="s">
        <v>97</v>
      </c>
      <c r="B73" s="288" t="s">
        <v>93</v>
      </c>
      <c r="C73" s="289"/>
      <c r="D73" s="38" t="s">
        <v>61</v>
      </c>
      <c r="E73" s="35" t="str">
        <f t="shared" si="2"/>
        <v>Acredita</v>
      </c>
      <c r="F73" s="307"/>
      <c r="H73" s="307"/>
    </row>
    <row r="74" spans="1:8" ht="14">
      <c r="A74" s="287"/>
      <c r="B74" s="288" t="s">
        <v>94</v>
      </c>
      <c r="C74" s="289"/>
      <c r="D74" s="38" t="s">
        <v>61</v>
      </c>
      <c r="E74" s="35" t="str">
        <f t="shared" si="2"/>
        <v>Acredita</v>
      </c>
      <c r="F74" s="308"/>
      <c r="H74" s="308"/>
    </row>
    <row r="75" spans="1:8" ht="14">
      <c r="A75" s="287"/>
      <c r="B75" s="288" t="s">
        <v>95</v>
      </c>
      <c r="C75" s="289"/>
      <c r="D75" s="38" t="s">
        <v>62</v>
      </c>
      <c r="E75" s="35" t="str">
        <f t="shared" si="2"/>
        <v>No acredita</v>
      </c>
      <c r="F75" s="308"/>
      <c r="H75" s="308"/>
    </row>
    <row r="76" spans="1:8" ht="14">
      <c r="A76" s="236"/>
      <c r="B76" s="288" t="s">
        <v>96</v>
      </c>
      <c r="C76" s="289"/>
      <c r="D76" s="38" t="s">
        <v>62</v>
      </c>
      <c r="E76" s="35" t="str">
        <f t="shared" si="2"/>
        <v>No acredita</v>
      </c>
      <c r="F76" s="309"/>
      <c r="H76" s="309"/>
    </row>
    <row r="77" spans="1:8">
      <c r="A77" s="231" t="s">
        <v>71</v>
      </c>
      <c r="B77" s="231"/>
      <c r="C77" s="231"/>
      <c r="D77" s="231"/>
      <c r="E77" s="232" t="str">
        <f>IF(AND(E62="acredita",E64="acredita",E65="acredita",E66="acredita",E67="acredita",E68="acredita",E69="acredita",E70="acredita",E71="acredita",E72="acredita"),"CUMPLE","NO CUMPLE")</f>
        <v>NO CUMPLE</v>
      </c>
      <c r="F77" s="233"/>
      <c r="H77" s="20"/>
    </row>
    <row r="78" spans="1:8">
      <c r="A78" s="26"/>
      <c r="B78" s="26"/>
      <c r="C78" s="26"/>
      <c r="D78" s="26"/>
      <c r="E78" s="22"/>
      <c r="F78" s="22"/>
      <c r="H78" s="22"/>
    </row>
    <row r="79" spans="1:8" ht="56.25" customHeight="1">
      <c r="A79" s="28" t="s">
        <v>348</v>
      </c>
      <c r="B79" s="294" t="s">
        <v>351</v>
      </c>
      <c r="C79" s="294"/>
      <c r="D79" s="294"/>
      <c r="E79" s="294"/>
      <c r="F79" s="294"/>
      <c r="H79" s="20"/>
    </row>
    <row r="80" spans="1:8" ht="30" customHeight="1">
      <c r="A80" s="28" t="s">
        <v>51</v>
      </c>
      <c r="B80" s="241" t="s">
        <v>339</v>
      </c>
      <c r="C80" s="241"/>
      <c r="D80" s="241"/>
      <c r="E80" s="241"/>
      <c r="F80" s="241"/>
      <c r="H80" s="20"/>
    </row>
    <row r="81" spans="1:8">
      <c r="A81" s="23" t="s">
        <v>52</v>
      </c>
      <c r="B81" s="234" t="s">
        <v>353</v>
      </c>
      <c r="C81" s="234"/>
      <c r="D81" s="234"/>
      <c r="E81" s="234"/>
      <c r="F81" s="234"/>
      <c r="H81" s="20"/>
    </row>
    <row r="82" spans="1:8">
      <c r="A82" s="28" t="s">
        <v>65</v>
      </c>
      <c r="B82" s="31" t="s">
        <v>53</v>
      </c>
      <c r="C82" s="32" t="s">
        <v>66</v>
      </c>
      <c r="D82" s="32" t="s">
        <v>54</v>
      </c>
      <c r="E82" s="32" t="s">
        <v>67</v>
      </c>
      <c r="F82" s="32" t="s">
        <v>55</v>
      </c>
      <c r="H82" s="32" t="s">
        <v>55</v>
      </c>
    </row>
    <row r="83" spans="1:8" ht="14">
      <c r="A83" s="227" t="s">
        <v>56</v>
      </c>
      <c r="B83" s="33">
        <v>80101600</v>
      </c>
      <c r="C83" s="29">
        <v>80101600</v>
      </c>
      <c r="D83" s="29" t="s">
        <v>354</v>
      </c>
      <c r="E83" s="235" t="str">
        <f>IF(B84=C84,"Acredita",IF(B83=C83,"Acredita","No acredita"))</f>
        <v>Acredita</v>
      </c>
      <c r="F83" s="304"/>
      <c r="H83" s="304"/>
    </row>
    <row r="84" spans="1:8" ht="14">
      <c r="A84" s="227"/>
      <c r="B84" s="33">
        <v>81101500</v>
      </c>
      <c r="C84" s="30">
        <v>81101500</v>
      </c>
      <c r="D84" s="29" t="s">
        <v>354</v>
      </c>
      <c r="E84" s="236"/>
      <c r="F84" s="305"/>
      <c r="H84" s="305"/>
    </row>
    <row r="85" spans="1:8" ht="14">
      <c r="A85" s="237" t="s">
        <v>57</v>
      </c>
      <c r="B85" s="238"/>
      <c r="C85" s="239"/>
      <c r="D85" s="34">
        <v>44210</v>
      </c>
      <c r="E85" s="35" t="str">
        <f>IF(D85="","No acredita","Acredita")</f>
        <v>Acredita</v>
      </c>
      <c r="F85" s="305"/>
      <c r="H85" s="305"/>
    </row>
    <row r="86" spans="1:8" ht="14">
      <c r="A86" s="237" t="s">
        <v>58</v>
      </c>
      <c r="B86" s="238"/>
      <c r="C86" s="239"/>
      <c r="D86" s="36">
        <v>740487135</v>
      </c>
      <c r="E86" s="35" t="str">
        <f>IF(D86="","No acredita","Acredita")</f>
        <v>Acredita</v>
      </c>
      <c r="F86" s="305"/>
      <c r="H86" s="305"/>
    </row>
    <row r="87" spans="1:8" ht="14">
      <c r="A87" s="237" t="s">
        <v>59</v>
      </c>
      <c r="B87" s="238"/>
      <c r="C87" s="239"/>
      <c r="D87" s="44">
        <f>IFERROR((D86/(VLOOKUP((YEAR(D89)),SMMLV!$A$9:$C$49,3,0)))*'O3'!D88,"0")</f>
        <v>740.48713499999997</v>
      </c>
      <c r="E87" s="37" t="str">
        <f>IF(D87="","No acredita","Acredita")</f>
        <v>Acredita</v>
      </c>
      <c r="F87" s="305"/>
      <c r="H87" s="305"/>
    </row>
    <row r="88" spans="1:8" ht="14">
      <c r="A88" s="237" t="s">
        <v>80</v>
      </c>
      <c r="B88" s="238"/>
      <c r="C88" s="239"/>
      <c r="D88" s="45">
        <v>1</v>
      </c>
      <c r="E88" s="35" t="str">
        <f>IF(D88="","No acredita","Acredita")</f>
        <v>Acredita</v>
      </c>
      <c r="F88" s="305"/>
      <c r="H88" s="305"/>
    </row>
    <row r="89" spans="1:8" ht="14">
      <c r="A89" s="237" t="s">
        <v>60</v>
      </c>
      <c r="B89" s="238"/>
      <c r="C89" s="239"/>
      <c r="D89" s="34">
        <v>44785</v>
      </c>
      <c r="E89" s="35" t="str">
        <f>IF(D89="","No acredita","Acredita")</f>
        <v>Acredita</v>
      </c>
      <c r="F89" s="305"/>
      <c r="H89" s="305"/>
    </row>
    <row r="90" spans="1:8" ht="69.75" customHeight="1">
      <c r="A90" s="227" t="s">
        <v>91</v>
      </c>
      <c r="B90" s="227"/>
      <c r="C90" s="227"/>
      <c r="D90" s="38" t="s">
        <v>61</v>
      </c>
      <c r="E90" s="35" t="str">
        <f t="shared" ref="E90:E97" si="3">IF(D90="","No acredita",IF(D90="","",IF(D90="SI","Acredita","No acredita")))</f>
        <v>Acredita</v>
      </c>
      <c r="F90" s="305"/>
      <c r="H90" s="305"/>
    </row>
    <row r="91" spans="1:8" ht="32.25" customHeight="1">
      <c r="A91" s="227" t="s">
        <v>92</v>
      </c>
      <c r="B91" s="227"/>
      <c r="C91" s="227"/>
      <c r="D91" s="38" t="s">
        <v>61</v>
      </c>
      <c r="E91" s="35" t="str">
        <f t="shared" si="3"/>
        <v>Acredita</v>
      </c>
      <c r="F91" s="305"/>
      <c r="H91" s="305"/>
    </row>
    <row r="92" spans="1:8" ht="14">
      <c r="A92" s="227" t="s">
        <v>69</v>
      </c>
      <c r="B92" s="227"/>
      <c r="C92" s="227"/>
      <c r="D92" s="38" t="s">
        <v>61</v>
      </c>
      <c r="E92" s="35" t="str">
        <f t="shared" si="3"/>
        <v>Acredita</v>
      </c>
      <c r="F92" s="305"/>
      <c r="H92" s="305"/>
    </row>
    <row r="93" spans="1:8" ht="14">
      <c r="A93" s="227" t="s">
        <v>102</v>
      </c>
      <c r="B93" s="227"/>
      <c r="C93" s="227"/>
      <c r="D93" s="38" t="s">
        <v>61</v>
      </c>
      <c r="E93" s="35" t="str">
        <f t="shared" si="3"/>
        <v>Acredita</v>
      </c>
      <c r="F93" s="306"/>
      <c r="H93" s="306"/>
    </row>
    <row r="94" spans="1:8" ht="14">
      <c r="A94" s="235" t="s">
        <v>97</v>
      </c>
      <c r="B94" s="288" t="s">
        <v>93</v>
      </c>
      <c r="C94" s="289"/>
      <c r="D94" s="38" t="s">
        <v>61</v>
      </c>
      <c r="E94" s="35" t="str">
        <f t="shared" si="3"/>
        <v>Acredita</v>
      </c>
      <c r="F94" s="307"/>
      <c r="H94" s="307"/>
    </row>
    <row r="95" spans="1:8" ht="14">
      <c r="A95" s="287"/>
      <c r="B95" s="288" t="s">
        <v>94</v>
      </c>
      <c r="C95" s="289"/>
      <c r="D95" s="38" t="s">
        <v>61</v>
      </c>
      <c r="E95" s="35" t="str">
        <f t="shared" si="3"/>
        <v>Acredita</v>
      </c>
      <c r="F95" s="308"/>
      <c r="H95" s="308"/>
    </row>
    <row r="96" spans="1:8" ht="14">
      <c r="A96" s="287"/>
      <c r="B96" s="288" t="s">
        <v>95</v>
      </c>
      <c r="C96" s="289"/>
      <c r="D96" s="38" t="s">
        <v>61</v>
      </c>
      <c r="E96" s="35" t="str">
        <f t="shared" si="3"/>
        <v>Acredita</v>
      </c>
      <c r="F96" s="308"/>
      <c r="H96" s="308"/>
    </row>
    <row r="97" spans="1:8" ht="14">
      <c r="A97" s="236"/>
      <c r="B97" s="288" t="s">
        <v>96</v>
      </c>
      <c r="C97" s="289"/>
      <c r="D97" s="38" t="s">
        <v>61</v>
      </c>
      <c r="E97" s="35" t="str">
        <f t="shared" si="3"/>
        <v>Acredita</v>
      </c>
      <c r="F97" s="309"/>
      <c r="H97" s="309"/>
    </row>
    <row r="98" spans="1:8">
      <c r="A98" s="231" t="s">
        <v>72</v>
      </c>
      <c r="B98" s="231"/>
      <c r="C98" s="231"/>
      <c r="D98" s="231"/>
      <c r="E98" s="232" t="str">
        <f>IF(AND(E83="acredita",E85="acredita",E86="acredita",E87="acredita",E88="acredita",E89="acredita",E90="acredita",E91="acredita",E92="acredita",E93="acredita"),"CUMPLE","NO CUMPLE")</f>
        <v>CUMPLE</v>
      </c>
      <c r="F98" s="233"/>
      <c r="H98" s="20"/>
    </row>
    <row r="99" spans="1:8">
      <c r="A99" s="26"/>
      <c r="B99" s="26"/>
      <c r="C99" s="26"/>
      <c r="D99" s="26"/>
      <c r="E99" s="22"/>
      <c r="F99" s="22"/>
      <c r="H99" s="22"/>
    </row>
    <row r="100" spans="1:8" hidden="1">
      <c r="A100" s="293" t="s">
        <v>98</v>
      </c>
      <c r="B100" s="293"/>
      <c r="C100" s="293"/>
      <c r="D100" s="293"/>
      <c r="E100" s="293"/>
      <c r="F100" s="293"/>
      <c r="H100" s="20"/>
    </row>
    <row r="101" spans="1:8" hidden="1">
      <c r="A101" s="28" t="s">
        <v>83</v>
      </c>
      <c r="B101" s="294"/>
      <c r="C101" s="294"/>
      <c r="D101" s="294"/>
      <c r="E101" s="294"/>
      <c r="F101" s="294"/>
      <c r="H101" s="20"/>
    </row>
    <row r="102" spans="1:8" hidden="1">
      <c r="A102" s="28" t="s">
        <v>51</v>
      </c>
      <c r="B102" s="241"/>
      <c r="C102" s="241"/>
      <c r="D102" s="241"/>
      <c r="E102" s="241"/>
      <c r="F102" s="241"/>
      <c r="H102" s="20"/>
    </row>
    <row r="103" spans="1:8" hidden="1">
      <c r="A103" s="23" t="s">
        <v>52</v>
      </c>
      <c r="B103" s="234"/>
      <c r="C103" s="234"/>
      <c r="D103" s="234"/>
      <c r="E103" s="234"/>
      <c r="F103" s="234"/>
      <c r="H103" s="20"/>
    </row>
    <row r="104" spans="1:8" hidden="1">
      <c r="A104" s="28" t="s">
        <v>65</v>
      </c>
      <c r="B104" s="31" t="s">
        <v>53</v>
      </c>
      <c r="C104" s="32" t="s">
        <v>66</v>
      </c>
      <c r="D104" s="32" t="s">
        <v>54</v>
      </c>
      <c r="E104" s="32" t="s">
        <v>67</v>
      </c>
      <c r="F104" s="32" t="s">
        <v>55</v>
      </c>
      <c r="H104" s="32"/>
    </row>
    <row r="105" spans="1:8" hidden="1">
      <c r="A105" s="227" t="s">
        <v>56</v>
      </c>
      <c r="B105" s="33">
        <v>80101600</v>
      </c>
      <c r="C105" s="29"/>
      <c r="D105" s="29"/>
      <c r="E105" s="235" t="str">
        <f>IF(B106=C106,"Acredita",IF(B105=C105,"Acredita","No acredita"))</f>
        <v>No acredita</v>
      </c>
      <c r="F105" s="304"/>
      <c r="H105" s="304"/>
    </row>
    <row r="106" spans="1:8" hidden="1">
      <c r="A106" s="227"/>
      <c r="B106" s="33">
        <v>81101500</v>
      </c>
      <c r="C106" s="30"/>
      <c r="D106" s="30"/>
      <c r="E106" s="236"/>
      <c r="F106" s="305"/>
      <c r="H106" s="305"/>
    </row>
    <row r="107" spans="1:8" ht="14" hidden="1">
      <c r="A107" s="237" t="s">
        <v>57</v>
      </c>
      <c r="B107" s="238"/>
      <c r="C107" s="239"/>
      <c r="D107" s="34"/>
      <c r="E107" s="35" t="str">
        <f>IF(D107="","No acredita","Acredita")</f>
        <v>No acredita</v>
      </c>
      <c r="F107" s="305"/>
      <c r="H107" s="305"/>
    </row>
    <row r="108" spans="1:8" ht="14" hidden="1">
      <c r="A108" s="237" t="s">
        <v>58</v>
      </c>
      <c r="B108" s="238"/>
      <c r="C108" s="239"/>
      <c r="D108" s="36"/>
      <c r="E108" s="35" t="str">
        <f>IF(D108="","No acredita","Acredita")</f>
        <v>No acredita</v>
      </c>
      <c r="F108" s="305"/>
      <c r="H108" s="305"/>
    </row>
    <row r="109" spans="1:8" ht="14" hidden="1">
      <c r="A109" s="237" t="s">
        <v>59</v>
      </c>
      <c r="B109" s="238"/>
      <c r="C109" s="239"/>
      <c r="D109" s="44" t="str">
        <f>IFERROR((D108/(VLOOKUP((YEAR(D111)),SMMLV!$A$9:$C$49,3,0)))*'O3'!D110,"0")</f>
        <v>0</v>
      </c>
      <c r="E109" s="37" t="str">
        <f>IF(D109="","No acredita","Acredita")</f>
        <v>Acredita</v>
      </c>
      <c r="F109" s="305"/>
      <c r="H109" s="305"/>
    </row>
    <row r="110" spans="1:8" ht="14" hidden="1">
      <c r="A110" s="237" t="s">
        <v>80</v>
      </c>
      <c r="B110" s="238"/>
      <c r="C110" s="239"/>
      <c r="D110" s="45"/>
      <c r="E110" s="35" t="str">
        <f>IF(D110="","No acredita","Acredita")</f>
        <v>No acredita</v>
      </c>
      <c r="F110" s="305"/>
      <c r="H110" s="305"/>
    </row>
    <row r="111" spans="1:8" ht="14" hidden="1">
      <c r="A111" s="237" t="s">
        <v>60</v>
      </c>
      <c r="B111" s="238"/>
      <c r="C111" s="239"/>
      <c r="D111" s="34"/>
      <c r="E111" s="35" t="str">
        <f>IF(D111="","No acredita","Acredita")</f>
        <v>No acredita</v>
      </c>
      <c r="F111" s="305"/>
      <c r="H111" s="305"/>
    </row>
    <row r="112" spans="1:8" ht="68.25" hidden="1" customHeight="1">
      <c r="A112" s="227" t="s">
        <v>91</v>
      </c>
      <c r="B112" s="227"/>
      <c r="C112" s="227"/>
      <c r="D112" s="38"/>
      <c r="E112" s="35" t="str">
        <f t="shared" ref="E112:E119" si="4">IF(D112="","No acredita",IF(D112="","",IF(D112="SI","Acredita","No acredita")))</f>
        <v>No acredita</v>
      </c>
      <c r="F112" s="305"/>
      <c r="H112" s="305"/>
    </row>
    <row r="113" spans="1:8" ht="27" hidden="1" customHeight="1">
      <c r="A113" s="227" t="s">
        <v>92</v>
      </c>
      <c r="B113" s="227"/>
      <c r="C113" s="227"/>
      <c r="D113" s="38"/>
      <c r="E113" s="35" t="str">
        <f t="shared" si="4"/>
        <v>No acredita</v>
      </c>
      <c r="F113" s="305"/>
      <c r="H113" s="305"/>
    </row>
    <row r="114" spans="1:8" ht="14" hidden="1">
      <c r="A114" s="227" t="s">
        <v>69</v>
      </c>
      <c r="B114" s="227"/>
      <c r="C114" s="227"/>
      <c r="D114" s="38"/>
      <c r="E114" s="35" t="str">
        <f t="shared" si="4"/>
        <v>No acredita</v>
      </c>
      <c r="F114" s="305"/>
      <c r="H114" s="305"/>
    </row>
    <row r="115" spans="1:8" ht="14" hidden="1">
      <c r="A115" s="227" t="s">
        <v>102</v>
      </c>
      <c r="B115" s="227"/>
      <c r="C115" s="227"/>
      <c r="D115" s="38"/>
      <c r="E115" s="35" t="str">
        <f t="shared" si="4"/>
        <v>No acredita</v>
      </c>
      <c r="F115" s="306"/>
      <c r="H115" s="306"/>
    </row>
    <row r="116" spans="1:8" ht="14" hidden="1">
      <c r="A116" s="235" t="s">
        <v>97</v>
      </c>
      <c r="B116" s="288" t="s">
        <v>93</v>
      </c>
      <c r="C116" s="289"/>
      <c r="D116" s="38"/>
      <c r="E116" s="35" t="str">
        <f t="shared" si="4"/>
        <v>No acredita</v>
      </c>
      <c r="F116" s="307"/>
      <c r="H116" s="307"/>
    </row>
    <row r="117" spans="1:8" ht="14" hidden="1">
      <c r="A117" s="287"/>
      <c r="B117" s="288" t="s">
        <v>94</v>
      </c>
      <c r="C117" s="289"/>
      <c r="D117" s="38"/>
      <c r="E117" s="35" t="str">
        <f t="shared" si="4"/>
        <v>No acredita</v>
      </c>
      <c r="F117" s="308"/>
      <c r="H117" s="308"/>
    </row>
    <row r="118" spans="1:8" ht="14" hidden="1">
      <c r="A118" s="287"/>
      <c r="B118" s="288" t="s">
        <v>95</v>
      </c>
      <c r="C118" s="289"/>
      <c r="D118" s="38"/>
      <c r="E118" s="35" t="str">
        <f t="shared" si="4"/>
        <v>No acredita</v>
      </c>
      <c r="F118" s="308"/>
      <c r="H118" s="308"/>
    </row>
    <row r="119" spans="1:8" ht="14" hidden="1">
      <c r="A119" s="236"/>
      <c r="B119" s="288" t="s">
        <v>96</v>
      </c>
      <c r="C119" s="289"/>
      <c r="D119" s="38"/>
      <c r="E119" s="35" t="str">
        <f t="shared" si="4"/>
        <v>No acredita</v>
      </c>
      <c r="F119" s="309"/>
      <c r="H119" s="309"/>
    </row>
    <row r="120" spans="1:8" hidden="1">
      <c r="A120" s="231" t="s">
        <v>73</v>
      </c>
      <c r="B120" s="231"/>
      <c r="C120" s="231"/>
      <c r="D120" s="231"/>
      <c r="E120" s="232" t="str">
        <f>IF(AND(E105="acredita",E107="acredita",E108="acredita",E109="acredita",E110="acredita",E111="acredita",E112="acredita",E113="acredita",E114="acredita",E115="acredita"),"CUMPLE","NO CUMPLE")</f>
        <v>NO CUMPLE</v>
      </c>
      <c r="F120" s="233"/>
      <c r="H120" s="20"/>
    </row>
    <row r="121" spans="1:8" hidden="1">
      <c r="A121" s="26"/>
      <c r="B121" s="26"/>
      <c r="C121" s="26"/>
      <c r="D121" s="26"/>
      <c r="E121" s="22"/>
      <c r="F121" s="22"/>
      <c r="H121" s="22"/>
    </row>
    <row r="122" spans="1:8">
      <c r="A122" s="227" t="s">
        <v>101</v>
      </c>
      <c r="B122" s="227"/>
      <c r="C122" s="227"/>
      <c r="D122" s="227"/>
      <c r="E122" s="227"/>
      <c r="F122" s="46" t="s">
        <v>61</v>
      </c>
      <c r="H122" s="46"/>
    </row>
    <row r="123" spans="1:8">
      <c r="A123" s="227"/>
      <c r="B123" s="227"/>
      <c r="C123" s="227"/>
      <c r="D123" s="227"/>
      <c r="E123" s="227"/>
      <c r="F123" s="43" t="str">
        <f>IF(F122="SI","CUMPLE","NO CUMPLE")</f>
        <v>CUMPLE</v>
      </c>
      <c r="H123" s="43"/>
    </row>
    <row r="124" spans="1:8" ht="31.5" customHeight="1">
      <c r="A124" s="227" t="s">
        <v>86</v>
      </c>
      <c r="B124" s="227"/>
      <c r="C124" s="227"/>
      <c r="D124" s="227"/>
      <c r="E124" s="227"/>
      <c r="F124" s="227"/>
      <c r="H124" s="20"/>
    </row>
    <row r="125" spans="1:8">
      <c r="A125" s="26"/>
      <c r="B125" s="26"/>
      <c r="C125" s="26"/>
      <c r="D125" s="26"/>
      <c r="E125" s="22"/>
      <c r="F125" s="22"/>
      <c r="H125" s="22"/>
    </row>
    <row r="126" spans="1:8">
      <c r="A126" s="227" t="s">
        <v>99</v>
      </c>
      <c r="B126" s="227"/>
      <c r="C126" s="227"/>
      <c r="D126" s="227"/>
      <c r="E126" s="227"/>
      <c r="F126" s="46">
        <f>SUM(D24+D45+D66+D87+D109)</f>
        <v>1800.9380569245309</v>
      </c>
      <c r="H126" s="46"/>
    </row>
    <row r="127" spans="1:8">
      <c r="A127" s="227"/>
      <c r="B127" s="227"/>
      <c r="C127" s="227"/>
      <c r="D127" s="227"/>
      <c r="E127" s="227"/>
      <c r="F127" s="43" t="str">
        <f>IF(F126&gt;=433.26,"CUMPLE","NO CUMPLE")</f>
        <v>CUMPLE</v>
      </c>
      <c r="H127" s="43"/>
    </row>
    <row r="128" spans="1:8" ht="33" customHeight="1">
      <c r="A128" s="227" t="s">
        <v>86</v>
      </c>
      <c r="B128" s="227"/>
      <c r="C128" s="227"/>
      <c r="D128" s="227"/>
      <c r="E128" s="227"/>
      <c r="F128" s="227"/>
      <c r="H128" s="20"/>
    </row>
    <row r="129" spans="1:8">
      <c r="A129" s="41"/>
      <c r="B129" s="41"/>
      <c r="C129" s="41"/>
      <c r="D129" s="41"/>
      <c r="E129" s="41"/>
      <c r="F129" s="22"/>
      <c r="H129" s="22"/>
    </row>
    <row r="130" spans="1:8">
      <c r="A130" s="227" t="s">
        <v>100</v>
      </c>
      <c r="B130" s="227"/>
      <c r="C130" s="227"/>
      <c r="D130" s="227"/>
      <c r="E130" s="227"/>
      <c r="F130" s="46" t="s">
        <v>61</v>
      </c>
      <c r="H130" s="46"/>
    </row>
    <row r="131" spans="1:8" ht="27" customHeight="1">
      <c r="A131" s="227"/>
      <c r="B131" s="227"/>
      <c r="C131" s="227"/>
      <c r="D131" s="227"/>
      <c r="E131" s="227"/>
      <c r="F131" s="43" t="str">
        <f>IF(F130="SI","CUMPLE","NO CUMPLE")</f>
        <v>CUMPLE</v>
      </c>
      <c r="H131" s="43"/>
    </row>
    <row r="132" spans="1:8" ht="29.25" customHeight="1">
      <c r="A132" s="227" t="s">
        <v>84</v>
      </c>
      <c r="B132" s="227"/>
      <c r="C132" s="227"/>
      <c r="D132" s="227"/>
      <c r="E132" s="227"/>
      <c r="F132" s="227"/>
      <c r="H132" s="20"/>
    </row>
    <row r="133" spans="1:8">
      <c r="A133" s="39"/>
      <c r="B133" s="39"/>
      <c r="C133" s="39"/>
      <c r="D133" s="39"/>
      <c r="E133" s="39"/>
      <c r="F133" s="40"/>
      <c r="H133" s="40"/>
    </row>
    <row r="134" spans="1:8">
      <c r="A134" s="227" t="s">
        <v>74</v>
      </c>
      <c r="B134" s="227"/>
      <c r="C134" s="227"/>
      <c r="D134" s="227"/>
      <c r="E134" s="227"/>
      <c r="F134" s="46" t="s">
        <v>61</v>
      </c>
      <c r="H134" s="46"/>
    </row>
    <row r="135" spans="1:8">
      <c r="A135" s="227"/>
      <c r="B135" s="227"/>
      <c r="C135" s="227"/>
      <c r="D135" s="227"/>
      <c r="E135" s="227"/>
      <c r="F135" s="43" t="str">
        <f>IF(F134="SI","CUMPLE","NO CUMPLE")</f>
        <v>CUMPLE</v>
      </c>
      <c r="H135" s="43"/>
    </row>
    <row r="136" spans="1:8" ht="27.75" customHeight="1">
      <c r="A136" s="227" t="s">
        <v>84</v>
      </c>
      <c r="B136" s="227"/>
      <c r="C136" s="227"/>
      <c r="D136" s="227"/>
      <c r="E136" s="227"/>
      <c r="F136" s="227"/>
      <c r="H136" s="20"/>
    </row>
    <row r="137" spans="1:8">
      <c r="A137" s="39"/>
      <c r="B137" s="39"/>
      <c r="C137" s="39"/>
      <c r="D137" s="39"/>
      <c r="E137" s="39"/>
      <c r="F137" s="40"/>
      <c r="H137" s="40"/>
    </row>
    <row r="138" spans="1:8" ht="14">
      <c r="A138" s="284" t="s">
        <v>90</v>
      </c>
      <c r="B138" s="285"/>
      <c r="C138" s="285"/>
      <c r="D138" s="285"/>
      <c r="E138" s="286"/>
      <c r="F138" s="74" t="str">
        <f>IF(AND(F123="cumple",F127="cumple",F131="cumple",F135="cumple"),"CUMPLE","NO CUMPLE")</f>
        <v>CUMPLE</v>
      </c>
      <c r="H138" s="74"/>
    </row>
    <row r="139" spans="1:8">
      <c r="A139" s="39"/>
      <c r="B139" s="39"/>
      <c r="C139" s="39"/>
      <c r="D139" s="39"/>
      <c r="E139" s="39"/>
      <c r="F139" s="40"/>
      <c r="H139" s="40"/>
    </row>
    <row r="140" spans="1:8" hidden="1">
      <c r="A140" s="39"/>
      <c r="B140" s="39"/>
      <c r="C140" s="39"/>
      <c r="D140" s="39"/>
      <c r="E140" s="39"/>
      <c r="F140" s="40"/>
      <c r="H140" s="40"/>
    </row>
    <row r="141" spans="1:8" hidden="1">
      <c r="A141" s="39"/>
      <c r="B141" s="39"/>
      <c r="C141" s="39"/>
      <c r="D141" s="39"/>
      <c r="E141" s="39"/>
      <c r="F141" s="40"/>
      <c r="H141" s="40"/>
    </row>
    <row r="142" spans="1:8" hidden="1">
      <c r="A142" s="39"/>
      <c r="B142" s="39"/>
      <c r="C142" s="39"/>
      <c r="D142" s="39"/>
      <c r="E142" s="39"/>
      <c r="F142" s="40"/>
      <c r="H142" s="40"/>
    </row>
    <row r="143" spans="1:8" hidden="1">
      <c r="A143" s="39"/>
      <c r="B143" s="39"/>
      <c r="C143" s="39"/>
      <c r="D143" s="39"/>
      <c r="E143" s="39"/>
      <c r="F143" s="40"/>
      <c r="H143" s="40"/>
    </row>
    <row r="144" spans="1:8" hidden="1">
      <c r="A144" s="39"/>
      <c r="B144" s="39"/>
      <c r="C144" s="39"/>
      <c r="D144" s="39"/>
      <c r="E144" s="39"/>
      <c r="F144" s="40"/>
      <c r="H144" s="40"/>
    </row>
    <row r="145" spans="1:8" hidden="1">
      <c r="A145" s="39"/>
      <c r="B145" s="39"/>
      <c r="C145" s="39"/>
      <c r="D145" s="39"/>
      <c r="E145" s="39"/>
      <c r="F145" s="40"/>
      <c r="H145" s="40"/>
    </row>
    <row r="146" spans="1:8" hidden="1">
      <c r="A146" s="39"/>
      <c r="B146" s="39"/>
      <c r="C146" s="39"/>
      <c r="D146" s="39"/>
      <c r="E146" s="39"/>
      <c r="F146" s="40"/>
      <c r="H146" s="40"/>
    </row>
    <row r="147" spans="1:8" ht="14">
      <c r="A147" s="212" t="s">
        <v>114</v>
      </c>
      <c r="B147" s="212"/>
      <c r="C147" s="212"/>
      <c r="D147" s="212"/>
      <c r="E147" s="212"/>
      <c r="F147" s="212"/>
      <c r="H147" s="20"/>
    </row>
    <row r="148" spans="1:8">
      <c r="A148" s="262" t="s">
        <v>138</v>
      </c>
      <c r="B148" s="262"/>
      <c r="C148" s="262"/>
      <c r="D148" s="262"/>
      <c r="E148" s="262"/>
      <c r="F148" s="262"/>
      <c r="H148" s="20"/>
    </row>
    <row r="149" spans="1:8">
      <c r="A149" s="281" t="s">
        <v>104</v>
      </c>
      <c r="B149" s="282"/>
      <c r="C149" s="283"/>
      <c r="D149" s="266" t="s">
        <v>355</v>
      </c>
      <c r="E149" s="267"/>
      <c r="F149" s="268"/>
      <c r="H149" s="20"/>
    </row>
    <row r="150" spans="1:8" ht="69.75" customHeight="1">
      <c r="A150" s="73" t="s">
        <v>105</v>
      </c>
      <c r="B150" s="280" t="s">
        <v>124</v>
      </c>
      <c r="C150" s="280"/>
      <c r="D150" s="52" t="s">
        <v>115</v>
      </c>
      <c r="E150" s="52" t="str">
        <f>IF(D150="","NO CUMPLE","CUMPLE")</f>
        <v>CUMPLE</v>
      </c>
      <c r="F150" s="53"/>
      <c r="H150" s="53"/>
    </row>
    <row r="151" spans="1:8" ht="14">
      <c r="A151" s="73" t="s">
        <v>106</v>
      </c>
      <c r="B151" s="280" t="s">
        <v>133</v>
      </c>
      <c r="C151" s="280"/>
      <c r="D151" s="54" t="s">
        <v>61</v>
      </c>
      <c r="E151" s="55" t="str">
        <f>IF(D151="SI","CUMPLE","NO CUMPLE")</f>
        <v>CUMPLE</v>
      </c>
      <c r="F151" s="53" t="s">
        <v>357</v>
      </c>
      <c r="H151" s="53" t="s">
        <v>357</v>
      </c>
    </row>
    <row r="152" spans="1:8" ht="14">
      <c r="A152" s="73" t="s">
        <v>107</v>
      </c>
      <c r="B152" s="280" t="s">
        <v>108</v>
      </c>
      <c r="C152" s="280"/>
      <c r="D152" s="63" t="s">
        <v>356</v>
      </c>
      <c r="E152" s="55" t="str">
        <f>IF(D152="","NO CUMPLE","CUMPLE")</f>
        <v>CUMPLE</v>
      </c>
      <c r="F152" s="53"/>
      <c r="H152" s="53"/>
    </row>
    <row r="153" spans="1:8" ht="14">
      <c r="A153" s="275" t="s">
        <v>109</v>
      </c>
      <c r="B153" s="276"/>
      <c r="C153" s="277"/>
      <c r="D153" s="56">
        <v>45630</v>
      </c>
      <c r="E153" s="55" t="str">
        <f>IF(($B$4-D153)&gt;183,"NO CUMPLE","CUMPLE")</f>
        <v>CUMPLE</v>
      </c>
      <c r="F153" s="53"/>
      <c r="H153" s="53"/>
    </row>
    <row r="154" spans="1:8" ht="14">
      <c r="A154" s="278" t="s">
        <v>107</v>
      </c>
      <c r="B154" s="280" t="s">
        <v>132</v>
      </c>
      <c r="C154" s="280"/>
      <c r="D154" s="54">
        <v>41243</v>
      </c>
      <c r="E154" s="55" t="str">
        <f>IF(D154="","NO CUMPLE","CUMPLE")</f>
        <v>CUMPLE</v>
      </c>
      <c r="F154" s="53"/>
      <c r="G154" s="50"/>
      <c r="H154" s="53"/>
    </row>
    <row r="155" spans="1:8" ht="14">
      <c r="A155" s="279"/>
      <c r="B155" s="280" t="s">
        <v>121</v>
      </c>
      <c r="C155" s="280"/>
      <c r="D155" s="61">
        <f>IF(D154&gt;0,(($B$4-D154)/365))</f>
        <v>12.021917808219179</v>
      </c>
      <c r="E155" s="62" t="str">
        <f>IF(D154="","NO CUMPLE",IF(D155&gt;=10,"CUMPLE","NO CUMPLE"))</f>
        <v>CUMPLE</v>
      </c>
      <c r="F155" s="53"/>
      <c r="G155" s="50"/>
      <c r="H155" s="53"/>
    </row>
    <row r="156" spans="1:8" ht="14">
      <c r="A156" s="275" t="s">
        <v>125</v>
      </c>
      <c r="B156" s="276"/>
      <c r="C156" s="277"/>
      <c r="D156" s="34" t="s">
        <v>61</v>
      </c>
      <c r="E156" s="106" t="str">
        <f>IF(D156="SI","CUMPLE","NO CUMPLE")</f>
        <v>CUMPLE</v>
      </c>
      <c r="F156" s="53"/>
      <c r="G156" s="50"/>
      <c r="H156" s="53"/>
    </row>
    <row r="157" spans="1:8" ht="14">
      <c r="A157" s="275" t="s">
        <v>126</v>
      </c>
      <c r="B157" s="276"/>
      <c r="C157" s="277"/>
      <c r="D157" s="54" t="s">
        <v>61</v>
      </c>
      <c r="E157" s="55" t="str">
        <f t="shared" ref="E157:E158" si="5">IF(D157="SI","CUMPLE","NO CUMPLE")</f>
        <v>CUMPLE</v>
      </c>
      <c r="F157" s="53"/>
      <c r="G157" s="50"/>
      <c r="H157" s="53"/>
    </row>
    <row r="158" spans="1:8" ht="14">
      <c r="A158" s="275" t="s">
        <v>127</v>
      </c>
      <c r="B158" s="276"/>
      <c r="C158" s="277"/>
      <c r="D158" s="54" t="s">
        <v>61</v>
      </c>
      <c r="E158" s="55" t="str">
        <f t="shared" si="5"/>
        <v>CUMPLE</v>
      </c>
      <c r="F158" s="53"/>
      <c r="G158" s="50"/>
      <c r="H158" s="53"/>
    </row>
    <row r="159" spans="1:8">
      <c r="A159" s="64"/>
      <c r="B159" s="65"/>
      <c r="C159" s="65"/>
      <c r="D159" s="66"/>
      <c r="E159" s="67"/>
      <c r="F159" s="68"/>
      <c r="G159" s="50"/>
      <c r="H159" s="68"/>
    </row>
    <row r="160" spans="1:8" ht="146.25" customHeight="1">
      <c r="A160" s="220" t="s">
        <v>358</v>
      </c>
      <c r="B160" s="221"/>
      <c r="C160" s="59" t="s">
        <v>122</v>
      </c>
      <c r="D160" s="54" t="s">
        <v>61</v>
      </c>
      <c r="E160" s="55" t="str">
        <f>IF(D160="SI","CUMPLE","NO CUMPLE")</f>
        <v>CUMPLE</v>
      </c>
      <c r="F160" s="310" t="s">
        <v>573</v>
      </c>
      <c r="H160" s="310" t="s">
        <v>360</v>
      </c>
    </row>
    <row r="161" spans="1:8" ht="37.5" customHeight="1">
      <c r="A161" s="222"/>
      <c r="B161" s="223"/>
      <c r="C161" s="59" t="s">
        <v>123</v>
      </c>
      <c r="D161" s="54" t="s">
        <v>61</v>
      </c>
      <c r="E161" s="55" t="str">
        <f>IF(D161="SI","CUMPLE","NO CUMPLE")</f>
        <v>CUMPLE</v>
      </c>
      <c r="F161" s="311"/>
      <c r="H161" s="311"/>
    </row>
    <row r="162" spans="1:8" ht="28">
      <c r="A162" s="222"/>
      <c r="B162" s="223"/>
      <c r="C162" s="59" t="s">
        <v>128</v>
      </c>
      <c r="D162" s="133" t="s">
        <v>359</v>
      </c>
      <c r="E162" s="55" t="str">
        <f>IF(D162="","NO CUMPLE","CUMPLE")</f>
        <v>CUMPLE</v>
      </c>
      <c r="F162" s="311"/>
      <c r="H162" s="311"/>
    </row>
    <row r="163" spans="1:8" ht="14">
      <c r="A163" s="222"/>
      <c r="B163" s="223"/>
      <c r="C163" s="59" t="s">
        <v>129</v>
      </c>
      <c r="D163" s="56" t="s">
        <v>130</v>
      </c>
      <c r="E163" s="55" t="str">
        <f>IF(D163="Director Interventoria","CUMPLE","NO CUMPLE")</f>
        <v>CUMPLE</v>
      </c>
      <c r="F163" s="311"/>
      <c r="H163" s="311"/>
    </row>
    <row r="164" spans="1:8" ht="14">
      <c r="A164" s="222"/>
      <c r="B164" s="223"/>
      <c r="C164" s="60" t="s">
        <v>110</v>
      </c>
      <c r="D164" s="58">
        <v>197241795</v>
      </c>
      <c r="E164" s="55" t="str">
        <f>IF(D164="","NO CUMPLE","CUMPLE")</f>
        <v>CUMPLE</v>
      </c>
      <c r="F164" s="311"/>
      <c r="H164" s="311"/>
    </row>
    <row r="165" spans="1:8" ht="14">
      <c r="A165" s="222"/>
      <c r="B165" s="223"/>
      <c r="C165" s="60" t="s">
        <v>111</v>
      </c>
      <c r="D165" s="57">
        <v>43129</v>
      </c>
      <c r="E165" s="55" t="str">
        <f>IF(D165="","NO CUMPLE","CUMPLE")</f>
        <v>CUMPLE</v>
      </c>
      <c r="F165" s="311"/>
      <c r="H165" s="311"/>
    </row>
    <row r="166" spans="1:8" ht="14">
      <c r="A166" s="222"/>
      <c r="B166" s="223"/>
      <c r="C166" s="60" t="s">
        <v>112</v>
      </c>
      <c r="D166" s="57">
        <v>43280</v>
      </c>
      <c r="E166" s="55" t="str">
        <f t="shared" ref="E166" si="6">IF(D166="","NO CUMPLE","CUMPLE")</f>
        <v>CUMPLE</v>
      </c>
      <c r="F166" s="312"/>
      <c r="G166" s="51"/>
      <c r="H166" s="312"/>
    </row>
    <row r="167" spans="1:8">
      <c r="A167" s="224"/>
      <c r="B167" s="225"/>
      <c r="C167" s="60" t="s">
        <v>113</v>
      </c>
      <c r="D167" s="107">
        <f>IFERROR((D164/(VLOOKUP((YEAR(D166)),SMMLV!$A$9:$C$49,3,0))),"0")</f>
        <v>252.47208291412903</v>
      </c>
      <c r="E167" s="62"/>
      <c r="F167" s="109"/>
      <c r="H167" s="109"/>
    </row>
    <row r="168" spans="1:8" ht="15">
      <c r="A168" s="69"/>
      <c r="B168" s="69"/>
      <c r="C168" s="69"/>
      <c r="D168" s="69"/>
      <c r="E168" s="69"/>
      <c r="F168" s="69"/>
      <c r="H168" s="69"/>
    </row>
    <row r="169" spans="1:8" ht="140.25" customHeight="1">
      <c r="A169" s="220" t="s">
        <v>366</v>
      </c>
      <c r="B169" s="221"/>
      <c r="C169" s="59" t="s">
        <v>122</v>
      </c>
      <c r="D169" s="54" t="s">
        <v>61</v>
      </c>
      <c r="E169" s="55" t="str">
        <f>IF(D169="SI","CUMPLE","NO CUMPLE")</f>
        <v>CUMPLE</v>
      </c>
      <c r="F169" s="310" t="s">
        <v>362</v>
      </c>
      <c r="H169" s="310" t="s">
        <v>362</v>
      </c>
    </row>
    <row r="170" spans="1:8" ht="41.25" customHeight="1">
      <c r="A170" s="222"/>
      <c r="B170" s="223"/>
      <c r="C170" s="59" t="s">
        <v>123</v>
      </c>
      <c r="D170" s="54" t="s">
        <v>61</v>
      </c>
      <c r="E170" s="55" t="str">
        <f>IF(D170="SI","CUMPLE","NO CUMPLE")</f>
        <v>CUMPLE</v>
      </c>
      <c r="F170" s="311"/>
      <c r="H170" s="311"/>
    </row>
    <row r="171" spans="1:8" ht="14">
      <c r="A171" s="222"/>
      <c r="B171" s="223"/>
      <c r="C171" s="59" t="s">
        <v>128</v>
      </c>
      <c r="D171" s="56" t="s">
        <v>361</v>
      </c>
      <c r="E171" s="55" t="str">
        <f>IF(D171="","NO CUMPLE","CUMPLE")</f>
        <v>CUMPLE</v>
      </c>
      <c r="F171" s="311"/>
      <c r="H171" s="311"/>
    </row>
    <row r="172" spans="1:8" ht="14">
      <c r="A172" s="222"/>
      <c r="B172" s="223"/>
      <c r="C172" s="59" t="s">
        <v>129</v>
      </c>
      <c r="D172" s="56" t="s">
        <v>130</v>
      </c>
      <c r="E172" s="55" t="str">
        <f>IF(D172="Director Interventoria","CUMPLE","NO CUMPLE")</f>
        <v>CUMPLE</v>
      </c>
      <c r="F172" s="311"/>
      <c r="H172" s="311"/>
    </row>
    <row r="173" spans="1:8" ht="14">
      <c r="A173" s="222"/>
      <c r="B173" s="223"/>
      <c r="C173" s="60" t="s">
        <v>110</v>
      </c>
      <c r="D173" s="58">
        <v>96999996</v>
      </c>
      <c r="E173" s="55" t="str">
        <f>IF(D173="","NO CUMPLE","CUMPLE")</f>
        <v>CUMPLE</v>
      </c>
      <c r="F173" s="311"/>
      <c r="H173" s="311"/>
    </row>
    <row r="174" spans="1:8" ht="14">
      <c r="A174" s="222"/>
      <c r="B174" s="223"/>
      <c r="C174" s="60" t="s">
        <v>111</v>
      </c>
      <c r="D174" s="57">
        <v>43480</v>
      </c>
      <c r="E174" s="55" t="str">
        <f>IF(D174="","NO CUMPLE","CUMPLE")</f>
        <v>CUMPLE</v>
      </c>
      <c r="F174" s="311"/>
      <c r="H174" s="311"/>
    </row>
    <row r="175" spans="1:8" ht="14">
      <c r="A175" s="222"/>
      <c r="B175" s="223"/>
      <c r="C175" s="60" t="s">
        <v>112</v>
      </c>
      <c r="D175" s="57">
        <v>43660</v>
      </c>
      <c r="E175" s="55" t="str">
        <f t="shared" ref="E175" si="7">IF(D175="","NO CUMPLE","CUMPLE")</f>
        <v>CUMPLE</v>
      </c>
      <c r="F175" s="312"/>
      <c r="H175" s="312"/>
    </row>
    <row r="176" spans="1:8">
      <c r="A176" s="224"/>
      <c r="B176" s="225"/>
      <c r="C176" s="60" t="s">
        <v>113</v>
      </c>
      <c r="D176" s="61">
        <f>IFERROR((D173/(VLOOKUP((YEAR(D175)),SMMLV!$A$9:$C$49,3,0))),"0")</f>
        <v>117.13334363784784</v>
      </c>
      <c r="E176" s="62"/>
      <c r="F176" s="53"/>
      <c r="H176" s="53"/>
    </row>
    <row r="177" spans="1:8" ht="15">
      <c r="A177" s="69"/>
      <c r="B177" s="69"/>
      <c r="C177" s="69"/>
      <c r="D177" s="69"/>
      <c r="E177" s="69"/>
      <c r="F177" s="69"/>
      <c r="H177" s="69"/>
    </row>
    <row r="178" spans="1:8" ht="140.25" customHeight="1">
      <c r="A178" s="220" t="s">
        <v>365</v>
      </c>
      <c r="B178" s="221"/>
      <c r="C178" s="59" t="s">
        <v>122</v>
      </c>
      <c r="D178" s="54" t="s">
        <v>61</v>
      </c>
      <c r="E178" s="55" t="str">
        <f>IF(D178="SI","CUMPLE","NO CUMPLE")</f>
        <v>CUMPLE</v>
      </c>
      <c r="F178" s="310" t="s">
        <v>364</v>
      </c>
      <c r="H178" s="310" t="s">
        <v>364</v>
      </c>
    </row>
    <row r="179" spans="1:8" ht="40.5" customHeight="1">
      <c r="A179" s="222"/>
      <c r="B179" s="223"/>
      <c r="C179" s="59" t="s">
        <v>123</v>
      </c>
      <c r="D179" s="54" t="s">
        <v>61</v>
      </c>
      <c r="E179" s="55" t="str">
        <f>IF(D179="SI","CUMPLE","NO CUMPLE")</f>
        <v>CUMPLE</v>
      </c>
      <c r="F179" s="311"/>
      <c r="H179" s="311"/>
    </row>
    <row r="180" spans="1:8" ht="28">
      <c r="A180" s="222"/>
      <c r="B180" s="223"/>
      <c r="C180" s="59" t="s">
        <v>128</v>
      </c>
      <c r="D180" s="56" t="s">
        <v>363</v>
      </c>
      <c r="E180" s="55" t="str">
        <f>IF(D180="","NO CUMPLE","CUMPLE")</f>
        <v>CUMPLE</v>
      </c>
      <c r="F180" s="311"/>
      <c r="H180" s="311"/>
    </row>
    <row r="181" spans="1:8" ht="14">
      <c r="A181" s="222"/>
      <c r="B181" s="223"/>
      <c r="C181" s="59" t="s">
        <v>129</v>
      </c>
      <c r="D181" s="56" t="s">
        <v>130</v>
      </c>
      <c r="E181" s="55" t="str">
        <f>IF(D181="Director Interventoria","CUMPLE","NO CUMPLE")</f>
        <v>CUMPLE</v>
      </c>
      <c r="F181" s="311"/>
      <c r="H181" s="311"/>
    </row>
    <row r="182" spans="1:8" ht="14">
      <c r="A182" s="222"/>
      <c r="B182" s="223"/>
      <c r="C182" s="60" t="s">
        <v>110</v>
      </c>
      <c r="D182" s="58">
        <v>118012300</v>
      </c>
      <c r="E182" s="55" t="str">
        <f>IF(D182="","NO CUMPLE","CUMPLE")</f>
        <v>CUMPLE</v>
      </c>
      <c r="F182" s="311"/>
      <c r="H182" s="311"/>
    </row>
    <row r="183" spans="1:8" ht="14">
      <c r="A183" s="222"/>
      <c r="B183" s="223"/>
      <c r="C183" s="60" t="s">
        <v>111</v>
      </c>
      <c r="D183" s="57">
        <v>43704</v>
      </c>
      <c r="E183" s="55" t="str">
        <f>IF(D183="","NO CUMPLE","CUMPLE")</f>
        <v>CUMPLE</v>
      </c>
      <c r="F183" s="311"/>
      <c r="H183" s="311"/>
    </row>
    <row r="184" spans="1:8" ht="14">
      <c r="A184" s="222"/>
      <c r="B184" s="223"/>
      <c r="C184" s="60" t="s">
        <v>112</v>
      </c>
      <c r="D184" s="57">
        <v>44043</v>
      </c>
      <c r="E184" s="55" t="str">
        <f t="shared" ref="E184" si="8">IF(D184="","NO CUMPLE","CUMPLE")</f>
        <v>CUMPLE</v>
      </c>
      <c r="F184" s="312"/>
      <c r="H184" s="312"/>
    </row>
    <row r="185" spans="1:8">
      <c r="A185" s="224"/>
      <c r="B185" s="225"/>
      <c r="C185" s="60" t="s">
        <v>113</v>
      </c>
      <c r="D185" s="61">
        <f>IFERROR((D182/(VLOOKUP((YEAR(D184)),SMMLV!$A$9:$C$49,3,0))),"0")</f>
        <v>134.44052936706754</v>
      </c>
      <c r="E185" s="62"/>
      <c r="F185" s="53"/>
      <c r="H185" s="53"/>
    </row>
    <row r="186" spans="1:8" ht="15">
      <c r="A186" s="69"/>
      <c r="B186" s="69"/>
      <c r="C186" s="69"/>
      <c r="D186" s="69"/>
      <c r="E186" s="69"/>
      <c r="F186" s="69"/>
      <c r="H186" s="69"/>
    </row>
    <row r="187" spans="1:8">
      <c r="A187" s="227" t="s">
        <v>203</v>
      </c>
      <c r="B187" s="227"/>
      <c r="C187" s="227"/>
      <c r="D187" s="227"/>
      <c r="E187" s="227"/>
      <c r="F187" s="114">
        <f>SUM(D167+D176+D185)</f>
        <v>504.04595591904439</v>
      </c>
      <c r="H187" s="71"/>
    </row>
    <row r="188" spans="1:8">
      <c r="A188" s="227"/>
      <c r="B188" s="227"/>
      <c r="C188" s="227"/>
      <c r="D188" s="227"/>
      <c r="E188" s="227"/>
      <c r="F188" s="43" t="str">
        <f>IF(F187&gt;=433.26,"CUMPLE","NO CUMPLE")</f>
        <v>CUMPLE</v>
      </c>
      <c r="H188" s="43"/>
    </row>
    <row r="189" spans="1:8" ht="33" customHeight="1">
      <c r="A189" s="227" t="s">
        <v>84</v>
      </c>
      <c r="B189" s="227"/>
      <c r="C189" s="227"/>
      <c r="D189" s="227"/>
      <c r="E189" s="227"/>
      <c r="F189" s="227"/>
      <c r="H189" s="20"/>
    </row>
    <row r="190" spans="1:8">
      <c r="A190" s="246" t="s">
        <v>138</v>
      </c>
      <c r="B190" s="247"/>
      <c r="C190" s="247"/>
      <c r="D190" s="247"/>
      <c r="E190" s="248"/>
      <c r="F190" s="70" t="str">
        <f>IF(AND(E150="cumple",E151="cumple",E152="cumple",E153="cumple",E154="cumple",E155="cumple",E156="cumple",E157="cumple",E158="cumple",F188="cumple"),"CUMPLE","NO CUMPLE")</f>
        <v>CUMPLE</v>
      </c>
      <c r="H190" s="70"/>
    </row>
    <row r="191" spans="1:8" ht="15">
      <c r="A191" s="69"/>
      <c r="B191" s="69"/>
      <c r="C191" s="69"/>
      <c r="D191" s="69"/>
      <c r="E191" s="69"/>
      <c r="F191" s="69"/>
      <c r="H191" s="69"/>
    </row>
    <row r="192" spans="1:8">
      <c r="A192" s="262" t="s">
        <v>137</v>
      </c>
      <c r="B192" s="262"/>
      <c r="C192" s="262"/>
      <c r="D192" s="262"/>
      <c r="E192" s="262"/>
      <c r="F192" s="262"/>
      <c r="H192" s="20"/>
    </row>
    <row r="193" spans="1:8">
      <c r="A193" s="263" t="s">
        <v>104</v>
      </c>
      <c r="B193" s="264"/>
      <c r="C193" s="265"/>
      <c r="D193" s="266" t="s">
        <v>367</v>
      </c>
      <c r="E193" s="267"/>
      <c r="F193" s="268"/>
      <c r="H193" s="20"/>
    </row>
    <row r="194" spans="1:8" ht="14">
      <c r="A194" s="99" t="s">
        <v>105</v>
      </c>
      <c r="B194" s="256" t="s">
        <v>124</v>
      </c>
      <c r="C194" s="256"/>
      <c r="D194" s="52" t="s">
        <v>116</v>
      </c>
      <c r="E194" s="52" t="str">
        <f>IF(D194="","NO CUMPLE","CUMPLE")</f>
        <v>CUMPLE</v>
      </c>
      <c r="F194" s="53"/>
      <c r="H194" s="53"/>
    </row>
    <row r="195" spans="1:8" ht="28">
      <c r="A195" s="99" t="s">
        <v>107</v>
      </c>
      <c r="B195" s="256" t="s">
        <v>108</v>
      </c>
      <c r="C195" s="256"/>
      <c r="D195" s="55" t="s">
        <v>368</v>
      </c>
      <c r="E195" s="55" t="str">
        <f>IF(D195="","NO CUMPLE","CUMPLE")</f>
        <v>CUMPLE</v>
      </c>
      <c r="F195" s="53"/>
      <c r="H195" s="53"/>
    </row>
    <row r="196" spans="1:8" ht="14">
      <c r="A196" s="253" t="s">
        <v>109</v>
      </c>
      <c r="B196" s="254"/>
      <c r="C196" s="255"/>
      <c r="D196" s="56">
        <v>45630</v>
      </c>
      <c r="E196" s="55" t="str">
        <f>IF(($B$4-D196)&gt;183,"NO CUMPLE","CUMPLE")</f>
        <v>CUMPLE</v>
      </c>
      <c r="F196" s="53"/>
      <c r="H196" s="53"/>
    </row>
    <row r="197" spans="1:8" ht="14">
      <c r="A197" s="257" t="s">
        <v>107</v>
      </c>
      <c r="B197" s="256" t="s">
        <v>132</v>
      </c>
      <c r="C197" s="256"/>
      <c r="D197" s="54">
        <v>43406</v>
      </c>
      <c r="E197" s="55" t="str">
        <f>IF(D197="","NO CUMPLE","CUMPLE")</f>
        <v>CUMPLE</v>
      </c>
      <c r="F197" s="53"/>
      <c r="H197" s="53"/>
    </row>
    <row r="198" spans="1:8" ht="14">
      <c r="A198" s="258"/>
      <c r="B198" s="256" t="s">
        <v>269</v>
      </c>
      <c r="C198" s="256"/>
      <c r="D198" s="100">
        <f>IF(D197&gt;0,(($B$4-D197)/365))</f>
        <v>6.095890410958904</v>
      </c>
      <c r="E198" s="101" t="str">
        <f>IF(D197="","NO CUMPLE",IF(D198&gt;=6,"CUMPLE","NO CUMPLE"))</f>
        <v>CUMPLE</v>
      </c>
      <c r="F198" s="53"/>
      <c r="H198" s="53"/>
    </row>
    <row r="199" spans="1:8" ht="14">
      <c r="A199" s="253" t="s">
        <v>125</v>
      </c>
      <c r="B199" s="254"/>
      <c r="C199" s="255"/>
      <c r="D199" s="54" t="s">
        <v>61</v>
      </c>
      <c r="E199" s="55" t="str">
        <f t="shared" ref="E199:E201" si="9">IF(D199="SI","CUMPLE","NO CUMPLE")</f>
        <v>CUMPLE</v>
      </c>
      <c r="F199" s="53"/>
      <c r="H199" s="53"/>
    </row>
    <row r="200" spans="1:8" ht="14">
      <c r="A200" s="253" t="s">
        <v>126</v>
      </c>
      <c r="B200" s="254"/>
      <c r="C200" s="255"/>
      <c r="D200" s="54" t="s">
        <v>61</v>
      </c>
      <c r="E200" s="55" t="str">
        <f t="shared" si="9"/>
        <v>CUMPLE</v>
      </c>
      <c r="F200" s="53"/>
      <c r="H200" s="53"/>
    </row>
    <row r="201" spans="1:8" ht="14">
      <c r="A201" s="253" t="s">
        <v>127</v>
      </c>
      <c r="B201" s="254"/>
      <c r="C201" s="255"/>
      <c r="D201" s="54" t="s">
        <v>61</v>
      </c>
      <c r="E201" s="55" t="str">
        <f t="shared" si="9"/>
        <v>CUMPLE</v>
      </c>
      <c r="F201" s="53"/>
      <c r="H201" s="53"/>
    </row>
    <row r="202" spans="1:8" ht="140.25" customHeight="1">
      <c r="A202" s="220" t="s">
        <v>575</v>
      </c>
      <c r="B202" s="221"/>
      <c r="C202" s="102" t="s">
        <v>122</v>
      </c>
      <c r="D202" s="54" t="s">
        <v>61</v>
      </c>
      <c r="E202" s="55" t="str">
        <f>IF(D202="SI","CUMPLE","NO CUMPLE")</f>
        <v>CUMPLE</v>
      </c>
      <c r="F202" s="310" t="s">
        <v>576</v>
      </c>
      <c r="H202" s="310" t="s">
        <v>372</v>
      </c>
    </row>
    <row r="203" spans="1:8" ht="42" customHeight="1">
      <c r="A203" s="222"/>
      <c r="B203" s="223"/>
      <c r="C203" s="102" t="s">
        <v>123</v>
      </c>
      <c r="D203" s="54" t="s">
        <v>61</v>
      </c>
      <c r="E203" s="55" t="str">
        <f>IF(D203="SI","CUMPLE","NO CUMPLE")</f>
        <v>CUMPLE</v>
      </c>
      <c r="F203" s="311"/>
      <c r="H203" s="311"/>
    </row>
    <row r="204" spans="1:8" ht="28">
      <c r="A204" s="222"/>
      <c r="B204" s="223"/>
      <c r="C204" s="102" t="s">
        <v>128</v>
      </c>
      <c r="D204" s="133" t="s">
        <v>369</v>
      </c>
      <c r="E204" s="55" t="str">
        <f>IF(D204="","NO CUMPLE","CUMPLE")</f>
        <v>CUMPLE</v>
      </c>
      <c r="F204" s="311"/>
      <c r="H204" s="311"/>
    </row>
    <row r="205" spans="1:8" ht="14">
      <c r="A205" s="222"/>
      <c r="B205" s="223"/>
      <c r="C205" s="102" t="s">
        <v>129</v>
      </c>
      <c r="D205" s="56" t="s">
        <v>204</v>
      </c>
      <c r="E205" s="55" t="str">
        <f>IF(D205="Residente Interventoría","CUMPLE","NO CUMPLE")</f>
        <v>CUMPLE</v>
      </c>
      <c r="F205" s="311"/>
      <c r="H205" s="311"/>
    </row>
    <row r="206" spans="1:8" ht="14">
      <c r="A206" s="222"/>
      <c r="B206" s="223"/>
      <c r="C206" s="103" t="s">
        <v>110</v>
      </c>
      <c r="D206" s="58">
        <v>865487786</v>
      </c>
      <c r="E206" s="55" t="str">
        <f>IF(D206="","NO CUMPLE","CUMPLE")</f>
        <v>CUMPLE</v>
      </c>
      <c r="F206" s="311"/>
      <c r="H206" s="311"/>
    </row>
    <row r="207" spans="1:8" ht="14">
      <c r="A207" s="222"/>
      <c r="B207" s="223"/>
      <c r="C207" s="103" t="s">
        <v>111</v>
      </c>
      <c r="D207" s="57">
        <v>44866</v>
      </c>
      <c r="E207" s="55" t="str">
        <f>IF(D207="","NO CUMPLE","CUMPLE")</f>
        <v>CUMPLE</v>
      </c>
      <c r="F207" s="311"/>
      <c r="H207" s="311"/>
    </row>
    <row r="208" spans="1:8" ht="14">
      <c r="A208" s="222"/>
      <c r="B208" s="223"/>
      <c r="C208" s="103" t="s">
        <v>112</v>
      </c>
      <c r="D208" s="57">
        <v>45066</v>
      </c>
      <c r="E208" s="55" t="str">
        <f t="shared" ref="E208" si="10">IF(D208="","NO CUMPLE","CUMPLE")</f>
        <v>CUMPLE</v>
      </c>
      <c r="F208" s="311"/>
      <c r="H208" s="311"/>
    </row>
    <row r="209" spans="1:8">
      <c r="A209" s="224"/>
      <c r="B209" s="225"/>
      <c r="C209" s="103" t="s">
        <v>113</v>
      </c>
      <c r="D209" s="100">
        <f>IFERROR((D206/(VLOOKUP((YEAR(D208)),SMMLV!$A$9:$C$49,3,0))),"0")</f>
        <v>746.11016034482759</v>
      </c>
      <c r="E209" s="101"/>
      <c r="F209" s="312"/>
      <c r="H209" s="312"/>
    </row>
    <row r="210" spans="1:8" ht="141.75" customHeight="1">
      <c r="A210" s="220" t="s">
        <v>371</v>
      </c>
      <c r="B210" s="221"/>
      <c r="C210" s="102" t="s">
        <v>122</v>
      </c>
      <c r="D210" s="54" t="s">
        <v>61</v>
      </c>
      <c r="E210" s="55" t="str">
        <f>IF(D210="SI","CUMPLE","NO CUMPLE")</f>
        <v>CUMPLE</v>
      </c>
      <c r="F210" s="329"/>
      <c r="H210" s="329"/>
    </row>
    <row r="211" spans="1:8" ht="41.25" customHeight="1">
      <c r="A211" s="222"/>
      <c r="B211" s="223"/>
      <c r="C211" s="102" t="s">
        <v>123</v>
      </c>
      <c r="D211" s="54" t="s">
        <v>61</v>
      </c>
      <c r="E211" s="55" t="str">
        <f>IF(D211="SI","CUMPLE","NO CUMPLE")</f>
        <v>CUMPLE</v>
      </c>
      <c r="F211" s="330"/>
      <c r="H211" s="330"/>
    </row>
    <row r="212" spans="1:8" ht="28">
      <c r="A212" s="222"/>
      <c r="B212" s="223"/>
      <c r="C212" s="102" t="s">
        <v>128</v>
      </c>
      <c r="D212" s="56" t="s">
        <v>370</v>
      </c>
      <c r="E212" s="55" t="str">
        <f>IF(D212="","NO CUMPLE","CUMPLE")</f>
        <v>CUMPLE</v>
      </c>
      <c r="F212" s="330"/>
      <c r="H212" s="330"/>
    </row>
    <row r="213" spans="1:8" ht="14">
      <c r="A213" s="222"/>
      <c r="B213" s="223"/>
      <c r="C213" s="102" t="s">
        <v>129</v>
      </c>
      <c r="D213" s="56" t="s">
        <v>204</v>
      </c>
      <c r="E213" s="55" t="str">
        <f>IF(D213="Residente Interventoría","CUMPLE","NO CUMPLE")</f>
        <v>CUMPLE</v>
      </c>
      <c r="F213" s="330"/>
      <c r="H213" s="330"/>
    </row>
    <row r="214" spans="1:8" ht="14">
      <c r="A214" s="222"/>
      <c r="B214" s="223"/>
      <c r="C214" s="103" t="s">
        <v>110</v>
      </c>
      <c r="D214" s="58">
        <v>244987154</v>
      </c>
      <c r="E214" s="55" t="str">
        <f>IF(D214="","NO CUMPLE","CUMPLE")</f>
        <v>CUMPLE</v>
      </c>
      <c r="F214" s="330"/>
      <c r="H214" s="330"/>
    </row>
    <row r="215" spans="1:8" ht="14">
      <c r="A215" s="222"/>
      <c r="B215" s="223"/>
      <c r="C215" s="103" t="s">
        <v>111</v>
      </c>
      <c r="D215" s="57">
        <v>44652</v>
      </c>
      <c r="E215" s="55" t="str">
        <f>IF(D215="","NO CUMPLE","CUMPLE")</f>
        <v>CUMPLE</v>
      </c>
      <c r="F215" s="330"/>
      <c r="H215" s="330"/>
    </row>
    <row r="216" spans="1:8" ht="14">
      <c r="A216" s="222"/>
      <c r="B216" s="223"/>
      <c r="C216" s="103" t="s">
        <v>112</v>
      </c>
      <c r="D216" s="57">
        <v>44865</v>
      </c>
      <c r="E216" s="55" t="str">
        <f t="shared" ref="E216" si="11">IF(D216="","NO CUMPLE","CUMPLE")</f>
        <v>CUMPLE</v>
      </c>
      <c r="F216" s="330"/>
      <c r="H216" s="330"/>
    </row>
    <row r="217" spans="1:8">
      <c r="A217" s="224"/>
      <c r="B217" s="225"/>
      <c r="C217" s="103" t="s">
        <v>113</v>
      </c>
      <c r="D217" s="100">
        <f>IFERROR((D214/(VLOOKUP((YEAR(D216)),SMMLV!$A$9:$C$49,3,0))),"0")</f>
        <v>244.987154</v>
      </c>
      <c r="E217" s="101"/>
      <c r="F217" s="331"/>
      <c r="H217" s="331"/>
    </row>
    <row r="218" spans="1:8">
      <c r="A218" s="227" t="s">
        <v>202</v>
      </c>
      <c r="B218" s="227"/>
      <c r="C218" s="227"/>
      <c r="D218" s="227"/>
      <c r="E218" s="227"/>
      <c r="F218" s="114">
        <f>D209+D217</f>
        <v>991.09731434482762</v>
      </c>
      <c r="H218" s="114">
        <f>F209+F217</f>
        <v>0</v>
      </c>
    </row>
    <row r="219" spans="1:8">
      <c r="A219" s="227"/>
      <c r="B219" s="227"/>
      <c r="C219" s="227"/>
      <c r="D219" s="227"/>
      <c r="E219" s="227"/>
      <c r="F219" s="43" t="str">
        <f>IF(F218&gt;=216.63,"CUMPLE","NO CUMPLE")</f>
        <v>CUMPLE</v>
      </c>
      <c r="H219" s="43" t="str">
        <f>IF(H218&gt;=216.63,"CUMPLE","NO CUMPLE")</f>
        <v>NO CUMPLE</v>
      </c>
    </row>
    <row r="220" spans="1:8" ht="27" customHeight="1">
      <c r="A220" s="227" t="s">
        <v>84</v>
      </c>
      <c r="B220" s="227"/>
      <c r="C220" s="227"/>
      <c r="D220" s="227"/>
      <c r="E220" s="227"/>
      <c r="F220" s="227"/>
      <c r="H220" s="20"/>
    </row>
    <row r="221" spans="1:8">
      <c r="A221" s="259" t="s">
        <v>135</v>
      </c>
      <c r="B221" s="260"/>
      <c r="C221" s="260"/>
      <c r="D221" s="260"/>
      <c r="E221" s="261"/>
      <c r="F221" s="43" t="str">
        <f>IF(AND(E194="cumple",E195="cumple",E196="cumple",E197="cumple",E198="cumple",E199="cumple",E200="cumple",E201="cumple",F219="cumple"),"CUMPLE","NO CUMPLE")</f>
        <v>CUMPLE</v>
      </c>
      <c r="H221" s="43" t="str">
        <f>IF(AND(G194="cumple",G195="cumple",G196="cumple",G197="cumple",G198="cumple",G199="cumple",G200="cumple",G201="cumple",H219="cumple"),"CUMPLE","NO CUMPLE")</f>
        <v>NO CUMPLE</v>
      </c>
    </row>
    <row r="222" spans="1:8">
      <c r="A222" s="39"/>
      <c r="B222" s="39"/>
      <c r="C222" s="39"/>
      <c r="D222" s="39"/>
      <c r="E222" s="39"/>
      <c r="F222" s="40"/>
      <c r="H222" s="40"/>
    </row>
    <row r="223" spans="1:8">
      <c r="A223" s="262" t="s">
        <v>136</v>
      </c>
      <c r="B223" s="262"/>
      <c r="C223" s="262"/>
      <c r="D223" s="262"/>
      <c r="E223" s="262"/>
      <c r="F223" s="262"/>
      <c r="H223" s="20"/>
    </row>
    <row r="224" spans="1:8">
      <c r="A224" s="263" t="s">
        <v>104</v>
      </c>
      <c r="B224" s="264"/>
      <c r="C224" s="265"/>
      <c r="D224" s="266" t="s">
        <v>373</v>
      </c>
      <c r="E224" s="267"/>
      <c r="F224" s="268"/>
      <c r="H224" s="20"/>
    </row>
    <row r="225" spans="1:8" ht="14">
      <c r="A225" s="99" t="s">
        <v>105</v>
      </c>
      <c r="B225" s="256" t="s">
        <v>124</v>
      </c>
      <c r="C225" s="256"/>
      <c r="D225" s="52" t="s">
        <v>116</v>
      </c>
      <c r="E225" s="52" t="str">
        <f>IF(D225="","NO CUMPLE","CUMPLE")</f>
        <v>CUMPLE</v>
      </c>
      <c r="F225" s="53"/>
      <c r="H225" s="53"/>
    </row>
    <row r="226" spans="1:8" ht="14">
      <c r="A226" s="99" t="s">
        <v>107</v>
      </c>
      <c r="B226" s="256" t="s">
        <v>108</v>
      </c>
      <c r="C226" s="256"/>
      <c r="D226" s="63" t="s">
        <v>374</v>
      </c>
      <c r="E226" s="55" t="str">
        <f>IF(D226="","NO CUMPLE","CUMPLE")</f>
        <v>CUMPLE</v>
      </c>
      <c r="F226" s="53"/>
      <c r="H226" s="53"/>
    </row>
    <row r="227" spans="1:8" ht="14">
      <c r="A227" s="253" t="s">
        <v>109</v>
      </c>
      <c r="B227" s="254"/>
      <c r="C227" s="255"/>
      <c r="D227" s="56">
        <v>45630</v>
      </c>
      <c r="E227" s="55" t="str">
        <f>IF(($B$4-D227)&gt;183,"NO CUMPLE","CUMPLE")</f>
        <v>CUMPLE</v>
      </c>
      <c r="F227" s="53"/>
      <c r="H227" s="53"/>
    </row>
    <row r="228" spans="1:8" ht="14">
      <c r="A228" s="257" t="s">
        <v>107</v>
      </c>
      <c r="B228" s="256" t="s">
        <v>132</v>
      </c>
      <c r="C228" s="256"/>
      <c r="D228" s="54">
        <v>38932</v>
      </c>
      <c r="E228" s="55" t="str">
        <f>IF(D228="","NO CUMPLE","CUMPLE")</f>
        <v>CUMPLE</v>
      </c>
      <c r="F228" s="53"/>
      <c r="H228" s="53"/>
    </row>
    <row r="229" spans="1:8" ht="14">
      <c r="A229" s="258"/>
      <c r="B229" s="256" t="s">
        <v>269</v>
      </c>
      <c r="C229" s="256"/>
      <c r="D229" s="100">
        <f>IF(D228&gt;0,(($B$4-D228)/365))</f>
        <v>18.353424657534248</v>
      </c>
      <c r="E229" s="101" t="str">
        <f>IF(D228="","NO CUMPLE",IF(D229&gt;=6,"CUMPLE","NO CUMPLE"))</f>
        <v>CUMPLE</v>
      </c>
      <c r="F229" s="53"/>
      <c r="H229" s="53"/>
    </row>
    <row r="230" spans="1:8" ht="14">
      <c r="A230" s="253" t="s">
        <v>125</v>
      </c>
      <c r="B230" s="254"/>
      <c r="C230" s="255"/>
      <c r="D230" s="54" t="s">
        <v>61</v>
      </c>
      <c r="E230" s="55" t="str">
        <f t="shared" ref="E230:E232" si="12">IF(D230="SI","CUMPLE","NO CUMPLE")</f>
        <v>CUMPLE</v>
      </c>
      <c r="F230" s="53"/>
      <c r="H230" s="53"/>
    </row>
    <row r="231" spans="1:8" ht="14">
      <c r="A231" s="253" t="s">
        <v>126</v>
      </c>
      <c r="B231" s="254"/>
      <c r="C231" s="255"/>
      <c r="D231" s="54" t="s">
        <v>61</v>
      </c>
      <c r="E231" s="55" t="str">
        <f t="shared" si="12"/>
        <v>CUMPLE</v>
      </c>
      <c r="F231" s="53"/>
      <c r="H231" s="53"/>
    </row>
    <row r="232" spans="1:8" ht="14">
      <c r="A232" s="253" t="s">
        <v>127</v>
      </c>
      <c r="B232" s="254"/>
      <c r="C232" s="255"/>
      <c r="D232" s="54" t="s">
        <v>61</v>
      </c>
      <c r="E232" s="55" t="str">
        <f t="shared" si="12"/>
        <v>CUMPLE</v>
      </c>
      <c r="F232" s="53"/>
      <c r="H232" s="53"/>
    </row>
    <row r="233" spans="1:8" ht="140.25" customHeight="1">
      <c r="A233" s="220" t="s">
        <v>376</v>
      </c>
      <c r="B233" s="221"/>
      <c r="C233" s="102" t="s">
        <v>122</v>
      </c>
      <c r="D233" s="54" t="s">
        <v>61</v>
      </c>
      <c r="E233" s="55" t="str">
        <f>IF(D233="SI","CUMPLE","NO CUMPLE")</f>
        <v>CUMPLE</v>
      </c>
      <c r="F233" s="310"/>
      <c r="H233" s="310"/>
    </row>
    <row r="234" spans="1:8" ht="45" customHeight="1">
      <c r="A234" s="222"/>
      <c r="B234" s="223"/>
      <c r="C234" s="102" t="s">
        <v>123</v>
      </c>
      <c r="D234" s="54" t="s">
        <v>61</v>
      </c>
      <c r="E234" s="55" t="str">
        <f>IF(D234="SI","CUMPLE","NO CUMPLE")</f>
        <v>CUMPLE</v>
      </c>
      <c r="F234" s="311"/>
      <c r="H234" s="311"/>
    </row>
    <row r="235" spans="1:8" ht="39.75" customHeight="1">
      <c r="A235" s="222"/>
      <c r="B235" s="223"/>
      <c r="C235" s="102" t="s">
        <v>128</v>
      </c>
      <c r="D235" s="56" t="s">
        <v>375</v>
      </c>
      <c r="E235" s="55" t="str">
        <f>IF(D235="","NO CUMPLE","CUMPLE")</f>
        <v>CUMPLE</v>
      </c>
      <c r="F235" s="311"/>
      <c r="H235" s="311"/>
    </row>
    <row r="236" spans="1:8" ht="14">
      <c r="A236" s="222"/>
      <c r="B236" s="223"/>
      <c r="C236" s="102" t="s">
        <v>129</v>
      </c>
      <c r="D236" s="56" t="s">
        <v>204</v>
      </c>
      <c r="E236" s="55" t="str">
        <f>IF(D236="Residente Interventoría","CUMPLE","NO CUMPLE")</f>
        <v>CUMPLE</v>
      </c>
      <c r="F236" s="311"/>
      <c r="H236" s="311"/>
    </row>
    <row r="237" spans="1:8" ht="14">
      <c r="A237" s="222"/>
      <c r="B237" s="223"/>
      <c r="C237" s="103" t="s">
        <v>110</v>
      </c>
      <c r="D237" s="58">
        <v>877663080</v>
      </c>
      <c r="E237" s="55" t="str">
        <f>IF(D237="","NO CUMPLE","CUMPLE")</f>
        <v>CUMPLE</v>
      </c>
      <c r="F237" s="311"/>
      <c r="H237" s="311"/>
    </row>
    <row r="238" spans="1:8" ht="14">
      <c r="A238" s="222"/>
      <c r="B238" s="223"/>
      <c r="C238" s="103" t="s">
        <v>111</v>
      </c>
      <c r="D238" s="57">
        <v>43298</v>
      </c>
      <c r="E238" s="55" t="str">
        <f>IF(D238="","NO CUMPLE","CUMPLE")</f>
        <v>CUMPLE</v>
      </c>
      <c r="F238" s="311"/>
      <c r="H238" s="311"/>
    </row>
    <row r="239" spans="1:8" ht="14">
      <c r="A239" s="222"/>
      <c r="B239" s="223"/>
      <c r="C239" s="103" t="s">
        <v>112</v>
      </c>
      <c r="D239" s="57">
        <v>43662</v>
      </c>
      <c r="E239" s="55" t="str">
        <f t="shared" ref="E239" si="13">IF(D239="","NO CUMPLE","CUMPLE")</f>
        <v>CUMPLE</v>
      </c>
      <c r="F239" s="311"/>
      <c r="H239" s="311"/>
    </row>
    <row r="240" spans="1:8">
      <c r="A240" s="224"/>
      <c r="B240" s="225"/>
      <c r="C240" s="103" t="s">
        <v>113</v>
      </c>
      <c r="D240" s="100">
        <f>IFERROR((D237/(VLOOKUP((YEAR(D239)),SMMLV!$A$9:$C$49,3,0))),"0")</f>
        <v>1059.8310864661473</v>
      </c>
      <c r="E240" s="101"/>
      <c r="F240" s="312"/>
      <c r="H240" s="312"/>
    </row>
    <row r="241" spans="1:8" ht="140.25" customHeight="1">
      <c r="A241" s="220" t="s">
        <v>378</v>
      </c>
      <c r="B241" s="221"/>
      <c r="C241" s="102" t="s">
        <v>122</v>
      </c>
      <c r="D241" s="54" t="s">
        <v>61</v>
      </c>
      <c r="E241" s="55" t="str">
        <f>IF(D241="SI","CUMPLE","NO CUMPLE")</f>
        <v>CUMPLE</v>
      </c>
      <c r="F241" s="310"/>
      <c r="H241" s="310"/>
    </row>
    <row r="242" spans="1:8" ht="28">
      <c r="A242" s="222"/>
      <c r="B242" s="223"/>
      <c r="C242" s="102" t="s">
        <v>123</v>
      </c>
      <c r="D242" s="54" t="s">
        <v>61</v>
      </c>
      <c r="E242" s="55" t="str">
        <f>IF(D242="SI","CUMPLE","NO CUMPLE")</f>
        <v>CUMPLE</v>
      </c>
      <c r="F242" s="311"/>
      <c r="H242" s="311"/>
    </row>
    <row r="243" spans="1:8" ht="28">
      <c r="A243" s="222"/>
      <c r="B243" s="223"/>
      <c r="C243" s="102" t="s">
        <v>128</v>
      </c>
      <c r="D243" s="56" t="s">
        <v>377</v>
      </c>
      <c r="E243" s="55" t="str">
        <f>IF(D243="","NO CUMPLE","CUMPLE")</f>
        <v>CUMPLE</v>
      </c>
      <c r="F243" s="311"/>
      <c r="H243" s="311"/>
    </row>
    <row r="244" spans="1:8" ht="27.75" customHeight="1">
      <c r="A244" s="222"/>
      <c r="B244" s="223"/>
      <c r="C244" s="102" t="s">
        <v>129</v>
      </c>
      <c r="D244" s="56" t="s">
        <v>204</v>
      </c>
      <c r="E244" s="55" t="str">
        <f>IF(D244="Residente Interventoría","CUMPLE","NO CUMPLE")</f>
        <v>CUMPLE</v>
      </c>
      <c r="F244" s="311"/>
      <c r="H244" s="311"/>
    </row>
    <row r="245" spans="1:8" ht="14">
      <c r="A245" s="222"/>
      <c r="B245" s="223"/>
      <c r="C245" s="103" t="s">
        <v>110</v>
      </c>
      <c r="D245" s="58">
        <v>1349835709</v>
      </c>
      <c r="E245" s="55" t="str">
        <f>IF(D245="","NO CUMPLE","CUMPLE")</f>
        <v>CUMPLE</v>
      </c>
      <c r="F245" s="311"/>
      <c r="H245" s="311"/>
    </row>
    <row r="246" spans="1:8" ht="14">
      <c r="A246" s="222"/>
      <c r="B246" s="223"/>
      <c r="C246" s="103" t="s">
        <v>111</v>
      </c>
      <c r="D246" s="57">
        <v>42359</v>
      </c>
      <c r="E246" s="55" t="str">
        <f>IF(D246="","NO CUMPLE","CUMPLE")</f>
        <v>CUMPLE</v>
      </c>
      <c r="F246" s="311"/>
      <c r="H246" s="311"/>
    </row>
    <row r="247" spans="1:8" ht="14">
      <c r="A247" s="222"/>
      <c r="B247" s="223"/>
      <c r="C247" s="103" t="s">
        <v>112</v>
      </c>
      <c r="D247" s="57">
        <v>43106</v>
      </c>
      <c r="E247" s="55" t="str">
        <f t="shared" ref="E247" si="14">IF(D247="","NO CUMPLE","CUMPLE")</f>
        <v>CUMPLE</v>
      </c>
      <c r="F247" s="311"/>
      <c r="H247" s="311"/>
    </row>
    <row r="248" spans="1:8">
      <c r="A248" s="224"/>
      <c r="B248" s="225"/>
      <c r="C248" s="103" t="s">
        <v>113</v>
      </c>
      <c r="D248" s="100">
        <f>IFERROR((D245/(VLOOKUP((YEAR(D247)),SMMLV!$A$9:$C$49,3,0))),"0")</f>
        <v>1727.8074002677788</v>
      </c>
      <c r="E248" s="101"/>
      <c r="F248" s="312"/>
      <c r="H248" s="312"/>
    </row>
    <row r="249" spans="1:8">
      <c r="A249" s="227" t="s">
        <v>202</v>
      </c>
      <c r="B249" s="227"/>
      <c r="C249" s="227"/>
      <c r="D249" s="227"/>
      <c r="E249" s="227"/>
      <c r="F249" s="71">
        <f>D240+D248</f>
        <v>2787.6384867339261</v>
      </c>
      <c r="H249" s="71">
        <f>F240+F248</f>
        <v>0</v>
      </c>
    </row>
    <row r="250" spans="1:8">
      <c r="A250" s="227"/>
      <c r="B250" s="227"/>
      <c r="C250" s="227"/>
      <c r="D250" s="227"/>
      <c r="E250" s="227"/>
      <c r="F250" s="43" t="str">
        <f>IF(F249&gt;=216.63,"CUMPLE","NO CUMPLE")</f>
        <v>CUMPLE</v>
      </c>
      <c r="H250" s="43" t="str">
        <f>IF(H249&gt;=216.63,"CUMPLE","NO CUMPLE")</f>
        <v>NO CUMPLE</v>
      </c>
    </row>
    <row r="251" spans="1:8" ht="27.75" customHeight="1">
      <c r="A251" s="227" t="s">
        <v>84</v>
      </c>
      <c r="B251" s="227"/>
      <c r="C251" s="227"/>
      <c r="D251" s="227"/>
      <c r="E251" s="227"/>
      <c r="F251" s="227"/>
      <c r="H251" s="20"/>
    </row>
    <row r="252" spans="1:8">
      <c r="A252" s="246" t="s">
        <v>134</v>
      </c>
      <c r="B252" s="247"/>
      <c r="C252" s="247"/>
      <c r="D252" s="247"/>
      <c r="E252" s="248"/>
      <c r="F252" s="70" t="str">
        <f>IF(AND(E225="cumple",E226="cumple",E227="cumple",E228="cumple",E229="cumple",E230="cumple",E231="cumple",E232="cumple",F250="cumple"),"CUMPLE","NO CUMPLE")</f>
        <v>CUMPLE</v>
      </c>
      <c r="H252" s="70" t="str">
        <f>IF(AND(G225="cumple",G226="cumple",G227="cumple",G228="cumple",G229="cumple",G230="cumple",G231="cumple",G232="cumple",H250="cumple"),"CUMPLE","NO CUMPLE")</f>
        <v>NO CUMPLE</v>
      </c>
    </row>
    <row r="253" spans="1:8">
      <c r="A253" s="39"/>
      <c r="B253" s="39"/>
      <c r="C253" s="39"/>
      <c r="D253" s="39"/>
      <c r="E253" s="39"/>
      <c r="F253" s="40"/>
      <c r="H253" s="40"/>
    </row>
    <row r="254" spans="1:8" ht="14">
      <c r="A254" s="249" t="s">
        <v>114</v>
      </c>
      <c r="B254" s="250"/>
      <c r="C254" s="250"/>
      <c r="D254" s="250"/>
      <c r="E254" s="251"/>
      <c r="F254" s="104" t="str">
        <f>IF(AND(F190="CUMPLE",F221="CUMPLE",F252="CUMPLE"),"CUMPLE","NO CUMPLE")</f>
        <v>CUMPLE</v>
      </c>
      <c r="H254" s="104" t="str">
        <f>IF(AND(H190="CUMPLE",H221="CUMPLE",H252="CUMPLE"),"CUMPLE","NO CUMPLE")</f>
        <v>NO CUMPLE</v>
      </c>
    </row>
    <row r="255" spans="1:8">
      <c r="A255" s="39"/>
      <c r="B255" s="39"/>
      <c r="C255" s="39"/>
      <c r="D255" s="39"/>
      <c r="E255" s="39"/>
      <c r="F255" s="40"/>
      <c r="H255" s="40"/>
    </row>
    <row r="256" spans="1:8" ht="14">
      <c r="A256" s="252" t="s">
        <v>139</v>
      </c>
      <c r="B256" s="252"/>
      <c r="C256" s="252"/>
      <c r="D256" s="252"/>
      <c r="E256" s="252"/>
      <c r="F256" s="252"/>
      <c r="H256" s="20"/>
    </row>
    <row r="257" spans="1:8">
      <c r="A257" s="227" t="s">
        <v>140</v>
      </c>
      <c r="B257" s="227"/>
      <c r="C257" s="227"/>
      <c r="D257" s="227"/>
      <c r="E257" s="227"/>
      <c r="F257" s="46" t="s">
        <v>61</v>
      </c>
      <c r="H257" s="46" t="s">
        <v>61</v>
      </c>
    </row>
    <row r="258" spans="1:8">
      <c r="A258" s="227"/>
      <c r="B258" s="227"/>
      <c r="C258" s="227"/>
      <c r="D258" s="227"/>
      <c r="E258" s="227"/>
      <c r="F258" s="43" t="str">
        <f>IF(F257="SI","CUMPLE","NO CUMPLE")</f>
        <v>CUMPLE</v>
      </c>
      <c r="H258" s="43" t="str">
        <f>IF(H257="SI","CUMPLE","NO CUMPLE")</f>
        <v>CUMPLE</v>
      </c>
    </row>
    <row r="259" spans="1:8" ht="33.75" customHeight="1">
      <c r="A259" s="227" t="s">
        <v>247</v>
      </c>
      <c r="B259" s="227"/>
      <c r="C259" s="227"/>
      <c r="D259" s="227"/>
      <c r="E259" s="227"/>
      <c r="F259" s="227"/>
      <c r="H259" s="20"/>
    </row>
    <row r="260" spans="1:8" ht="14">
      <c r="A260" s="249" t="s">
        <v>139</v>
      </c>
      <c r="B260" s="250"/>
      <c r="C260" s="250"/>
      <c r="D260" s="250"/>
      <c r="E260" s="251"/>
      <c r="F260" s="104" t="str">
        <f>IF((F258="CUMPLE"),"CUMPLE","NO CUMPLE")</f>
        <v>CUMPLE</v>
      </c>
      <c r="H260" s="104" t="str">
        <f>IF((H258="CUMPLE"),"CUMPLE","NO CUMPLE")</f>
        <v>CUMPLE</v>
      </c>
    </row>
    <row r="261" spans="1:8">
      <c r="A261" s="39"/>
      <c r="B261" s="39"/>
      <c r="C261" s="39"/>
      <c r="D261" s="39"/>
      <c r="E261" s="39"/>
      <c r="F261" s="40"/>
      <c r="H261" s="40"/>
    </row>
    <row r="262" spans="1:8" ht="16">
      <c r="A262" s="242" t="s">
        <v>89</v>
      </c>
      <c r="B262" s="243"/>
      <c r="C262" s="243"/>
      <c r="D262" s="243"/>
      <c r="E262" s="244"/>
      <c r="F262" s="105" t="str">
        <f>IF(AND(F138="CUMPLE",F254="CUMPLE",F260="CUMPLE"),"HABILITADO","NO HABILITADO")</f>
        <v>HABILITADO</v>
      </c>
      <c r="H262" s="105" t="str">
        <f>IF(AND(H138="CUMPLE",H254="CUMPLE",H260="CUMPLE"),"HABILITADO","NO HABILITADO")</f>
        <v>NO HABILITADO</v>
      </c>
    </row>
    <row r="263" spans="1:8">
      <c r="A263" s="39"/>
      <c r="B263" s="39"/>
      <c r="C263" s="39"/>
      <c r="D263" s="39"/>
      <c r="E263" s="39"/>
      <c r="F263" s="40"/>
      <c r="H263" s="40"/>
    </row>
    <row r="264" spans="1:8">
      <c r="A264" s="39"/>
      <c r="B264" s="39"/>
      <c r="C264" s="39"/>
      <c r="D264" s="39"/>
      <c r="E264" s="39"/>
      <c r="F264" s="40"/>
      <c r="H264" s="40"/>
    </row>
    <row r="265" spans="1:8" ht="16">
      <c r="A265" s="245" t="s">
        <v>141</v>
      </c>
      <c r="B265" s="245"/>
      <c r="C265" s="245"/>
      <c r="D265" s="245"/>
      <c r="E265" s="245"/>
      <c r="F265" s="245"/>
      <c r="H265" s="20"/>
    </row>
    <row r="266" spans="1:8" ht="14">
      <c r="A266" s="212" t="s">
        <v>142</v>
      </c>
      <c r="B266" s="212"/>
      <c r="C266" s="212"/>
      <c r="D266" s="212"/>
      <c r="E266" s="212"/>
      <c r="F266" s="212"/>
      <c r="H266" s="20"/>
    </row>
    <row r="267" spans="1:8">
      <c r="A267" s="27"/>
      <c r="B267" s="27"/>
      <c r="C267" s="27"/>
      <c r="D267" s="27"/>
      <c r="E267" s="27"/>
      <c r="F267" s="21"/>
      <c r="H267" s="21"/>
    </row>
    <row r="268" spans="1:8" ht="29.25" customHeight="1">
      <c r="A268" s="28" t="s">
        <v>532</v>
      </c>
      <c r="B268" s="240" t="s">
        <v>531</v>
      </c>
      <c r="C268" s="240"/>
      <c r="D268" s="240"/>
      <c r="E268" s="240"/>
      <c r="F268" s="240"/>
      <c r="H268" s="20"/>
    </row>
    <row r="269" spans="1:8" ht="63" customHeight="1">
      <c r="A269" s="28" t="s">
        <v>51</v>
      </c>
      <c r="B269" s="241" t="s">
        <v>529</v>
      </c>
      <c r="C269" s="241"/>
      <c r="D269" s="241"/>
      <c r="E269" s="241"/>
      <c r="F269" s="241"/>
      <c r="H269" s="20"/>
    </row>
    <row r="270" spans="1:8">
      <c r="A270" s="23" t="s">
        <v>52</v>
      </c>
      <c r="B270" s="234" t="s">
        <v>533</v>
      </c>
      <c r="C270" s="234"/>
      <c r="D270" s="234"/>
      <c r="E270" s="234"/>
      <c r="F270" s="234"/>
      <c r="H270" s="20"/>
    </row>
    <row r="271" spans="1:8">
      <c r="A271" s="28" t="s">
        <v>65</v>
      </c>
      <c r="B271" s="31" t="s">
        <v>53</v>
      </c>
      <c r="C271" s="32" t="s">
        <v>66</v>
      </c>
      <c r="D271" s="32" t="s">
        <v>54</v>
      </c>
      <c r="E271" s="32" t="s">
        <v>67</v>
      </c>
      <c r="F271" s="32" t="s">
        <v>55</v>
      </c>
      <c r="H271" s="32" t="s">
        <v>55</v>
      </c>
    </row>
    <row r="272" spans="1:8">
      <c r="A272" s="227" t="s">
        <v>56</v>
      </c>
      <c r="B272" s="33">
        <v>80101600</v>
      </c>
      <c r="C272" s="29">
        <v>80101600</v>
      </c>
      <c r="D272" s="29">
        <v>35</v>
      </c>
      <c r="E272" s="235" t="str">
        <f>IF(B273=C273,"Acredita",IF(B272=C272,"Acredita","No acredita"))</f>
        <v>Acredita</v>
      </c>
      <c r="F272" s="304"/>
      <c r="H272" s="304"/>
    </row>
    <row r="273" spans="1:8">
      <c r="A273" s="227"/>
      <c r="B273" s="33">
        <v>81101500</v>
      </c>
      <c r="C273" s="30">
        <v>81101500</v>
      </c>
      <c r="D273" s="30">
        <v>35</v>
      </c>
      <c r="E273" s="236"/>
      <c r="F273" s="305"/>
      <c r="H273" s="305"/>
    </row>
    <row r="274" spans="1:8" ht="14">
      <c r="A274" s="237" t="s">
        <v>57</v>
      </c>
      <c r="B274" s="238"/>
      <c r="C274" s="239"/>
      <c r="D274" s="34">
        <v>43847</v>
      </c>
      <c r="E274" s="35" t="str">
        <f>IF(D274="","No acredita","Acredita")</f>
        <v>Acredita</v>
      </c>
      <c r="F274" s="305"/>
      <c r="H274" s="305"/>
    </row>
    <row r="275" spans="1:8" ht="14">
      <c r="A275" s="237" t="s">
        <v>58</v>
      </c>
      <c r="B275" s="238"/>
      <c r="C275" s="239"/>
      <c r="D275" s="36">
        <v>204088169</v>
      </c>
      <c r="E275" s="35" t="str">
        <f>IF(D275="","No acredita","Acredita")</f>
        <v>Acredita</v>
      </c>
      <c r="F275" s="305"/>
      <c r="H275" s="305"/>
    </row>
    <row r="276" spans="1:8" ht="14">
      <c r="A276" s="237" t="s">
        <v>59</v>
      </c>
      <c r="B276" s="238"/>
      <c r="C276" s="239"/>
      <c r="D276" s="89">
        <f>IFERROR((D275/(VLOOKUP((YEAR(D278)),SMMLV!$A$9:$C$49,3,0)))*'O3'!D277,"0")</f>
        <v>116.24941416240318</v>
      </c>
      <c r="E276" s="37" t="str">
        <f>IF(D276="","No acredita","Acredita")</f>
        <v>Acredita</v>
      </c>
      <c r="F276" s="305"/>
      <c r="H276" s="305"/>
    </row>
    <row r="277" spans="1:8" ht="14">
      <c r="A277" s="237" t="s">
        <v>80</v>
      </c>
      <c r="B277" s="238"/>
      <c r="C277" s="239"/>
      <c r="D277" s="45">
        <v>0.5</v>
      </c>
      <c r="E277" s="35" t="str">
        <f>IF(D277="","No acredita","Acredita")</f>
        <v>Acredita</v>
      </c>
      <c r="F277" s="305"/>
      <c r="H277" s="305"/>
    </row>
    <row r="278" spans="1:8" ht="14">
      <c r="A278" s="237" t="s">
        <v>60</v>
      </c>
      <c r="B278" s="238"/>
      <c r="C278" s="239"/>
      <c r="D278" s="34">
        <v>44182</v>
      </c>
      <c r="E278" s="35" t="str">
        <f>IF(D278="","No acredita","Acredita")</f>
        <v>Acredita</v>
      </c>
      <c r="F278" s="305"/>
      <c r="H278" s="305"/>
    </row>
    <row r="279" spans="1:8" ht="62.25" customHeight="1">
      <c r="A279" s="227" t="s">
        <v>91</v>
      </c>
      <c r="B279" s="227"/>
      <c r="C279" s="227"/>
      <c r="D279" s="38" t="s">
        <v>61</v>
      </c>
      <c r="E279" s="35" t="str">
        <f t="shared" ref="E279:E282" si="15">IF(D279="","No acredita",IF(D279="","",IF(D279="SI","Acredita","No acredita")))</f>
        <v>Acredita</v>
      </c>
      <c r="F279" s="305"/>
      <c r="H279" s="305"/>
    </row>
    <row r="280" spans="1:8" ht="30" customHeight="1">
      <c r="A280" s="227" t="s">
        <v>92</v>
      </c>
      <c r="B280" s="227"/>
      <c r="C280" s="227"/>
      <c r="D280" s="38" t="s">
        <v>61</v>
      </c>
      <c r="E280" s="35" t="str">
        <f t="shared" si="15"/>
        <v>Acredita</v>
      </c>
      <c r="F280" s="305"/>
      <c r="H280" s="305"/>
    </row>
    <row r="281" spans="1:8" ht="14">
      <c r="A281" s="227" t="s">
        <v>69</v>
      </c>
      <c r="B281" s="227"/>
      <c r="C281" s="227"/>
      <c r="D281" s="38" t="s">
        <v>61</v>
      </c>
      <c r="E281" s="35" t="str">
        <f t="shared" si="15"/>
        <v>Acredita</v>
      </c>
      <c r="F281" s="305"/>
      <c r="H281" s="305"/>
    </row>
    <row r="282" spans="1:8" ht="14">
      <c r="A282" s="227" t="s">
        <v>103</v>
      </c>
      <c r="B282" s="227"/>
      <c r="C282" s="227"/>
      <c r="D282" s="38" t="s">
        <v>61</v>
      </c>
      <c r="E282" s="35" t="str">
        <f t="shared" si="15"/>
        <v>Acredita</v>
      </c>
      <c r="F282" s="306"/>
      <c r="H282" s="306"/>
    </row>
    <row r="283" spans="1:8">
      <c r="A283" s="231" t="s">
        <v>143</v>
      </c>
      <c r="B283" s="231"/>
      <c r="C283" s="231"/>
      <c r="D283" s="231"/>
      <c r="E283" s="232" t="str">
        <f>IF(AND(E272="acredita",E274="acredita",E275="acredita",E276="acredita",E277="acredita",E278="acredita",E279="acredita",E280="acredita",E281="acredita",E282="acredita"),"CUMPLE","NO CUMPLE")</f>
        <v>CUMPLE</v>
      </c>
      <c r="F283" s="233"/>
      <c r="H283" s="20"/>
    </row>
    <row r="284" spans="1:8">
      <c r="A284" s="26"/>
      <c r="B284" s="26"/>
      <c r="C284" s="26"/>
      <c r="D284" s="26"/>
      <c r="E284" s="22"/>
      <c r="F284" s="22"/>
      <c r="H284" s="22"/>
    </row>
    <row r="285" spans="1:8" ht="33" customHeight="1">
      <c r="A285" s="28" t="s">
        <v>85</v>
      </c>
      <c r="B285" s="240" t="s">
        <v>535</v>
      </c>
      <c r="C285" s="240"/>
      <c r="D285" s="240"/>
      <c r="E285" s="240"/>
      <c r="F285" s="240"/>
      <c r="H285" s="20"/>
    </row>
    <row r="286" spans="1:8" ht="65.25" customHeight="1">
      <c r="A286" s="28" t="s">
        <v>51</v>
      </c>
      <c r="B286" s="241" t="s">
        <v>530</v>
      </c>
      <c r="C286" s="241"/>
      <c r="D286" s="241"/>
      <c r="E286" s="241"/>
      <c r="F286" s="241"/>
      <c r="H286" s="20"/>
    </row>
    <row r="287" spans="1:8">
      <c r="A287" s="23" t="s">
        <v>52</v>
      </c>
      <c r="B287" s="234" t="s">
        <v>534</v>
      </c>
      <c r="C287" s="234"/>
      <c r="D287" s="234"/>
      <c r="E287" s="234"/>
      <c r="F287" s="234"/>
      <c r="H287" s="20"/>
    </row>
    <row r="288" spans="1:8">
      <c r="A288" s="28" t="s">
        <v>65</v>
      </c>
      <c r="B288" s="31" t="s">
        <v>53</v>
      </c>
      <c r="C288" s="32" t="s">
        <v>66</v>
      </c>
      <c r="D288" s="32" t="s">
        <v>54</v>
      </c>
      <c r="E288" s="32" t="s">
        <v>67</v>
      </c>
      <c r="F288" s="32" t="s">
        <v>55</v>
      </c>
      <c r="H288" s="32" t="s">
        <v>55</v>
      </c>
    </row>
    <row r="289" spans="1:8">
      <c r="A289" s="227" t="s">
        <v>56</v>
      </c>
      <c r="B289" s="33">
        <v>80101600</v>
      </c>
      <c r="C289" s="29">
        <v>80101600</v>
      </c>
      <c r="D289" s="29">
        <v>73</v>
      </c>
      <c r="E289" s="235" t="str">
        <f>IF(B290=C290,"Acredita",IF(B289=C289,"Acredita","No acredita"))</f>
        <v>Acredita</v>
      </c>
      <c r="F289" s="304"/>
      <c r="H289" s="304"/>
    </row>
    <row r="290" spans="1:8">
      <c r="A290" s="227"/>
      <c r="B290" s="33">
        <v>81101500</v>
      </c>
      <c r="C290" s="30">
        <v>81101500</v>
      </c>
      <c r="D290" s="30">
        <v>73</v>
      </c>
      <c r="E290" s="236"/>
      <c r="F290" s="305"/>
      <c r="H290" s="305"/>
    </row>
    <row r="291" spans="1:8" ht="14">
      <c r="A291" s="237" t="s">
        <v>57</v>
      </c>
      <c r="B291" s="238"/>
      <c r="C291" s="239"/>
      <c r="D291" s="34">
        <v>42359</v>
      </c>
      <c r="E291" s="35" t="str">
        <f>IF(D291="","No acredita","Acredita")</f>
        <v>Acredita</v>
      </c>
      <c r="F291" s="305"/>
      <c r="H291" s="305"/>
    </row>
    <row r="292" spans="1:8" ht="14">
      <c r="A292" s="237" t="s">
        <v>58</v>
      </c>
      <c r="B292" s="238"/>
      <c r="C292" s="239"/>
      <c r="D292" s="36">
        <v>1349835709</v>
      </c>
      <c r="E292" s="35" t="str">
        <f>IF(D292="","No acredita","Acredita")</f>
        <v>Acredita</v>
      </c>
      <c r="F292" s="305"/>
      <c r="H292" s="305"/>
    </row>
    <row r="293" spans="1:8" ht="14">
      <c r="A293" s="237" t="s">
        <v>59</v>
      </c>
      <c r="B293" s="238"/>
      <c r="C293" s="239"/>
      <c r="D293" s="44">
        <f>IFERROR((D292/(VLOOKUP((YEAR(D295)),SMMLV!$A$9:$C$49,3,0)))*'O3'!D294,"0")</f>
        <v>863.9037001338894</v>
      </c>
      <c r="E293" s="37" t="str">
        <f>IF(D293="","No acredita","Acredita")</f>
        <v>Acredita</v>
      </c>
      <c r="F293" s="305"/>
      <c r="H293" s="305"/>
    </row>
    <row r="294" spans="1:8" ht="14">
      <c r="A294" s="237" t="s">
        <v>80</v>
      </c>
      <c r="B294" s="238"/>
      <c r="C294" s="239"/>
      <c r="D294" s="45">
        <v>0.5</v>
      </c>
      <c r="E294" s="35" t="str">
        <f>IF(D294="","No acredita","Acredita")</f>
        <v>Acredita</v>
      </c>
      <c r="F294" s="305"/>
      <c r="H294" s="305"/>
    </row>
    <row r="295" spans="1:8" ht="14">
      <c r="A295" s="237" t="s">
        <v>60</v>
      </c>
      <c r="B295" s="238"/>
      <c r="C295" s="239"/>
      <c r="D295" s="34">
        <v>43106</v>
      </c>
      <c r="E295" s="35" t="str">
        <f>IF(D295="","No acredita","Acredita")</f>
        <v>Acredita</v>
      </c>
      <c r="F295" s="305"/>
      <c r="H295" s="305"/>
    </row>
    <row r="296" spans="1:8" ht="70.5" customHeight="1">
      <c r="A296" s="227" t="s">
        <v>91</v>
      </c>
      <c r="B296" s="227"/>
      <c r="C296" s="227"/>
      <c r="D296" s="38" t="s">
        <v>61</v>
      </c>
      <c r="E296" s="35" t="str">
        <f t="shared" ref="E296:E299" si="16">IF(D296="","No acredita",IF(D296="","",IF(D296="SI","Acredita","No acredita")))</f>
        <v>Acredita</v>
      </c>
      <c r="F296" s="305"/>
      <c r="H296" s="305"/>
    </row>
    <row r="297" spans="1:8" ht="30" customHeight="1">
      <c r="A297" s="227" t="s">
        <v>92</v>
      </c>
      <c r="B297" s="227"/>
      <c r="C297" s="227"/>
      <c r="D297" s="38" t="s">
        <v>61</v>
      </c>
      <c r="E297" s="35" t="str">
        <f t="shared" si="16"/>
        <v>Acredita</v>
      </c>
      <c r="F297" s="305"/>
      <c r="H297" s="305"/>
    </row>
    <row r="298" spans="1:8" ht="14">
      <c r="A298" s="227" t="s">
        <v>69</v>
      </c>
      <c r="B298" s="227"/>
      <c r="C298" s="227"/>
      <c r="D298" s="38" t="s">
        <v>61</v>
      </c>
      <c r="E298" s="35" t="str">
        <f t="shared" si="16"/>
        <v>Acredita</v>
      </c>
      <c r="F298" s="305"/>
      <c r="H298" s="305"/>
    </row>
    <row r="299" spans="1:8" ht="14">
      <c r="A299" s="227" t="s">
        <v>103</v>
      </c>
      <c r="B299" s="227"/>
      <c r="C299" s="227"/>
      <c r="D299" s="38" t="s">
        <v>61</v>
      </c>
      <c r="E299" s="35" t="str">
        <f t="shared" si="16"/>
        <v>Acredita</v>
      </c>
      <c r="F299" s="306"/>
      <c r="H299" s="306"/>
    </row>
    <row r="300" spans="1:8">
      <c r="A300" s="231" t="s">
        <v>144</v>
      </c>
      <c r="B300" s="231"/>
      <c r="C300" s="231"/>
      <c r="D300" s="231"/>
      <c r="E300" s="232" t="str">
        <f>IF(AND(E289="acredita",E291="acredita",E292="acredita",E293="acredita",E294="acredita",E295="acredita",E296="acredita",E297="acredita",E298="acredita",E299="acredita"),"CUMPLE","NO CUMPLE")</f>
        <v>CUMPLE</v>
      </c>
      <c r="F300" s="233"/>
      <c r="H300" s="20"/>
    </row>
    <row r="302" spans="1:8">
      <c r="A302" s="226" t="s">
        <v>145</v>
      </c>
      <c r="B302" s="226"/>
      <c r="C302" s="226"/>
      <c r="D302" s="226"/>
      <c r="E302" s="226"/>
      <c r="F302" s="77">
        <f>D276+D293</f>
        <v>980.15311429629264</v>
      </c>
      <c r="H302" s="77">
        <f>F276+F293</f>
        <v>0</v>
      </c>
    </row>
    <row r="304" spans="1:8">
      <c r="A304" s="228" t="s">
        <v>146</v>
      </c>
      <c r="B304" s="229"/>
      <c r="C304" s="35">
        <v>40</v>
      </c>
      <c r="D304" s="208" t="str">
        <f>IF(F302&gt;433.26,"40",IF(F302&gt;216.63,"30",IF(F302&gt;108.32,"20",IF(F302&gt;43.33,"10","0"))))</f>
        <v>40</v>
      </c>
      <c r="E304" s="230" t="s">
        <v>151</v>
      </c>
      <c r="F304" s="230"/>
      <c r="H304" s="20"/>
    </row>
    <row r="305" spans="1:8" ht="12.75" customHeight="1">
      <c r="A305" s="228" t="s">
        <v>147</v>
      </c>
      <c r="B305" s="229"/>
      <c r="C305" s="35">
        <v>30</v>
      </c>
      <c r="D305" s="209"/>
      <c r="E305" s="230"/>
      <c r="F305" s="230"/>
      <c r="H305" s="20"/>
    </row>
    <row r="306" spans="1:8" ht="12.75" customHeight="1">
      <c r="A306" s="228" t="s">
        <v>148</v>
      </c>
      <c r="B306" s="229"/>
      <c r="C306" s="35">
        <v>20</v>
      </c>
      <c r="D306" s="209"/>
      <c r="E306" s="230"/>
      <c r="F306" s="230"/>
      <c r="H306" s="20"/>
    </row>
    <row r="307" spans="1:8" ht="12.75" customHeight="1">
      <c r="A307" s="228" t="s">
        <v>149</v>
      </c>
      <c r="B307" s="229"/>
      <c r="C307" s="35">
        <v>10</v>
      </c>
      <c r="D307" s="209"/>
      <c r="E307" s="230"/>
      <c r="F307" s="230"/>
      <c r="G307" s="75"/>
      <c r="H307" s="20"/>
    </row>
    <row r="308" spans="1:8">
      <c r="A308" s="228" t="s">
        <v>150</v>
      </c>
      <c r="B308" s="229"/>
      <c r="C308" s="35">
        <v>0</v>
      </c>
      <c r="D308" s="210"/>
      <c r="E308" s="230"/>
      <c r="F308" s="230"/>
      <c r="G308" s="76"/>
      <c r="H308" s="20"/>
    </row>
    <row r="309" spans="1:8">
      <c r="G309" s="76"/>
    </row>
    <row r="310" spans="1:8" ht="14">
      <c r="A310" s="212" t="s">
        <v>152</v>
      </c>
      <c r="B310" s="212"/>
      <c r="C310" s="212"/>
      <c r="D310" s="212"/>
      <c r="E310" s="212"/>
      <c r="F310" s="212"/>
      <c r="G310" s="76"/>
      <c r="H310" s="20"/>
    </row>
    <row r="312" spans="1:8" ht="139.5" customHeight="1">
      <c r="A312" s="220" t="s">
        <v>541</v>
      </c>
      <c r="B312" s="221"/>
      <c r="C312" s="102" t="s">
        <v>122</v>
      </c>
      <c r="D312" s="54" t="s">
        <v>61</v>
      </c>
      <c r="E312" s="55" t="str">
        <f>IF(D312="SI","CUMPLE","NO CUMPLE")</f>
        <v>CUMPLE</v>
      </c>
      <c r="F312" s="310" t="s">
        <v>537</v>
      </c>
      <c r="H312" s="310" t="s">
        <v>537</v>
      </c>
    </row>
    <row r="313" spans="1:8" ht="40.5" customHeight="1">
      <c r="A313" s="222"/>
      <c r="B313" s="223"/>
      <c r="C313" s="102" t="s">
        <v>123</v>
      </c>
      <c r="D313" s="54" t="s">
        <v>61</v>
      </c>
      <c r="E313" s="55" t="str">
        <f>IF(D313="SI","CUMPLE","NO CUMPLE")</f>
        <v>CUMPLE</v>
      </c>
      <c r="F313" s="311"/>
      <c r="H313" s="311"/>
    </row>
    <row r="314" spans="1:8" ht="28">
      <c r="A314" s="222"/>
      <c r="B314" s="223"/>
      <c r="C314" s="102" t="s">
        <v>128</v>
      </c>
      <c r="D314" s="56" t="s">
        <v>536</v>
      </c>
      <c r="E314" s="55" t="str">
        <f>IF(D314="","NO CUMPLE","CUMPLE")</f>
        <v>CUMPLE</v>
      </c>
      <c r="F314" s="311"/>
      <c r="H314" s="311"/>
    </row>
    <row r="315" spans="1:8" ht="14">
      <c r="A315" s="222"/>
      <c r="B315" s="223"/>
      <c r="C315" s="102" t="s">
        <v>129</v>
      </c>
      <c r="D315" s="56" t="s">
        <v>130</v>
      </c>
      <c r="E315" s="55" t="str">
        <f>IF(D315="Director Interventoria","CUMPLE","NO CUMPLE")</f>
        <v>CUMPLE</v>
      </c>
      <c r="F315" s="311"/>
      <c r="H315" s="311"/>
    </row>
    <row r="316" spans="1:8" ht="14">
      <c r="A316" s="222"/>
      <c r="B316" s="223"/>
      <c r="C316" s="103" t="s">
        <v>110</v>
      </c>
      <c r="D316" s="58">
        <v>45481800</v>
      </c>
      <c r="E316" s="55" t="str">
        <f>IF(D316="","NO CUMPLE","CUMPLE")</f>
        <v>CUMPLE</v>
      </c>
      <c r="F316" s="311"/>
      <c r="H316" s="311"/>
    </row>
    <row r="317" spans="1:8" ht="14">
      <c r="A317" s="222"/>
      <c r="B317" s="223"/>
      <c r="C317" s="103" t="s">
        <v>111</v>
      </c>
      <c r="D317" s="57">
        <v>42976</v>
      </c>
      <c r="E317" s="55" t="str">
        <f>IF(D317="","NO CUMPLE","CUMPLE")</f>
        <v>CUMPLE</v>
      </c>
      <c r="F317" s="311"/>
      <c r="G317" s="51"/>
      <c r="H317" s="311"/>
    </row>
    <row r="318" spans="1:8" ht="14">
      <c r="A318" s="222"/>
      <c r="B318" s="223"/>
      <c r="C318" s="103" t="s">
        <v>112</v>
      </c>
      <c r="D318" s="57">
        <v>43098</v>
      </c>
      <c r="E318" s="55" t="str">
        <f t="shared" ref="E318" si="17">IF(D318="","NO CUMPLE","CUMPLE")</f>
        <v>CUMPLE</v>
      </c>
      <c r="F318" s="311"/>
      <c r="H318" s="311"/>
    </row>
    <row r="319" spans="1:8">
      <c r="A319" s="224"/>
      <c r="B319" s="225"/>
      <c r="C319" s="103" t="s">
        <v>113</v>
      </c>
      <c r="D319" s="100">
        <f>IFERROR((D316/(VLOOKUP((YEAR(D318)),SMMLV!$A$9:$C$49,3,0))),"0")</f>
        <v>61.652096942323411</v>
      </c>
      <c r="E319" s="101"/>
      <c r="F319" s="312"/>
      <c r="H319" s="312"/>
    </row>
    <row r="320" spans="1:8" ht="144" customHeight="1">
      <c r="A320" s="220" t="s">
        <v>540</v>
      </c>
      <c r="B320" s="221"/>
      <c r="C320" s="102" t="s">
        <v>122</v>
      </c>
      <c r="D320" s="54" t="s">
        <v>61</v>
      </c>
      <c r="E320" s="55" t="str">
        <f>IF(D320="SI","CUMPLE","NO CUMPLE")</f>
        <v>CUMPLE</v>
      </c>
      <c r="F320" s="310" t="s">
        <v>539</v>
      </c>
      <c r="H320" s="310" t="s">
        <v>539</v>
      </c>
    </row>
    <row r="321" spans="1:8" ht="37.5" customHeight="1">
      <c r="A321" s="222"/>
      <c r="B321" s="223"/>
      <c r="C321" s="102" t="s">
        <v>123</v>
      </c>
      <c r="D321" s="54" t="s">
        <v>61</v>
      </c>
      <c r="E321" s="55" t="str">
        <f>IF(D321="SI","CUMPLE","NO CUMPLE")</f>
        <v>CUMPLE</v>
      </c>
      <c r="F321" s="311"/>
      <c r="H321" s="311"/>
    </row>
    <row r="322" spans="1:8" ht="28">
      <c r="A322" s="222"/>
      <c r="B322" s="223"/>
      <c r="C322" s="102" t="s">
        <v>128</v>
      </c>
      <c r="D322" s="56" t="s">
        <v>538</v>
      </c>
      <c r="E322" s="55" t="str">
        <f>IF(D322="","NO CUMPLE","CUMPLE")</f>
        <v>CUMPLE</v>
      </c>
      <c r="F322" s="311"/>
      <c r="H322" s="311"/>
    </row>
    <row r="323" spans="1:8" ht="14">
      <c r="A323" s="222"/>
      <c r="B323" s="223"/>
      <c r="C323" s="102" t="s">
        <v>129</v>
      </c>
      <c r="D323" s="56" t="s">
        <v>130</v>
      </c>
      <c r="E323" s="55" t="str">
        <f>IF(D323="Director Interventoria","CUMPLE","NO CUMPLE")</f>
        <v>CUMPLE</v>
      </c>
      <c r="F323" s="311"/>
      <c r="H323" s="311"/>
    </row>
    <row r="324" spans="1:8" ht="14">
      <c r="A324" s="222"/>
      <c r="B324" s="223"/>
      <c r="C324" s="103" t="s">
        <v>110</v>
      </c>
      <c r="D324" s="58">
        <v>812792912</v>
      </c>
      <c r="E324" s="55" t="str">
        <f>IF(D324="","NO CUMPLE","CUMPLE")</f>
        <v>CUMPLE</v>
      </c>
      <c r="F324" s="311"/>
      <c r="H324" s="311"/>
    </row>
    <row r="325" spans="1:8" ht="14">
      <c r="A325" s="222"/>
      <c r="B325" s="223"/>
      <c r="C325" s="103" t="s">
        <v>111</v>
      </c>
      <c r="D325" s="57">
        <v>44880</v>
      </c>
      <c r="E325" s="55" t="str">
        <f>IF(D325="","NO CUMPLE","CUMPLE")</f>
        <v>CUMPLE</v>
      </c>
      <c r="F325" s="311"/>
      <c r="H325" s="311"/>
    </row>
    <row r="326" spans="1:8" ht="14">
      <c r="A326" s="222"/>
      <c r="B326" s="223"/>
      <c r="C326" s="103" t="s">
        <v>112</v>
      </c>
      <c r="D326" s="57">
        <v>45382</v>
      </c>
      <c r="E326" s="55" t="str">
        <f t="shared" ref="E326" si="18">IF(D326="","NO CUMPLE","CUMPLE")</f>
        <v>CUMPLE</v>
      </c>
      <c r="F326" s="311"/>
      <c r="H326" s="311"/>
    </row>
    <row r="327" spans="1:8">
      <c r="A327" s="224"/>
      <c r="B327" s="225"/>
      <c r="C327" s="103" t="s">
        <v>113</v>
      </c>
      <c r="D327" s="100">
        <f>IFERROR((D324/(VLOOKUP((YEAR(D326)),SMMLV!$A$9:$C$49,3,0))),"0")</f>
        <v>625.22531692307689</v>
      </c>
      <c r="E327" s="101"/>
      <c r="F327" s="312"/>
      <c r="H327" s="312"/>
    </row>
    <row r="328" spans="1:8">
      <c r="A328" s="226" t="s">
        <v>155</v>
      </c>
      <c r="B328" s="226"/>
      <c r="C328" s="226"/>
      <c r="D328" s="226"/>
      <c r="E328" s="226"/>
      <c r="F328" s="77">
        <f>D319+D327</f>
        <v>686.87741386540029</v>
      </c>
      <c r="H328" s="77">
        <f>F319+F327</f>
        <v>0</v>
      </c>
    </row>
    <row r="330" spans="1:8">
      <c r="A330" s="227" t="s">
        <v>153</v>
      </c>
      <c r="B330" s="227"/>
      <c r="C330" s="227"/>
      <c r="D330" s="35">
        <v>30</v>
      </c>
      <c r="E330" s="208" t="str">
        <f>IF(F328&gt;=346.608,"30","0")</f>
        <v>30</v>
      </c>
      <c r="F330" s="313" t="s">
        <v>151</v>
      </c>
      <c r="H330" s="313" t="s">
        <v>151</v>
      </c>
    </row>
    <row r="331" spans="1:8">
      <c r="A331" s="227" t="s">
        <v>154</v>
      </c>
      <c r="B331" s="227"/>
      <c r="C331" s="227"/>
      <c r="D331" s="35">
        <v>0</v>
      </c>
      <c r="E331" s="210"/>
      <c r="F331" s="314"/>
      <c r="H331" s="314"/>
    </row>
    <row r="333" spans="1:8" ht="14">
      <c r="A333" s="212" t="s">
        <v>156</v>
      </c>
      <c r="B333" s="212"/>
      <c r="C333" s="212"/>
      <c r="D333" s="212"/>
      <c r="E333" s="212"/>
      <c r="F333" s="212"/>
      <c r="H333" s="20"/>
    </row>
    <row r="334" spans="1:8" ht="28.5" customHeight="1">
      <c r="A334" s="198" t="s">
        <v>157</v>
      </c>
      <c r="B334" s="198"/>
      <c r="C334" s="198"/>
      <c r="D334" s="78" t="s">
        <v>160</v>
      </c>
      <c r="E334" s="208" t="str">
        <f>IF(D334="X","18,92",IF(D335="X","10",IF(D336="X","0","0")))</f>
        <v>18,92</v>
      </c>
      <c r="F334" s="315" t="s">
        <v>379</v>
      </c>
      <c r="H334" s="315" t="s">
        <v>379</v>
      </c>
    </row>
    <row r="335" spans="1:8" ht="28.5" customHeight="1">
      <c r="A335" s="198" t="s">
        <v>158</v>
      </c>
      <c r="B335" s="198"/>
      <c r="C335" s="198"/>
      <c r="D335" s="78"/>
      <c r="E335" s="209"/>
      <c r="F335" s="316"/>
      <c r="H335" s="316"/>
    </row>
    <row r="336" spans="1:8" ht="28.5" customHeight="1">
      <c r="A336" s="199" t="s">
        <v>159</v>
      </c>
      <c r="B336" s="199"/>
      <c r="C336" s="199"/>
      <c r="D336" s="78"/>
      <c r="E336" s="210"/>
      <c r="F336" s="317"/>
      <c r="H336" s="317"/>
    </row>
    <row r="338" spans="1:8" ht="14">
      <c r="A338" s="212" t="s">
        <v>161</v>
      </c>
      <c r="B338" s="212"/>
      <c r="C338" s="212"/>
      <c r="D338" s="212"/>
      <c r="E338" s="212"/>
      <c r="F338" s="212"/>
      <c r="H338" s="20"/>
    </row>
    <row r="339" spans="1:8" ht="53.25" customHeight="1">
      <c r="A339" s="198" t="s">
        <v>162</v>
      </c>
      <c r="B339" s="198"/>
      <c r="C339" s="198"/>
      <c r="D339" s="78" t="s">
        <v>160</v>
      </c>
      <c r="E339" s="208" t="str">
        <f>IF(D339="X","10",IF(D340="X","5",IF(D341="X","0","0")))</f>
        <v>10</v>
      </c>
      <c r="F339" s="313" t="s">
        <v>151</v>
      </c>
      <c r="H339" s="313" t="s">
        <v>151</v>
      </c>
    </row>
    <row r="340" spans="1:8" ht="31.5" customHeight="1">
      <c r="A340" s="198" t="s">
        <v>163</v>
      </c>
      <c r="B340" s="198"/>
      <c r="C340" s="198"/>
      <c r="D340" s="78"/>
      <c r="E340" s="209"/>
      <c r="F340" s="318"/>
      <c r="H340" s="318"/>
    </row>
    <row r="341" spans="1:8" ht="39.75" customHeight="1">
      <c r="A341" s="198" t="s">
        <v>164</v>
      </c>
      <c r="B341" s="198"/>
      <c r="C341" s="198"/>
      <c r="D341" s="78"/>
      <c r="E341" s="210"/>
      <c r="F341" s="314"/>
      <c r="H341" s="314"/>
    </row>
    <row r="343" spans="1:8" ht="14">
      <c r="A343" s="212" t="s">
        <v>165</v>
      </c>
      <c r="B343" s="212"/>
      <c r="C343" s="212"/>
      <c r="D343" s="212"/>
      <c r="E343" s="212"/>
      <c r="F343" s="212"/>
      <c r="H343" s="20"/>
    </row>
    <row r="344" spans="1:8" ht="14">
      <c r="A344" s="207" t="s">
        <v>166</v>
      </c>
      <c r="B344" s="207"/>
      <c r="C344" s="79" t="s">
        <v>61</v>
      </c>
      <c r="D344" s="78" t="str">
        <f>IF(C344="NO","No Cumple",IF(C344="","","Cumple"))</f>
        <v>Cumple</v>
      </c>
      <c r="E344" s="208" t="str">
        <f>IF(AND(D344="cumple",D345="cumple",D346="cumple",D347="cumple"),"1","0")</f>
        <v>1</v>
      </c>
      <c r="F344" s="319" t="s">
        <v>380</v>
      </c>
      <c r="H344" s="319" t="s">
        <v>380</v>
      </c>
    </row>
    <row r="345" spans="1:8" ht="12.75" customHeight="1">
      <c r="A345" s="207" t="s">
        <v>167</v>
      </c>
      <c r="B345" s="207"/>
      <c r="C345" s="79" t="s">
        <v>61</v>
      </c>
      <c r="D345" s="78" t="str">
        <f t="shared" ref="D345" si="19">IF(C345="NO","No Cumple",IF(C345="","","Cumple"))</f>
        <v>Cumple</v>
      </c>
      <c r="E345" s="209"/>
      <c r="F345" s="230"/>
      <c r="H345" s="230"/>
    </row>
    <row r="346" spans="1:8" ht="14">
      <c r="A346" s="207" t="s">
        <v>168</v>
      </c>
      <c r="B346" s="207"/>
      <c r="C346" s="80">
        <v>45534</v>
      </c>
      <c r="D346" s="78" t="str">
        <f>IF(C346="","",IF($B$4-C346&gt;183,"No Cumple","Cumple"))</f>
        <v>Cumple</v>
      </c>
      <c r="E346" s="209"/>
      <c r="F346" s="230"/>
      <c r="H346" s="230"/>
    </row>
    <row r="347" spans="1:8">
      <c r="A347" s="207" t="s">
        <v>169</v>
      </c>
      <c r="B347" s="207"/>
      <c r="C347" s="85">
        <f>D45+(D87*50%)</f>
        <v>1118.081830682223</v>
      </c>
      <c r="D347" s="81" t="str">
        <f>IF(C347="","",IF(C347&lt;$B$5*40%,"No Cumple","Cumple"))</f>
        <v>Cumple</v>
      </c>
      <c r="E347" s="210"/>
      <c r="F347" s="230"/>
      <c r="H347" s="230"/>
    </row>
    <row r="349" spans="1:8" ht="14">
      <c r="A349" s="212" t="s">
        <v>170</v>
      </c>
      <c r="B349" s="212"/>
      <c r="C349" s="212"/>
      <c r="D349" s="212"/>
      <c r="E349" s="212"/>
      <c r="F349" s="212"/>
      <c r="H349" s="20"/>
    </row>
    <row r="350" spans="1:8" ht="14">
      <c r="A350" s="83"/>
      <c r="B350" s="83"/>
      <c r="C350" s="83"/>
      <c r="D350" s="83"/>
      <c r="E350" s="83"/>
      <c r="F350" s="83"/>
      <c r="H350" s="83"/>
    </row>
    <row r="351" spans="1:8" ht="14">
      <c r="A351" s="204" t="s">
        <v>172</v>
      </c>
      <c r="B351" s="205"/>
      <c r="C351" s="205"/>
      <c r="D351" s="205"/>
      <c r="E351" s="205"/>
      <c r="F351" s="206"/>
      <c r="H351" s="20"/>
    </row>
    <row r="352" spans="1:8" ht="14">
      <c r="A352" s="207" t="s">
        <v>171</v>
      </c>
      <c r="B352" s="207"/>
      <c r="C352" s="79" t="s">
        <v>61</v>
      </c>
      <c r="D352" s="78" t="str">
        <f>IF(C352="NO","No Cumple",IF(C352="","","Cumple"))</f>
        <v>Cumple</v>
      </c>
      <c r="E352" s="208" t="str">
        <f>IF(AND(D352="cumple",D353="cumple",D354="cumple",D355="cumple"),"0,08","0")</f>
        <v>0,08</v>
      </c>
      <c r="F352" s="319" t="s">
        <v>381</v>
      </c>
      <c r="H352" s="319" t="s">
        <v>381</v>
      </c>
    </row>
    <row r="353" spans="1:8" ht="14">
      <c r="A353" s="207" t="s">
        <v>174</v>
      </c>
      <c r="B353" s="207"/>
      <c r="C353" s="84">
        <v>0.51</v>
      </c>
      <c r="D353" s="78" t="str">
        <f>IF(C353&gt;=50%,"Cumple",IF(C353="",""," No Cumple"))</f>
        <v>Cumple</v>
      </c>
      <c r="E353" s="209"/>
      <c r="F353" s="230"/>
      <c r="H353" s="230"/>
    </row>
    <row r="354" spans="1:8" ht="14">
      <c r="A354" s="207" t="s">
        <v>173</v>
      </c>
      <c r="B354" s="207"/>
      <c r="C354" s="79" t="s">
        <v>61</v>
      </c>
      <c r="D354" s="78" t="str">
        <f>IF(C354="NO","No Cumple",IF(C354="","","Cumple"))</f>
        <v>Cumple</v>
      </c>
      <c r="E354" s="209"/>
      <c r="F354" s="230"/>
      <c r="H354" s="230"/>
    </row>
    <row r="355" spans="1:8" ht="14">
      <c r="A355" s="207" t="s">
        <v>183</v>
      </c>
      <c r="B355" s="207"/>
      <c r="C355" s="88">
        <v>0.5</v>
      </c>
      <c r="D355" s="78" t="str">
        <f>IF(C355&lt;10%,"No Cumple","Cumple")</f>
        <v>Cumple</v>
      </c>
      <c r="E355" s="210"/>
      <c r="F355" s="230"/>
      <c r="H355" s="230"/>
    </row>
    <row r="357" spans="1:8" ht="14">
      <c r="A357" s="204" t="s">
        <v>175</v>
      </c>
      <c r="B357" s="205"/>
      <c r="C357" s="205"/>
      <c r="D357" s="205"/>
      <c r="E357" s="205"/>
      <c r="F357" s="206"/>
      <c r="H357" s="20"/>
    </row>
    <row r="358" spans="1:8" ht="14">
      <c r="A358" s="207" t="s">
        <v>171</v>
      </c>
      <c r="B358" s="207"/>
      <c r="C358" s="79"/>
      <c r="D358" s="78" t="str">
        <f>IF(C358="NO","No Cumple",IF(C358="","","Cumple"))</f>
        <v/>
      </c>
      <c r="E358" s="208" t="str">
        <f>IF(AND(D358="cumple",D359="cumple",D360="cumple",D361="cumple",D362="cumple"),"0,08","0")</f>
        <v>0</v>
      </c>
      <c r="F358" s="230" t="s">
        <v>151</v>
      </c>
      <c r="H358" s="230" t="s">
        <v>151</v>
      </c>
    </row>
    <row r="359" spans="1:8" ht="14">
      <c r="A359" s="207" t="s">
        <v>176</v>
      </c>
      <c r="B359" s="207"/>
      <c r="C359" s="79"/>
      <c r="D359" s="78" t="str">
        <f t="shared" ref="D359:D361" si="20">IF(C359="NO","No Cumple",IF(C359="","","Cumple"))</f>
        <v/>
      </c>
      <c r="E359" s="209"/>
      <c r="F359" s="230"/>
      <c r="H359" s="230"/>
    </row>
    <row r="360" spans="1:8" ht="27.75" customHeight="1">
      <c r="A360" s="207" t="s">
        <v>177</v>
      </c>
      <c r="B360" s="207"/>
      <c r="C360" s="79"/>
      <c r="D360" s="78" t="str">
        <f t="shared" si="20"/>
        <v/>
      </c>
      <c r="E360" s="209"/>
      <c r="F360" s="230"/>
      <c r="H360" s="230"/>
    </row>
    <row r="361" spans="1:8" ht="14">
      <c r="A361" s="207" t="s">
        <v>178</v>
      </c>
      <c r="B361" s="207"/>
      <c r="C361" s="79"/>
      <c r="D361" s="78" t="str">
        <f t="shared" si="20"/>
        <v/>
      </c>
      <c r="E361" s="209"/>
      <c r="F361" s="230"/>
      <c r="H361" s="230"/>
    </row>
    <row r="362" spans="1:8" ht="14">
      <c r="A362" s="207" t="s">
        <v>182</v>
      </c>
      <c r="B362" s="207"/>
      <c r="C362" s="88">
        <v>0</v>
      </c>
      <c r="D362" s="78" t="str">
        <f>IF(C362&lt;10%,"No Cumple","Cumple")</f>
        <v>No Cumple</v>
      </c>
      <c r="E362" s="210"/>
      <c r="F362" s="230"/>
      <c r="G362" s="95"/>
      <c r="H362" s="230"/>
    </row>
    <row r="364" spans="1:8" ht="31.5" customHeight="1">
      <c r="A364" s="198" t="s">
        <v>180</v>
      </c>
      <c r="B364" s="198"/>
      <c r="C364" s="198"/>
      <c r="D364" s="198"/>
      <c r="E364" s="86"/>
      <c r="F364" s="30"/>
      <c r="H364" s="30"/>
    </row>
    <row r="365" spans="1:8">
      <c r="A365" s="199" t="s">
        <v>181</v>
      </c>
      <c r="B365" s="199"/>
      <c r="C365" s="199"/>
      <c r="D365" s="199"/>
      <c r="E365" s="86"/>
      <c r="F365" s="30"/>
      <c r="H365" s="30"/>
    </row>
    <row r="367" spans="1:8" ht="18">
      <c r="B367" s="200" t="s">
        <v>179</v>
      </c>
      <c r="C367" s="200"/>
      <c r="D367" s="200"/>
      <c r="E367" s="87">
        <f>SUM(D304+E330+E334+E339+E344+E352+E358-E364-E365)</f>
        <v>100</v>
      </c>
    </row>
  </sheetData>
  <sheetProtection algorithmName="SHA-512" hashValue="WY4VMtXJtJq6XwEpMNi7wSht7KxsoiRxoYqAsUOtlBm2TU7t+THSFQVZVZnYVu0mrCUuo7jQ96uAiZ4e8eOYEw==" saltValue="F9kbSiMnvOKj8WITP/uAhw==" spinCount="100000" sheet="1" objects="1" scenarios="1" selectLockedCells="1" selectUnlockedCells="1"/>
  <mergeCells count="322">
    <mergeCell ref="H289:H299"/>
    <mergeCell ref="H312:H319"/>
    <mergeCell ref="H320:H327"/>
    <mergeCell ref="H330:H331"/>
    <mergeCell ref="H334:H336"/>
    <mergeCell ref="H339:H341"/>
    <mergeCell ref="H344:H347"/>
    <mergeCell ref="H352:H355"/>
    <mergeCell ref="H358:H362"/>
    <mergeCell ref="H116:H119"/>
    <mergeCell ref="H160:H166"/>
    <mergeCell ref="H169:H175"/>
    <mergeCell ref="H178:H184"/>
    <mergeCell ref="H202:H209"/>
    <mergeCell ref="H210:H217"/>
    <mergeCell ref="H233:H240"/>
    <mergeCell ref="H241:H248"/>
    <mergeCell ref="H272:H282"/>
    <mergeCell ref="H20:H30"/>
    <mergeCell ref="H31:H34"/>
    <mergeCell ref="H41:H51"/>
    <mergeCell ref="H52:H55"/>
    <mergeCell ref="H62:H72"/>
    <mergeCell ref="H73:H76"/>
    <mergeCell ref="H83:H93"/>
    <mergeCell ref="H94:H97"/>
    <mergeCell ref="H105:H115"/>
    <mergeCell ref="B9:D9"/>
    <mergeCell ref="B10:D10"/>
    <mergeCell ref="B11:D11"/>
    <mergeCell ref="A13:F13"/>
    <mergeCell ref="A14:F14"/>
    <mergeCell ref="B16:F16"/>
    <mergeCell ref="A1:F1"/>
    <mergeCell ref="A2:F2"/>
    <mergeCell ref="B4:C4"/>
    <mergeCell ref="B5:C5"/>
    <mergeCell ref="B6:C6"/>
    <mergeCell ref="B7:F7"/>
    <mergeCell ref="B17:F17"/>
    <mergeCell ref="B18:F18"/>
    <mergeCell ref="A20:A21"/>
    <mergeCell ref="E20:E21"/>
    <mergeCell ref="F20:F30"/>
    <mergeCell ref="A22:C22"/>
    <mergeCell ref="A23:C23"/>
    <mergeCell ref="A24:C24"/>
    <mergeCell ref="A25:C25"/>
    <mergeCell ref="A26:C26"/>
    <mergeCell ref="F31:F34"/>
    <mergeCell ref="B32:C32"/>
    <mergeCell ref="B33:C33"/>
    <mergeCell ref="B34:C34"/>
    <mergeCell ref="A35:D35"/>
    <mergeCell ref="E35:F35"/>
    <mergeCell ref="A27:C27"/>
    <mergeCell ref="A28:C28"/>
    <mergeCell ref="A29:C29"/>
    <mergeCell ref="A30:C30"/>
    <mergeCell ref="A31:A34"/>
    <mergeCell ref="B31:C31"/>
    <mergeCell ref="B37:F37"/>
    <mergeCell ref="B38:F38"/>
    <mergeCell ref="B39:F39"/>
    <mergeCell ref="A41:A42"/>
    <mergeCell ref="E41:E42"/>
    <mergeCell ref="F41:F51"/>
    <mergeCell ref="A43:C43"/>
    <mergeCell ref="A44:C44"/>
    <mergeCell ref="A45:C45"/>
    <mergeCell ref="A46:C46"/>
    <mergeCell ref="F52:F55"/>
    <mergeCell ref="B53:C53"/>
    <mergeCell ref="B54:C54"/>
    <mergeCell ref="B55:C55"/>
    <mergeCell ref="A56:D56"/>
    <mergeCell ref="E56:F56"/>
    <mergeCell ref="A47:C47"/>
    <mergeCell ref="A48:C48"/>
    <mergeCell ref="A49:C49"/>
    <mergeCell ref="A50:C50"/>
    <mergeCell ref="A51:C51"/>
    <mergeCell ref="A52:A55"/>
    <mergeCell ref="B52:C52"/>
    <mergeCell ref="B58:F58"/>
    <mergeCell ref="B59:F59"/>
    <mergeCell ref="B60:F60"/>
    <mergeCell ref="A62:A63"/>
    <mergeCell ref="E62:E63"/>
    <mergeCell ref="F62:F72"/>
    <mergeCell ref="A64:C64"/>
    <mergeCell ref="A65:C65"/>
    <mergeCell ref="A66:C66"/>
    <mergeCell ref="A67:C67"/>
    <mergeCell ref="F73:F76"/>
    <mergeCell ref="B74:C74"/>
    <mergeCell ref="B75:C75"/>
    <mergeCell ref="B76:C76"/>
    <mergeCell ref="A77:D77"/>
    <mergeCell ref="E77:F77"/>
    <mergeCell ref="A68:C68"/>
    <mergeCell ref="A69:C69"/>
    <mergeCell ref="A70:C70"/>
    <mergeCell ref="A71:C71"/>
    <mergeCell ref="A72:C72"/>
    <mergeCell ref="A73:A76"/>
    <mergeCell ref="B73:C73"/>
    <mergeCell ref="B79:F79"/>
    <mergeCell ref="B80:F80"/>
    <mergeCell ref="B81:F81"/>
    <mergeCell ref="A83:A84"/>
    <mergeCell ref="E83:E84"/>
    <mergeCell ref="F83:F93"/>
    <mergeCell ref="A85:C85"/>
    <mergeCell ref="A86:C86"/>
    <mergeCell ref="A87:C87"/>
    <mergeCell ref="A88:C88"/>
    <mergeCell ref="F94:F97"/>
    <mergeCell ref="B95:C95"/>
    <mergeCell ref="B96:C96"/>
    <mergeCell ref="B97:C97"/>
    <mergeCell ref="A98:D98"/>
    <mergeCell ref="E98:F98"/>
    <mergeCell ref="A89:C89"/>
    <mergeCell ref="A90:C90"/>
    <mergeCell ref="A91:C91"/>
    <mergeCell ref="A92:C92"/>
    <mergeCell ref="A93:C93"/>
    <mergeCell ref="A94:A97"/>
    <mergeCell ref="B94:C94"/>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48:F148"/>
    <mergeCell ref="A149:C149"/>
    <mergeCell ref="D149:F149"/>
    <mergeCell ref="B150:C150"/>
    <mergeCell ref="B151:C151"/>
    <mergeCell ref="B152:C152"/>
    <mergeCell ref="A130:E131"/>
    <mergeCell ref="A132:F132"/>
    <mergeCell ref="A134:E135"/>
    <mergeCell ref="A136:F136"/>
    <mergeCell ref="A138:E138"/>
    <mergeCell ref="A147:F147"/>
    <mergeCell ref="A158:C158"/>
    <mergeCell ref="A160:B167"/>
    <mergeCell ref="F160:F166"/>
    <mergeCell ref="A169:B176"/>
    <mergeCell ref="F169:F175"/>
    <mergeCell ref="A178:B185"/>
    <mergeCell ref="F178:F184"/>
    <mergeCell ref="A153:C153"/>
    <mergeCell ref="A154:A155"/>
    <mergeCell ref="B154:C154"/>
    <mergeCell ref="B155:C155"/>
    <mergeCell ref="A156:C156"/>
    <mergeCell ref="A157:C157"/>
    <mergeCell ref="B194:C194"/>
    <mergeCell ref="B195:C195"/>
    <mergeCell ref="A196:C196"/>
    <mergeCell ref="A197:A198"/>
    <mergeCell ref="B197:C197"/>
    <mergeCell ref="B198:C198"/>
    <mergeCell ref="A187:E188"/>
    <mergeCell ref="A189:F189"/>
    <mergeCell ref="A190:E190"/>
    <mergeCell ref="A192:F192"/>
    <mergeCell ref="A193:C193"/>
    <mergeCell ref="D193:F193"/>
    <mergeCell ref="A218:E219"/>
    <mergeCell ref="A220:F220"/>
    <mergeCell ref="A221:E221"/>
    <mergeCell ref="A223:F223"/>
    <mergeCell ref="A224:C224"/>
    <mergeCell ref="D224:F224"/>
    <mergeCell ref="A199:C199"/>
    <mergeCell ref="A200:C200"/>
    <mergeCell ref="A201:C201"/>
    <mergeCell ref="A202:B209"/>
    <mergeCell ref="F202:F209"/>
    <mergeCell ref="A210:B217"/>
    <mergeCell ref="F210:F217"/>
    <mergeCell ref="A230:C230"/>
    <mergeCell ref="A231:C231"/>
    <mergeCell ref="A232:C232"/>
    <mergeCell ref="A233:B240"/>
    <mergeCell ref="F233:F240"/>
    <mergeCell ref="A241:B248"/>
    <mergeCell ref="F241:F248"/>
    <mergeCell ref="B225:C225"/>
    <mergeCell ref="B226:C226"/>
    <mergeCell ref="A227:C227"/>
    <mergeCell ref="A228:A229"/>
    <mergeCell ref="B228:C228"/>
    <mergeCell ref="B229:C229"/>
    <mergeCell ref="A259:F259"/>
    <mergeCell ref="A260:E260"/>
    <mergeCell ref="A262:E262"/>
    <mergeCell ref="A265:F265"/>
    <mergeCell ref="A266:F266"/>
    <mergeCell ref="B268:F268"/>
    <mergeCell ref="A249:E250"/>
    <mergeCell ref="A251:F251"/>
    <mergeCell ref="A252:E252"/>
    <mergeCell ref="A254:E254"/>
    <mergeCell ref="A256:F256"/>
    <mergeCell ref="A257:E258"/>
    <mergeCell ref="A279:C279"/>
    <mergeCell ref="A280:C280"/>
    <mergeCell ref="A281:C281"/>
    <mergeCell ref="A282:C282"/>
    <mergeCell ref="A283:D283"/>
    <mergeCell ref="E283:F283"/>
    <mergeCell ref="B269:F269"/>
    <mergeCell ref="B270:F270"/>
    <mergeCell ref="A272:A273"/>
    <mergeCell ref="E272:E273"/>
    <mergeCell ref="F272:F282"/>
    <mergeCell ref="A274:C274"/>
    <mergeCell ref="A275:C275"/>
    <mergeCell ref="A276:C276"/>
    <mergeCell ref="A277:C277"/>
    <mergeCell ref="A278:C278"/>
    <mergeCell ref="A295:C295"/>
    <mergeCell ref="A296:C296"/>
    <mergeCell ref="A297:C297"/>
    <mergeCell ref="A298:C298"/>
    <mergeCell ref="A299:C299"/>
    <mergeCell ref="A300:D300"/>
    <mergeCell ref="B285:F285"/>
    <mergeCell ref="B286:F286"/>
    <mergeCell ref="B287:F287"/>
    <mergeCell ref="A289:A290"/>
    <mergeCell ref="E289:E290"/>
    <mergeCell ref="F289:F299"/>
    <mergeCell ref="A291:C291"/>
    <mergeCell ref="A292:C292"/>
    <mergeCell ref="A293:C293"/>
    <mergeCell ref="A294:C294"/>
    <mergeCell ref="A310:F310"/>
    <mergeCell ref="A312:B319"/>
    <mergeCell ref="F312:F319"/>
    <mergeCell ref="A320:B327"/>
    <mergeCell ref="F320:F327"/>
    <mergeCell ref="A328:E328"/>
    <mergeCell ref="E300:F300"/>
    <mergeCell ref="A302:E302"/>
    <mergeCell ref="A304:B304"/>
    <mergeCell ref="D304:D308"/>
    <mergeCell ref="E304:F308"/>
    <mergeCell ref="A305:B305"/>
    <mergeCell ref="A306:B306"/>
    <mergeCell ref="A307:B307"/>
    <mergeCell ref="A308:B308"/>
    <mergeCell ref="A338:F338"/>
    <mergeCell ref="A339:C339"/>
    <mergeCell ref="E339:E341"/>
    <mergeCell ref="F339:F341"/>
    <mergeCell ref="A340:C340"/>
    <mergeCell ref="A341:C341"/>
    <mergeCell ref="A330:C330"/>
    <mergeCell ref="E330:E331"/>
    <mergeCell ref="F330:F331"/>
    <mergeCell ref="A331:C331"/>
    <mergeCell ref="A333:F333"/>
    <mergeCell ref="A334:C334"/>
    <mergeCell ref="E334:E336"/>
    <mergeCell ref="F334:F336"/>
    <mergeCell ref="A335:C335"/>
    <mergeCell ref="A336:C336"/>
    <mergeCell ref="A349:F349"/>
    <mergeCell ref="A351:F351"/>
    <mergeCell ref="A352:B352"/>
    <mergeCell ref="E352:E355"/>
    <mergeCell ref="F352:F355"/>
    <mergeCell ref="A353:B353"/>
    <mergeCell ref="A354:B354"/>
    <mergeCell ref="A355:B355"/>
    <mergeCell ref="A343:F343"/>
    <mergeCell ref="A344:B344"/>
    <mergeCell ref="E344:E347"/>
    <mergeCell ref="F344:F347"/>
    <mergeCell ref="A345:B345"/>
    <mergeCell ref="A346:B346"/>
    <mergeCell ref="A347:B347"/>
    <mergeCell ref="A364:D364"/>
    <mergeCell ref="A365:D365"/>
    <mergeCell ref="B367:D367"/>
    <mergeCell ref="A357:F357"/>
    <mergeCell ref="A358:B358"/>
    <mergeCell ref="E358:E362"/>
    <mergeCell ref="F358:F362"/>
    <mergeCell ref="A359:B359"/>
    <mergeCell ref="A360:B360"/>
    <mergeCell ref="A361:B361"/>
    <mergeCell ref="A362:B362"/>
  </mergeCells>
  <conditionalFormatting sqref="E150:E167">
    <cfRule type="expression" dxfId="245" priority="2">
      <formula>"NO CUMPLE"</formula>
    </cfRule>
  </conditionalFormatting>
  <conditionalFormatting sqref="E169:E176">
    <cfRule type="expression" dxfId="244" priority="35">
      <formula>"NO CUMPLE"</formula>
    </cfRule>
  </conditionalFormatting>
  <conditionalFormatting sqref="E178:E185">
    <cfRule type="expression" dxfId="243" priority="34">
      <formula>"NO CUMPLE"</formula>
    </cfRule>
  </conditionalFormatting>
  <conditionalFormatting sqref="E194:E217">
    <cfRule type="expression" dxfId="242" priority="1">
      <formula>"NO CUMPLE"</formula>
    </cfRule>
  </conditionalFormatting>
  <conditionalFormatting sqref="E225:E248">
    <cfRule type="expression" dxfId="241" priority="32">
      <formula>"NO CUMPLE"</formula>
    </cfRule>
  </conditionalFormatting>
  <conditionalFormatting sqref="E312:E327">
    <cfRule type="expression" dxfId="240" priority="36">
      <formula>"NO CUMPLE"</formula>
    </cfRule>
  </conditionalFormatting>
  <conditionalFormatting sqref="E35:F35">
    <cfRule type="containsText" dxfId="239" priority="66" stopIfTrue="1" operator="containsText" text="NO CUMPLE">
      <formula>NOT(ISERROR(SEARCH("NO CUMPLE",E35)))</formula>
    </cfRule>
  </conditionalFormatting>
  <conditionalFormatting sqref="E56:F56">
    <cfRule type="containsText" dxfId="238" priority="62" stopIfTrue="1" operator="containsText" text="NO CUMPLE">
      <formula>NOT(ISERROR(SEARCH("NO CUMPLE",E56)))</formula>
    </cfRule>
  </conditionalFormatting>
  <conditionalFormatting sqref="E77:F77">
    <cfRule type="containsText" dxfId="237" priority="61" stopIfTrue="1" operator="containsText" text="NO CUMPLE">
      <formula>NOT(ISERROR(SEARCH("NO CUMPLE",E77)))</formula>
    </cfRule>
  </conditionalFormatting>
  <conditionalFormatting sqref="E98:F98">
    <cfRule type="containsText" dxfId="236" priority="60" stopIfTrue="1" operator="containsText" text="NO CUMPLE">
      <formula>NOT(ISERROR(SEARCH("NO CUMPLE",E98)))</formula>
    </cfRule>
  </conditionalFormatting>
  <conditionalFormatting sqref="E120:F120">
    <cfRule type="containsText" dxfId="235" priority="59" stopIfTrue="1" operator="containsText" text="NO CUMPLE">
      <formula>NOT(ISERROR(SEARCH("NO CUMPLE",E120)))</formula>
    </cfRule>
  </conditionalFormatting>
  <conditionalFormatting sqref="E283:F283">
    <cfRule type="containsText" dxfId="234" priority="38" stopIfTrue="1" operator="containsText" text="NO CUMPLE">
      <formula>NOT(ISERROR(SEARCH("NO CUMPLE",E283)))</formula>
    </cfRule>
  </conditionalFormatting>
  <conditionalFormatting sqref="E300:F300">
    <cfRule type="containsText" dxfId="233" priority="37" stopIfTrue="1" operator="containsText" text="NO CUMPLE">
      <formula>NOT(ISERROR(SEARCH("NO CUMPLE",E300)))</formula>
    </cfRule>
  </conditionalFormatting>
  <conditionalFormatting sqref="F123">
    <cfRule type="containsText" dxfId="232" priority="57" stopIfTrue="1" operator="containsText" text="NO CUMPLE">
      <formula>NOT(ISERROR(SEARCH("NO CUMPLE",F123)))</formula>
    </cfRule>
  </conditionalFormatting>
  <conditionalFormatting sqref="F127 F129">
    <cfRule type="containsText" dxfId="231" priority="65" stopIfTrue="1" operator="containsText" text="NO CUMPLE">
      <formula>NOT(ISERROR(SEARCH("NO CUMPLE",F127)))</formula>
    </cfRule>
  </conditionalFormatting>
  <conditionalFormatting sqref="F131">
    <cfRule type="containsText" dxfId="230" priority="64" stopIfTrue="1" operator="containsText" text="NO CUMPLE">
      <formula>NOT(ISERROR(SEARCH("NO CUMPLE",F131)))</formula>
    </cfRule>
  </conditionalFormatting>
  <conditionalFormatting sqref="F135">
    <cfRule type="containsText" dxfId="229" priority="63" stopIfTrue="1" operator="containsText" text="NO CUMPLE">
      <formula>NOT(ISERROR(SEARCH("NO CUMPLE",F135)))</formula>
    </cfRule>
  </conditionalFormatting>
  <conditionalFormatting sqref="F138">
    <cfRule type="containsText" dxfId="228" priority="58" stopIfTrue="1" operator="containsText" text="NO HABILITADO">
      <formula>NOT(ISERROR(SEARCH("NO HABILITADO",F138)))</formula>
    </cfRule>
    <cfRule type="containsText" dxfId="227" priority="56" operator="containsText" text="NO CUMPLE">
      <formula>NOT(ISERROR(SEARCH("NO CUMPLE",F138)))</formula>
    </cfRule>
  </conditionalFormatting>
  <conditionalFormatting sqref="F188">
    <cfRule type="containsText" dxfId="226" priority="53" stopIfTrue="1" operator="containsText" text="NO CUMPLE">
      <formula>NOT(ISERROR(SEARCH("NO CUMPLE",F188)))</formula>
    </cfRule>
  </conditionalFormatting>
  <conditionalFormatting sqref="F190">
    <cfRule type="containsText" dxfId="225" priority="52" operator="containsText" text="NO CUMPLE">
      <formula>NOT(ISERROR(SEARCH("NO CUMPLE",F190)))</formula>
    </cfRule>
    <cfRule type="containsText" dxfId="224" priority="54" stopIfTrue="1" operator="containsText" text="NO HABILITADO">
      <formula>NOT(ISERROR(SEARCH("NO HABILITADO",F190)))</formula>
    </cfRule>
  </conditionalFormatting>
  <conditionalFormatting sqref="F219">
    <cfRule type="containsText" dxfId="223" priority="50" stopIfTrue="1" operator="containsText" text="NO CUMPLE">
      <formula>NOT(ISERROR(SEARCH("NO CUMPLE",F219)))</formula>
    </cfRule>
  </conditionalFormatting>
  <conditionalFormatting sqref="F221">
    <cfRule type="containsText" dxfId="222" priority="51" stopIfTrue="1" operator="containsText" text="NO HABILITADO">
      <formula>NOT(ISERROR(SEARCH("NO HABILITADO",F221)))</formula>
    </cfRule>
    <cfRule type="containsText" dxfId="221" priority="49" operator="containsText" text="NO CUMPLE">
      <formula>NOT(ISERROR(SEARCH("NO CUMPLE",F221)))</formula>
    </cfRule>
  </conditionalFormatting>
  <conditionalFormatting sqref="F250">
    <cfRule type="containsText" dxfId="220" priority="47" stopIfTrue="1" operator="containsText" text="NO CUMPLE">
      <formula>NOT(ISERROR(SEARCH("NO CUMPLE",F250)))</formula>
    </cfRule>
  </conditionalFormatting>
  <conditionalFormatting sqref="F252">
    <cfRule type="containsText" dxfId="219" priority="48" stopIfTrue="1" operator="containsText" text="NO HABILITADO">
      <formula>NOT(ISERROR(SEARCH("NO HABILITADO",F252)))</formula>
    </cfRule>
    <cfRule type="containsText" dxfId="218" priority="46" operator="containsText" text="NO CUMPLE">
      <formula>NOT(ISERROR(SEARCH("NO CUMPLE",F252)))</formula>
    </cfRule>
  </conditionalFormatting>
  <conditionalFormatting sqref="F254">
    <cfRule type="containsText" dxfId="217" priority="45" stopIfTrue="1" operator="containsText" text="NO HABILITADO">
      <formula>NOT(ISERROR(SEARCH("NO HABILITADO",F254)))</formula>
    </cfRule>
    <cfRule type="containsText" dxfId="216" priority="44" operator="containsText" text="NO CUMPLE">
      <formula>NOT(ISERROR(SEARCH("NO CUMPLE",F254)))</formula>
    </cfRule>
  </conditionalFormatting>
  <conditionalFormatting sqref="F258">
    <cfRule type="containsText" dxfId="215" priority="43" stopIfTrue="1" operator="containsText" text="NO CUMPLE">
      <formula>NOT(ISERROR(SEARCH("NO CUMPLE",F258)))</formula>
    </cfRule>
  </conditionalFormatting>
  <conditionalFormatting sqref="F260">
    <cfRule type="containsText" dxfId="214" priority="42" stopIfTrue="1" operator="containsText" text="NO HABILITADO">
      <formula>NOT(ISERROR(SEARCH("NO HABILITADO",F260)))</formula>
    </cfRule>
    <cfRule type="containsText" dxfId="213" priority="41" operator="containsText" text="NO CUMPLE">
      <formula>NOT(ISERROR(SEARCH("NO CUMPLE",F260)))</formula>
    </cfRule>
  </conditionalFormatting>
  <conditionalFormatting sqref="F262">
    <cfRule type="containsText" dxfId="212" priority="40" stopIfTrue="1" operator="containsText" text="NO HABILITADO">
      <formula>NOT(ISERROR(SEARCH("NO HABILITADO",F262)))</formula>
    </cfRule>
    <cfRule type="containsText" dxfId="211" priority="39" operator="containsText" text="NO CUMPLE">
      <formula>NOT(ISERROR(SEARCH("NO CUMPLE",F262)))</formula>
    </cfRule>
  </conditionalFormatting>
  <conditionalFormatting sqref="H35">
    <cfRule type="containsText" dxfId="210" priority="31" stopIfTrue="1" operator="containsText" text="NO CUMPLE">
      <formula>NOT(ISERROR(SEARCH("NO CUMPLE",H35)))</formula>
    </cfRule>
  </conditionalFormatting>
  <conditionalFormatting sqref="H56">
    <cfRule type="containsText" dxfId="209" priority="27" stopIfTrue="1" operator="containsText" text="NO CUMPLE">
      <formula>NOT(ISERROR(SEARCH("NO CUMPLE",H56)))</formula>
    </cfRule>
  </conditionalFormatting>
  <conditionalFormatting sqref="H77">
    <cfRule type="containsText" dxfId="208" priority="26" stopIfTrue="1" operator="containsText" text="NO CUMPLE">
      <formula>NOT(ISERROR(SEARCH("NO CUMPLE",H77)))</formula>
    </cfRule>
  </conditionalFormatting>
  <conditionalFormatting sqref="H98">
    <cfRule type="containsText" dxfId="207" priority="25" stopIfTrue="1" operator="containsText" text="NO CUMPLE">
      <formula>NOT(ISERROR(SEARCH("NO CUMPLE",H98)))</formula>
    </cfRule>
  </conditionalFormatting>
  <conditionalFormatting sqref="H120">
    <cfRule type="containsText" dxfId="206" priority="24" stopIfTrue="1" operator="containsText" text="NO CUMPLE">
      <formula>NOT(ISERROR(SEARCH("NO CUMPLE",H120)))</formula>
    </cfRule>
  </conditionalFormatting>
  <conditionalFormatting sqref="H123">
    <cfRule type="containsText" dxfId="205" priority="22" stopIfTrue="1" operator="containsText" text="NO CUMPLE">
      <formula>NOT(ISERROR(SEARCH("NO CUMPLE",H123)))</formula>
    </cfRule>
  </conditionalFormatting>
  <conditionalFormatting sqref="H127 H129">
    <cfRule type="containsText" dxfId="204" priority="30" stopIfTrue="1" operator="containsText" text="NO CUMPLE">
      <formula>NOT(ISERROR(SEARCH("NO CUMPLE",H127)))</formula>
    </cfRule>
  </conditionalFormatting>
  <conditionalFormatting sqref="H131">
    <cfRule type="containsText" dxfId="203" priority="29" stopIfTrue="1" operator="containsText" text="NO CUMPLE">
      <formula>NOT(ISERROR(SEARCH("NO CUMPLE",H131)))</formula>
    </cfRule>
  </conditionalFormatting>
  <conditionalFormatting sqref="H135">
    <cfRule type="containsText" dxfId="202" priority="28" stopIfTrue="1" operator="containsText" text="NO CUMPLE">
      <formula>NOT(ISERROR(SEARCH("NO CUMPLE",H135)))</formula>
    </cfRule>
  </conditionalFormatting>
  <conditionalFormatting sqref="H138">
    <cfRule type="containsText" dxfId="201" priority="21" operator="containsText" text="NO CUMPLE">
      <formula>NOT(ISERROR(SEARCH("NO CUMPLE",H138)))</formula>
    </cfRule>
    <cfRule type="containsText" dxfId="200" priority="23" stopIfTrue="1" operator="containsText" text="NO HABILITADO">
      <formula>NOT(ISERROR(SEARCH("NO HABILITADO",H138)))</formula>
    </cfRule>
  </conditionalFormatting>
  <conditionalFormatting sqref="H188">
    <cfRule type="containsText" dxfId="199" priority="19" stopIfTrue="1" operator="containsText" text="NO CUMPLE">
      <formula>NOT(ISERROR(SEARCH("NO CUMPLE",H188)))</formula>
    </cfRule>
  </conditionalFormatting>
  <conditionalFormatting sqref="H190">
    <cfRule type="containsText" dxfId="198" priority="18" operator="containsText" text="NO CUMPLE">
      <formula>NOT(ISERROR(SEARCH("NO CUMPLE",H190)))</formula>
    </cfRule>
    <cfRule type="containsText" dxfId="197" priority="20" stopIfTrue="1" operator="containsText" text="NO HABILITADO">
      <formula>NOT(ISERROR(SEARCH("NO HABILITADO",H190)))</formula>
    </cfRule>
  </conditionalFormatting>
  <conditionalFormatting sqref="H219">
    <cfRule type="containsText" dxfId="196" priority="16" stopIfTrue="1" operator="containsText" text="NO CUMPLE">
      <formula>NOT(ISERROR(SEARCH("NO CUMPLE",H219)))</formula>
    </cfRule>
  </conditionalFormatting>
  <conditionalFormatting sqref="H221">
    <cfRule type="containsText" dxfId="195" priority="15" operator="containsText" text="NO CUMPLE">
      <formula>NOT(ISERROR(SEARCH("NO CUMPLE",H221)))</formula>
    </cfRule>
    <cfRule type="containsText" dxfId="194" priority="17" stopIfTrue="1" operator="containsText" text="NO HABILITADO">
      <formula>NOT(ISERROR(SEARCH("NO HABILITADO",H221)))</formula>
    </cfRule>
  </conditionalFormatting>
  <conditionalFormatting sqref="H250">
    <cfRule type="containsText" dxfId="193" priority="13" stopIfTrue="1" operator="containsText" text="NO CUMPLE">
      <formula>NOT(ISERROR(SEARCH("NO CUMPLE",H250)))</formula>
    </cfRule>
  </conditionalFormatting>
  <conditionalFormatting sqref="H252">
    <cfRule type="containsText" dxfId="192" priority="14" stopIfTrue="1" operator="containsText" text="NO HABILITADO">
      <formula>NOT(ISERROR(SEARCH("NO HABILITADO",H252)))</formula>
    </cfRule>
    <cfRule type="containsText" dxfId="191" priority="12" operator="containsText" text="NO CUMPLE">
      <formula>NOT(ISERROR(SEARCH("NO CUMPLE",H252)))</formula>
    </cfRule>
  </conditionalFormatting>
  <conditionalFormatting sqref="H254">
    <cfRule type="containsText" dxfId="190" priority="11" stopIfTrue="1" operator="containsText" text="NO HABILITADO">
      <formula>NOT(ISERROR(SEARCH("NO HABILITADO",H254)))</formula>
    </cfRule>
    <cfRule type="containsText" dxfId="189" priority="10" operator="containsText" text="NO CUMPLE">
      <formula>NOT(ISERROR(SEARCH("NO CUMPLE",H254)))</formula>
    </cfRule>
  </conditionalFormatting>
  <conditionalFormatting sqref="H258">
    <cfRule type="containsText" dxfId="188" priority="9" stopIfTrue="1" operator="containsText" text="NO CUMPLE">
      <formula>NOT(ISERROR(SEARCH("NO CUMPLE",H258)))</formula>
    </cfRule>
  </conditionalFormatting>
  <conditionalFormatting sqref="H260">
    <cfRule type="containsText" dxfId="187" priority="8" stopIfTrue="1" operator="containsText" text="NO HABILITADO">
      <formula>NOT(ISERROR(SEARCH("NO HABILITADO",H260)))</formula>
    </cfRule>
    <cfRule type="containsText" dxfId="186" priority="7" operator="containsText" text="NO CUMPLE">
      <formula>NOT(ISERROR(SEARCH("NO CUMPLE",H260)))</formula>
    </cfRule>
  </conditionalFormatting>
  <conditionalFormatting sqref="H262">
    <cfRule type="containsText" dxfId="185" priority="6" stopIfTrue="1" operator="containsText" text="NO HABILITADO">
      <formula>NOT(ISERROR(SEARCH("NO HABILITADO",H262)))</formula>
    </cfRule>
    <cfRule type="containsText" dxfId="184" priority="5" operator="containsText" text="NO CUMPLE">
      <formula>NOT(ISERROR(SEARCH("NO CUMPLE",H262)))</formula>
    </cfRule>
  </conditionalFormatting>
  <conditionalFormatting sqref="H283">
    <cfRule type="containsText" dxfId="183" priority="4" stopIfTrue="1" operator="containsText" text="NO CUMPLE">
      <formula>NOT(ISERROR(SEARCH("NO CUMPLE",H283)))</formula>
    </cfRule>
  </conditionalFormatting>
  <conditionalFormatting sqref="H300">
    <cfRule type="containsText" dxfId="182" priority="3" stopIfTrue="1" operator="containsText" text="NO CUMPLE">
      <formula>NOT(ISERROR(SEARCH("NO CUMPLE",H300)))</formula>
    </cfRule>
  </conditionalFormatting>
  <dataValidations disablePrompts="1" count="3">
    <dataValidation type="whole" allowBlank="1" showInputMessage="1" showErrorMessage="1" sqref="D164 D173 D182 D206 D214 D237 D245 D316 D324" xr:uid="{00000000-0002-0000-0600-000000000000}">
      <formula1>0</formula1>
      <formula2>1E+44</formula2>
    </dataValidation>
    <dataValidation type="date" operator="greaterThan" allowBlank="1" showInputMessage="1" showErrorMessage="1" errorTitle="OJO" error="REVISAR QUE FECHA DE TERMINACIÓN SEA MAYOR QUE LA DE SUSCRIPCIÓN DEL CONTRATO" sqref="D26 D47 D68 D89 D111 D278 D295" xr:uid="{00000000-0002-0000-0600-000001000000}">
      <formula1>D22</formula1>
    </dataValidation>
    <dataValidation allowBlank="1" showInputMessage="1" showErrorMessage="1" errorTitle="FECHA DE CIERRE DEL PROCESO" error="SOLO COLOCAR FECHA_x000a_" sqref="B4:B6" xr:uid="{00000000-0002-0000-0600-000002000000}"/>
  </dataValidations>
  <pageMargins left="0.59" right="0.31496062992125984" top="0.74803149606299213" bottom="0.74803149606299213" header="0.31496062992125984" footer="0.31496062992125984"/>
  <pageSetup scale="85" orientation="landscape" r:id="rId1"/>
  <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0600-000003000000}">
          <x14:formula1>
            <xm:f>Ref!$B$6:$C$6</xm:f>
          </x14:formula1>
          <xm:sqref>D205 D213 D236 D244</xm:sqref>
        </x14:dataValidation>
        <x14:dataValidation type="list" allowBlank="1" showInputMessage="1" showErrorMessage="1" xr:uid="{00000000-0002-0000-0600-000004000000}">
          <x14:formula1>
            <xm:f>Ref!$B$7</xm:f>
          </x14:formula1>
          <xm:sqref>D334:D336 D339:D341</xm:sqref>
        </x14:dataValidation>
        <x14:dataValidation type="list" allowBlank="1" showInputMessage="1" showErrorMessage="1" xr:uid="{00000000-0002-0000-0600-000005000000}">
          <x14:formula1>
            <xm:f>Ref!$B$5:$C$5</xm:f>
          </x14:formula1>
          <xm:sqref>D163 D323 D172 D181 D315</xm:sqref>
        </x14:dataValidation>
        <x14:dataValidation type="list" allowBlank="1" showInputMessage="1" showErrorMessage="1" xr:uid="{00000000-0002-0000-0600-000006000000}">
          <x14:formula1>
            <xm:f>Ref!$B$4:$G$4</xm:f>
          </x14:formula1>
          <xm:sqref>D150 D194 D225</xm:sqref>
        </x14:dataValidation>
        <x14:dataValidation type="list" allowBlank="1" showInputMessage="1" showErrorMessage="1" xr:uid="{00000000-0002-0000-0600-000007000000}">
          <x14:formula1>
            <xm:f>Ref!$B$3:$C$3</xm:f>
          </x14:formula1>
          <xm:sqref>F134 F130 F122 D27:D34 D48:D55 D69:D76 D90:D97 D112:D119 D151 D160:D161 D156:D158 D169:D170 D178:D179 D199:D203 D210:D211 D230:D234 D241:D242 F257 D279:D282 D296:D299 D312:D313 D320:D321 C344:C345 C352 C354 C358:C361 H134 H130 H122 H257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3"/>
  <sheetViews>
    <sheetView topLeftCell="A210" zoomScaleNormal="100" workbookViewId="0">
      <selection activeCell="F375" sqref="F375"/>
    </sheetView>
  </sheetViews>
  <sheetFormatPr baseColWidth="10" defaultColWidth="40.5" defaultRowHeight="13"/>
  <cols>
    <col min="1" max="1" width="31.83203125" style="20" customWidth="1"/>
    <col min="2" max="2" width="17" style="20" customWidth="1"/>
    <col min="3" max="3" width="18.5" style="20" customWidth="1"/>
    <col min="4" max="4" width="20.1640625" style="20" customWidth="1"/>
    <col min="5" max="5" width="28.5" style="20" customWidth="1"/>
    <col min="6" max="6" width="38.33203125" style="42" customWidth="1"/>
    <col min="7" max="7" width="18.1640625" style="20" customWidth="1"/>
    <col min="8" max="16384" width="40.5" style="20"/>
  </cols>
  <sheetData>
    <row r="1" spans="1:6" ht="15" customHeight="1">
      <c r="A1" s="297" t="s">
        <v>87</v>
      </c>
      <c r="B1" s="297"/>
      <c r="C1" s="297"/>
      <c r="D1" s="297"/>
      <c r="E1" s="297"/>
      <c r="F1" s="297"/>
    </row>
    <row r="2" spans="1:6" ht="28.5" customHeight="1">
      <c r="A2" s="297" t="s">
        <v>88</v>
      </c>
      <c r="B2" s="297"/>
      <c r="C2" s="297"/>
      <c r="D2" s="297"/>
      <c r="E2" s="297"/>
      <c r="F2" s="297"/>
    </row>
    <row r="3" spans="1:6">
      <c r="A3" s="21"/>
      <c r="B3" s="22"/>
      <c r="C3" s="22"/>
      <c r="D3" s="22"/>
      <c r="E3" s="22"/>
      <c r="F3" s="22"/>
    </row>
    <row r="4" spans="1:6">
      <c r="A4" s="23" t="s">
        <v>49</v>
      </c>
      <c r="B4" s="298">
        <v>45631</v>
      </c>
      <c r="C4" s="298"/>
      <c r="D4" s="22"/>
      <c r="E4" s="22"/>
      <c r="F4" s="22"/>
    </row>
    <row r="5" spans="1:6">
      <c r="A5" s="23" t="s">
        <v>64</v>
      </c>
      <c r="B5" s="299">
        <f>SUM(B6/1300000)</f>
        <v>433.26314615384615</v>
      </c>
      <c r="C5" s="299"/>
      <c r="D5" s="22"/>
      <c r="E5" s="22"/>
      <c r="F5" s="22"/>
    </row>
    <row r="6" spans="1:6">
      <c r="A6" s="23" t="s">
        <v>63</v>
      </c>
      <c r="B6" s="300">
        <v>563242090</v>
      </c>
      <c r="C6" s="300"/>
      <c r="D6" s="22"/>
      <c r="E6" s="22"/>
      <c r="F6" s="22"/>
    </row>
    <row r="7" spans="1:6" ht="29.25" customHeight="1">
      <c r="A7" s="24" t="s">
        <v>50</v>
      </c>
      <c r="B7" s="301" t="s">
        <v>332</v>
      </c>
      <c r="C7" s="302"/>
      <c r="D7" s="302"/>
      <c r="E7" s="302"/>
      <c r="F7" s="303"/>
    </row>
    <row r="8" spans="1:6">
      <c r="B8" s="25"/>
      <c r="C8" s="25"/>
      <c r="D8" s="25"/>
      <c r="E8" s="25"/>
      <c r="F8" s="25"/>
    </row>
    <row r="9" spans="1:6" hidden="1">
      <c r="A9" s="24" t="s">
        <v>184</v>
      </c>
      <c r="B9" s="240"/>
      <c r="C9" s="240"/>
      <c r="D9" s="240"/>
      <c r="E9" s="90">
        <v>0</v>
      </c>
      <c r="F9" s="25"/>
    </row>
    <row r="10" spans="1:6" hidden="1">
      <c r="A10" s="24" t="s">
        <v>185</v>
      </c>
      <c r="B10" s="240"/>
      <c r="C10" s="240"/>
      <c r="D10" s="240"/>
      <c r="E10" s="90">
        <v>0</v>
      </c>
      <c r="F10" s="25"/>
    </row>
    <row r="11" spans="1:6" hidden="1">
      <c r="A11" s="24" t="s">
        <v>186</v>
      </c>
      <c r="B11" s="240"/>
      <c r="C11" s="240"/>
      <c r="D11" s="240"/>
      <c r="E11" s="90">
        <v>0</v>
      </c>
      <c r="F11" s="25"/>
    </row>
    <row r="12" spans="1:6" hidden="1">
      <c r="B12" s="25"/>
      <c r="C12" s="25"/>
      <c r="D12" s="25"/>
      <c r="E12" s="25"/>
      <c r="F12" s="25"/>
    </row>
    <row r="13" spans="1:6" ht="16">
      <c r="A13" s="245" t="s">
        <v>89</v>
      </c>
      <c r="B13" s="245"/>
      <c r="C13" s="245"/>
      <c r="D13" s="245"/>
      <c r="E13" s="245"/>
      <c r="F13" s="245"/>
    </row>
    <row r="14" spans="1:6" ht="14">
      <c r="A14" s="212" t="s">
        <v>90</v>
      </c>
      <c r="B14" s="212"/>
      <c r="C14" s="212"/>
      <c r="D14" s="212"/>
      <c r="E14" s="212"/>
      <c r="F14" s="212"/>
    </row>
    <row r="15" spans="1:6">
      <c r="A15" s="27"/>
      <c r="B15" s="27"/>
      <c r="C15" s="27"/>
      <c r="D15" s="27"/>
      <c r="E15" s="27"/>
      <c r="F15" s="21"/>
    </row>
    <row r="16" spans="1:6">
      <c r="A16" s="28" t="s">
        <v>300</v>
      </c>
      <c r="B16" s="294" t="s">
        <v>297</v>
      </c>
      <c r="C16" s="294"/>
      <c r="D16" s="294"/>
      <c r="E16" s="294"/>
      <c r="F16" s="294"/>
    </row>
    <row r="17" spans="1:7" ht="66.75" customHeight="1">
      <c r="A17" s="28" t="s">
        <v>51</v>
      </c>
      <c r="B17" s="241" t="s">
        <v>295</v>
      </c>
      <c r="C17" s="241"/>
      <c r="D17" s="241"/>
      <c r="E17" s="241"/>
      <c r="F17" s="241"/>
    </row>
    <row r="18" spans="1:7" ht="20.25" customHeight="1">
      <c r="A18" s="23" t="s">
        <v>52</v>
      </c>
      <c r="B18" s="234" t="s">
        <v>296</v>
      </c>
      <c r="C18" s="234"/>
      <c r="D18" s="234"/>
      <c r="E18" s="234"/>
      <c r="F18" s="234"/>
    </row>
    <row r="19" spans="1:7">
      <c r="A19" s="28" t="s">
        <v>65</v>
      </c>
      <c r="B19" s="31" t="s">
        <v>53</v>
      </c>
      <c r="C19" s="32" t="s">
        <v>66</v>
      </c>
      <c r="D19" s="32" t="s">
        <v>54</v>
      </c>
      <c r="E19" s="32" t="s">
        <v>67</v>
      </c>
      <c r="F19" s="32" t="s">
        <v>55</v>
      </c>
    </row>
    <row r="20" spans="1:7" ht="12.75" customHeight="1">
      <c r="A20" s="227" t="s">
        <v>56</v>
      </c>
      <c r="B20" s="33">
        <v>80101600</v>
      </c>
      <c r="C20" s="29">
        <v>80101600</v>
      </c>
      <c r="D20" s="29">
        <v>205</v>
      </c>
      <c r="E20" s="235" t="str">
        <f>IF(B21=C21,"Acredita",IF(B20=C20,"Acredita","No acredita"))</f>
        <v>Acredita</v>
      </c>
      <c r="F20" s="304"/>
    </row>
    <row r="21" spans="1:7">
      <c r="A21" s="227"/>
      <c r="B21" s="33">
        <v>81101500</v>
      </c>
      <c r="C21" s="30">
        <v>81101500</v>
      </c>
      <c r="D21" s="30">
        <v>205</v>
      </c>
      <c r="E21" s="236"/>
      <c r="F21" s="305"/>
    </row>
    <row r="22" spans="1:7" ht="14">
      <c r="A22" s="237" t="s">
        <v>57</v>
      </c>
      <c r="B22" s="238"/>
      <c r="C22" s="239"/>
      <c r="D22" s="34">
        <v>44400</v>
      </c>
      <c r="E22" s="35" t="str">
        <f>IF(D22="","No acredita","Acredita")</f>
        <v>Acredita</v>
      </c>
      <c r="F22" s="305"/>
    </row>
    <row r="23" spans="1:7" ht="14">
      <c r="A23" s="237" t="s">
        <v>58</v>
      </c>
      <c r="B23" s="238"/>
      <c r="C23" s="239"/>
      <c r="D23" s="36">
        <v>485629242</v>
      </c>
      <c r="E23" s="35" t="str">
        <f>IF(D23="","No acredita","Acredita")</f>
        <v>Acredita</v>
      </c>
      <c r="F23" s="305"/>
    </row>
    <row r="24" spans="1:7" ht="14">
      <c r="A24" s="237" t="s">
        <v>59</v>
      </c>
      <c r="B24" s="238"/>
      <c r="C24" s="239"/>
      <c r="D24" s="44">
        <f>IFERROR((D23/(VLOOKUP((YEAR(D26)),SMMLV!$A$9:$C$49,3,0)))*'O4'!D25,"0")</f>
        <v>418.64589827586207</v>
      </c>
      <c r="E24" s="37" t="str">
        <f>IF(D24="","No acredita","Acredita")</f>
        <v>Acredita</v>
      </c>
      <c r="F24" s="305"/>
    </row>
    <row r="25" spans="1:7" ht="14">
      <c r="A25" s="237" t="s">
        <v>80</v>
      </c>
      <c r="B25" s="238"/>
      <c r="C25" s="239"/>
      <c r="D25" s="45">
        <v>1</v>
      </c>
      <c r="E25" s="35" t="str">
        <f>IF(D25="","No acredita","Acredita")</f>
        <v>Acredita</v>
      </c>
      <c r="F25" s="305"/>
    </row>
    <row r="26" spans="1:7" ht="14">
      <c r="A26" s="237" t="s">
        <v>60</v>
      </c>
      <c r="B26" s="238"/>
      <c r="C26" s="239"/>
      <c r="D26" s="34">
        <v>45076</v>
      </c>
      <c r="E26" s="35" t="str">
        <f>IF(D26="","No acredita","Acredita")</f>
        <v>Acredita</v>
      </c>
      <c r="F26" s="305"/>
      <c r="G26" s="47"/>
    </row>
    <row r="27" spans="1:7" ht="68.25" customHeight="1">
      <c r="A27" s="227" t="s">
        <v>91</v>
      </c>
      <c r="B27" s="227"/>
      <c r="C27" s="227"/>
      <c r="D27" s="38" t="s">
        <v>61</v>
      </c>
      <c r="E27" s="35" t="str">
        <f t="shared" ref="E27:E34" si="0">IF(D27="","No acredita",IF(D27="","",IF(D27="SI","Acredita","No acredita")))</f>
        <v>Acredita</v>
      </c>
      <c r="F27" s="305"/>
    </row>
    <row r="28" spans="1:7" ht="31.5" customHeight="1">
      <c r="A28" s="227" t="s">
        <v>92</v>
      </c>
      <c r="B28" s="227"/>
      <c r="C28" s="227"/>
      <c r="D28" s="38" t="s">
        <v>61</v>
      </c>
      <c r="E28" s="35" t="str">
        <f t="shared" si="0"/>
        <v>Acredita</v>
      </c>
      <c r="F28" s="305"/>
    </row>
    <row r="29" spans="1:7" ht="14">
      <c r="A29" s="227" t="s">
        <v>69</v>
      </c>
      <c r="B29" s="227"/>
      <c r="C29" s="227"/>
      <c r="D29" s="38" t="s">
        <v>61</v>
      </c>
      <c r="E29" s="35" t="str">
        <f t="shared" si="0"/>
        <v>Acredita</v>
      </c>
      <c r="F29" s="305"/>
    </row>
    <row r="30" spans="1:7" ht="14">
      <c r="A30" s="227" t="s">
        <v>103</v>
      </c>
      <c r="B30" s="227"/>
      <c r="C30" s="227"/>
      <c r="D30" s="38" t="s">
        <v>61</v>
      </c>
      <c r="E30" s="35" t="str">
        <f t="shared" si="0"/>
        <v>Acredita</v>
      </c>
      <c r="F30" s="306"/>
    </row>
    <row r="31" spans="1:7" ht="14">
      <c r="A31" s="235" t="s">
        <v>97</v>
      </c>
      <c r="B31" s="288" t="s">
        <v>93</v>
      </c>
      <c r="C31" s="289"/>
      <c r="D31" s="38" t="s">
        <v>61</v>
      </c>
      <c r="E31" s="35" t="str">
        <f t="shared" si="0"/>
        <v>Acredita</v>
      </c>
      <c r="F31" s="307"/>
    </row>
    <row r="32" spans="1:7" ht="14">
      <c r="A32" s="287"/>
      <c r="B32" s="288" t="s">
        <v>94</v>
      </c>
      <c r="C32" s="289"/>
      <c r="D32" s="38" t="s">
        <v>61</v>
      </c>
      <c r="E32" s="35" t="str">
        <f t="shared" si="0"/>
        <v>Acredita</v>
      </c>
      <c r="F32" s="308"/>
    </row>
    <row r="33" spans="1:6" ht="14">
      <c r="A33" s="287"/>
      <c r="B33" s="288" t="s">
        <v>95</v>
      </c>
      <c r="C33" s="289"/>
      <c r="D33" s="38" t="s">
        <v>61</v>
      </c>
      <c r="E33" s="35" t="str">
        <f t="shared" si="0"/>
        <v>Acredita</v>
      </c>
      <c r="F33" s="308"/>
    </row>
    <row r="34" spans="1:6" ht="14">
      <c r="A34" s="236"/>
      <c r="B34" s="288" t="s">
        <v>96</v>
      </c>
      <c r="C34" s="289"/>
      <c r="D34" s="38" t="s">
        <v>61</v>
      </c>
      <c r="E34" s="35" t="str">
        <f t="shared" si="0"/>
        <v>Acredita</v>
      </c>
      <c r="F34" s="309"/>
    </row>
    <row r="35" spans="1:6">
      <c r="A35" s="231" t="s">
        <v>68</v>
      </c>
      <c r="B35" s="231"/>
      <c r="C35" s="231"/>
      <c r="D35" s="231"/>
      <c r="E35" s="232" t="str">
        <f>IF(AND(E20="acredita",E22="acredita",E23="acredita",E24="acredita",E25="acredita",E26="acredita",E27="acredita",E28="acredita",E29="acredita",E30="acredita"),"CUMPLE","NO CUMPLE")</f>
        <v>CUMPLE</v>
      </c>
      <c r="F35" s="233"/>
    </row>
    <row r="36" spans="1:6">
      <c r="A36" s="26"/>
      <c r="B36" s="26"/>
      <c r="C36" s="26"/>
      <c r="D36" s="26"/>
      <c r="E36" s="22"/>
      <c r="F36" s="22"/>
    </row>
    <row r="37" spans="1:6">
      <c r="A37" s="28" t="s">
        <v>299</v>
      </c>
      <c r="B37" s="294" t="s">
        <v>297</v>
      </c>
      <c r="C37" s="294"/>
      <c r="D37" s="294"/>
      <c r="E37" s="294"/>
      <c r="F37" s="294"/>
    </row>
    <row r="38" spans="1:6" ht="60" customHeight="1">
      <c r="A38" s="28" t="s">
        <v>51</v>
      </c>
      <c r="B38" s="241" t="s">
        <v>298</v>
      </c>
      <c r="C38" s="241"/>
      <c r="D38" s="241"/>
      <c r="E38" s="241"/>
      <c r="F38" s="241"/>
    </row>
    <row r="39" spans="1:6">
      <c r="A39" s="23" t="s">
        <v>52</v>
      </c>
      <c r="B39" s="234" t="s">
        <v>301</v>
      </c>
      <c r="C39" s="234"/>
      <c r="D39" s="234"/>
      <c r="E39" s="234"/>
      <c r="F39" s="234"/>
    </row>
    <row r="40" spans="1:6">
      <c r="A40" s="28" t="s">
        <v>65</v>
      </c>
      <c r="B40" s="31" t="s">
        <v>53</v>
      </c>
      <c r="C40" s="32" t="s">
        <v>66</v>
      </c>
      <c r="D40" s="32" t="s">
        <v>54</v>
      </c>
      <c r="E40" s="32" t="s">
        <v>67</v>
      </c>
      <c r="F40" s="32" t="s">
        <v>55</v>
      </c>
    </row>
    <row r="41" spans="1:6">
      <c r="A41" s="227" t="s">
        <v>56</v>
      </c>
      <c r="B41" s="33">
        <v>80101600</v>
      </c>
      <c r="C41" s="29">
        <v>80101600</v>
      </c>
      <c r="D41" s="29">
        <v>211</v>
      </c>
      <c r="E41" s="235" t="str">
        <f>IF(B42=C42,"Acredita",IF(B41=C41,"Acredita","No acredita"))</f>
        <v>Acredita</v>
      </c>
      <c r="F41" s="304"/>
    </row>
    <row r="42" spans="1:6">
      <c r="A42" s="227"/>
      <c r="B42" s="33">
        <v>81101500</v>
      </c>
      <c r="C42" s="30">
        <v>81101500</v>
      </c>
      <c r="D42" s="30">
        <v>211</v>
      </c>
      <c r="E42" s="236"/>
      <c r="F42" s="305"/>
    </row>
    <row r="43" spans="1:6" ht="14">
      <c r="A43" s="237" t="s">
        <v>57</v>
      </c>
      <c r="B43" s="238"/>
      <c r="C43" s="239"/>
      <c r="D43" s="34">
        <v>44966</v>
      </c>
      <c r="E43" s="35" t="str">
        <f>IF(D43="","No acredita","Acredita")</f>
        <v>Acredita</v>
      </c>
      <c r="F43" s="305"/>
    </row>
    <row r="44" spans="1:6" ht="14">
      <c r="A44" s="237" t="s">
        <v>58</v>
      </c>
      <c r="B44" s="238"/>
      <c r="C44" s="239"/>
      <c r="D44" s="36">
        <v>498990133</v>
      </c>
      <c r="E44" s="35" t="str">
        <f>IF(D44="","No acredita","Acredita")</f>
        <v>Acredita</v>
      </c>
      <c r="F44" s="305"/>
    </row>
    <row r="45" spans="1:6" ht="14">
      <c r="A45" s="237" t="s">
        <v>59</v>
      </c>
      <c r="B45" s="238"/>
      <c r="C45" s="239"/>
      <c r="D45" s="44">
        <f>IFERROR((D44/(VLOOKUP((YEAR(D47)),SMMLV!$A$9:$C$49,3,0)))*'O4'!D46,"0")</f>
        <v>383.83856384615382</v>
      </c>
      <c r="E45" s="37" t="str">
        <f>IF(D45="","No acredita","Acredita")</f>
        <v>Acredita</v>
      </c>
      <c r="F45" s="305"/>
    </row>
    <row r="46" spans="1:6" ht="14">
      <c r="A46" s="237" t="s">
        <v>80</v>
      </c>
      <c r="B46" s="238"/>
      <c r="C46" s="239"/>
      <c r="D46" s="45">
        <v>1</v>
      </c>
      <c r="E46" s="35" t="str">
        <f>IF(D46="","No acredita","Acredita")</f>
        <v>Acredita</v>
      </c>
      <c r="F46" s="305"/>
    </row>
    <row r="47" spans="1:6" ht="14">
      <c r="A47" s="237" t="s">
        <v>60</v>
      </c>
      <c r="B47" s="238"/>
      <c r="C47" s="239"/>
      <c r="D47" s="34">
        <v>45305</v>
      </c>
      <c r="E47" s="35" t="str">
        <f>IF(D47="","No acredita","Acredita")</f>
        <v>Acredita</v>
      </c>
      <c r="F47" s="305"/>
    </row>
    <row r="48" spans="1:6" ht="72" customHeight="1">
      <c r="A48" s="227" t="s">
        <v>91</v>
      </c>
      <c r="B48" s="227"/>
      <c r="C48" s="227"/>
      <c r="D48" s="38" t="s">
        <v>61</v>
      </c>
      <c r="E48" s="35" t="str">
        <f t="shared" ref="E48:E55" si="1">IF(D48="","No acredita",IF(D48="","",IF(D48="SI","Acredita","No acredita")))</f>
        <v>Acredita</v>
      </c>
      <c r="F48" s="305"/>
    </row>
    <row r="49" spans="1:6" ht="33" customHeight="1">
      <c r="A49" s="227" t="s">
        <v>92</v>
      </c>
      <c r="B49" s="227"/>
      <c r="C49" s="227"/>
      <c r="D49" s="38" t="s">
        <v>61</v>
      </c>
      <c r="E49" s="35" t="str">
        <f t="shared" si="1"/>
        <v>Acredita</v>
      </c>
      <c r="F49" s="305"/>
    </row>
    <row r="50" spans="1:6" ht="14">
      <c r="A50" s="227" t="s">
        <v>69</v>
      </c>
      <c r="B50" s="227"/>
      <c r="C50" s="227"/>
      <c r="D50" s="38" t="s">
        <v>61</v>
      </c>
      <c r="E50" s="35" t="str">
        <f t="shared" si="1"/>
        <v>Acredita</v>
      </c>
      <c r="F50" s="305"/>
    </row>
    <row r="51" spans="1:6" ht="14">
      <c r="A51" s="227" t="s">
        <v>103</v>
      </c>
      <c r="B51" s="227"/>
      <c r="C51" s="227"/>
      <c r="D51" s="38" t="s">
        <v>61</v>
      </c>
      <c r="E51" s="35" t="str">
        <f t="shared" si="1"/>
        <v>Acredita</v>
      </c>
      <c r="F51" s="306"/>
    </row>
    <row r="52" spans="1:6" ht="14">
      <c r="A52" s="235" t="s">
        <v>97</v>
      </c>
      <c r="B52" s="288" t="s">
        <v>93</v>
      </c>
      <c r="C52" s="289"/>
      <c r="D52" s="38"/>
      <c r="E52" s="35" t="str">
        <f t="shared" si="1"/>
        <v>No acredita</v>
      </c>
      <c r="F52" s="307"/>
    </row>
    <row r="53" spans="1:6" ht="14">
      <c r="A53" s="287"/>
      <c r="B53" s="288" t="s">
        <v>94</v>
      </c>
      <c r="C53" s="289"/>
      <c r="D53" s="38"/>
      <c r="E53" s="35" t="str">
        <f t="shared" si="1"/>
        <v>No acredita</v>
      </c>
      <c r="F53" s="308"/>
    </row>
    <row r="54" spans="1:6" ht="14">
      <c r="A54" s="287"/>
      <c r="B54" s="288" t="s">
        <v>95</v>
      </c>
      <c r="C54" s="289"/>
      <c r="D54" s="38"/>
      <c r="E54" s="35" t="str">
        <f t="shared" si="1"/>
        <v>No acredita</v>
      </c>
      <c r="F54" s="308"/>
    </row>
    <row r="55" spans="1:6" ht="14">
      <c r="A55" s="236"/>
      <c r="B55" s="288" t="s">
        <v>96</v>
      </c>
      <c r="C55" s="289"/>
      <c r="D55" s="38"/>
      <c r="E55" s="35" t="str">
        <f t="shared" si="1"/>
        <v>No acredita</v>
      </c>
      <c r="F55" s="309"/>
    </row>
    <row r="56" spans="1:6">
      <c r="A56" s="231" t="s">
        <v>70</v>
      </c>
      <c r="B56" s="231"/>
      <c r="C56" s="231"/>
      <c r="D56" s="231"/>
      <c r="E56" s="232" t="str">
        <f>IF(AND(E41="acredita",E43="acredita",E44="acredita",E45="acredita",E46="acredita",E47="acredita",E48="acredita",E49="acredita",E50="acredita",E51="acredita"),"CUMPLE","NO CUMPLE")</f>
        <v>CUMPLE</v>
      </c>
      <c r="F56" s="233"/>
    </row>
    <row r="57" spans="1:6">
      <c r="A57" s="26"/>
      <c r="B57" s="26"/>
      <c r="C57" s="26"/>
      <c r="D57" s="26"/>
      <c r="E57" s="22"/>
      <c r="F57" s="22"/>
    </row>
    <row r="58" spans="1:6" hidden="1">
      <c r="A58" s="28" t="s">
        <v>81</v>
      </c>
      <c r="B58" s="294"/>
      <c r="C58" s="294"/>
      <c r="D58" s="294"/>
      <c r="E58" s="294"/>
      <c r="F58" s="294"/>
    </row>
    <row r="59" spans="1:6" hidden="1">
      <c r="A59" s="28" t="s">
        <v>51</v>
      </c>
      <c r="B59" s="241"/>
      <c r="C59" s="241"/>
      <c r="D59" s="241"/>
      <c r="E59" s="241"/>
      <c r="F59" s="241"/>
    </row>
    <row r="60" spans="1:6" hidden="1">
      <c r="A60" s="23" t="s">
        <v>52</v>
      </c>
      <c r="B60" s="234"/>
      <c r="C60" s="234"/>
      <c r="D60" s="234"/>
      <c r="E60" s="234"/>
      <c r="F60" s="234"/>
    </row>
    <row r="61" spans="1:6" hidden="1">
      <c r="A61" s="28" t="s">
        <v>65</v>
      </c>
      <c r="B61" s="31" t="s">
        <v>53</v>
      </c>
      <c r="C61" s="32" t="s">
        <v>66</v>
      </c>
      <c r="D61" s="32" t="s">
        <v>54</v>
      </c>
      <c r="E61" s="32" t="s">
        <v>67</v>
      </c>
      <c r="F61" s="32" t="s">
        <v>55</v>
      </c>
    </row>
    <row r="62" spans="1:6" hidden="1">
      <c r="A62" s="227" t="s">
        <v>56</v>
      </c>
      <c r="B62" s="33">
        <v>80101600</v>
      </c>
      <c r="C62" s="29"/>
      <c r="D62" s="29"/>
      <c r="E62" s="235" t="str">
        <f>IF(B63=C63,"Acredita",IF(B62=C62,"Acredita","No acredita"))</f>
        <v>No acredita</v>
      </c>
      <c r="F62" s="304"/>
    </row>
    <row r="63" spans="1:6" hidden="1">
      <c r="A63" s="227"/>
      <c r="B63" s="33">
        <v>81101500</v>
      </c>
      <c r="C63" s="30"/>
      <c r="D63" s="30"/>
      <c r="E63" s="236"/>
      <c r="F63" s="305"/>
    </row>
    <row r="64" spans="1:6" ht="14" hidden="1">
      <c r="A64" s="237" t="s">
        <v>57</v>
      </c>
      <c r="B64" s="238"/>
      <c r="C64" s="239"/>
      <c r="D64" s="34"/>
      <c r="E64" s="35" t="str">
        <f>IF(D64="","No acredita","Acredita")</f>
        <v>No acredita</v>
      </c>
      <c r="F64" s="305"/>
    </row>
    <row r="65" spans="1:6" ht="14" hidden="1">
      <c r="A65" s="237" t="s">
        <v>58</v>
      </c>
      <c r="B65" s="238"/>
      <c r="C65" s="239"/>
      <c r="D65" s="36"/>
      <c r="E65" s="35" t="str">
        <f>IF(D65="","No acredita","Acredita")</f>
        <v>No acredita</v>
      </c>
      <c r="F65" s="305"/>
    </row>
    <row r="66" spans="1:6" ht="14" hidden="1">
      <c r="A66" s="237" t="s">
        <v>59</v>
      </c>
      <c r="B66" s="238"/>
      <c r="C66" s="239"/>
      <c r="D66" s="44" t="str">
        <f>IFERROR((D65/(VLOOKUP((YEAR(D68)),SMMLV!$A$9:$C$49,3,0)))*'O4'!D67,"0")</f>
        <v>0</v>
      </c>
      <c r="E66" s="37" t="str">
        <f>IF(D66="","No acredita","Acredita")</f>
        <v>Acredita</v>
      </c>
      <c r="F66" s="305"/>
    </row>
    <row r="67" spans="1:6" ht="14" hidden="1">
      <c r="A67" s="237" t="s">
        <v>80</v>
      </c>
      <c r="B67" s="238"/>
      <c r="C67" s="239"/>
      <c r="D67" s="45"/>
      <c r="E67" s="35" t="str">
        <f>IF(D67="","No acredita","Acredita")</f>
        <v>No acredita</v>
      </c>
      <c r="F67" s="305"/>
    </row>
    <row r="68" spans="1:6" ht="14" hidden="1">
      <c r="A68" s="237" t="s">
        <v>60</v>
      </c>
      <c r="B68" s="238"/>
      <c r="C68" s="239"/>
      <c r="D68" s="34"/>
      <c r="E68" s="35" t="str">
        <f>IF(D68="","No acredita","Acredita")</f>
        <v>No acredita</v>
      </c>
      <c r="F68" s="305"/>
    </row>
    <row r="69" spans="1:6" ht="65.25" hidden="1" customHeight="1">
      <c r="A69" s="227" t="s">
        <v>91</v>
      </c>
      <c r="B69" s="227"/>
      <c r="C69" s="227"/>
      <c r="D69" s="38"/>
      <c r="E69" s="35" t="str">
        <f t="shared" ref="E69:E76" si="2">IF(D69="","No acredita",IF(D69="","",IF(D69="SI","Acredita","No acredita")))</f>
        <v>No acredita</v>
      </c>
      <c r="F69" s="305"/>
    </row>
    <row r="70" spans="1:6" ht="28.5" hidden="1" customHeight="1">
      <c r="A70" s="227" t="s">
        <v>92</v>
      </c>
      <c r="B70" s="227"/>
      <c r="C70" s="227"/>
      <c r="D70" s="38"/>
      <c r="E70" s="35" t="str">
        <f t="shared" si="2"/>
        <v>No acredita</v>
      </c>
      <c r="F70" s="305"/>
    </row>
    <row r="71" spans="1:6" ht="14" hidden="1">
      <c r="A71" s="227" t="s">
        <v>69</v>
      </c>
      <c r="B71" s="227"/>
      <c r="C71" s="227"/>
      <c r="D71" s="38"/>
      <c r="E71" s="35" t="str">
        <f t="shared" si="2"/>
        <v>No acredita</v>
      </c>
      <c r="F71" s="305"/>
    </row>
    <row r="72" spans="1:6" ht="14" hidden="1">
      <c r="A72" s="227" t="s">
        <v>102</v>
      </c>
      <c r="B72" s="227"/>
      <c r="C72" s="227"/>
      <c r="D72" s="38"/>
      <c r="E72" s="35" t="str">
        <f t="shared" si="2"/>
        <v>No acredita</v>
      </c>
      <c r="F72" s="306"/>
    </row>
    <row r="73" spans="1:6" ht="14" hidden="1">
      <c r="A73" s="235" t="s">
        <v>97</v>
      </c>
      <c r="B73" s="288" t="s">
        <v>93</v>
      </c>
      <c r="C73" s="289"/>
      <c r="D73" s="38"/>
      <c r="E73" s="35" t="str">
        <f t="shared" si="2"/>
        <v>No acredita</v>
      </c>
      <c r="F73" s="307"/>
    </row>
    <row r="74" spans="1:6" ht="14" hidden="1">
      <c r="A74" s="287"/>
      <c r="B74" s="288" t="s">
        <v>94</v>
      </c>
      <c r="C74" s="289"/>
      <c r="D74" s="38"/>
      <c r="E74" s="35" t="str">
        <f t="shared" si="2"/>
        <v>No acredita</v>
      </c>
      <c r="F74" s="308"/>
    </row>
    <row r="75" spans="1:6" ht="14" hidden="1">
      <c r="A75" s="287"/>
      <c r="B75" s="288" t="s">
        <v>95</v>
      </c>
      <c r="C75" s="289"/>
      <c r="D75" s="38"/>
      <c r="E75" s="35" t="str">
        <f t="shared" si="2"/>
        <v>No acredita</v>
      </c>
      <c r="F75" s="308"/>
    </row>
    <row r="76" spans="1:6" ht="14" hidden="1">
      <c r="A76" s="236"/>
      <c r="B76" s="288" t="s">
        <v>96</v>
      </c>
      <c r="C76" s="289"/>
      <c r="D76" s="38"/>
      <c r="E76" s="35" t="str">
        <f t="shared" si="2"/>
        <v>No acredita</v>
      </c>
      <c r="F76" s="309"/>
    </row>
    <row r="77" spans="1:6" hidden="1">
      <c r="A77" s="231" t="s">
        <v>71</v>
      </c>
      <c r="B77" s="231"/>
      <c r="C77" s="231"/>
      <c r="D77" s="231"/>
      <c r="E77" s="232" t="str">
        <f>IF(AND(E62="acredita",E64="acredita",E65="acredita",E66="acredita",E67="acredita",E68="acredita",E69="acredita",E70="acredita",E71="acredita",E72="acredita"),"CUMPLE","NO CUMPLE")</f>
        <v>NO CUMPLE</v>
      </c>
      <c r="F77" s="233"/>
    </row>
    <row r="78" spans="1:6" hidden="1">
      <c r="A78" s="26"/>
      <c r="B78" s="26"/>
      <c r="C78" s="26"/>
      <c r="D78" s="26"/>
      <c r="E78" s="22"/>
      <c r="F78" s="22"/>
    </row>
    <row r="79" spans="1:6" hidden="1">
      <c r="A79" s="28" t="s">
        <v>82</v>
      </c>
      <c r="B79" s="294"/>
      <c r="C79" s="294"/>
      <c r="D79" s="294"/>
      <c r="E79" s="294"/>
      <c r="F79" s="294"/>
    </row>
    <row r="80" spans="1:6" hidden="1">
      <c r="A80" s="28" t="s">
        <v>51</v>
      </c>
      <c r="B80" s="241"/>
      <c r="C80" s="241"/>
      <c r="D80" s="241"/>
      <c r="E80" s="241"/>
      <c r="F80" s="241"/>
    </row>
    <row r="81" spans="1:6" hidden="1">
      <c r="A81" s="23" t="s">
        <v>52</v>
      </c>
      <c r="B81" s="234"/>
      <c r="C81" s="234"/>
      <c r="D81" s="234"/>
      <c r="E81" s="234"/>
      <c r="F81" s="234"/>
    </row>
    <row r="82" spans="1:6" hidden="1">
      <c r="A82" s="28" t="s">
        <v>65</v>
      </c>
      <c r="B82" s="31" t="s">
        <v>53</v>
      </c>
      <c r="C82" s="32" t="s">
        <v>66</v>
      </c>
      <c r="D82" s="32" t="s">
        <v>54</v>
      </c>
      <c r="E82" s="32" t="s">
        <v>67</v>
      </c>
      <c r="F82" s="32" t="s">
        <v>55</v>
      </c>
    </row>
    <row r="83" spans="1:6" hidden="1">
      <c r="A83" s="227" t="s">
        <v>56</v>
      </c>
      <c r="B83" s="33">
        <v>80101600</v>
      </c>
      <c r="C83" s="29"/>
      <c r="D83" s="29"/>
      <c r="E83" s="235" t="str">
        <f>IF(B84=C84,"Acredita",IF(B83=C83,"Acredita","No acredita"))</f>
        <v>No acredita</v>
      </c>
      <c r="F83" s="304"/>
    </row>
    <row r="84" spans="1:6" hidden="1">
      <c r="A84" s="227"/>
      <c r="B84" s="33">
        <v>81101500</v>
      </c>
      <c r="C84" s="30"/>
      <c r="D84" s="30"/>
      <c r="E84" s="236"/>
      <c r="F84" s="305"/>
    </row>
    <row r="85" spans="1:6" ht="14" hidden="1">
      <c r="A85" s="237" t="s">
        <v>57</v>
      </c>
      <c r="B85" s="238"/>
      <c r="C85" s="239"/>
      <c r="D85" s="34"/>
      <c r="E85" s="35" t="str">
        <f>IF(D85="","No acredita","Acredita")</f>
        <v>No acredita</v>
      </c>
      <c r="F85" s="305"/>
    </row>
    <row r="86" spans="1:6" ht="14" hidden="1">
      <c r="A86" s="237" t="s">
        <v>58</v>
      </c>
      <c r="B86" s="238"/>
      <c r="C86" s="239"/>
      <c r="D86" s="36"/>
      <c r="E86" s="35" t="str">
        <f>IF(D86="","No acredita","Acredita")</f>
        <v>No acredita</v>
      </c>
      <c r="F86" s="305"/>
    </row>
    <row r="87" spans="1:6" ht="14" hidden="1">
      <c r="A87" s="237" t="s">
        <v>59</v>
      </c>
      <c r="B87" s="238"/>
      <c r="C87" s="239"/>
      <c r="D87" s="44" t="str">
        <f>IFERROR((D86/(VLOOKUP((YEAR(D89)),SMMLV!$A$9:$C$49,3,0)))*'O4'!D88,"0")</f>
        <v>0</v>
      </c>
      <c r="E87" s="37" t="str">
        <f>IF(D87="","No acredita","Acredita")</f>
        <v>Acredita</v>
      </c>
      <c r="F87" s="305"/>
    </row>
    <row r="88" spans="1:6" ht="14" hidden="1">
      <c r="A88" s="237" t="s">
        <v>80</v>
      </c>
      <c r="B88" s="238"/>
      <c r="C88" s="239"/>
      <c r="D88" s="45"/>
      <c r="E88" s="35" t="str">
        <f>IF(D88="","No acredita","Acredita")</f>
        <v>No acredita</v>
      </c>
      <c r="F88" s="305"/>
    </row>
    <row r="89" spans="1:6" ht="14" hidden="1">
      <c r="A89" s="237" t="s">
        <v>60</v>
      </c>
      <c r="B89" s="238"/>
      <c r="C89" s="239"/>
      <c r="D89" s="34"/>
      <c r="E89" s="35" t="str">
        <f>IF(D89="","No acredita","Acredita")</f>
        <v>No acredita</v>
      </c>
      <c r="F89" s="305"/>
    </row>
    <row r="90" spans="1:6" ht="69.75" hidden="1" customHeight="1">
      <c r="A90" s="227" t="s">
        <v>91</v>
      </c>
      <c r="B90" s="227"/>
      <c r="C90" s="227"/>
      <c r="D90" s="38"/>
      <c r="E90" s="35" t="str">
        <f t="shared" ref="E90:E97" si="3">IF(D90="","No acredita",IF(D90="","",IF(D90="SI","Acredita","No acredita")))</f>
        <v>No acredita</v>
      </c>
      <c r="F90" s="305"/>
    </row>
    <row r="91" spans="1:6" ht="32.25" hidden="1" customHeight="1">
      <c r="A91" s="227" t="s">
        <v>92</v>
      </c>
      <c r="B91" s="227"/>
      <c r="C91" s="227"/>
      <c r="D91" s="38" t="s">
        <v>62</v>
      </c>
      <c r="E91" s="35" t="str">
        <f t="shared" si="3"/>
        <v>No acredita</v>
      </c>
      <c r="F91" s="305"/>
    </row>
    <row r="92" spans="1:6" ht="14" hidden="1">
      <c r="A92" s="227" t="s">
        <v>69</v>
      </c>
      <c r="B92" s="227"/>
      <c r="C92" s="227"/>
      <c r="D92" s="38"/>
      <c r="E92" s="35" t="str">
        <f t="shared" si="3"/>
        <v>No acredita</v>
      </c>
      <c r="F92" s="305"/>
    </row>
    <row r="93" spans="1:6" ht="14" hidden="1">
      <c r="A93" s="227" t="s">
        <v>102</v>
      </c>
      <c r="B93" s="227"/>
      <c r="C93" s="227"/>
      <c r="D93" s="38"/>
      <c r="E93" s="35" t="str">
        <f t="shared" si="3"/>
        <v>No acredita</v>
      </c>
      <c r="F93" s="306"/>
    </row>
    <row r="94" spans="1:6" ht="14" hidden="1">
      <c r="A94" s="235" t="s">
        <v>97</v>
      </c>
      <c r="B94" s="288" t="s">
        <v>93</v>
      </c>
      <c r="C94" s="289"/>
      <c r="D94" s="38"/>
      <c r="E94" s="35" t="str">
        <f t="shared" si="3"/>
        <v>No acredita</v>
      </c>
      <c r="F94" s="307"/>
    </row>
    <row r="95" spans="1:6" ht="14" hidden="1">
      <c r="A95" s="287"/>
      <c r="B95" s="288" t="s">
        <v>94</v>
      </c>
      <c r="C95" s="289"/>
      <c r="D95" s="38"/>
      <c r="E95" s="35" t="str">
        <f t="shared" si="3"/>
        <v>No acredita</v>
      </c>
      <c r="F95" s="308"/>
    </row>
    <row r="96" spans="1:6" ht="14" hidden="1">
      <c r="A96" s="287"/>
      <c r="B96" s="288" t="s">
        <v>95</v>
      </c>
      <c r="C96" s="289"/>
      <c r="D96" s="38"/>
      <c r="E96" s="35" t="str">
        <f t="shared" si="3"/>
        <v>No acredita</v>
      </c>
      <c r="F96" s="308"/>
    </row>
    <row r="97" spans="1:6" ht="14" hidden="1">
      <c r="A97" s="236"/>
      <c r="B97" s="288" t="s">
        <v>96</v>
      </c>
      <c r="C97" s="289"/>
      <c r="D97" s="38"/>
      <c r="E97" s="35" t="str">
        <f t="shared" si="3"/>
        <v>No acredita</v>
      </c>
      <c r="F97" s="309"/>
    </row>
    <row r="98" spans="1:6" hidden="1">
      <c r="A98" s="231" t="s">
        <v>72</v>
      </c>
      <c r="B98" s="231"/>
      <c r="C98" s="231"/>
      <c r="D98" s="231"/>
      <c r="E98" s="232" t="str">
        <f>IF(AND(E83="acredita",E85="acredita",E86="acredita",E87="acredita",E88="acredita",E89="acredita",E90="acredita",E91="acredita",E92="acredita",E93="acredita"),"CUMPLE","NO CUMPLE")</f>
        <v>NO CUMPLE</v>
      </c>
      <c r="F98" s="233"/>
    </row>
    <row r="99" spans="1:6" hidden="1">
      <c r="A99" s="26"/>
      <c r="B99" s="26"/>
      <c r="C99" s="26"/>
      <c r="D99" s="26"/>
      <c r="E99" s="22"/>
      <c r="F99" s="22"/>
    </row>
    <row r="100" spans="1:6" hidden="1">
      <c r="A100" s="293" t="s">
        <v>98</v>
      </c>
      <c r="B100" s="293"/>
      <c r="C100" s="293"/>
      <c r="D100" s="293"/>
      <c r="E100" s="293"/>
      <c r="F100" s="293"/>
    </row>
    <row r="101" spans="1:6" hidden="1">
      <c r="A101" s="28" t="s">
        <v>83</v>
      </c>
      <c r="B101" s="294"/>
      <c r="C101" s="294"/>
      <c r="D101" s="294"/>
      <c r="E101" s="294"/>
      <c r="F101" s="294"/>
    </row>
    <row r="102" spans="1:6" hidden="1">
      <c r="A102" s="28" t="s">
        <v>51</v>
      </c>
      <c r="B102" s="241"/>
      <c r="C102" s="241"/>
      <c r="D102" s="241"/>
      <c r="E102" s="241"/>
      <c r="F102" s="241"/>
    </row>
    <row r="103" spans="1:6" hidden="1">
      <c r="A103" s="23" t="s">
        <v>52</v>
      </c>
      <c r="B103" s="234"/>
      <c r="C103" s="234"/>
      <c r="D103" s="234"/>
      <c r="E103" s="234"/>
      <c r="F103" s="234"/>
    </row>
    <row r="104" spans="1:6" hidden="1">
      <c r="A104" s="28" t="s">
        <v>65</v>
      </c>
      <c r="B104" s="31" t="s">
        <v>53</v>
      </c>
      <c r="C104" s="32" t="s">
        <v>66</v>
      </c>
      <c r="D104" s="32" t="s">
        <v>54</v>
      </c>
      <c r="E104" s="32" t="s">
        <v>67</v>
      </c>
      <c r="F104" s="32" t="s">
        <v>55</v>
      </c>
    </row>
    <row r="105" spans="1:6" hidden="1">
      <c r="A105" s="227" t="s">
        <v>56</v>
      </c>
      <c r="B105" s="33">
        <v>80101600</v>
      </c>
      <c r="C105" s="29"/>
      <c r="D105" s="29"/>
      <c r="E105" s="235" t="str">
        <f>IF(B106=C106,"Acredita",IF(B105=C105,"Acredita","No acredita"))</f>
        <v>No acredita</v>
      </c>
      <c r="F105" s="304"/>
    </row>
    <row r="106" spans="1:6" hidden="1">
      <c r="A106" s="227"/>
      <c r="B106" s="33">
        <v>81101500</v>
      </c>
      <c r="C106" s="30"/>
      <c r="D106" s="30"/>
      <c r="E106" s="236"/>
      <c r="F106" s="305"/>
    </row>
    <row r="107" spans="1:6" ht="14" hidden="1">
      <c r="A107" s="237" t="s">
        <v>57</v>
      </c>
      <c r="B107" s="238"/>
      <c r="C107" s="239"/>
      <c r="D107" s="34"/>
      <c r="E107" s="35" t="str">
        <f>IF(D107="","No acredita","Acredita")</f>
        <v>No acredita</v>
      </c>
      <c r="F107" s="305"/>
    </row>
    <row r="108" spans="1:6" ht="14" hidden="1">
      <c r="A108" s="237" t="s">
        <v>58</v>
      </c>
      <c r="B108" s="238"/>
      <c r="C108" s="239"/>
      <c r="D108" s="36"/>
      <c r="E108" s="35" t="str">
        <f>IF(D108="","No acredita","Acredita")</f>
        <v>No acredita</v>
      </c>
      <c r="F108" s="305"/>
    </row>
    <row r="109" spans="1:6" ht="14" hidden="1">
      <c r="A109" s="237" t="s">
        <v>59</v>
      </c>
      <c r="B109" s="238"/>
      <c r="C109" s="239"/>
      <c r="D109" s="44" t="str">
        <f>IFERROR((D108/(VLOOKUP((YEAR(D111)),SMMLV!$A$9:$C$49,3,0)))*'O4'!D110,"0")</f>
        <v>0</v>
      </c>
      <c r="E109" s="37" t="str">
        <f>IF(D109="","No acredita","Acredita")</f>
        <v>Acredita</v>
      </c>
      <c r="F109" s="305"/>
    </row>
    <row r="110" spans="1:6" ht="14" hidden="1">
      <c r="A110" s="237" t="s">
        <v>80</v>
      </c>
      <c r="B110" s="238"/>
      <c r="C110" s="239"/>
      <c r="D110" s="45"/>
      <c r="E110" s="35" t="str">
        <f>IF(D110="","No acredita","Acredita")</f>
        <v>No acredita</v>
      </c>
      <c r="F110" s="305"/>
    </row>
    <row r="111" spans="1:6" ht="14" hidden="1">
      <c r="A111" s="237" t="s">
        <v>60</v>
      </c>
      <c r="B111" s="238"/>
      <c r="C111" s="239"/>
      <c r="D111" s="34"/>
      <c r="E111" s="35" t="str">
        <f>IF(D111="","No acredita","Acredita")</f>
        <v>No acredita</v>
      </c>
      <c r="F111" s="305"/>
    </row>
    <row r="112" spans="1:6" ht="68.25" hidden="1" customHeight="1">
      <c r="A112" s="227" t="s">
        <v>91</v>
      </c>
      <c r="B112" s="227"/>
      <c r="C112" s="227"/>
      <c r="D112" s="38"/>
      <c r="E112" s="35" t="str">
        <f t="shared" ref="E112:E119" si="4">IF(D112="","No acredita",IF(D112="","",IF(D112="SI","Acredita","No acredita")))</f>
        <v>No acredita</v>
      </c>
      <c r="F112" s="305"/>
    </row>
    <row r="113" spans="1:6" ht="27" hidden="1" customHeight="1">
      <c r="A113" s="227" t="s">
        <v>92</v>
      </c>
      <c r="B113" s="227"/>
      <c r="C113" s="227"/>
      <c r="D113" s="38"/>
      <c r="E113" s="35" t="str">
        <f t="shared" si="4"/>
        <v>No acredita</v>
      </c>
      <c r="F113" s="305"/>
    </row>
    <row r="114" spans="1:6" ht="14" hidden="1">
      <c r="A114" s="227" t="s">
        <v>69</v>
      </c>
      <c r="B114" s="227"/>
      <c r="C114" s="227"/>
      <c r="D114" s="38"/>
      <c r="E114" s="35" t="str">
        <f t="shared" si="4"/>
        <v>No acredita</v>
      </c>
      <c r="F114" s="305"/>
    </row>
    <row r="115" spans="1:6" ht="14" hidden="1">
      <c r="A115" s="227" t="s">
        <v>102</v>
      </c>
      <c r="B115" s="227"/>
      <c r="C115" s="227"/>
      <c r="D115" s="38"/>
      <c r="E115" s="35" t="str">
        <f t="shared" si="4"/>
        <v>No acredita</v>
      </c>
      <c r="F115" s="306"/>
    </row>
    <row r="116" spans="1:6" ht="14" hidden="1">
      <c r="A116" s="235" t="s">
        <v>97</v>
      </c>
      <c r="B116" s="288" t="s">
        <v>93</v>
      </c>
      <c r="C116" s="289"/>
      <c r="D116" s="38"/>
      <c r="E116" s="35" t="str">
        <f t="shared" si="4"/>
        <v>No acredita</v>
      </c>
      <c r="F116" s="307"/>
    </row>
    <row r="117" spans="1:6" ht="14" hidden="1">
      <c r="A117" s="287"/>
      <c r="B117" s="288" t="s">
        <v>94</v>
      </c>
      <c r="C117" s="289"/>
      <c r="D117" s="38"/>
      <c r="E117" s="35" t="str">
        <f t="shared" si="4"/>
        <v>No acredita</v>
      </c>
      <c r="F117" s="308"/>
    </row>
    <row r="118" spans="1:6" ht="14" hidden="1">
      <c r="A118" s="287"/>
      <c r="B118" s="288" t="s">
        <v>95</v>
      </c>
      <c r="C118" s="289"/>
      <c r="D118" s="38"/>
      <c r="E118" s="35" t="str">
        <f t="shared" si="4"/>
        <v>No acredita</v>
      </c>
      <c r="F118" s="308"/>
    </row>
    <row r="119" spans="1:6" ht="14" hidden="1">
      <c r="A119" s="236"/>
      <c r="B119" s="288" t="s">
        <v>96</v>
      </c>
      <c r="C119" s="289"/>
      <c r="D119" s="38"/>
      <c r="E119" s="35" t="str">
        <f t="shared" si="4"/>
        <v>No acredita</v>
      </c>
      <c r="F119" s="309"/>
    </row>
    <row r="120" spans="1:6" hidden="1">
      <c r="A120" s="231" t="s">
        <v>73</v>
      </c>
      <c r="B120" s="231"/>
      <c r="C120" s="231"/>
      <c r="D120" s="231"/>
      <c r="E120" s="232" t="str">
        <f>IF(AND(E105="acredita",E107="acredita",E108="acredita",E109="acredita",E110="acredita",E111="acredita",E112="acredita",E113="acredita",E114="acredita",E115="acredita"),"CUMPLE","NO CUMPLE")</f>
        <v>NO CUMPLE</v>
      </c>
      <c r="F120" s="233"/>
    </row>
    <row r="121" spans="1:6" hidden="1">
      <c r="A121" s="26"/>
      <c r="B121" s="26"/>
      <c r="C121" s="26"/>
      <c r="D121" s="26"/>
      <c r="E121" s="22"/>
      <c r="F121" s="22"/>
    </row>
    <row r="122" spans="1:6">
      <c r="A122" s="227" t="s">
        <v>101</v>
      </c>
      <c r="B122" s="227"/>
      <c r="C122" s="227"/>
      <c r="D122" s="227"/>
      <c r="E122" s="227"/>
      <c r="F122" s="46" t="s">
        <v>61</v>
      </c>
    </row>
    <row r="123" spans="1:6">
      <c r="A123" s="227"/>
      <c r="B123" s="227"/>
      <c r="C123" s="227"/>
      <c r="D123" s="227"/>
      <c r="E123" s="227"/>
      <c r="F123" s="43" t="str">
        <f>IF(F122="SI","CUMPLE","NO CUMPLE")</f>
        <v>CUMPLE</v>
      </c>
    </row>
    <row r="124" spans="1:6" ht="31.5" customHeight="1">
      <c r="A124" s="227" t="s">
        <v>86</v>
      </c>
      <c r="B124" s="227"/>
      <c r="C124" s="227"/>
      <c r="D124" s="227"/>
      <c r="E124" s="227"/>
      <c r="F124" s="227"/>
    </row>
    <row r="125" spans="1:6">
      <c r="A125" s="26"/>
      <c r="B125" s="26"/>
      <c r="C125" s="26"/>
      <c r="D125" s="26"/>
      <c r="E125" s="22"/>
      <c r="F125" s="22"/>
    </row>
    <row r="126" spans="1:6">
      <c r="A126" s="227" t="s">
        <v>99</v>
      </c>
      <c r="B126" s="227"/>
      <c r="C126" s="227"/>
      <c r="D126" s="227"/>
      <c r="E126" s="227"/>
      <c r="F126" s="46">
        <f>SUM(D24+D45+D66+D87+D109)</f>
        <v>802.48446212201588</v>
      </c>
    </row>
    <row r="127" spans="1:6">
      <c r="A127" s="227"/>
      <c r="B127" s="227"/>
      <c r="C127" s="227"/>
      <c r="D127" s="227"/>
      <c r="E127" s="227"/>
      <c r="F127" s="43" t="str">
        <f>IF(F126&gt;=433.26,"CUMPLE","NO CUMPLE")</f>
        <v>CUMPLE</v>
      </c>
    </row>
    <row r="128" spans="1:6" ht="33" customHeight="1">
      <c r="A128" s="227" t="s">
        <v>86</v>
      </c>
      <c r="B128" s="227"/>
      <c r="C128" s="227"/>
      <c r="D128" s="227"/>
      <c r="E128" s="227"/>
      <c r="F128" s="227"/>
    </row>
    <row r="129" spans="1:6">
      <c r="A129" s="41"/>
      <c r="B129" s="41"/>
      <c r="C129" s="41"/>
      <c r="D129" s="41"/>
      <c r="E129" s="41"/>
      <c r="F129" s="22"/>
    </row>
    <row r="130" spans="1:6">
      <c r="A130" s="227" t="s">
        <v>100</v>
      </c>
      <c r="B130" s="227"/>
      <c r="C130" s="227"/>
      <c r="D130" s="227"/>
      <c r="E130" s="227"/>
      <c r="F130" s="46" t="s">
        <v>61</v>
      </c>
    </row>
    <row r="131" spans="1:6" ht="27" customHeight="1">
      <c r="A131" s="227"/>
      <c r="B131" s="227"/>
      <c r="C131" s="227"/>
      <c r="D131" s="227"/>
      <c r="E131" s="227"/>
      <c r="F131" s="43" t="str">
        <f>IF(F130="SI","CUMPLE","NO CUMPLE")</f>
        <v>CUMPLE</v>
      </c>
    </row>
    <row r="132" spans="1:6" ht="29.25" customHeight="1">
      <c r="A132" s="227" t="s">
        <v>84</v>
      </c>
      <c r="B132" s="227"/>
      <c r="C132" s="227"/>
      <c r="D132" s="227"/>
      <c r="E132" s="227"/>
      <c r="F132" s="227"/>
    </row>
    <row r="133" spans="1:6">
      <c r="A133" s="39"/>
      <c r="B133" s="39"/>
      <c r="C133" s="39"/>
      <c r="D133" s="39"/>
      <c r="E133" s="39"/>
      <c r="F133" s="40"/>
    </row>
    <row r="134" spans="1:6">
      <c r="A134" s="227" t="s">
        <v>74</v>
      </c>
      <c r="B134" s="227"/>
      <c r="C134" s="227"/>
      <c r="D134" s="227"/>
      <c r="E134" s="227"/>
      <c r="F134" s="46" t="s">
        <v>62</v>
      </c>
    </row>
    <row r="135" spans="1:6">
      <c r="A135" s="227"/>
      <c r="B135" s="227"/>
      <c r="C135" s="227"/>
      <c r="D135" s="227"/>
      <c r="E135" s="227"/>
      <c r="F135" s="43" t="str">
        <f>IF(F134="SI","CUMPLE","NO CUMPLE")</f>
        <v>NO CUMPLE</v>
      </c>
    </row>
    <row r="136" spans="1:6" ht="29.25" customHeight="1">
      <c r="A136" s="227" t="s">
        <v>596</v>
      </c>
      <c r="B136" s="227"/>
      <c r="C136" s="227"/>
      <c r="D136" s="227"/>
      <c r="E136" s="227"/>
      <c r="F136" s="227"/>
    </row>
    <row r="137" spans="1:6">
      <c r="A137" s="39"/>
      <c r="B137" s="39"/>
      <c r="C137" s="39"/>
      <c r="D137" s="39"/>
      <c r="E137" s="39"/>
      <c r="F137" s="40"/>
    </row>
    <row r="138" spans="1:6" ht="14">
      <c r="A138" s="284" t="s">
        <v>90</v>
      </c>
      <c r="B138" s="285"/>
      <c r="C138" s="285"/>
      <c r="D138" s="285"/>
      <c r="E138" s="286"/>
      <c r="F138" s="74" t="str">
        <f>IF(AND(F123="cumple",F127="cumple",F131="cumple",F135="cumple"),"CUMPLE","NO CUMPLE")</f>
        <v>NO CUMPLE</v>
      </c>
    </row>
    <row r="139" spans="1:6">
      <c r="A139" s="39"/>
      <c r="B139" s="39"/>
      <c r="C139" s="39"/>
      <c r="D139" s="39"/>
      <c r="E139" s="39"/>
      <c r="F139" s="40"/>
    </row>
    <row r="140" spans="1:6" hidden="1">
      <c r="A140" s="39"/>
      <c r="B140" s="39"/>
      <c r="C140" s="39"/>
      <c r="D140" s="39"/>
      <c r="E140" s="39"/>
      <c r="F140" s="40"/>
    </row>
    <row r="141" spans="1:6" hidden="1">
      <c r="A141" s="39"/>
      <c r="B141" s="39"/>
      <c r="C141" s="39"/>
      <c r="D141" s="39"/>
      <c r="E141" s="39"/>
      <c r="F141" s="40"/>
    </row>
    <row r="142" spans="1:6" hidden="1">
      <c r="A142" s="39"/>
      <c r="B142" s="39"/>
      <c r="C142" s="39"/>
      <c r="D142" s="39"/>
      <c r="E142" s="39"/>
      <c r="F142" s="40"/>
    </row>
    <row r="143" spans="1:6" hidden="1">
      <c r="A143" s="39"/>
      <c r="B143" s="39"/>
      <c r="C143" s="39"/>
      <c r="D143" s="39"/>
      <c r="E143" s="39"/>
      <c r="F143" s="40"/>
    </row>
    <row r="144" spans="1:6" hidden="1">
      <c r="A144" s="39"/>
      <c r="B144" s="39"/>
      <c r="C144" s="39"/>
      <c r="D144" s="39"/>
      <c r="E144" s="39"/>
      <c r="F144" s="40"/>
    </row>
    <row r="145" spans="1:7" hidden="1">
      <c r="A145" s="39"/>
      <c r="B145" s="39"/>
      <c r="C145" s="39"/>
      <c r="D145" s="39"/>
      <c r="E145" s="39"/>
      <c r="F145" s="40"/>
    </row>
    <row r="146" spans="1:7" hidden="1">
      <c r="A146" s="39"/>
      <c r="B146" s="39"/>
      <c r="C146" s="39"/>
      <c r="D146" s="39"/>
      <c r="E146" s="39"/>
      <c r="F146" s="40"/>
    </row>
    <row r="147" spans="1:7" ht="14">
      <c r="A147" s="212" t="s">
        <v>114</v>
      </c>
      <c r="B147" s="212"/>
      <c r="C147" s="212"/>
      <c r="D147" s="212"/>
      <c r="E147" s="212"/>
      <c r="F147" s="212"/>
    </row>
    <row r="148" spans="1:7">
      <c r="A148" s="262" t="s">
        <v>138</v>
      </c>
      <c r="B148" s="262"/>
      <c r="C148" s="262"/>
      <c r="D148" s="262"/>
      <c r="E148" s="262"/>
      <c r="F148" s="262"/>
    </row>
    <row r="149" spans="1:7">
      <c r="A149" s="281" t="s">
        <v>104</v>
      </c>
      <c r="B149" s="282"/>
      <c r="C149" s="283"/>
      <c r="D149" s="266" t="s">
        <v>302</v>
      </c>
      <c r="E149" s="267"/>
      <c r="F149" s="268"/>
    </row>
    <row r="150" spans="1:7" ht="66.75" customHeight="1">
      <c r="A150" s="73" t="s">
        <v>105</v>
      </c>
      <c r="B150" s="280" t="s">
        <v>124</v>
      </c>
      <c r="C150" s="280"/>
      <c r="D150" s="52" t="s">
        <v>115</v>
      </c>
      <c r="E150" s="52" t="str">
        <f>IF(D150="","NO CUMPLE","CUMPLE")</f>
        <v>CUMPLE</v>
      </c>
      <c r="F150" s="53"/>
    </row>
    <row r="151" spans="1:7" ht="14">
      <c r="A151" s="73" t="s">
        <v>106</v>
      </c>
      <c r="B151" s="280" t="s">
        <v>133</v>
      </c>
      <c r="C151" s="280"/>
      <c r="D151" s="54" t="s">
        <v>61</v>
      </c>
      <c r="E151" s="55" t="str">
        <f>IF(D151="SI","CUMPLE","NO CUMPLE")</f>
        <v>CUMPLE</v>
      </c>
      <c r="F151" s="53" t="s">
        <v>304</v>
      </c>
    </row>
    <row r="152" spans="1:7" ht="14">
      <c r="A152" s="73" t="s">
        <v>107</v>
      </c>
      <c r="B152" s="280" t="s">
        <v>108</v>
      </c>
      <c r="C152" s="280"/>
      <c r="D152" s="63" t="s">
        <v>303</v>
      </c>
      <c r="E152" s="55" t="str">
        <f>IF(D152="","NO CUMPLE","CUMPLE")</f>
        <v>CUMPLE</v>
      </c>
      <c r="F152" s="53"/>
    </row>
    <row r="153" spans="1:7" ht="14">
      <c r="A153" s="275" t="s">
        <v>109</v>
      </c>
      <c r="B153" s="276"/>
      <c r="C153" s="277"/>
      <c r="D153" s="56">
        <v>45630</v>
      </c>
      <c r="E153" s="55" t="str">
        <f>IF(($B$4-D153)&gt;183,"NO CUMPLE","CUMPLE")</f>
        <v>CUMPLE</v>
      </c>
      <c r="F153" s="53"/>
    </row>
    <row r="154" spans="1:7" ht="14">
      <c r="A154" s="278" t="s">
        <v>107</v>
      </c>
      <c r="B154" s="280" t="s">
        <v>132</v>
      </c>
      <c r="C154" s="280"/>
      <c r="D154" s="54">
        <v>29565</v>
      </c>
      <c r="E154" s="55" t="str">
        <f>IF(D154="","NO CUMPLE","CUMPLE")</f>
        <v>CUMPLE</v>
      </c>
      <c r="F154" s="53"/>
      <c r="G154" s="50"/>
    </row>
    <row r="155" spans="1:7" ht="14">
      <c r="A155" s="279"/>
      <c r="B155" s="280" t="s">
        <v>121</v>
      </c>
      <c r="C155" s="280"/>
      <c r="D155" s="61">
        <f>IF(D154&gt;0,(($B$4-D154)/365))</f>
        <v>44.016438356164386</v>
      </c>
      <c r="E155" s="62" t="str">
        <f>IF(D154="","NO CUMPLE",IF(D155&gt;=10,"CUMPLE","NO CUMPLE"))</f>
        <v>CUMPLE</v>
      </c>
      <c r="F155" s="53"/>
      <c r="G155" s="50"/>
    </row>
    <row r="156" spans="1:7" ht="84">
      <c r="A156" s="275" t="s">
        <v>125</v>
      </c>
      <c r="B156" s="276"/>
      <c r="C156" s="277"/>
      <c r="D156" s="111" t="s">
        <v>62</v>
      </c>
      <c r="E156" s="112" t="str">
        <f>IF(D156="SI","CUMPLE","NO CUMPLE")</f>
        <v>NO CUMPLE</v>
      </c>
      <c r="F156" s="53" t="s">
        <v>597</v>
      </c>
      <c r="G156" s="50"/>
    </row>
    <row r="157" spans="1:7" ht="14">
      <c r="A157" s="275" t="s">
        <v>126</v>
      </c>
      <c r="B157" s="276"/>
      <c r="C157" s="277"/>
      <c r="D157" s="54" t="s">
        <v>61</v>
      </c>
      <c r="E157" s="55" t="str">
        <f t="shared" ref="E157:E158" si="5">IF(D157="SI","CUMPLE","NO CUMPLE")</f>
        <v>CUMPLE</v>
      </c>
      <c r="F157" s="53"/>
      <c r="G157" s="50"/>
    </row>
    <row r="158" spans="1:7" ht="14">
      <c r="A158" s="275" t="s">
        <v>127</v>
      </c>
      <c r="B158" s="276"/>
      <c r="C158" s="277"/>
      <c r="D158" s="54" t="s">
        <v>61</v>
      </c>
      <c r="E158" s="55" t="str">
        <f t="shared" si="5"/>
        <v>CUMPLE</v>
      </c>
      <c r="F158" s="53"/>
      <c r="G158" s="50"/>
    </row>
    <row r="159" spans="1:7">
      <c r="A159" s="64"/>
      <c r="B159" s="65"/>
      <c r="C159" s="65"/>
      <c r="D159" s="66"/>
      <c r="E159" s="67"/>
      <c r="F159" s="68"/>
      <c r="G159" s="50"/>
    </row>
    <row r="160" spans="1:7" ht="146.25" customHeight="1">
      <c r="A160" s="220" t="s">
        <v>306</v>
      </c>
      <c r="B160" s="221"/>
      <c r="C160" s="59" t="s">
        <v>122</v>
      </c>
      <c r="D160" s="54" t="s">
        <v>61</v>
      </c>
      <c r="E160" s="55" t="str">
        <f>IF(D160="SI","CUMPLE","NO CUMPLE")</f>
        <v>CUMPLE</v>
      </c>
      <c r="F160" s="310"/>
    </row>
    <row r="161" spans="1:7" ht="42">
      <c r="A161" s="222"/>
      <c r="B161" s="223"/>
      <c r="C161" s="59" t="s">
        <v>123</v>
      </c>
      <c r="D161" s="54" t="s">
        <v>61</v>
      </c>
      <c r="E161" s="55" t="str">
        <f>IF(D161="SI","CUMPLE","NO CUMPLE")</f>
        <v>CUMPLE</v>
      </c>
      <c r="F161" s="311"/>
    </row>
    <row r="162" spans="1:7" ht="28">
      <c r="A162" s="222"/>
      <c r="B162" s="223"/>
      <c r="C162" s="59" t="s">
        <v>128</v>
      </c>
      <c r="D162" s="56" t="s">
        <v>305</v>
      </c>
      <c r="E162" s="55" t="str">
        <f>IF(D162="","NO CUMPLE","CUMPLE")</f>
        <v>CUMPLE</v>
      </c>
      <c r="F162" s="311"/>
    </row>
    <row r="163" spans="1:7" ht="14">
      <c r="A163" s="222"/>
      <c r="B163" s="223"/>
      <c r="C163" s="59" t="s">
        <v>129</v>
      </c>
      <c r="D163" s="56" t="s">
        <v>130</v>
      </c>
      <c r="E163" s="55" t="str">
        <f>IF(D163="Director Interventoria","CUMPLE","NO CUMPLE")</f>
        <v>CUMPLE</v>
      </c>
      <c r="F163" s="311"/>
    </row>
    <row r="164" spans="1:7" ht="14">
      <c r="A164" s="222"/>
      <c r="B164" s="223"/>
      <c r="C164" s="60" t="s">
        <v>110</v>
      </c>
      <c r="D164" s="58">
        <v>265830430</v>
      </c>
      <c r="E164" s="55" t="str">
        <f>IF(D164="","NO CUMPLE","CUMPLE")</f>
        <v>CUMPLE</v>
      </c>
      <c r="F164" s="311"/>
    </row>
    <row r="165" spans="1:7" ht="14">
      <c r="A165" s="222"/>
      <c r="B165" s="223"/>
      <c r="C165" s="60" t="s">
        <v>111</v>
      </c>
      <c r="D165" s="57">
        <v>42211</v>
      </c>
      <c r="E165" s="55" t="str">
        <f>IF(D165="","NO CUMPLE","CUMPLE")</f>
        <v>CUMPLE</v>
      </c>
      <c r="F165" s="311"/>
    </row>
    <row r="166" spans="1:7" ht="14">
      <c r="A166" s="222"/>
      <c r="B166" s="223"/>
      <c r="C166" s="60" t="s">
        <v>112</v>
      </c>
      <c r="D166" s="57">
        <v>42668</v>
      </c>
      <c r="E166" s="55" t="str">
        <f t="shared" ref="E166" si="6">IF(D166="","NO CUMPLE","CUMPLE")</f>
        <v>CUMPLE</v>
      </c>
      <c r="F166" s="312"/>
      <c r="G166" s="51"/>
    </row>
    <row r="167" spans="1:7">
      <c r="A167" s="224"/>
      <c r="B167" s="225"/>
      <c r="C167" s="60" t="s">
        <v>113</v>
      </c>
      <c r="D167" s="107">
        <f>IFERROR((D164/(VLOOKUP((YEAR(D166)),SMMLV!$A$9:$C$49,3,0))),"0")</f>
        <v>385.56603404138053</v>
      </c>
      <c r="E167" s="62"/>
      <c r="F167" s="108"/>
    </row>
    <row r="168" spans="1:7" ht="15">
      <c r="A168" s="69"/>
      <c r="B168" s="69"/>
      <c r="C168" s="69"/>
      <c r="D168" s="69"/>
      <c r="E168" s="69"/>
      <c r="F168" s="69"/>
    </row>
    <row r="169" spans="1:7" ht="154">
      <c r="A169" s="220" t="s">
        <v>308</v>
      </c>
      <c r="B169" s="221"/>
      <c r="C169" s="59" t="s">
        <v>122</v>
      </c>
      <c r="D169" s="54" t="s">
        <v>61</v>
      </c>
      <c r="E169" s="55" t="str">
        <f>IF(D169="SI","CUMPLE","NO CUMPLE")</f>
        <v>CUMPLE</v>
      </c>
      <c r="F169" s="310"/>
    </row>
    <row r="170" spans="1:7" ht="42">
      <c r="A170" s="222"/>
      <c r="B170" s="223"/>
      <c r="C170" s="59" t="s">
        <v>123</v>
      </c>
      <c r="D170" s="54" t="s">
        <v>61</v>
      </c>
      <c r="E170" s="55" t="str">
        <f>IF(D170="SI","CUMPLE","NO CUMPLE")</f>
        <v>CUMPLE</v>
      </c>
      <c r="F170" s="311"/>
    </row>
    <row r="171" spans="1:7" ht="28">
      <c r="A171" s="222"/>
      <c r="B171" s="223"/>
      <c r="C171" s="59" t="s">
        <v>128</v>
      </c>
      <c r="D171" s="56" t="s">
        <v>307</v>
      </c>
      <c r="E171" s="55" t="str">
        <f>IF(D171="","NO CUMPLE","CUMPLE")</f>
        <v>CUMPLE</v>
      </c>
      <c r="F171" s="311"/>
    </row>
    <row r="172" spans="1:7" ht="14">
      <c r="A172" s="222"/>
      <c r="B172" s="223"/>
      <c r="C172" s="59" t="s">
        <v>129</v>
      </c>
      <c r="D172" s="56" t="s">
        <v>130</v>
      </c>
      <c r="E172" s="55" t="str">
        <f>IF(D172="Director Interventoria","CUMPLE","NO CUMPLE")</f>
        <v>CUMPLE</v>
      </c>
      <c r="F172" s="311"/>
    </row>
    <row r="173" spans="1:7" ht="14">
      <c r="A173" s="222"/>
      <c r="B173" s="223"/>
      <c r="C173" s="60" t="s">
        <v>110</v>
      </c>
      <c r="D173" s="58">
        <v>291215890</v>
      </c>
      <c r="E173" s="55" t="str">
        <f>IF(D173="","NO CUMPLE","CUMPLE")</f>
        <v>CUMPLE</v>
      </c>
      <c r="F173" s="311"/>
    </row>
    <row r="174" spans="1:7" ht="14">
      <c r="A174" s="222"/>
      <c r="B174" s="223"/>
      <c r="C174" s="60" t="s">
        <v>111</v>
      </c>
      <c r="D174" s="57">
        <v>43034</v>
      </c>
      <c r="E174" s="55" t="str">
        <f>IF(D174="","NO CUMPLE","CUMPLE")</f>
        <v>CUMPLE</v>
      </c>
      <c r="F174" s="311"/>
    </row>
    <row r="175" spans="1:7" ht="14">
      <c r="A175" s="222"/>
      <c r="B175" s="223"/>
      <c r="C175" s="60" t="s">
        <v>112</v>
      </c>
      <c r="D175" s="57">
        <v>43306</v>
      </c>
      <c r="E175" s="55" t="str">
        <f t="shared" ref="E175" si="7">IF(D175="","NO CUMPLE","CUMPLE")</f>
        <v>CUMPLE</v>
      </c>
      <c r="F175" s="312"/>
    </row>
    <row r="176" spans="1:7">
      <c r="A176" s="224"/>
      <c r="B176" s="225"/>
      <c r="C176" s="60" t="s">
        <v>113</v>
      </c>
      <c r="D176" s="61">
        <f>IFERROR((D173/(VLOOKUP((YEAR(D175)),SMMLV!$A$9:$C$49,3,0))),"0")</f>
        <v>372.76015626400016</v>
      </c>
      <c r="E176" s="62"/>
      <c r="F176" s="53"/>
    </row>
    <row r="177" spans="1:6" ht="15">
      <c r="A177" s="69"/>
      <c r="B177" s="69"/>
      <c r="C177" s="69"/>
      <c r="D177" s="69"/>
      <c r="E177" s="69"/>
      <c r="F177" s="69"/>
    </row>
    <row r="178" spans="1:6" ht="154">
      <c r="A178" s="269" t="s">
        <v>309</v>
      </c>
      <c r="B178" s="270"/>
      <c r="C178" s="59" t="s">
        <v>122</v>
      </c>
      <c r="D178" s="54" t="s">
        <v>61</v>
      </c>
      <c r="E178" s="55" t="str">
        <f>IF(D178="SI","CUMPLE","NO CUMPLE")</f>
        <v>CUMPLE</v>
      </c>
      <c r="F178" s="310"/>
    </row>
    <row r="179" spans="1:6" ht="42">
      <c r="A179" s="271"/>
      <c r="B179" s="272"/>
      <c r="C179" s="59" t="s">
        <v>123</v>
      </c>
      <c r="D179" s="54" t="s">
        <v>61</v>
      </c>
      <c r="E179" s="55" t="str">
        <f>IF(D179="SI","CUMPLE","NO CUMPLE")</f>
        <v>CUMPLE</v>
      </c>
      <c r="F179" s="311"/>
    </row>
    <row r="180" spans="1:6" ht="28">
      <c r="A180" s="271"/>
      <c r="B180" s="272"/>
      <c r="C180" s="59" t="s">
        <v>128</v>
      </c>
      <c r="D180" s="56" t="s">
        <v>307</v>
      </c>
      <c r="E180" s="55" t="str">
        <f>IF(D180="","NO CUMPLE","CUMPLE")</f>
        <v>CUMPLE</v>
      </c>
      <c r="F180" s="311"/>
    </row>
    <row r="181" spans="1:6" ht="14">
      <c r="A181" s="271"/>
      <c r="B181" s="272"/>
      <c r="C181" s="59" t="s">
        <v>129</v>
      </c>
      <c r="D181" s="56" t="s">
        <v>130</v>
      </c>
      <c r="E181" s="55" t="str">
        <f>IF(D181="Director Interventoria","CUMPLE","NO CUMPLE")</f>
        <v>CUMPLE</v>
      </c>
      <c r="F181" s="311"/>
    </row>
    <row r="182" spans="1:6" ht="14">
      <c r="A182" s="271"/>
      <c r="B182" s="272"/>
      <c r="C182" s="60" t="s">
        <v>110</v>
      </c>
      <c r="D182" s="58">
        <v>152628500</v>
      </c>
      <c r="E182" s="55" t="str">
        <f>IF(D182="","NO CUMPLE","CUMPLE")</f>
        <v>CUMPLE</v>
      </c>
      <c r="F182" s="311"/>
    </row>
    <row r="183" spans="1:6" ht="14">
      <c r="A183" s="271"/>
      <c r="B183" s="272"/>
      <c r="C183" s="60" t="s">
        <v>111</v>
      </c>
      <c r="D183" s="57">
        <v>43307</v>
      </c>
      <c r="E183" s="55" t="str">
        <f>IF(D183="","NO CUMPLE","CUMPLE")</f>
        <v>CUMPLE</v>
      </c>
      <c r="F183" s="311"/>
    </row>
    <row r="184" spans="1:6" ht="14">
      <c r="A184" s="271"/>
      <c r="B184" s="272"/>
      <c r="C184" s="60" t="s">
        <v>112</v>
      </c>
      <c r="D184" s="57">
        <v>43671</v>
      </c>
      <c r="E184" s="55" t="str">
        <f t="shared" ref="E184" si="8">IF(D184="","NO CUMPLE","CUMPLE")</f>
        <v>CUMPLE</v>
      </c>
      <c r="F184" s="312"/>
    </row>
    <row r="185" spans="1:6">
      <c r="A185" s="273"/>
      <c r="B185" s="274"/>
      <c r="C185" s="60" t="s">
        <v>113</v>
      </c>
      <c r="D185" s="61">
        <f>IFERROR((D182/(VLOOKUP((YEAR(D184)),SMMLV!$A$9:$C$49,3,0))),"0")</f>
        <v>184.30811625424457</v>
      </c>
      <c r="E185" s="62"/>
      <c r="F185" s="53"/>
    </row>
    <row r="186" spans="1:6" ht="15">
      <c r="A186" s="69"/>
      <c r="B186" s="69"/>
      <c r="C186" s="69"/>
      <c r="D186" s="69"/>
      <c r="E186" s="69"/>
      <c r="F186" s="69"/>
    </row>
    <row r="187" spans="1:6">
      <c r="A187" s="227" t="s">
        <v>203</v>
      </c>
      <c r="B187" s="227"/>
      <c r="C187" s="227"/>
      <c r="D187" s="227"/>
      <c r="E187" s="227"/>
      <c r="F187" s="71">
        <f>SUM(D167+D176+D185)</f>
        <v>942.6343065596252</v>
      </c>
    </row>
    <row r="188" spans="1:6">
      <c r="A188" s="227"/>
      <c r="B188" s="227"/>
      <c r="C188" s="227"/>
      <c r="D188" s="227"/>
      <c r="E188" s="227"/>
      <c r="F188" s="43" t="str">
        <f>IF(F187&gt;=433.26,"CUMPLE","NO CUMPLE")</f>
        <v>CUMPLE</v>
      </c>
    </row>
    <row r="189" spans="1:6" ht="33" customHeight="1">
      <c r="A189" s="227" t="s">
        <v>84</v>
      </c>
      <c r="B189" s="227"/>
      <c r="C189" s="227"/>
      <c r="D189" s="227"/>
      <c r="E189" s="227"/>
      <c r="F189" s="227"/>
    </row>
    <row r="190" spans="1:6">
      <c r="A190" s="246" t="s">
        <v>138</v>
      </c>
      <c r="B190" s="247"/>
      <c r="C190" s="247"/>
      <c r="D190" s="247"/>
      <c r="E190" s="248"/>
      <c r="F190" s="70" t="str">
        <f>IF(AND(E150="cumple",E151="cumple",E152="cumple",E153="cumple",E154="cumple",E155="cumple",E156="cumple",E157="cumple",E158="cumple",F188="cumple"),"CUMPLE","NO CUMPLE")</f>
        <v>NO CUMPLE</v>
      </c>
    </row>
    <row r="191" spans="1:6" ht="15">
      <c r="A191" s="69"/>
      <c r="B191" s="69"/>
      <c r="C191" s="69"/>
      <c r="D191" s="69"/>
      <c r="E191" s="69"/>
      <c r="F191" s="69"/>
    </row>
    <row r="192" spans="1:6">
      <c r="A192" s="262" t="s">
        <v>137</v>
      </c>
      <c r="B192" s="262"/>
      <c r="C192" s="262"/>
      <c r="D192" s="262"/>
      <c r="E192" s="262"/>
      <c r="F192" s="262"/>
    </row>
    <row r="193" spans="1:6">
      <c r="A193" s="263" t="s">
        <v>104</v>
      </c>
      <c r="B193" s="264"/>
      <c r="C193" s="265"/>
      <c r="D193" s="266" t="s">
        <v>310</v>
      </c>
      <c r="E193" s="267"/>
      <c r="F193" s="268"/>
    </row>
    <row r="194" spans="1:6" ht="14">
      <c r="A194" s="99" t="s">
        <v>105</v>
      </c>
      <c r="B194" s="256" t="s">
        <v>124</v>
      </c>
      <c r="C194" s="256"/>
      <c r="D194" s="52" t="s">
        <v>115</v>
      </c>
      <c r="E194" s="52" t="str">
        <f>IF(D194="","NO CUMPLE","CUMPLE")</f>
        <v>CUMPLE</v>
      </c>
      <c r="F194" s="53"/>
    </row>
    <row r="195" spans="1:6" ht="14">
      <c r="A195" s="99" t="s">
        <v>107</v>
      </c>
      <c r="B195" s="256" t="s">
        <v>108</v>
      </c>
      <c r="C195" s="256"/>
      <c r="D195" s="63" t="s">
        <v>311</v>
      </c>
      <c r="E195" s="55" t="str">
        <f>IF(D195="","NO CUMPLE","CUMPLE")</f>
        <v>CUMPLE</v>
      </c>
      <c r="F195" s="53"/>
    </row>
    <row r="196" spans="1:6" ht="14">
      <c r="A196" s="253" t="s">
        <v>109</v>
      </c>
      <c r="B196" s="254"/>
      <c r="C196" s="255"/>
      <c r="D196" s="56">
        <v>45630</v>
      </c>
      <c r="E196" s="55" t="str">
        <f>IF(($B$4-D196)&gt;183,"NO CUMPLE","CUMPLE")</f>
        <v>CUMPLE</v>
      </c>
      <c r="F196" s="53"/>
    </row>
    <row r="197" spans="1:6" ht="14">
      <c r="A197" s="257" t="s">
        <v>107</v>
      </c>
      <c r="B197" s="256" t="s">
        <v>132</v>
      </c>
      <c r="C197" s="256"/>
      <c r="D197" s="54">
        <v>37973</v>
      </c>
      <c r="E197" s="55" t="str">
        <f>IF(D197="","NO CUMPLE","CUMPLE")</f>
        <v>CUMPLE</v>
      </c>
      <c r="F197" s="53"/>
    </row>
    <row r="198" spans="1:6" ht="14">
      <c r="A198" s="258"/>
      <c r="B198" s="256" t="s">
        <v>269</v>
      </c>
      <c r="C198" s="256"/>
      <c r="D198" s="100">
        <f>IF(D197&gt;0,(($B$4-D197)/365))</f>
        <v>20.980821917808218</v>
      </c>
      <c r="E198" s="101" t="str">
        <f>IF(D197="","NO CUMPLE",IF(D198&gt;=6,"CUMPLE","NO CUMPLE"))</f>
        <v>CUMPLE</v>
      </c>
      <c r="F198" s="53"/>
    </row>
    <row r="199" spans="1:6" ht="84">
      <c r="A199" s="253" t="s">
        <v>125</v>
      </c>
      <c r="B199" s="254"/>
      <c r="C199" s="255"/>
      <c r="D199" s="111" t="s">
        <v>62</v>
      </c>
      <c r="E199" s="112" t="str">
        <f t="shared" ref="E199:E201" si="9">IF(D199="SI","CUMPLE","NO CUMPLE")</f>
        <v>NO CUMPLE</v>
      </c>
      <c r="F199" s="53" t="s">
        <v>597</v>
      </c>
    </row>
    <row r="200" spans="1:6" ht="14">
      <c r="A200" s="253" t="s">
        <v>126</v>
      </c>
      <c r="B200" s="254"/>
      <c r="C200" s="255"/>
      <c r="D200" s="54" t="s">
        <v>61</v>
      </c>
      <c r="E200" s="55" t="str">
        <f t="shared" si="9"/>
        <v>CUMPLE</v>
      </c>
      <c r="F200" s="53"/>
    </row>
    <row r="201" spans="1:6" ht="14">
      <c r="A201" s="253" t="s">
        <v>127</v>
      </c>
      <c r="B201" s="254"/>
      <c r="C201" s="255"/>
      <c r="D201" s="54" t="s">
        <v>61</v>
      </c>
      <c r="E201" s="55" t="str">
        <f t="shared" si="9"/>
        <v>CUMPLE</v>
      </c>
      <c r="F201" s="53"/>
    </row>
    <row r="202" spans="1:6" ht="140.25" customHeight="1">
      <c r="A202" s="220" t="s">
        <v>314</v>
      </c>
      <c r="B202" s="221"/>
      <c r="C202" s="102" t="s">
        <v>122</v>
      </c>
      <c r="D202" s="54" t="s">
        <v>61</v>
      </c>
      <c r="E202" s="55" t="str">
        <f>IF(D202="SI","CUMPLE","NO CUMPLE")</f>
        <v>CUMPLE</v>
      </c>
      <c r="F202" s="310"/>
    </row>
    <row r="203" spans="1:6" ht="42">
      <c r="A203" s="222"/>
      <c r="B203" s="223"/>
      <c r="C203" s="102" t="s">
        <v>123</v>
      </c>
      <c r="D203" s="54" t="s">
        <v>61</v>
      </c>
      <c r="E203" s="55" t="str">
        <f>IF(D203="SI","CUMPLE","NO CUMPLE")</f>
        <v>CUMPLE</v>
      </c>
      <c r="F203" s="311"/>
    </row>
    <row r="204" spans="1:6" ht="28">
      <c r="A204" s="222"/>
      <c r="B204" s="223"/>
      <c r="C204" s="102" t="s">
        <v>128</v>
      </c>
      <c r="D204" s="56" t="s">
        <v>312</v>
      </c>
      <c r="E204" s="55" t="str">
        <f>IF(D204="","NO CUMPLE","CUMPLE")</f>
        <v>CUMPLE</v>
      </c>
      <c r="F204" s="311"/>
    </row>
    <row r="205" spans="1:6" ht="14">
      <c r="A205" s="222"/>
      <c r="B205" s="223"/>
      <c r="C205" s="102" t="s">
        <v>129</v>
      </c>
      <c r="D205" s="56" t="s">
        <v>204</v>
      </c>
      <c r="E205" s="55" t="str">
        <f>IF(D205="Residente Interventoría","CUMPLE","NO CUMPLE")</f>
        <v>CUMPLE</v>
      </c>
      <c r="F205" s="311"/>
    </row>
    <row r="206" spans="1:6" ht="14">
      <c r="A206" s="222"/>
      <c r="B206" s="223"/>
      <c r="C206" s="103" t="s">
        <v>110</v>
      </c>
      <c r="D206" s="58">
        <v>299890500</v>
      </c>
      <c r="E206" s="55" t="str">
        <f>IF(D206="","NO CUMPLE","CUMPLE")</f>
        <v>CUMPLE</v>
      </c>
      <c r="F206" s="311"/>
    </row>
    <row r="207" spans="1:6" ht="14">
      <c r="A207" s="222"/>
      <c r="B207" s="223"/>
      <c r="C207" s="103" t="s">
        <v>111</v>
      </c>
      <c r="D207" s="57">
        <v>38255</v>
      </c>
      <c r="E207" s="55" t="str">
        <f>IF(D207="","NO CUMPLE","CUMPLE")</f>
        <v>CUMPLE</v>
      </c>
      <c r="F207" s="311"/>
    </row>
    <row r="208" spans="1:6" ht="14">
      <c r="A208" s="222"/>
      <c r="B208" s="223"/>
      <c r="C208" s="103" t="s">
        <v>112</v>
      </c>
      <c r="D208" s="57">
        <v>38569</v>
      </c>
      <c r="E208" s="55" t="str">
        <f t="shared" ref="E208" si="10">IF(D208="","NO CUMPLE","CUMPLE")</f>
        <v>CUMPLE</v>
      </c>
      <c r="F208" s="311"/>
    </row>
    <row r="209" spans="1:6">
      <c r="A209" s="224"/>
      <c r="B209" s="225"/>
      <c r="C209" s="103" t="s">
        <v>113</v>
      </c>
      <c r="D209" s="100">
        <f>IFERROR((D206/(VLOOKUP((YEAR(D208)),SMMLV!$A$9:$C$49,3,0))),"0")</f>
        <v>786.0825688073395</v>
      </c>
      <c r="E209" s="101"/>
      <c r="F209" s="312"/>
    </row>
    <row r="210" spans="1:6" ht="154">
      <c r="A210" s="220" t="s">
        <v>315</v>
      </c>
      <c r="B210" s="221"/>
      <c r="C210" s="102" t="s">
        <v>122</v>
      </c>
      <c r="D210" s="54" t="s">
        <v>61</v>
      </c>
      <c r="E210" s="55" t="str">
        <f>IF(D210="SI","CUMPLE","NO CUMPLE")</f>
        <v>CUMPLE</v>
      </c>
      <c r="F210" s="53"/>
    </row>
    <row r="211" spans="1:6" ht="42">
      <c r="A211" s="222"/>
      <c r="B211" s="223"/>
      <c r="C211" s="102" t="s">
        <v>123</v>
      </c>
      <c r="D211" s="54" t="s">
        <v>61</v>
      </c>
      <c r="E211" s="55" t="str">
        <f>IF(D211="SI","CUMPLE","NO CUMPLE")</f>
        <v>CUMPLE</v>
      </c>
      <c r="F211" s="53"/>
    </row>
    <row r="212" spans="1:6" ht="28">
      <c r="A212" s="222"/>
      <c r="B212" s="223"/>
      <c r="C212" s="102" t="s">
        <v>128</v>
      </c>
      <c r="D212" s="56" t="s">
        <v>313</v>
      </c>
      <c r="E212" s="55" t="str">
        <f>IF(D212="","NO CUMPLE","CUMPLE")</f>
        <v>CUMPLE</v>
      </c>
      <c r="F212" s="53"/>
    </row>
    <row r="213" spans="1:6" ht="14">
      <c r="A213" s="222"/>
      <c r="B213" s="223"/>
      <c r="C213" s="102" t="s">
        <v>129</v>
      </c>
      <c r="D213" s="56" t="s">
        <v>204</v>
      </c>
      <c r="E213" s="55" t="str">
        <f>IF(D213="Residente Interventoría","CUMPLE","NO CUMPLE")</f>
        <v>CUMPLE</v>
      </c>
      <c r="F213" s="53"/>
    </row>
    <row r="214" spans="1:6" ht="14">
      <c r="A214" s="222"/>
      <c r="B214" s="223"/>
      <c r="C214" s="103" t="s">
        <v>110</v>
      </c>
      <c r="D214" s="58">
        <v>389982600</v>
      </c>
      <c r="E214" s="55" t="str">
        <f>IF(D214="","NO CUMPLE","CUMPLE")</f>
        <v>CUMPLE</v>
      </c>
      <c r="F214" s="53"/>
    </row>
    <row r="215" spans="1:6" ht="14">
      <c r="A215" s="222"/>
      <c r="B215" s="223"/>
      <c r="C215" s="103" t="s">
        <v>111</v>
      </c>
      <c r="D215" s="57">
        <v>38782</v>
      </c>
      <c r="E215" s="55" t="str">
        <f>IF(D215="","NO CUMPLE","CUMPLE")</f>
        <v>CUMPLE</v>
      </c>
      <c r="F215" s="53"/>
    </row>
    <row r="216" spans="1:6" ht="14">
      <c r="A216" s="222"/>
      <c r="B216" s="223"/>
      <c r="C216" s="103" t="s">
        <v>112</v>
      </c>
      <c r="D216" s="57">
        <v>39553</v>
      </c>
      <c r="E216" s="55" t="str">
        <f t="shared" ref="E216" si="11">IF(D216="","NO CUMPLE","CUMPLE")</f>
        <v>CUMPLE</v>
      </c>
      <c r="F216" s="53"/>
    </row>
    <row r="217" spans="1:6">
      <c r="A217" s="224"/>
      <c r="B217" s="225"/>
      <c r="C217" s="103" t="s">
        <v>113</v>
      </c>
      <c r="D217" s="100">
        <f>IFERROR((D214/(VLOOKUP((YEAR(D216)),SMMLV!$A$9:$C$49,3,0))),"0")</f>
        <v>845.03271939328272</v>
      </c>
      <c r="E217" s="101"/>
      <c r="F217" s="53"/>
    </row>
    <row r="218" spans="1:6">
      <c r="A218" s="227" t="s">
        <v>202</v>
      </c>
      <c r="B218" s="227"/>
      <c r="C218" s="227"/>
      <c r="D218" s="227"/>
      <c r="E218" s="227"/>
      <c r="F218" s="71">
        <f>D209+D217</f>
        <v>1631.1152882006222</v>
      </c>
    </row>
    <row r="219" spans="1:6">
      <c r="A219" s="227"/>
      <c r="B219" s="227"/>
      <c r="C219" s="227"/>
      <c r="D219" s="227"/>
      <c r="E219" s="227"/>
      <c r="F219" s="43" t="str">
        <f>IF(F218&gt;=216.63,"CUMPLE","NO CUMPLE")</f>
        <v>CUMPLE</v>
      </c>
    </row>
    <row r="220" spans="1:6" ht="27" customHeight="1">
      <c r="A220" s="227" t="s">
        <v>84</v>
      </c>
      <c r="B220" s="227"/>
      <c r="C220" s="227"/>
      <c r="D220" s="227"/>
      <c r="E220" s="227"/>
      <c r="F220" s="227"/>
    </row>
    <row r="221" spans="1:6">
      <c r="A221" s="259" t="s">
        <v>135</v>
      </c>
      <c r="B221" s="260"/>
      <c r="C221" s="260"/>
      <c r="D221" s="260"/>
      <c r="E221" s="261"/>
      <c r="F221" s="43" t="str">
        <f>IF(AND(E194="cumple",E195="cumple",E196="cumple",E197="cumple",E198="cumple",E199="cumple",E200="cumple",E201="cumple",F219="cumple"),"CUMPLE","NO CUMPLE")</f>
        <v>NO CUMPLE</v>
      </c>
    </row>
    <row r="222" spans="1:6">
      <c r="A222" s="39"/>
      <c r="B222" s="39"/>
      <c r="C222" s="39"/>
      <c r="D222" s="39"/>
      <c r="E222" s="39"/>
      <c r="F222" s="40"/>
    </row>
    <row r="223" spans="1:6">
      <c r="A223" s="262" t="s">
        <v>136</v>
      </c>
      <c r="B223" s="262"/>
      <c r="C223" s="262"/>
      <c r="D223" s="262"/>
      <c r="E223" s="262"/>
      <c r="F223" s="262"/>
    </row>
    <row r="224" spans="1:6">
      <c r="A224" s="263" t="s">
        <v>104</v>
      </c>
      <c r="B224" s="264"/>
      <c r="C224" s="265"/>
      <c r="D224" s="266" t="s">
        <v>316</v>
      </c>
      <c r="E224" s="267"/>
      <c r="F224" s="268"/>
    </row>
    <row r="225" spans="1:6" ht="14">
      <c r="A225" s="99" t="s">
        <v>105</v>
      </c>
      <c r="B225" s="256" t="s">
        <v>124</v>
      </c>
      <c r="C225" s="256"/>
      <c r="D225" s="52" t="s">
        <v>115</v>
      </c>
      <c r="E225" s="52" t="str">
        <f>IF(D225="","NO CUMPLE","CUMPLE")</f>
        <v>CUMPLE</v>
      </c>
      <c r="F225" s="53"/>
    </row>
    <row r="226" spans="1:6" ht="14">
      <c r="A226" s="99" t="s">
        <v>107</v>
      </c>
      <c r="B226" s="256" t="s">
        <v>108</v>
      </c>
      <c r="C226" s="256"/>
      <c r="D226" s="63" t="s">
        <v>317</v>
      </c>
      <c r="E226" s="55" t="str">
        <f>IF(D226="","NO CUMPLE","CUMPLE")</f>
        <v>CUMPLE</v>
      </c>
      <c r="F226" s="53"/>
    </row>
    <row r="227" spans="1:6" ht="14">
      <c r="A227" s="253" t="s">
        <v>109</v>
      </c>
      <c r="B227" s="254"/>
      <c r="C227" s="255"/>
      <c r="D227" s="56">
        <v>45560</v>
      </c>
      <c r="E227" s="55" t="str">
        <f>IF(($B$4-D227)&gt;183,"NO CUMPLE","CUMPLE")</f>
        <v>CUMPLE</v>
      </c>
      <c r="F227" s="53"/>
    </row>
    <row r="228" spans="1:6" ht="14">
      <c r="A228" s="257" t="s">
        <v>107</v>
      </c>
      <c r="B228" s="256" t="s">
        <v>132</v>
      </c>
      <c r="C228" s="256"/>
      <c r="D228" s="54">
        <v>40318</v>
      </c>
      <c r="E228" s="55" t="str">
        <f>IF(D228="","NO CUMPLE","CUMPLE")</f>
        <v>CUMPLE</v>
      </c>
      <c r="F228" s="53"/>
    </row>
    <row r="229" spans="1:6" ht="14">
      <c r="A229" s="258"/>
      <c r="B229" s="256" t="s">
        <v>269</v>
      </c>
      <c r="C229" s="256"/>
      <c r="D229" s="100">
        <f>IF(D228&gt;0,(($B$4-D228)/365))</f>
        <v>14.556164383561644</v>
      </c>
      <c r="E229" s="101" t="str">
        <f>IF(D228="","NO CUMPLE",IF(D229&gt;=6,"CUMPLE","NO CUMPLE"))</f>
        <v>CUMPLE</v>
      </c>
      <c r="F229" s="53"/>
    </row>
    <row r="230" spans="1:6" ht="84">
      <c r="A230" s="253" t="s">
        <v>125</v>
      </c>
      <c r="B230" s="254"/>
      <c r="C230" s="255"/>
      <c r="D230" s="111" t="s">
        <v>62</v>
      </c>
      <c r="E230" s="112" t="str">
        <f t="shared" ref="E230:E232" si="12">IF(D230="SI","CUMPLE","NO CUMPLE")</f>
        <v>NO CUMPLE</v>
      </c>
      <c r="F230" s="53" t="s">
        <v>597</v>
      </c>
    </row>
    <row r="231" spans="1:6" ht="14">
      <c r="A231" s="253" t="s">
        <v>126</v>
      </c>
      <c r="B231" s="254"/>
      <c r="C231" s="255"/>
      <c r="D231" s="54" t="s">
        <v>61</v>
      </c>
      <c r="E231" s="55" t="str">
        <f t="shared" si="12"/>
        <v>CUMPLE</v>
      </c>
      <c r="F231" s="53"/>
    </row>
    <row r="232" spans="1:6" ht="14">
      <c r="A232" s="253" t="s">
        <v>127</v>
      </c>
      <c r="B232" s="254"/>
      <c r="C232" s="255"/>
      <c r="D232" s="54" t="s">
        <v>61</v>
      </c>
      <c r="E232" s="55" t="str">
        <f t="shared" si="12"/>
        <v>CUMPLE</v>
      </c>
      <c r="F232" s="53"/>
    </row>
    <row r="233" spans="1:6" ht="140.25" customHeight="1">
      <c r="A233" s="220" t="s">
        <v>318</v>
      </c>
      <c r="B233" s="221"/>
      <c r="C233" s="102" t="s">
        <v>122</v>
      </c>
      <c r="D233" s="54" t="s">
        <v>61</v>
      </c>
      <c r="E233" s="55" t="str">
        <f>IF(D233="SI","CUMPLE","NO CUMPLE")</f>
        <v>CUMPLE</v>
      </c>
      <c r="F233" s="310" t="s">
        <v>598</v>
      </c>
    </row>
    <row r="234" spans="1:6" ht="42">
      <c r="A234" s="222"/>
      <c r="B234" s="223"/>
      <c r="C234" s="102" t="s">
        <v>123</v>
      </c>
      <c r="D234" s="54" t="s">
        <v>61</v>
      </c>
      <c r="E234" s="55" t="str">
        <f>IF(D234="SI","CUMPLE","NO CUMPLE")</f>
        <v>CUMPLE</v>
      </c>
      <c r="F234" s="311"/>
    </row>
    <row r="235" spans="1:6" ht="28">
      <c r="A235" s="222"/>
      <c r="B235" s="223"/>
      <c r="C235" s="102" t="s">
        <v>128</v>
      </c>
      <c r="D235" s="56" t="s">
        <v>312</v>
      </c>
      <c r="E235" s="55" t="str">
        <f>IF(D235="","NO CUMPLE","CUMPLE")</f>
        <v>CUMPLE</v>
      </c>
      <c r="F235" s="311"/>
    </row>
    <row r="236" spans="1:6" ht="14">
      <c r="A236" s="222"/>
      <c r="B236" s="223"/>
      <c r="C236" s="102" t="s">
        <v>129</v>
      </c>
      <c r="D236" s="56" t="s">
        <v>204</v>
      </c>
      <c r="E236" s="55" t="str">
        <f>IF(D236="Residente Interventoría","CUMPLE","NO CUMPLE")</f>
        <v>CUMPLE</v>
      </c>
      <c r="F236" s="311"/>
    </row>
    <row r="237" spans="1:6" ht="14">
      <c r="A237" s="222"/>
      <c r="B237" s="223"/>
      <c r="C237" s="103" t="s">
        <v>110</v>
      </c>
      <c r="D237" s="58">
        <v>188650350</v>
      </c>
      <c r="E237" s="55" t="str">
        <f>IF(D237="","NO CUMPLE","CUMPLE")</f>
        <v>CUMPLE</v>
      </c>
      <c r="F237" s="311"/>
    </row>
    <row r="238" spans="1:6" ht="14">
      <c r="A238" s="222"/>
      <c r="B238" s="223"/>
      <c r="C238" s="103" t="s">
        <v>111</v>
      </c>
      <c r="D238" s="115"/>
      <c r="E238" s="112" t="str">
        <f>IF(D238="","NO CUMPLE","CUMPLE")</f>
        <v>NO CUMPLE</v>
      </c>
      <c r="F238" s="311"/>
    </row>
    <row r="239" spans="1:6" ht="14">
      <c r="A239" s="222"/>
      <c r="B239" s="223"/>
      <c r="C239" s="103" t="s">
        <v>112</v>
      </c>
      <c r="D239" s="115"/>
      <c r="E239" s="112" t="str">
        <f t="shared" ref="E239" si="13">IF(D239="","NO CUMPLE","CUMPLE")</f>
        <v>NO CUMPLE</v>
      </c>
      <c r="F239" s="311"/>
    </row>
    <row r="240" spans="1:6">
      <c r="A240" s="224"/>
      <c r="B240" s="225"/>
      <c r="C240" s="103" t="s">
        <v>113</v>
      </c>
      <c r="D240" s="100" t="str">
        <f>IFERROR((D237/(VLOOKUP((YEAR(D239)),SMMLV!$A$9:$C$49,3,0))),"0")</f>
        <v>0</v>
      </c>
      <c r="E240" s="101"/>
      <c r="F240" s="312"/>
    </row>
    <row r="241" spans="1:6" ht="140.25" customHeight="1">
      <c r="A241" s="220" t="s">
        <v>319</v>
      </c>
      <c r="B241" s="221"/>
      <c r="C241" s="102" t="s">
        <v>122</v>
      </c>
      <c r="D241" s="54" t="s">
        <v>61</v>
      </c>
      <c r="E241" s="55" t="str">
        <f>IF(D241="SI","CUMPLE","NO CUMPLE")</f>
        <v>CUMPLE</v>
      </c>
      <c r="F241" s="310" t="s">
        <v>599</v>
      </c>
    </row>
    <row r="242" spans="1:6" ht="42">
      <c r="A242" s="222"/>
      <c r="B242" s="223"/>
      <c r="C242" s="102" t="s">
        <v>123</v>
      </c>
      <c r="D242" s="111" t="s">
        <v>62</v>
      </c>
      <c r="E242" s="112" t="str">
        <f>IF(D242="SI","CUMPLE","NO CUMPLE")</f>
        <v>NO CUMPLE</v>
      </c>
      <c r="F242" s="311"/>
    </row>
    <row r="243" spans="1:6" ht="28">
      <c r="A243" s="222"/>
      <c r="B243" s="223"/>
      <c r="C243" s="102" t="s">
        <v>128</v>
      </c>
      <c r="D243" s="56" t="s">
        <v>312</v>
      </c>
      <c r="E243" s="55" t="str">
        <f>IF(D243="","NO CUMPLE","CUMPLE")</f>
        <v>CUMPLE</v>
      </c>
      <c r="F243" s="311"/>
    </row>
    <row r="244" spans="1:6" ht="14">
      <c r="A244" s="222"/>
      <c r="B244" s="223"/>
      <c r="C244" s="102" t="s">
        <v>129</v>
      </c>
      <c r="D244" s="56" t="s">
        <v>204</v>
      </c>
      <c r="E244" s="55" t="str">
        <f>IF(D244="Residente Interventoría","CUMPLE","NO CUMPLE")</f>
        <v>CUMPLE</v>
      </c>
      <c r="F244" s="311"/>
    </row>
    <row r="245" spans="1:6" ht="14">
      <c r="A245" s="222"/>
      <c r="B245" s="223"/>
      <c r="C245" s="103" t="s">
        <v>110</v>
      </c>
      <c r="D245" s="58">
        <v>126985700</v>
      </c>
      <c r="E245" s="55" t="str">
        <f>IF(D245="","NO CUMPLE","CUMPLE")</f>
        <v>CUMPLE</v>
      </c>
      <c r="F245" s="311"/>
    </row>
    <row r="246" spans="1:6" ht="14">
      <c r="A246" s="222"/>
      <c r="B246" s="223"/>
      <c r="C246" s="103" t="s">
        <v>111</v>
      </c>
      <c r="D246" s="115"/>
      <c r="E246" s="112" t="str">
        <f>IF(D246="","NO CUMPLE","CUMPLE")</f>
        <v>NO CUMPLE</v>
      </c>
      <c r="F246" s="311"/>
    </row>
    <row r="247" spans="1:6" ht="14">
      <c r="A247" s="222"/>
      <c r="B247" s="223"/>
      <c r="C247" s="103" t="s">
        <v>112</v>
      </c>
      <c r="D247" s="115"/>
      <c r="E247" s="112" t="str">
        <f t="shared" ref="E247" si="14">IF(D247="","NO CUMPLE","CUMPLE")</f>
        <v>NO CUMPLE</v>
      </c>
      <c r="F247" s="311"/>
    </row>
    <row r="248" spans="1:6">
      <c r="A248" s="224"/>
      <c r="B248" s="225"/>
      <c r="C248" s="103" t="s">
        <v>113</v>
      </c>
      <c r="D248" s="100">
        <f>IFERROR((D245/(VLOOKUP((YEAR(D247)),SMMLV!$A$9:$C$49,3,0))),"0")*0</f>
        <v>0</v>
      </c>
      <c r="E248" s="101"/>
      <c r="F248" s="312"/>
    </row>
    <row r="249" spans="1:6">
      <c r="A249" s="227" t="s">
        <v>202</v>
      </c>
      <c r="B249" s="227"/>
      <c r="C249" s="227"/>
      <c r="D249" s="227"/>
      <c r="E249" s="227"/>
      <c r="F249" s="114">
        <f>D240+D248</f>
        <v>0</v>
      </c>
    </row>
    <row r="250" spans="1:6">
      <c r="A250" s="227"/>
      <c r="B250" s="227"/>
      <c r="C250" s="227"/>
      <c r="D250" s="227"/>
      <c r="E250" s="227"/>
      <c r="F250" s="43" t="str">
        <f>IF(F249&gt;=216.63,"CUMPLE","NO CUMPLE")</f>
        <v>NO CUMPLE</v>
      </c>
    </row>
    <row r="251" spans="1:6" ht="27.75" customHeight="1">
      <c r="A251" s="227" t="s">
        <v>84</v>
      </c>
      <c r="B251" s="227"/>
      <c r="C251" s="227"/>
      <c r="D251" s="227"/>
      <c r="E251" s="227"/>
      <c r="F251" s="227"/>
    </row>
    <row r="252" spans="1:6">
      <c r="A252" s="246" t="s">
        <v>134</v>
      </c>
      <c r="B252" s="247"/>
      <c r="C252" s="247"/>
      <c r="D252" s="247"/>
      <c r="E252" s="248"/>
      <c r="F252" s="70" t="str">
        <f>IF(AND(E225="cumple",E226="cumple",E227="cumple",E228="cumple",E229="cumple",E230="cumple",E231="cumple",E232="cumple",F250="cumple"),"CUMPLE","NO CUMPLE")</f>
        <v>NO CUMPLE</v>
      </c>
    </row>
    <row r="253" spans="1:6">
      <c r="A253" s="39"/>
      <c r="B253" s="39"/>
      <c r="C253" s="39"/>
      <c r="D253" s="39"/>
      <c r="E253" s="39"/>
      <c r="F253" s="40"/>
    </row>
    <row r="254" spans="1:6" ht="14">
      <c r="A254" s="249" t="s">
        <v>114</v>
      </c>
      <c r="B254" s="250"/>
      <c r="C254" s="250"/>
      <c r="D254" s="250"/>
      <c r="E254" s="251"/>
      <c r="F254" s="104" t="str">
        <f>IF(AND(F190="CUMPLE",F221="CUMPLE",F252="CUMPLE"),"CUMPLE","NO CUMPLE")</f>
        <v>NO CUMPLE</v>
      </c>
    </row>
    <row r="255" spans="1:6">
      <c r="A255" s="39"/>
      <c r="B255" s="39"/>
      <c r="C255" s="39"/>
      <c r="D255" s="39"/>
      <c r="E255" s="39"/>
      <c r="F255" s="40"/>
    </row>
    <row r="256" spans="1:6" ht="14">
      <c r="A256" s="252" t="s">
        <v>139</v>
      </c>
      <c r="B256" s="252"/>
      <c r="C256" s="252"/>
      <c r="D256" s="252"/>
      <c r="E256" s="252"/>
      <c r="F256" s="252"/>
    </row>
    <row r="257" spans="1:6">
      <c r="A257" s="227" t="s">
        <v>140</v>
      </c>
      <c r="B257" s="227"/>
      <c r="C257" s="227"/>
      <c r="D257" s="227"/>
      <c r="E257" s="227"/>
      <c r="F257" s="46"/>
    </row>
    <row r="258" spans="1:6">
      <c r="A258" s="227"/>
      <c r="B258" s="227"/>
      <c r="C258" s="227"/>
      <c r="D258" s="227"/>
      <c r="E258" s="227"/>
      <c r="F258" s="43" t="str">
        <f>IF(F257="SI","CUMPLE","NO CUMPLE")</f>
        <v>NO CUMPLE</v>
      </c>
    </row>
    <row r="259" spans="1:6" ht="38.25" customHeight="1">
      <c r="A259" s="227" t="s">
        <v>600</v>
      </c>
      <c r="B259" s="227"/>
      <c r="C259" s="227"/>
      <c r="D259" s="227"/>
      <c r="E259" s="227"/>
      <c r="F259" s="227"/>
    </row>
    <row r="260" spans="1:6" ht="14">
      <c r="A260" s="249" t="s">
        <v>139</v>
      </c>
      <c r="B260" s="250"/>
      <c r="C260" s="250"/>
      <c r="D260" s="250"/>
      <c r="E260" s="251"/>
      <c r="F260" s="104" t="str">
        <f>IF((F258="CUMPLE"),"CUMPLE","NO CUMPLE")</f>
        <v>NO CUMPLE</v>
      </c>
    </row>
    <row r="261" spans="1:6">
      <c r="A261" s="39"/>
      <c r="B261" s="39"/>
      <c r="C261" s="39"/>
      <c r="D261" s="39"/>
      <c r="E261" s="39"/>
      <c r="F261" s="40"/>
    </row>
    <row r="262" spans="1:6" ht="16">
      <c r="A262" s="242" t="s">
        <v>89</v>
      </c>
      <c r="B262" s="243"/>
      <c r="C262" s="243"/>
      <c r="D262" s="243"/>
      <c r="E262" s="244"/>
      <c r="F262" s="105" t="str">
        <f>IF(AND(F138="CUMPLE",F254="CUMPLE",F260="CUMPLE"),"HABILITADO","NO HABILITADO")</f>
        <v>NO HABILITADO</v>
      </c>
    </row>
    <row r="263" spans="1:6">
      <c r="A263" s="39"/>
      <c r="B263" s="39"/>
      <c r="C263" s="39"/>
      <c r="D263" s="39"/>
      <c r="E263" s="39"/>
      <c r="F263" s="40"/>
    </row>
    <row r="264" spans="1:6" hidden="1">
      <c r="A264" s="39"/>
      <c r="B264" s="39"/>
      <c r="C264" s="39"/>
      <c r="D264" s="39"/>
      <c r="E264" s="39"/>
      <c r="F264" s="40"/>
    </row>
    <row r="265" spans="1:6" ht="16" hidden="1">
      <c r="A265" s="245" t="s">
        <v>141</v>
      </c>
      <c r="B265" s="245"/>
      <c r="C265" s="245"/>
      <c r="D265" s="245"/>
      <c r="E265" s="245"/>
      <c r="F265" s="245"/>
    </row>
    <row r="266" spans="1:6" ht="14" hidden="1">
      <c r="A266" s="212" t="s">
        <v>142</v>
      </c>
      <c r="B266" s="212"/>
      <c r="C266" s="212"/>
      <c r="D266" s="212"/>
      <c r="E266" s="212"/>
      <c r="F266" s="212"/>
    </row>
    <row r="267" spans="1:6" hidden="1">
      <c r="A267" s="27"/>
      <c r="B267" s="27"/>
      <c r="C267" s="27"/>
      <c r="D267" s="27"/>
      <c r="E267" s="27"/>
      <c r="F267" s="21"/>
    </row>
    <row r="268" spans="1:6" hidden="1">
      <c r="A268" s="28" t="s">
        <v>326</v>
      </c>
      <c r="B268" s="240" t="s">
        <v>297</v>
      </c>
      <c r="C268" s="240"/>
      <c r="D268" s="240"/>
      <c r="E268" s="240"/>
      <c r="F268" s="240"/>
    </row>
    <row r="269" spans="1:6" ht="26.25" hidden="1" customHeight="1">
      <c r="A269" s="28" t="s">
        <v>51</v>
      </c>
      <c r="B269" s="241" t="s">
        <v>321</v>
      </c>
      <c r="C269" s="241"/>
      <c r="D269" s="241"/>
      <c r="E269" s="241"/>
      <c r="F269" s="241"/>
    </row>
    <row r="270" spans="1:6" hidden="1">
      <c r="A270" s="23" t="s">
        <v>52</v>
      </c>
      <c r="B270" s="234" t="s">
        <v>322</v>
      </c>
      <c r="C270" s="234"/>
      <c r="D270" s="234"/>
      <c r="E270" s="234"/>
      <c r="F270" s="234"/>
    </row>
    <row r="271" spans="1:6" hidden="1">
      <c r="A271" s="28" t="s">
        <v>65</v>
      </c>
      <c r="B271" s="31" t="s">
        <v>53</v>
      </c>
      <c r="C271" s="32" t="s">
        <v>66</v>
      </c>
      <c r="D271" s="32" t="s">
        <v>54</v>
      </c>
      <c r="E271" s="32" t="s">
        <v>67</v>
      </c>
      <c r="F271" s="32" t="s">
        <v>55</v>
      </c>
    </row>
    <row r="272" spans="1:6" hidden="1">
      <c r="A272" s="227" t="s">
        <v>56</v>
      </c>
      <c r="B272" s="33">
        <v>80101600</v>
      </c>
      <c r="C272" s="29">
        <v>80101600</v>
      </c>
      <c r="D272" s="29">
        <v>210</v>
      </c>
      <c r="E272" s="235" t="str">
        <f>IF(B273=C273,"Acredita",IF(B272=C272,"Acredita","No acredita"))</f>
        <v>Acredita</v>
      </c>
      <c r="F272" s="304"/>
    </row>
    <row r="273" spans="1:6" hidden="1">
      <c r="A273" s="227"/>
      <c r="B273" s="33">
        <v>81101500</v>
      </c>
      <c r="C273" s="30">
        <v>81101500</v>
      </c>
      <c r="D273" s="30">
        <v>210</v>
      </c>
      <c r="E273" s="236"/>
      <c r="F273" s="305"/>
    </row>
    <row r="274" spans="1:6" ht="14" hidden="1">
      <c r="A274" s="237" t="s">
        <v>57</v>
      </c>
      <c r="B274" s="238"/>
      <c r="C274" s="239"/>
      <c r="D274" s="34">
        <v>44545</v>
      </c>
      <c r="E274" s="35" t="str">
        <f>IF(D274="","No acredita","Acredita")</f>
        <v>Acredita</v>
      </c>
      <c r="F274" s="305"/>
    </row>
    <row r="275" spans="1:6" ht="14" hidden="1">
      <c r="A275" s="237" t="s">
        <v>58</v>
      </c>
      <c r="B275" s="238"/>
      <c r="C275" s="239"/>
      <c r="D275" s="36">
        <v>1177141238</v>
      </c>
      <c r="E275" s="35" t="str">
        <f>IF(D275="","No acredita","Acredita")</f>
        <v>Acredita</v>
      </c>
      <c r="F275" s="305"/>
    </row>
    <row r="276" spans="1:6" ht="14" hidden="1">
      <c r="A276" s="237" t="s">
        <v>59</v>
      </c>
      <c r="B276" s="238"/>
      <c r="C276" s="239"/>
      <c r="D276" s="89">
        <f>IFERROR((D275/(VLOOKUP((YEAR(D278)),SMMLV!$A$9:$C$49,3,0)))*'O4'!D277,"0")</f>
        <v>1014.7769293103448</v>
      </c>
      <c r="E276" s="37" t="str">
        <f>IF(D276="","No acredita","Acredita")</f>
        <v>Acredita</v>
      </c>
      <c r="F276" s="305"/>
    </row>
    <row r="277" spans="1:6" ht="14" hidden="1">
      <c r="A277" s="237" t="s">
        <v>80</v>
      </c>
      <c r="B277" s="238"/>
      <c r="C277" s="239"/>
      <c r="D277" s="45">
        <v>1</v>
      </c>
      <c r="E277" s="35" t="str">
        <f>IF(D277="","No acredita","Acredita")</f>
        <v>Acredita</v>
      </c>
      <c r="F277" s="305"/>
    </row>
    <row r="278" spans="1:6" ht="14" hidden="1">
      <c r="A278" s="237" t="s">
        <v>60</v>
      </c>
      <c r="B278" s="238"/>
      <c r="C278" s="239"/>
      <c r="D278" s="34">
        <v>45169</v>
      </c>
      <c r="E278" s="35" t="str">
        <f>IF(D278="","No acredita","Acredita")</f>
        <v>Acredita</v>
      </c>
      <c r="F278" s="305"/>
    </row>
    <row r="279" spans="1:6" ht="62.25" hidden="1" customHeight="1">
      <c r="A279" s="227" t="s">
        <v>91</v>
      </c>
      <c r="B279" s="227"/>
      <c r="C279" s="227"/>
      <c r="D279" s="38" t="s">
        <v>61</v>
      </c>
      <c r="E279" s="35" t="str">
        <f t="shared" ref="E279:E282" si="15">IF(D279="","No acredita",IF(D279="","",IF(D279="SI","Acredita","No acredita")))</f>
        <v>Acredita</v>
      </c>
      <c r="F279" s="305"/>
    </row>
    <row r="280" spans="1:6" ht="30" hidden="1" customHeight="1">
      <c r="A280" s="227" t="s">
        <v>92</v>
      </c>
      <c r="B280" s="227"/>
      <c r="C280" s="227"/>
      <c r="D280" s="38" t="s">
        <v>61</v>
      </c>
      <c r="E280" s="35" t="str">
        <f t="shared" si="15"/>
        <v>Acredita</v>
      </c>
      <c r="F280" s="305"/>
    </row>
    <row r="281" spans="1:6" ht="14" hidden="1">
      <c r="A281" s="227" t="s">
        <v>69</v>
      </c>
      <c r="B281" s="227"/>
      <c r="C281" s="227"/>
      <c r="D281" s="38" t="s">
        <v>61</v>
      </c>
      <c r="E281" s="35" t="str">
        <f t="shared" si="15"/>
        <v>Acredita</v>
      </c>
      <c r="F281" s="305"/>
    </row>
    <row r="282" spans="1:6" ht="14" hidden="1">
      <c r="A282" s="227" t="s">
        <v>103</v>
      </c>
      <c r="B282" s="227"/>
      <c r="C282" s="227"/>
      <c r="D282" s="38" t="s">
        <v>61</v>
      </c>
      <c r="E282" s="35" t="str">
        <f t="shared" si="15"/>
        <v>Acredita</v>
      </c>
      <c r="F282" s="306"/>
    </row>
    <row r="283" spans="1:6" hidden="1">
      <c r="A283" s="231" t="s">
        <v>143</v>
      </c>
      <c r="B283" s="231"/>
      <c r="C283" s="231"/>
      <c r="D283" s="231"/>
      <c r="E283" s="232" t="str">
        <f>IF(AND(E272="acredita",E274="acredita",E275="acredita",E276="acredita",E277="acredita",E278="acredita",E279="acredita",E280="acredita",E281="acredita",E282="acredita"),"CUMPLE","NO CUMPLE")</f>
        <v>CUMPLE</v>
      </c>
      <c r="F283" s="233"/>
    </row>
    <row r="284" spans="1:6" hidden="1">
      <c r="A284" s="26"/>
      <c r="B284" s="26"/>
      <c r="C284" s="26"/>
      <c r="D284" s="26"/>
      <c r="E284" s="22"/>
      <c r="F284" s="22"/>
    </row>
    <row r="285" spans="1:6" hidden="1">
      <c r="A285" s="28" t="s">
        <v>324</v>
      </c>
      <c r="B285" s="240"/>
      <c r="C285" s="240"/>
      <c r="D285" s="240"/>
      <c r="E285" s="240"/>
      <c r="F285" s="240"/>
    </row>
    <row r="286" spans="1:6" ht="72.75" hidden="1" customHeight="1">
      <c r="A286" s="28" t="s">
        <v>51</v>
      </c>
      <c r="B286" s="241" t="s">
        <v>323</v>
      </c>
      <c r="C286" s="241"/>
      <c r="D286" s="241"/>
      <c r="E286" s="241"/>
      <c r="F286" s="241"/>
    </row>
    <row r="287" spans="1:6" hidden="1">
      <c r="A287" s="23" t="s">
        <v>52</v>
      </c>
      <c r="B287" s="241" t="s">
        <v>325</v>
      </c>
      <c r="C287" s="234"/>
      <c r="D287" s="234"/>
      <c r="E287" s="234"/>
      <c r="F287" s="234"/>
    </row>
    <row r="288" spans="1:6" hidden="1">
      <c r="A288" s="28" t="s">
        <v>65</v>
      </c>
      <c r="B288" s="31" t="s">
        <v>53</v>
      </c>
      <c r="C288" s="32" t="s">
        <v>66</v>
      </c>
      <c r="D288" s="32" t="s">
        <v>54</v>
      </c>
      <c r="E288" s="32" t="s">
        <v>67</v>
      </c>
      <c r="F288" s="32" t="s">
        <v>55</v>
      </c>
    </row>
    <row r="289" spans="1:6" hidden="1">
      <c r="A289" s="227" t="s">
        <v>56</v>
      </c>
      <c r="B289" s="33">
        <v>80101600</v>
      </c>
      <c r="C289" s="29">
        <v>80101600</v>
      </c>
      <c r="D289" s="29">
        <v>214</v>
      </c>
      <c r="E289" s="235" t="str">
        <f>IF(B290=C290,"Acredita",IF(B289=C289,"Acredita","No acredita"))</f>
        <v>Acredita</v>
      </c>
      <c r="F289" s="304"/>
    </row>
    <row r="290" spans="1:6" hidden="1">
      <c r="A290" s="227"/>
      <c r="B290" s="33">
        <v>81101500</v>
      </c>
      <c r="C290" s="30">
        <v>81101500</v>
      </c>
      <c r="D290" s="30">
        <v>214</v>
      </c>
      <c r="E290" s="236"/>
      <c r="F290" s="305"/>
    </row>
    <row r="291" spans="1:6" ht="14" hidden="1">
      <c r="A291" s="237" t="s">
        <v>57</v>
      </c>
      <c r="B291" s="238"/>
      <c r="C291" s="239"/>
      <c r="D291" s="34">
        <v>44848</v>
      </c>
      <c r="E291" s="35" t="str">
        <f>IF(D291="","No acredita","Acredita")</f>
        <v>Acredita</v>
      </c>
      <c r="F291" s="305"/>
    </row>
    <row r="292" spans="1:6" ht="14" hidden="1">
      <c r="A292" s="237" t="s">
        <v>58</v>
      </c>
      <c r="B292" s="238"/>
      <c r="C292" s="239"/>
      <c r="D292" s="36">
        <v>620547075.90999997</v>
      </c>
      <c r="E292" s="35" t="str">
        <f>IF(D292="","No acredita","Acredita")</f>
        <v>Acredita</v>
      </c>
      <c r="F292" s="305"/>
    </row>
    <row r="293" spans="1:6" ht="14" hidden="1">
      <c r="A293" s="237" t="s">
        <v>59</v>
      </c>
      <c r="B293" s="238"/>
      <c r="C293" s="239"/>
      <c r="D293" s="44">
        <f>IFERROR((D292/(VLOOKUP((YEAR(D295)),SMMLV!$A$9:$C$49,3,0)))*'O4'!D294,"0")</f>
        <v>534.95437578448275</v>
      </c>
      <c r="E293" s="37" t="str">
        <f>IF(D293="","No acredita","Acredita")</f>
        <v>Acredita</v>
      </c>
      <c r="F293" s="305"/>
    </row>
    <row r="294" spans="1:6" ht="14" hidden="1">
      <c r="A294" s="237" t="s">
        <v>80</v>
      </c>
      <c r="B294" s="238"/>
      <c r="C294" s="239"/>
      <c r="D294" s="45">
        <v>1</v>
      </c>
      <c r="E294" s="35" t="str">
        <f>IF(D294="","No acredita","Acredita")</f>
        <v>Acredita</v>
      </c>
      <c r="F294" s="305"/>
    </row>
    <row r="295" spans="1:6" ht="14" hidden="1">
      <c r="A295" s="237" t="s">
        <v>60</v>
      </c>
      <c r="B295" s="238"/>
      <c r="C295" s="239"/>
      <c r="D295" s="34">
        <v>45076</v>
      </c>
      <c r="E295" s="35" t="str">
        <f>IF(D295="","No acredita","Acredita")</f>
        <v>Acredita</v>
      </c>
      <c r="F295" s="305"/>
    </row>
    <row r="296" spans="1:6" ht="70.5" hidden="1" customHeight="1">
      <c r="A296" s="227" t="s">
        <v>91</v>
      </c>
      <c r="B296" s="227"/>
      <c r="C296" s="227"/>
      <c r="D296" s="38" t="s">
        <v>61</v>
      </c>
      <c r="E296" s="35" t="str">
        <f t="shared" ref="E296:E299" si="16">IF(D296="","No acredita",IF(D296="","",IF(D296="SI","Acredita","No acredita")))</f>
        <v>Acredita</v>
      </c>
      <c r="F296" s="305"/>
    </row>
    <row r="297" spans="1:6" ht="30" hidden="1" customHeight="1">
      <c r="A297" s="227" t="s">
        <v>92</v>
      </c>
      <c r="B297" s="227"/>
      <c r="C297" s="227"/>
      <c r="D297" s="38" t="s">
        <v>61</v>
      </c>
      <c r="E297" s="35" t="str">
        <f t="shared" si="16"/>
        <v>Acredita</v>
      </c>
      <c r="F297" s="305"/>
    </row>
    <row r="298" spans="1:6" ht="14" hidden="1">
      <c r="A298" s="227" t="s">
        <v>69</v>
      </c>
      <c r="B298" s="227"/>
      <c r="C298" s="227"/>
      <c r="D298" s="38" t="s">
        <v>61</v>
      </c>
      <c r="E298" s="35" t="str">
        <f t="shared" si="16"/>
        <v>Acredita</v>
      </c>
      <c r="F298" s="305"/>
    </row>
    <row r="299" spans="1:6" ht="14" hidden="1">
      <c r="A299" s="227" t="s">
        <v>103</v>
      </c>
      <c r="B299" s="227"/>
      <c r="C299" s="227"/>
      <c r="D299" s="38" t="s">
        <v>61</v>
      </c>
      <c r="E299" s="35" t="str">
        <f t="shared" si="16"/>
        <v>Acredita</v>
      </c>
      <c r="F299" s="306"/>
    </row>
    <row r="300" spans="1:6" hidden="1">
      <c r="A300" s="231" t="s">
        <v>144</v>
      </c>
      <c r="B300" s="231"/>
      <c r="C300" s="231"/>
      <c r="D300" s="231"/>
      <c r="E300" s="232" t="str">
        <f>IF(AND(E289="acredita",E291="acredita",E292="acredita",E293="acredita",E294="acredita",E295="acredita",E296="acredita",E297="acredita",E298="acredita",E299="acredita"),"CUMPLE","NO CUMPLE")</f>
        <v>CUMPLE</v>
      </c>
      <c r="F300" s="233"/>
    </row>
    <row r="301" spans="1:6" hidden="1"/>
    <row r="302" spans="1:6" hidden="1">
      <c r="A302" s="226" t="s">
        <v>145</v>
      </c>
      <c r="B302" s="226"/>
      <c r="C302" s="226"/>
      <c r="D302" s="226"/>
      <c r="E302" s="226"/>
      <c r="F302" s="77">
        <f>D276+D293</f>
        <v>1549.7313050948276</v>
      </c>
    </row>
    <row r="303" spans="1:6" hidden="1"/>
    <row r="304" spans="1:6" hidden="1">
      <c r="A304" s="228" t="s">
        <v>146</v>
      </c>
      <c r="B304" s="229"/>
      <c r="C304" s="35">
        <v>40</v>
      </c>
      <c r="D304" s="208" t="str">
        <f>IF(F302&gt;433.26,"40",IF(F302&gt;216.63,"30",IF(F302&gt;108.32,"20",IF(F302&gt;43.33,"10","0"))))</f>
        <v>40</v>
      </c>
      <c r="E304" s="230" t="s">
        <v>151</v>
      </c>
      <c r="F304" s="230"/>
    </row>
    <row r="305" spans="1:7" ht="12.75" hidden="1" customHeight="1">
      <c r="A305" s="228" t="s">
        <v>147</v>
      </c>
      <c r="B305" s="229"/>
      <c r="C305" s="35">
        <v>30</v>
      </c>
      <c r="D305" s="209"/>
      <c r="E305" s="230"/>
      <c r="F305" s="230"/>
    </row>
    <row r="306" spans="1:7" ht="12.75" hidden="1" customHeight="1">
      <c r="A306" s="228" t="s">
        <v>148</v>
      </c>
      <c r="B306" s="229"/>
      <c r="C306" s="35">
        <v>20</v>
      </c>
      <c r="D306" s="209"/>
      <c r="E306" s="230"/>
      <c r="F306" s="230"/>
    </row>
    <row r="307" spans="1:7" ht="12.75" hidden="1" customHeight="1">
      <c r="A307" s="228" t="s">
        <v>149</v>
      </c>
      <c r="B307" s="229"/>
      <c r="C307" s="35">
        <v>10</v>
      </c>
      <c r="D307" s="209"/>
      <c r="E307" s="230"/>
      <c r="F307" s="230"/>
      <c r="G307" s="75"/>
    </row>
    <row r="308" spans="1:7" hidden="1">
      <c r="A308" s="228" t="s">
        <v>150</v>
      </c>
      <c r="B308" s="229"/>
      <c r="C308" s="35">
        <v>0</v>
      </c>
      <c r="D308" s="210"/>
      <c r="E308" s="230"/>
      <c r="F308" s="230"/>
      <c r="G308" s="76"/>
    </row>
    <row r="309" spans="1:7" hidden="1">
      <c r="G309" s="76"/>
    </row>
    <row r="310" spans="1:7" ht="14" hidden="1">
      <c r="A310" s="212" t="s">
        <v>152</v>
      </c>
      <c r="B310" s="212"/>
      <c r="C310" s="212"/>
      <c r="D310" s="212"/>
      <c r="E310" s="212"/>
      <c r="F310" s="212"/>
      <c r="G310" s="76"/>
    </row>
    <row r="311" spans="1:7" hidden="1"/>
    <row r="312" spans="1:7" ht="154" hidden="1">
      <c r="A312" s="220" t="s">
        <v>328</v>
      </c>
      <c r="B312" s="221"/>
      <c r="C312" s="102" t="s">
        <v>122</v>
      </c>
      <c r="D312" s="54" t="s">
        <v>61</v>
      </c>
      <c r="E312" s="55" t="str">
        <f>IF(D312="SI","CUMPLE","NO CUMPLE")</f>
        <v>CUMPLE</v>
      </c>
      <c r="F312" s="310"/>
    </row>
    <row r="313" spans="1:7" ht="42" hidden="1">
      <c r="A313" s="222"/>
      <c r="B313" s="223"/>
      <c r="C313" s="102" t="s">
        <v>123</v>
      </c>
      <c r="D313" s="54" t="s">
        <v>61</v>
      </c>
      <c r="E313" s="55" t="str">
        <f>IF(D313="SI","CUMPLE","NO CUMPLE")</f>
        <v>CUMPLE</v>
      </c>
      <c r="F313" s="311"/>
    </row>
    <row r="314" spans="1:7" ht="28" hidden="1">
      <c r="A314" s="222"/>
      <c r="B314" s="223"/>
      <c r="C314" s="102" t="s">
        <v>128</v>
      </c>
      <c r="D314" s="56" t="s">
        <v>327</v>
      </c>
      <c r="E314" s="55" t="str">
        <f>IF(D314="","NO CUMPLE","CUMPLE")</f>
        <v>CUMPLE</v>
      </c>
      <c r="F314" s="311"/>
    </row>
    <row r="315" spans="1:7" ht="14" hidden="1">
      <c r="A315" s="222"/>
      <c r="B315" s="223"/>
      <c r="C315" s="102" t="s">
        <v>129</v>
      </c>
      <c r="D315" s="56" t="s">
        <v>130</v>
      </c>
      <c r="E315" s="55" t="str">
        <f>IF(D315="Director Interventoria","CUMPLE","NO CUMPLE")</f>
        <v>CUMPLE</v>
      </c>
      <c r="F315" s="311"/>
    </row>
    <row r="316" spans="1:7" ht="14" hidden="1">
      <c r="A316" s="222"/>
      <c r="B316" s="223"/>
      <c r="C316" s="103" t="s">
        <v>110</v>
      </c>
      <c r="D316" s="58">
        <v>80624632</v>
      </c>
      <c r="E316" s="55" t="str">
        <f>IF(D316="","NO CUMPLE","CUMPLE")</f>
        <v>CUMPLE</v>
      </c>
      <c r="F316" s="311"/>
    </row>
    <row r="317" spans="1:7" ht="14" hidden="1">
      <c r="A317" s="222"/>
      <c r="B317" s="223"/>
      <c r="C317" s="103" t="s">
        <v>111</v>
      </c>
      <c r="D317" s="57">
        <v>43673</v>
      </c>
      <c r="E317" s="55" t="str">
        <f>IF(D317="","NO CUMPLE","CUMPLE")</f>
        <v>CUMPLE</v>
      </c>
      <c r="F317" s="311"/>
      <c r="G317" s="51"/>
    </row>
    <row r="318" spans="1:7" ht="14" hidden="1">
      <c r="A318" s="222"/>
      <c r="B318" s="223"/>
      <c r="C318" s="103" t="s">
        <v>112</v>
      </c>
      <c r="D318" s="57">
        <v>43949</v>
      </c>
      <c r="E318" s="55" t="str">
        <f t="shared" ref="E318" si="17">IF(D318="","NO CUMPLE","CUMPLE")</f>
        <v>CUMPLE</v>
      </c>
      <c r="F318" s="311"/>
    </row>
    <row r="319" spans="1:7" hidden="1">
      <c r="A319" s="224"/>
      <c r="B319" s="225"/>
      <c r="C319" s="103" t="s">
        <v>113</v>
      </c>
      <c r="D319" s="100">
        <f>IFERROR((D316/(VLOOKUP((YEAR(D318)),SMMLV!$A$9:$C$49,3,0))),"0")</f>
        <v>91.84820739961016</v>
      </c>
      <c r="E319" s="101"/>
      <c r="F319" s="312"/>
    </row>
    <row r="320" spans="1:7" ht="154" hidden="1">
      <c r="A320" s="220" t="s">
        <v>330</v>
      </c>
      <c r="B320" s="221"/>
      <c r="C320" s="102" t="s">
        <v>122</v>
      </c>
      <c r="D320" s="54" t="s">
        <v>61</v>
      </c>
      <c r="E320" s="55" t="str">
        <f>IF(D320="SI","CUMPLE","NO CUMPLE")</f>
        <v>CUMPLE</v>
      </c>
      <c r="F320" s="310"/>
    </row>
    <row r="321" spans="1:6" ht="42" hidden="1">
      <c r="A321" s="222"/>
      <c r="B321" s="223"/>
      <c r="C321" s="102" t="s">
        <v>123</v>
      </c>
      <c r="D321" s="54" t="s">
        <v>61</v>
      </c>
      <c r="E321" s="55" t="str">
        <f>IF(D321="SI","CUMPLE","NO CUMPLE")</f>
        <v>CUMPLE</v>
      </c>
      <c r="F321" s="311"/>
    </row>
    <row r="322" spans="1:6" ht="14" hidden="1">
      <c r="A322" s="222"/>
      <c r="B322" s="223"/>
      <c r="C322" s="102" t="s">
        <v>128</v>
      </c>
      <c r="D322" s="56" t="s">
        <v>329</v>
      </c>
      <c r="E322" s="55" t="str">
        <f>IF(D322="","NO CUMPLE","CUMPLE")</f>
        <v>CUMPLE</v>
      </c>
      <c r="F322" s="311"/>
    </row>
    <row r="323" spans="1:6" ht="14" hidden="1">
      <c r="A323" s="222"/>
      <c r="B323" s="223"/>
      <c r="C323" s="102" t="s">
        <v>129</v>
      </c>
      <c r="D323" s="56" t="s">
        <v>130</v>
      </c>
      <c r="E323" s="55" t="str">
        <f>IF(D323="Director Interventoria","CUMPLE","NO CUMPLE")</f>
        <v>CUMPLE</v>
      </c>
      <c r="F323" s="311"/>
    </row>
    <row r="324" spans="1:6" ht="14" hidden="1">
      <c r="A324" s="222"/>
      <c r="B324" s="223"/>
      <c r="C324" s="103" t="s">
        <v>110</v>
      </c>
      <c r="D324" s="58">
        <v>498680520</v>
      </c>
      <c r="E324" s="55" t="str">
        <f>IF(D324="","NO CUMPLE","CUMPLE")</f>
        <v>CUMPLE</v>
      </c>
      <c r="F324" s="311"/>
    </row>
    <row r="325" spans="1:6" ht="14" hidden="1">
      <c r="A325" s="222"/>
      <c r="B325" s="223"/>
      <c r="C325" s="103" t="s">
        <v>111</v>
      </c>
      <c r="D325" s="57">
        <v>43952</v>
      </c>
      <c r="E325" s="55" t="str">
        <f>IF(D325="","NO CUMPLE","CUMPLE")</f>
        <v>CUMPLE</v>
      </c>
      <c r="F325" s="311"/>
    </row>
    <row r="326" spans="1:6" ht="14" hidden="1">
      <c r="A326" s="222"/>
      <c r="B326" s="223"/>
      <c r="C326" s="103" t="s">
        <v>112</v>
      </c>
      <c r="D326" s="57">
        <v>44821</v>
      </c>
      <c r="E326" s="55" t="str">
        <f t="shared" ref="E326" si="18">IF(D326="","NO CUMPLE","CUMPLE")</f>
        <v>CUMPLE</v>
      </c>
      <c r="F326" s="311"/>
    </row>
    <row r="327" spans="1:6" hidden="1">
      <c r="A327" s="224"/>
      <c r="B327" s="225"/>
      <c r="C327" s="103" t="s">
        <v>113</v>
      </c>
      <c r="D327" s="100">
        <f>IFERROR((D324/(VLOOKUP((YEAR(D326)),SMMLV!$A$9:$C$49,3,0))),"0")</f>
        <v>498.68052</v>
      </c>
      <c r="E327" s="101"/>
      <c r="F327" s="312"/>
    </row>
    <row r="328" spans="1:6" hidden="1">
      <c r="A328" s="226" t="s">
        <v>155</v>
      </c>
      <c r="B328" s="226"/>
      <c r="C328" s="226"/>
      <c r="D328" s="226"/>
      <c r="E328" s="226"/>
      <c r="F328" s="77">
        <f>D319+D327</f>
        <v>590.52872739961015</v>
      </c>
    </row>
    <row r="329" spans="1:6" hidden="1"/>
    <row r="330" spans="1:6" hidden="1">
      <c r="A330" s="227" t="s">
        <v>153</v>
      </c>
      <c r="B330" s="227"/>
      <c r="C330" s="227"/>
      <c r="D330" s="35">
        <v>30</v>
      </c>
      <c r="E330" s="208" t="str">
        <f>IF(F328&gt;=346.608,"30","0")</f>
        <v>30</v>
      </c>
      <c r="F330" s="313" t="s">
        <v>151</v>
      </c>
    </row>
    <row r="331" spans="1:6" hidden="1">
      <c r="A331" s="227" t="s">
        <v>154</v>
      </c>
      <c r="B331" s="227"/>
      <c r="C331" s="227"/>
      <c r="D331" s="35">
        <v>0</v>
      </c>
      <c r="E331" s="210"/>
      <c r="F331" s="314"/>
    </row>
    <row r="332" spans="1:6" hidden="1"/>
    <row r="333" spans="1:6" ht="14" hidden="1">
      <c r="A333" s="212" t="s">
        <v>156</v>
      </c>
      <c r="B333" s="212"/>
      <c r="C333" s="212"/>
      <c r="D333" s="212"/>
      <c r="E333" s="212"/>
      <c r="F333" s="212"/>
    </row>
    <row r="334" spans="1:6" ht="28.5" hidden="1" customHeight="1">
      <c r="A334" s="198" t="s">
        <v>157</v>
      </c>
      <c r="B334" s="198"/>
      <c r="C334" s="198"/>
      <c r="D334" s="78" t="s">
        <v>160</v>
      </c>
      <c r="E334" s="208" t="str">
        <f>IF(D334="X","18,92",IF(D335="X","10",IF(D336="X","0","0")))</f>
        <v>18,92</v>
      </c>
      <c r="F334" s="315" t="s">
        <v>331</v>
      </c>
    </row>
    <row r="335" spans="1:6" ht="28.5" hidden="1" customHeight="1">
      <c r="A335" s="198" t="s">
        <v>158</v>
      </c>
      <c r="B335" s="198"/>
      <c r="C335" s="198"/>
      <c r="D335" s="78"/>
      <c r="E335" s="209"/>
      <c r="F335" s="316"/>
    </row>
    <row r="336" spans="1:6" ht="28.5" hidden="1" customHeight="1">
      <c r="A336" s="199" t="s">
        <v>159</v>
      </c>
      <c r="B336" s="199"/>
      <c r="C336" s="199"/>
      <c r="D336" s="78"/>
      <c r="E336" s="210"/>
      <c r="F336" s="317"/>
    </row>
    <row r="337" spans="1:6" hidden="1"/>
    <row r="338" spans="1:6" ht="14" hidden="1">
      <c r="A338" s="212" t="s">
        <v>161</v>
      </c>
      <c r="B338" s="212"/>
      <c r="C338" s="212"/>
      <c r="D338" s="212"/>
      <c r="E338" s="212"/>
      <c r="F338" s="212"/>
    </row>
    <row r="339" spans="1:6" ht="53.25" hidden="1" customHeight="1">
      <c r="A339" s="198" t="s">
        <v>162</v>
      </c>
      <c r="B339" s="198"/>
      <c r="C339" s="198"/>
      <c r="D339" s="78" t="s">
        <v>160</v>
      </c>
      <c r="E339" s="208" t="str">
        <f>IF(D339="X","10",IF(D340="X","5",IF(D341="X","0","0")))</f>
        <v>10</v>
      </c>
      <c r="F339" s="313" t="s">
        <v>151</v>
      </c>
    </row>
    <row r="340" spans="1:6" ht="31.5" hidden="1" customHeight="1">
      <c r="A340" s="198" t="s">
        <v>163</v>
      </c>
      <c r="B340" s="198"/>
      <c r="C340" s="198"/>
      <c r="D340" s="78"/>
      <c r="E340" s="209"/>
      <c r="F340" s="318"/>
    </row>
    <row r="341" spans="1:6" ht="39.75" hidden="1" customHeight="1">
      <c r="A341" s="198" t="s">
        <v>164</v>
      </c>
      <c r="B341" s="198"/>
      <c r="C341" s="198"/>
      <c r="D341" s="78"/>
      <c r="E341" s="210"/>
      <c r="F341" s="314"/>
    </row>
    <row r="342" spans="1:6" hidden="1"/>
    <row r="343" spans="1:6" ht="14" hidden="1">
      <c r="A343" s="212" t="s">
        <v>165</v>
      </c>
      <c r="B343" s="212"/>
      <c r="C343" s="212"/>
      <c r="D343" s="212"/>
      <c r="E343" s="212"/>
      <c r="F343" s="212"/>
    </row>
    <row r="344" spans="1:6" ht="12.75" hidden="1" customHeight="1">
      <c r="A344" s="207" t="s">
        <v>166</v>
      </c>
      <c r="B344" s="207"/>
      <c r="C344" s="79" t="s">
        <v>61</v>
      </c>
      <c r="D344" s="78" t="str">
        <f>IF(C344="NO","No Cumple",IF(C344="","","Cumple"))</f>
        <v>Cumple</v>
      </c>
      <c r="E344" s="208" t="str">
        <f>IF(AND(D344="cumple",D345="cumple",D346="cumple",D347="cumple"),"1","0")</f>
        <v>1</v>
      </c>
      <c r="F344" s="230" t="s">
        <v>151</v>
      </c>
    </row>
    <row r="345" spans="1:6" ht="12.75" hidden="1" customHeight="1">
      <c r="A345" s="207" t="s">
        <v>167</v>
      </c>
      <c r="B345" s="207"/>
      <c r="C345" s="79" t="s">
        <v>61</v>
      </c>
      <c r="D345" s="78" t="str">
        <f t="shared" ref="D345" si="19">IF(C345="NO","No Cumple",IF(C345="","","Cumple"))</f>
        <v>Cumple</v>
      </c>
      <c r="E345" s="209"/>
      <c r="F345" s="230"/>
    </row>
    <row r="346" spans="1:6" ht="14" hidden="1">
      <c r="A346" s="207" t="s">
        <v>168</v>
      </c>
      <c r="B346" s="207"/>
      <c r="C346" s="80">
        <v>45527</v>
      </c>
      <c r="D346" s="78" t="str">
        <f>IF(C346="","",IF($B$4-C346&gt;183,"No Cumple","Cumple"))</f>
        <v>Cumple</v>
      </c>
      <c r="E346" s="209"/>
      <c r="F346" s="230"/>
    </row>
    <row r="347" spans="1:6" hidden="1">
      <c r="A347" s="207" t="s">
        <v>169</v>
      </c>
      <c r="B347" s="207"/>
      <c r="C347" s="85">
        <f>F126</f>
        <v>802.48446212201588</v>
      </c>
      <c r="D347" s="81" t="str">
        <f>IF(C347="","",IF(C347&lt;$B$5*40%,"No Cumple","Cumple"))</f>
        <v>Cumple</v>
      </c>
      <c r="E347" s="210"/>
      <c r="F347" s="230"/>
    </row>
    <row r="348" spans="1:6" hidden="1"/>
    <row r="349" spans="1:6" ht="14" hidden="1">
      <c r="A349" s="212" t="s">
        <v>170</v>
      </c>
      <c r="B349" s="212"/>
      <c r="C349" s="212"/>
      <c r="D349" s="212"/>
      <c r="E349" s="212"/>
      <c r="F349" s="212"/>
    </row>
    <row r="350" spans="1:6" ht="14" hidden="1">
      <c r="A350" s="83"/>
      <c r="B350" s="83"/>
      <c r="C350" s="83"/>
      <c r="D350" s="83"/>
      <c r="E350" s="83"/>
      <c r="F350" s="83"/>
    </row>
    <row r="351" spans="1:6" ht="14" hidden="1">
      <c r="A351" s="204" t="s">
        <v>172</v>
      </c>
      <c r="B351" s="205"/>
      <c r="C351" s="205"/>
      <c r="D351" s="205"/>
      <c r="E351" s="205"/>
      <c r="F351" s="206"/>
    </row>
    <row r="352" spans="1:6" ht="14" hidden="1">
      <c r="A352" s="207" t="s">
        <v>171</v>
      </c>
      <c r="B352" s="207"/>
      <c r="C352" s="79" t="s">
        <v>61</v>
      </c>
      <c r="D352" s="78" t="str">
        <f>IF(C352="NO","No Cumple",IF(C352="","","Cumple"))</f>
        <v>Cumple</v>
      </c>
      <c r="E352" s="208" t="str">
        <f>IF(AND(D352="cumple",D353="cumple",D354="cumple",D355="cumple"),"0,08","0")</f>
        <v>0,08</v>
      </c>
      <c r="F352" s="319" t="s">
        <v>84</v>
      </c>
    </row>
    <row r="353" spans="1:7" ht="14" hidden="1">
      <c r="A353" s="207" t="s">
        <v>174</v>
      </c>
      <c r="B353" s="207"/>
      <c r="C353" s="84">
        <v>1</v>
      </c>
      <c r="D353" s="78" t="str">
        <f>IF(C353&gt;=50%,"Cumple",IF(C353="",""," No Cumple"))</f>
        <v>Cumple</v>
      </c>
      <c r="E353" s="209"/>
      <c r="F353" s="230"/>
    </row>
    <row r="354" spans="1:7" ht="14" hidden="1">
      <c r="A354" s="207" t="s">
        <v>173</v>
      </c>
      <c r="B354" s="207"/>
      <c r="C354" s="79" t="s">
        <v>61</v>
      </c>
      <c r="D354" s="78" t="str">
        <f>IF(C354="NO","No Cumple",IF(C354="","","Cumple"))</f>
        <v>Cumple</v>
      </c>
      <c r="E354" s="209"/>
      <c r="F354" s="230"/>
    </row>
    <row r="355" spans="1:7" ht="14" hidden="1">
      <c r="A355" s="207" t="s">
        <v>183</v>
      </c>
      <c r="B355" s="207"/>
      <c r="C355" s="88">
        <v>1</v>
      </c>
      <c r="D355" s="78" t="str">
        <f>IF(C355&lt;10%,"No Cumple","Cumple")</f>
        <v>Cumple</v>
      </c>
      <c r="E355" s="210"/>
      <c r="F355" s="230"/>
    </row>
    <row r="356" spans="1:7" hidden="1"/>
    <row r="357" spans="1:7" ht="14" hidden="1">
      <c r="A357" s="204" t="s">
        <v>175</v>
      </c>
      <c r="B357" s="205"/>
      <c r="C357" s="205"/>
      <c r="D357" s="205"/>
      <c r="E357" s="205"/>
      <c r="F357" s="206"/>
    </row>
    <row r="358" spans="1:7" ht="14" hidden="1">
      <c r="A358" s="207" t="s">
        <v>171</v>
      </c>
      <c r="B358" s="207"/>
      <c r="C358" s="79"/>
      <c r="D358" s="78" t="str">
        <f>IF(C358="NO","No Cumple",IF(C358="","","Cumple"))</f>
        <v/>
      </c>
      <c r="E358" s="208" t="str">
        <f>IF(AND(D358="cumple",D359="cumple",D360="cumple",D361="cumple",D362="cumple"),"0,08","0")</f>
        <v>0</v>
      </c>
      <c r="F358" s="230" t="s">
        <v>151</v>
      </c>
    </row>
    <row r="359" spans="1:7" ht="14" hidden="1">
      <c r="A359" s="207" t="s">
        <v>176</v>
      </c>
      <c r="B359" s="207"/>
      <c r="C359" s="79"/>
      <c r="D359" s="78" t="str">
        <f t="shared" ref="D359:D361" si="20">IF(C359="NO","No Cumple",IF(C359="","","Cumple"))</f>
        <v/>
      </c>
      <c r="E359" s="209"/>
      <c r="F359" s="230"/>
    </row>
    <row r="360" spans="1:7" ht="27.75" hidden="1" customHeight="1">
      <c r="A360" s="207" t="s">
        <v>177</v>
      </c>
      <c r="B360" s="207"/>
      <c r="C360" s="79"/>
      <c r="D360" s="78" t="str">
        <f t="shared" si="20"/>
        <v/>
      </c>
      <c r="E360" s="209"/>
      <c r="F360" s="230"/>
    </row>
    <row r="361" spans="1:7" ht="14" hidden="1">
      <c r="A361" s="207" t="s">
        <v>178</v>
      </c>
      <c r="B361" s="207"/>
      <c r="C361" s="79"/>
      <c r="D361" s="78" t="str">
        <f t="shared" si="20"/>
        <v/>
      </c>
      <c r="E361" s="209"/>
      <c r="F361" s="230"/>
    </row>
    <row r="362" spans="1:7" ht="14" hidden="1">
      <c r="A362" s="207" t="s">
        <v>182</v>
      </c>
      <c r="B362" s="207"/>
      <c r="C362" s="88">
        <v>0</v>
      </c>
      <c r="D362" s="78" t="str">
        <f>IF(C362&lt;10%,"No Cumple","Cumple")</f>
        <v>No Cumple</v>
      </c>
      <c r="E362" s="210"/>
      <c r="F362" s="230"/>
      <c r="G362" s="95"/>
    </row>
    <row r="363" spans="1:7" hidden="1"/>
    <row r="364" spans="1:7" ht="47.25" hidden="1" customHeight="1">
      <c r="A364" s="198" t="s">
        <v>180</v>
      </c>
      <c r="B364" s="198"/>
      <c r="C364" s="198"/>
      <c r="D364" s="198"/>
      <c r="E364" s="139">
        <v>2</v>
      </c>
      <c r="F364" s="140" t="s">
        <v>565</v>
      </c>
    </row>
    <row r="365" spans="1:7" hidden="1">
      <c r="A365" s="199" t="s">
        <v>181</v>
      </c>
      <c r="B365" s="199"/>
      <c r="C365" s="199"/>
      <c r="D365" s="199"/>
      <c r="E365" s="86"/>
      <c r="F365" s="30"/>
    </row>
    <row r="366" spans="1:7" hidden="1"/>
    <row r="367" spans="1:7" ht="18" hidden="1">
      <c r="B367" s="200" t="s">
        <v>179</v>
      </c>
      <c r="C367" s="200"/>
      <c r="D367" s="200"/>
      <c r="E367" s="87">
        <f>SUM(D304+E330+E334+E339+E344+E352+E358-E364-E365)</f>
        <v>98</v>
      </c>
    </row>
    <row r="368" spans="1:7" hidden="1"/>
    <row r="369" hidden="1"/>
    <row r="370" hidden="1"/>
    <row r="371" hidden="1"/>
    <row r="372" hidden="1"/>
    <row r="373" hidden="1"/>
  </sheetData>
  <sheetProtection algorithmName="SHA-512" hashValue="GEX3Cvlapcc1RowQuwWJgXLNHh5Vym1/WlUVotgA0FX+bq5V8OFryzy7YVlbXKkjDejC8+crlWAunkGxVg2Vaw==" saltValue="qd+etUrgjU9fW64ju9jcpQ==" spinCount="100000" sheet="1" objects="1" scenarios="1"/>
  <mergeCells count="294">
    <mergeCell ref="A364:D364"/>
    <mergeCell ref="A365:D365"/>
    <mergeCell ref="B367:D367"/>
    <mergeCell ref="A357:F357"/>
    <mergeCell ref="A358:B358"/>
    <mergeCell ref="E358:E362"/>
    <mergeCell ref="F358:F362"/>
    <mergeCell ref="A359:B359"/>
    <mergeCell ref="A360:B360"/>
    <mergeCell ref="A361:B361"/>
    <mergeCell ref="A362:B362"/>
    <mergeCell ref="A349:F349"/>
    <mergeCell ref="A351:F351"/>
    <mergeCell ref="A352:B352"/>
    <mergeCell ref="E352:E355"/>
    <mergeCell ref="F352:F355"/>
    <mergeCell ref="A353:B353"/>
    <mergeCell ref="A354:B354"/>
    <mergeCell ref="A355:B355"/>
    <mergeCell ref="A343:F343"/>
    <mergeCell ref="A344:B344"/>
    <mergeCell ref="E344:E347"/>
    <mergeCell ref="F344:F347"/>
    <mergeCell ref="A345:B345"/>
    <mergeCell ref="A346:B346"/>
    <mergeCell ref="A347:B347"/>
    <mergeCell ref="A338:F338"/>
    <mergeCell ref="A339:C339"/>
    <mergeCell ref="E339:E341"/>
    <mergeCell ref="F339:F341"/>
    <mergeCell ref="A340:C340"/>
    <mergeCell ref="A341:C341"/>
    <mergeCell ref="A330:C330"/>
    <mergeCell ref="E330:E331"/>
    <mergeCell ref="F330:F331"/>
    <mergeCell ref="A331:C331"/>
    <mergeCell ref="A333:F333"/>
    <mergeCell ref="A334:C334"/>
    <mergeCell ref="E334:E336"/>
    <mergeCell ref="F334:F336"/>
    <mergeCell ref="A335:C335"/>
    <mergeCell ref="A336:C336"/>
    <mergeCell ref="A310:F310"/>
    <mergeCell ref="A312:B319"/>
    <mergeCell ref="F312:F319"/>
    <mergeCell ref="A320:B327"/>
    <mergeCell ref="F320:F327"/>
    <mergeCell ref="A328:E328"/>
    <mergeCell ref="E300:F300"/>
    <mergeCell ref="A302:E302"/>
    <mergeCell ref="A304:B304"/>
    <mergeCell ref="D304:D308"/>
    <mergeCell ref="E304:F308"/>
    <mergeCell ref="A305:B305"/>
    <mergeCell ref="A306:B306"/>
    <mergeCell ref="A307:B307"/>
    <mergeCell ref="A308:B308"/>
    <mergeCell ref="A295:C295"/>
    <mergeCell ref="A296:C296"/>
    <mergeCell ref="A297:C297"/>
    <mergeCell ref="A298:C298"/>
    <mergeCell ref="A299:C299"/>
    <mergeCell ref="A300:D300"/>
    <mergeCell ref="B285:F285"/>
    <mergeCell ref="B286:F286"/>
    <mergeCell ref="B287:F287"/>
    <mergeCell ref="A289:A290"/>
    <mergeCell ref="E289:E290"/>
    <mergeCell ref="F289:F299"/>
    <mergeCell ref="A291:C291"/>
    <mergeCell ref="A292:C292"/>
    <mergeCell ref="A293:C293"/>
    <mergeCell ref="A294:C294"/>
    <mergeCell ref="A279:C279"/>
    <mergeCell ref="A280:C280"/>
    <mergeCell ref="A281:C281"/>
    <mergeCell ref="A282:C282"/>
    <mergeCell ref="A283:D283"/>
    <mergeCell ref="E283:F283"/>
    <mergeCell ref="B269:F269"/>
    <mergeCell ref="B270:F270"/>
    <mergeCell ref="A272:A273"/>
    <mergeCell ref="E272:E273"/>
    <mergeCell ref="F272:F282"/>
    <mergeCell ref="A274:C274"/>
    <mergeCell ref="A275:C275"/>
    <mergeCell ref="A276:C276"/>
    <mergeCell ref="A277:C277"/>
    <mergeCell ref="A278:C278"/>
    <mergeCell ref="A259:F259"/>
    <mergeCell ref="A260:E260"/>
    <mergeCell ref="A262:E262"/>
    <mergeCell ref="A265:F265"/>
    <mergeCell ref="A266:F266"/>
    <mergeCell ref="B268:F268"/>
    <mergeCell ref="A249:E250"/>
    <mergeCell ref="A251:F251"/>
    <mergeCell ref="A252:E252"/>
    <mergeCell ref="A254:E254"/>
    <mergeCell ref="A256:F256"/>
    <mergeCell ref="A257:E258"/>
    <mergeCell ref="A230:C230"/>
    <mergeCell ref="A231:C231"/>
    <mergeCell ref="A232:C232"/>
    <mergeCell ref="A233:B240"/>
    <mergeCell ref="F233:F240"/>
    <mergeCell ref="A241:B248"/>
    <mergeCell ref="F241:F248"/>
    <mergeCell ref="B225:C225"/>
    <mergeCell ref="B226:C226"/>
    <mergeCell ref="A227:C227"/>
    <mergeCell ref="A228:A229"/>
    <mergeCell ref="B228:C228"/>
    <mergeCell ref="B229:C229"/>
    <mergeCell ref="A218:E219"/>
    <mergeCell ref="A220:F220"/>
    <mergeCell ref="A221:E221"/>
    <mergeCell ref="A223:F223"/>
    <mergeCell ref="A224:C224"/>
    <mergeCell ref="D224:F224"/>
    <mergeCell ref="A199:C199"/>
    <mergeCell ref="A200:C200"/>
    <mergeCell ref="A201:C201"/>
    <mergeCell ref="A202:B209"/>
    <mergeCell ref="F202:F209"/>
    <mergeCell ref="A210:B217"/>
    <mergeCell ref="B194:C194"/>
    <mergeCell ref="B195:C195"/>
    <mergeCell ref="A196:C196"/>
    <mergeCell ref="A197:A198"/>
    <mergeCell ref="B197:C197"/>
    <mergeCell ref="B198:C198"/>
    <mergeCell ref="A187:E188"/>
    <mergeCell ref="A189:F189"/>
    <mergeCell ref="A190:E190"/>
    <mergeCell ref="A192:F192"/>
    <mergeCell ref="A193:C193"/>
    <mergeCell ref="D193:F193"/>
    <mergeCell ref="A158:C158"/>
    <mergeCell ref="A160:B167"/>
    <mergeCell ref="F160:F166"/>
    <mergeCell ref="A169:B176"/>
    <mergeCell ref="F169:F175"/>
    <mergeCell ref="A178:B185"/>
    <mergeCell ref="F178:F184"/>
    <mergeCell ref="A153:C153"/>
    <mergeCell ref="A154:A155"/>
    <mergeCell ref="B154:C154"/>
    <mergeCell ref="B155:C155"/>
    <mergeCell ref="A156:C156"/>
    <mergeCell ref="A157:C157"/>
    <mergeCell ref="A148:F148"/>
    <mergeCell ref="A149:C149"/>
    <mergeCell ref="D149:F149"/>
    <mergeCell ref="B150:C150"/>
    <mergeCell ref="B151:C151"/>
    <mergeCell ref="B152:C152"/>
    <mergeCell ref="A130:E131"/>
    <mergeCell ref="A132:F132"/>
    <mergeCell ref="A134:E135"/>
    <mergeCell ref="A136:F136"/>
    <mergeCell ref="A138:E138"/>
    <mergeCell ref="A147:F147"/>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F94:F97"/>
    <mergeCell ref="B95:C95"/>
    <mergeCell ref="B96:C96"/>
    <mergeCell ref="B97:C97"/>
    <mergeCell ref="A98:D98"/>
    <mergeCell ref="E98:F98"/>
    <mergeCell ref="A89:C89"/>
    <mergeCell ref="A90:C90"/>
    <mergeCell ref="A91:C91"/>
    <mergeCell ref="A92:C92"/>
    <mergeCell ref="A93:C93"/>
    <mergeCell ref="A94:A97"/>
    <mergeCell ref="B94:C94"/>
    <mergeCell ref="B79:F79"/>
    <mergeCell ref="B80:F80"/>
    <mergeCell ref="B81:F81"/>
    <mergeCell ref="A83:A84"/>
    <mergeCell ref="E83:E84"/>
    <mergeCell ref="F83:F93"/>
    <mergeCell ref="A85:C85"/>
    <mergeCell ref="A86:C86"/>
    <mergeCell ref="A87:C87"/>
    <mergeCell ref="A88:C88"/>
    <mergeCell ref="F73:F76"/>
    <mergeCell ref="B74:C74"/>
    <mergeCell ref="B75:C75"/>
    <mergeCell ref="B76:C76"/>
    <mergeCell ref="A77:D77"/>
    <mergeCell ref="E77:F77"/>
    <mergeCell ref="A68:C68"/>
    <mergeCell ref="A69:C69"/>
    <mergeCell ref="A70:C70"/>
    <mergeCell ref="A71:C71"/>
    <mergeCell ref="A72:C72"/>
    <mergeCell ref="A73:A76"/>
    <mergeCell ref="B73:C73"/>
    <mergeCell ref="B58:F58"/>
    <mergeCell ref="B59:F59"/>
    <mergeCell ref="B60:F60"/>
    <mergeCell ref="A62:A63"/>
    <mergeCell ref="E62:E63"/>
    <mergeCell ref="F62:F72"/>
    <mergeCell ref="A64:C64"/>
    <mergeCell ref="A65:C65"/>
    <mergeCell ref="A66:C66"/>
    <mergeCell ref="A67:C67"/>
    <mergeCell ref="F52:F55"/>
    <mergeCell ref="B53:C53"/>
    <mergeCell ref="B54:C54"/>
    <mergeCell ref="B55:C55"/>
    <mergeCell ref="A56:D56"/>
    <mergeCell ref="E56:F56"/>
    <mergeCell ref="A47:C47"/>
    <mergeCell ref="A48:C48"/>
    <mergeCell ref="A49:C49"/>
    <mergeCell ref="A50:C50"/>
    <mergeCell ref="A51:C51"/>
    <mergeCell ref="A52:A55"/>
    <mergeCell ref="B52:C52"/>
    <mergeCell ref="B37:F37"/>
    <mergeCell ref="B38:F38"/>
    <mergeCell ref="B39:F39"/>
    <mergeCell ref="A41:A42"/>
    <mergeCell ref="E41:E42"/>
    <mergeCell ref="F41:F51"/>
    <mergeCell ref="A43:C43"/>
    <mergeCell ref="A44:C44"/>
    <mergeCell ref="A45:C45"/>
    <mergeCell ref="A46:C46"/>
    <mergeCell ref="F31:F34"/>
    <mergeCell ref="B32:C32"/>
    <mergeCell ref="B33:C33"/>
    <mergeCell ref="B34:C34"/>
    <mergeCell ref="A35:D35"/>
    <mergeCell ref="E35:F35"/>
    <mergeCell ref="A27:C27"/>
    <mergeCell ref="A28:C28"/>
    <mergeCell ref="A29:C29"/>
    <mergeCell ref="A30:C30"/>
    <mergeCell ref="A31:A34"/>
    <mergeCell ref="B31:C31"/>
    <mergeCell ref="B17:F17"/>
    <mergeCell ref="B18:F18"/>
    <mergeCell ref="A20:A21"/>
    <mergeCell ref="E20:E21"/>
    <mergeCell ref="F20:F30"/>
    <mergeCell ref="A22:C22"/>
    <mergeCell ref="A23:C23"/>
    <mergeCell ref="A24:C24"/>
    <mergeCell ref="A25:C25"/>
    <mergeCell ref="A26:C26"/>
    <mergeCell ref="B9:D9"/>
    <mergeCell ref="B10:D10"/>
    <mergeCell ref="B11:D11"/>
    <mergeCell ref="A13:F13"/>
    <mergeCell ref="A14:F14"/>
    <mergeCell ref="B16:F16"/>
    <mergeCell ref="A1:F1"/>
    <mergeCell ref="A2:F2"/>
    <mergeCell ref="B4:C4"/>
    <mergeCell ref="B5:C5"/>
    <mergeCell ref="B6:C6"/>
    <mergeCell ref="B7:F7"/>
  </mergeCells>
  <conditionalFormatting sqref="E150:E167">
    <cfRule type="expression" dxfId="181" priority="24">
      <formula>"NO CUMPLE"</formula>
    </cfRule>
  </conditionalFormatting>
  <conditionalFormatting sqref="E169:E176">
    <cfRule type="expression" dxfId="180" priority="4">
      <formula>"NO CUMPLE"</formula>
    </cfRule>
  </conditionalFormatting>
  <conditionalFormatting sqref="E178:E185">
    <cfRule type="expression" dxfId="179" priority="3">
      <formula>"NO CUMPLE"</formula>
    </cfRule>
  </conditionalFormatting>
  <conditionalFormatting sqref="E194:E217">
    <cfRule type="expression" dxfId="178" priority="2">
      <formula>"NO CUMPLE"</formula>
    </cfRule>
  </conditionalFormatting>
  <conditionalFormatting sqref="E225:E248">
    <cfRule type="expression" dxfId="177" priority="1">
      <formula>"NO CUMPLE"</formula>
    </cfRule>
  </conditionalFormatting>
  <conditionalFormatting sqref="E312:E327">
    <cfRule type="expression" dxfId="176" priority="5">
      <formula>"NO CUMPLE"</formula>
    </cfRule>
  </conditionalFormatting>
  <conditionalFormatting sqref="E35:F35">
    <cfRule type="containsText" dxfId="175" priority="35" stopIfTrue="1" operator="containsText" text="NO CUMPLE">
      <formula>NOT(ISERROR(SEARCH("NO CUMPLE",E35)))</formula>
    </cfRule>
  </conditionalFormatting>
  <conditionalFormatting sqref="E56:F56">
    <cfRule type="containsText" dxfId="174" priority="31" stopIfTrue="1" operator="containsText" text="NO CUMPLE">
      <formula>NOT(ISERROR(SEARCH("NO CUMPLE",E56)))</formula>
    </cfRule>
  </conditionalFormatting>
  <conditionalFormatting sqref="E77:F77">
    <cfRule type="containsText" dxfId="173" priority="30" stopIfTrue="1" operator="containsText" text="NO CUMPLE">
      <formula>NOT(ISERROR(SEARCH("NO CUMPLE",E77)))</formula>
    </cfRule>
  </conditionalFormatting>
  <conditionalFormatting sqref="E98:F98">
    <cfRule type="containsText" dxfId="172" priority="29" stopIfTrue="1" operator="containsText" text="NO CUMPLE">
      <formula>NOT(ISERROR(SEARCH("NO CUMPLE",E98)))</formula>
    </cfRule>
  </conditionalFormatting>
  <conditionalFormatting sqref="E120:F120">
    <cfRule type="containsText" dxfId="171" priority="28" stopIfTrue="1" operator="containsText" text="NO CUMPLE">
      <formula>NOT(ISERROR(SEARCH("NO CUMPLE",E120)))</formula>
    </cfRule>
  </conditionalFormatting>
  <conditionalFormatting sqref="E283:F283">
    <cfRule type="containsText" dxfId="170" priority="7" stopIfTrue="1" operator="containsText" text="NO CUMPLE">
      <formula>NOT(ISERROR(SEARCH("NO CUMPLE",E283)))</formula>
    </cfRule>
  </conditionalFormatting>
  <conditionalFormatting sqref="E300:F300">
    <cfRule type="containsText" dxfId="169" priority="6" stopIfTrue="1" operator="containsText" text="NO CUMPLE">
      <formula>NOT(ISERROR(SEARCH("NO CUMPLE",E300)))</formula>
    </cfRule>
  </conditionalFormatting>
  <conditionalFormatting sqref="F123">
    <cfRule type="containsText" dxfId="168" priority="26" stopIfTrue="1" operator="containsText" text="NO CUMPLE">
      <formula>NOT(ISERROR(SEARCH("NO CUMPLE",F123)))</formula>
    </cfRule>
  </conditionalFormatting>
  <conditionalFormatting sqref="F127 F129">
    <cfRule type="containsText" dxfId="167" priority="34" stopIfTrue="1" operator="containsText" text="NO CUMPLE">
      <formula>NOT(ISERROR(SEARCH("NO CUMPLE",F127)))</formula>
    </cfRule>
  </conditionalFormatting>
  <conditionalFormatting sqref="F131">
    <cfRule type="containsText" dxfId="166" priority="33" stopIfTrue="1" operator="containsText" text="NO CUMPLE">
      <formula>NOT(ISERROR(SEARCH("NO CUMPLE",F131)))</formula>
    </cfRule>
  </conditionalFormatting>
  <conditionalFormatting sqref="F135">
    <cfRule type="containsText" dxfId="165" priority="32" stopIfTrue="1" operator="containsText" text="NO CUMPLE">
      <formula>NOT(ISERROR(SEARCH("NO CUMPLE",F135)))</formula>
    </cfRule>
  </conditionalFormatting>
  <conditionalFormatting sqref="F138">
    <cfRule type="containsText" dxfId="164" priority="27" stopIfTrue="1" operator="containsText" text="NO HABILITADO">
      <formula>NOT(ISERROR(SEARCH("NO HABILITADO",F138)))</formula>
    </cfRule>
    <cfRule type="containsText" dxfId="163" priority="25" operator="containsText" text="NO CUMPLE">
      <formula>NOT(ISERROR(SEARCH("NO CUMPLE",F138)))</formula>
    </cfRule>
  </conditionalFormatting>
  <conditionalFormatting sqref="F188">
    <cfRule type="containsText" dxfId="162" priority="22" stopIfTrue="1" operator="containsText" text="NO CUMPLE">
      <formula>NOT(ISERROR(SEARCH("NO CUMPLE",F188)))</formula>
    </cfRule>
  </conditionalFormatting>
  <conditionalFormatting sqref="F190">
    <cfRule type="containsText" dxfId="161" priority="21" operator="containsText" text="NO CUMPLE">
      <formula>NOT(ISERROR(SEARCH("NO CUMPLE",F190)))</formula>
    </cfRule>
    <cfRule type="containsText" dxfId="160" priority="23" stopIfTrue="1" operator="containsText" text="NO HABILITADO">
      <formula>NOT(ISERROR(SEARCH("NO HABILITADO",F190)))</formula>
    </cfRule>
  </conditionalFormatting>
  <conditionalFormatting sqref="F219">
    <cfRule type="containsText" dxfId="159" priority="19" stopIfTrue="1" operator="containsText" text="NO CUMPLE">
      <formula>NOT(ISERROR(SEARCH("NO CUMPLE",F219)))</formula>
    </cfRule>
  </conditionalFormatting>
  <conditionalFormatting sqref="F221">
    <cfRule type="containsText" dxfId="158" priority="18" operator="containsText" text="NO CUMPLE">
      <formula>NOT(ISERROR(SEARCH("NO CUMPLE",F221)))</formula>
    </cfRule>
    <cfRule type="containsText" dxfId="157" priority="20" stopIfTrue="1" operator="containsText" text="NO HABILITADO">
      <formula>NOT(ISERROR(SEARCH("NO HABILITADO",F221)))</formula>
    </cfRule>
  </conditionalFormatting>
  <conditionalFormatting sqref="F250">
    <cfRule type="containsText" dxfId="156" priority="16" stopIfTrue="1" operator="containsText" text="NO CUMPLE">
      <formula>NOT(ISERROR(SEARCH("NO CUMPLE",F250)))</formula>
    </cfRule>
  </conditionalFormatting>
  <conditionalFormatting sqref="F252">
    <cfRule type="containsText" dxfId="155" priority="17" stopIfTrue="1" operator="containsText" text="NO HABILITADO">
      <formula>NOT(ISERROR(SEARCH("NO HABILITADO",F252)))</formula>
    </cfRule>
    <cfRule type="containsText" dxfId="154" priority="15" operator="containsText" text="NO CUMPLE">
      <formula>NOT(ISERROR(SEARCH("NO CUMPLE",F252)))</formula>
    </cfRule>
  </conditionalFormatting>
  <conditionalFormatting sqref="F254">
    <cfRule type="containsText" dxfId="153" priority="14" stopIfTrue="1" operator="containsText" text="NO HABILITADO">
      <formula>NOT(ISERROR(SEARCH("NO HABILITADO",F254)))</formula>
    </cfRule>
    <cfRule type="containsText" dxfId="152" priority="13" operator="containsText" text="NO CUMPLE">
      <formula>NOT(ISERROR(SEARCH("NO CUMPLE",F254)))</formula>
    </cfRule>
  </conditionalFormatting>
  <conditionalFormatting sqref="F258">
    <cfRule type="containsText" dxfId="151" priority="12" stopIfTrue="1" operator="containsText" text="NO CUMPLE">
      <formula>NOT(ISERROR(SEARCH("NO CUMPLE",F258)))</formula>
    </cfRule>
  </conditionalFormatting>
  <conditionalFormatting sqref="F260">
    <cfRule type="containsText" dxfId="150" priority="11" stopIfTrue="1" operator="containsText" text="NO HABILITADO">
      <formula>NOT(ISERROR(SEARCH("NO HABILITADO",F260)))</formula>
    </cfRule>
    <cfRule type="containsText" dxfId="149" priority="10" operator="containsText" text="NO CUMPLE">
      <formula>NOT(ISERROR(SEARCH("NO CUMPLE",F260)))</formula>
    </cfRule>
  </conditionalFormatting>
  <conditionalFormatting sqref="F262">
    <cfRule type="containsText" dxfId="148" priority="9" stopIfTrue="1" operator="containsText" text="NO HABILITADO">
      <formula>NOT(ISERROR(SEARCH("NO HABILITADO",F262)))</formula>
    </cfRule>
    <cfRule type="containsText" dxfId="147" priority="8" operator="containsText" text="NO CUMPLE">
      <formula>NOT(ISERROR(SEARCH("NO CUMPLE",F262)))</formula>
    </cfRule>
  </conditionalFormatting>
  <dataValidations count="3">
    <dataValidation allowBlank="1" showInputMessage="1" showErrorMessage="1" errorTitle="FECHA DE CIERRE DEL PROCESO" error="SOLO COLOCAR FECHA_x000a_" sqref="B4:B6" xr:uid="{00000000-0002-0000-0700-000000000000}"/>
    <dataValidation type="date" operator="greaterThan" allowBlank="1" showInputMessage="1" showErrorMessage="1" errorTitle="OJO" error="REVISAR QUE FECHA DE TERMINACIÓN SEA MAYOR QUE LA DE SUSCRIPCIÓN DEL CONTRATO" sqref="D26 D47 D68 D89 D111 D278 D295" xr:uid="{00000000-0002-0000-0700-000001000000}">
      <formula1>D22</formula1>
    </dataValidation>
    <dataValidation type="whole" allowBlank="1" showInputMessage="1" showErrorMessage="1" sqref="D164 D173 D182 D206 D214 D237 D245 D316 D324" xr:uid="{00000000-0002-0000-0700-000002000000}">
      <formula1>0</formula1>
      <formula2>1E+44</formula2>
    </dataValidation>
  </dataValidations>
  <pageMargins left="0.59" right="0.31496062992125984" top="0.74803149606299213" bottom="0.74803149606299213" header="0.31496062992125984" footer="0.31496062992125984"/>
  <pageSetup scale="85"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700-000003000000}">
          <x14:formula1>
            <xm:f>Ref!$B$3:$C$3</xm:f>
          </x14:formula1>
          <xm:sqref>F134 F130 F122 D27:D34 D48:D55 D69 D90:D97 D112:D119 D151 D160:D161 D156:D158 D169:D170 D178:D179 D199:D203 D210:D211 D230:D234 D241:D242 F257 D279:D282 D296:D299 D312:D313 D320:D321 C344:C345 C352 C354 C358:C361</xm:sqref>
        </x14:dataValidation>
        <x14:dataValidation type="list" allowBlank="1" showInputMessage="1" showErrorMessage="1" xr:uid="{00000000-0002-0000-0700-000004000000}">
          <x14:formula1>
            <xm:f>Ref!$B$4:$G$4</xm:f>
          </x14:formula1>
          <xm:sqref>D150 D194 D225</xm:sqref>
        </x14:dataValidation>
        <x14:dataValidation type="list" allowBlank="1" showInputMessage="1" showErrorMessage="1" xr:uid="{00000000-0002-0000-0700-000005000000}">
          <x14:formula1>
            <xm:f>Ref!$B$5:$C$5</xm:f>
          </x14:formula1>
          <xm:sqref>D163 D323 D172 D181 D315</xm:sqref>
        </x14:dataValidation>
        <x14:dataValidation type="list" allowBlank="1" showInputMessage="1" showErrorMessage="1" xr:uid="{00000000-0002-0000-0700-000006000000}">
          <x14:formula1>
            <xm:f>Ref!$B$7</xm:f>
          </x14:formula1>
          <xm:sqref>D334:D336 D339:D341</xm:sqref>
        </x14:dataValidation>
        <x14:dataValidation type="list" allowBlank="1" showInputMessage="1" showErrorMessage="1" xr:uid="{00000000-0002-0000-0700-000007000000}">
          <x14:formula1>
            <xm:f>Ref!$B$6:$C$6</xm:f>
          </x14:formula1>
          <xm:sqref>D205 D213 D236 D244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382"/>
  <sheetViews>
    <sheetView zoomScaleNormal="100" workbookViewId="0">
      <selection activeCell="F236" sqref="F236"/>
    </sheetView>
  </sheetViews>
  <sheetFormatPr baseColWidth="10" defaultColWidth="40.5" defaultRowHeight="13"/>
  <cols>
    <col min="1" max="1" width="31.83203125" style="20" customWidth="1"/>
    <col min="2" max="2" width="17" style="20" customWidth="1"/>
    <col min="3" max="3" width="18.5" style="20" customWidth="1"/>
    <col min="4" max="4" width="17.1640625" style="20" customWidth="1"/>
    <col min="5" max="5" width="28.5" style="20" customWidth="1"/>
    <col min="6" max="6" width="38.33203125" style="42" customWidth="1"/>
    <col min="7" max="7" width="18.1640625" style="20" customWidth="1"/>
    <col min="8" max="16384" width="40.5" style="20"/>
  </cols>
  <sheetData>
    <row r="1" spans="1:6" ht="15" customHeight="1">
      <c r="A1" s="297" t="s">
        <v>87</v>
      </c>
      <c r="B1" s="297"/>
      <c r="C1" s="297"/>
      <c r="D1" s="297"/>
      <c r="E1" s="297"/>
      <c r="F1" s="297"/>
    </row>
    <row r="2" spans="1:6" ht="28.5" customHeight="1">
      <c r="A2" s="297" t="s">
        <v>88</v>
      </c>
      <c r="B2" s="297"/>
      <c r="C2" s="297"/>
      <c r="D2" s="297"/>
      <c r="E2" s="297"/>
      <c r="F2" s="297"/>
    </row>
    <row r="3" spans="1:6">
      <c r="A3" s="21"/>
      <c r="B3" s="22"/>
      <c r="C3" s="22"/>
      <c r="D3" s="22"/>
      <c r="E3" s="22"/>
      <c r="F3" s="22"/>
    </row>
    <row r="4" spans="1:6">
      <c r="A4" s="23" t="s">
        <v>49</v>
      </c>
      <c r="B4" s="298">
        <v>45631</v>
      </c>
      <c r="C4" s="298"/>
      <c r="D4" s="22"/>
      <c r="E4" s="22"/>
      <c r="F4" s="22"/>
    </row>
    <row r="5" spans="1:6">
      <c r="A5" s="23" t="s">
        <v>64</v>
      </c>
      <c r="B5" s="299">
        <f>SUM(B6/1300000)</f>
        <v>433.26314615384615</v>
      </c>
      <c r="C5" s="299"/>
      <c r="D5" s="22"/>
      <c r="E5" s="22"/>
      <c r="F5" s="22"/>
    </row>
    <row r="6" spans="1:6">
      <c r="A6" s="23" t="s">
        <v>63</v>
      </c>
      <c r="B6" s="300">
        <v>563242090</v>
      </c>
      <c r="C6" s="300"/>
      <c r="D6" s="22"/>
      <c r="E6" s="22"/>
      <c r="F6" s="22"/>
    </row>
    <row r="7" spans="1:6" ht="17.25" customHeight="1">
      <c r="A7" s="24" t="s">
        <v>50</v>
      </c>
      <c r="B7" s="301" t="s">
        <v>382</v>
      </c>
      <c r="C7" s="302"/>
      <c r="D7" s="302"/>
      <c r="E7" s="302"/>
      <c r="F7" s="303"/>
    </row>
    <row r="8" spans="1:6">
      <c r="B8" s="25"/>
      <c r="C8" s="25"/>
      <c r="D8" s="25"/>
      <c r="E8" s="25"/>
      <c r="F8" s="25"/>
    </row>
    <row r="9" spans="1:6">
      <c r="A9" s="24" t="s">
        <v>184</v>
      </c>
      <c r="B9" s="240" t="s">
        <v>382</v>
      </c>
      <c r="C9" s="240"/>
      <c r="D9" s="240"/>
      <c r="E9" s="90">
        <v>1</v>
      </c>
      <c r="F9" s="25"/>
    </row>
    <row r="10" spans="1:6">
      <c r="A10" s="24" t="s">
        <v>185</v>
      </c>
      <c r="B10" s="240"/>
      <c r="C10" s="240"/>
      <c r="D10" s="240"/>
      <c r="E10" s="90">
        <v>0</v>
      </c>
      <c r="F10" s="25"/>
    </row>
    <row r="11" spans="1:6">
      <c r="A11" s="24" t="s">
        <v>186</v>
      </c>
      <c r="B11" s="240"/>
      <c r="C11" s="240"/>
      <c r="D11" s="240"/>
      <c r="E11" s="90">
        <v>0</v>
      </c>
      <c r="F11" s="25"/>
    </row>
    <row r="12" spans="1:6">
      <c r="B12" s="25"/>
      <c r="C12" s="25"/>
      <c r="D12" s="25"/>
      <c r="E12" s="25"/>
      <c r="F12" s="25"/>
    </row>
    <row r="13" spans="1:6" ht="16">
      <c r="A13" s="245" t="s">
        <v>89</v>
      </c>
      <c r="B13" s="245"/>
      <c r="C13" s="245"/>
      <c r="D13" s="245"/>
      <c r="E13" s="245"/>
      <c r="F13" s="245"/>
    </row>
    <row r="14" spans="1:6" ht="14">
      <c r="A14" s="212" t="s">
        <v>90</v>
      </c>
      <c r="B14" s="212"/>
      <c r="C14" s="212"/>
      <c r="D14" s="212"/>
      <c r="E14" s="212"/>
      <c r="F14" s="212"/>
    </row>
    <row r="15" spans="1:6">
      <c r="A15" s="27"/>
      <c r="B15" s="27"/>
      <c r="C15" s="27"/>
      <c r="D15" s="27"/>
      <c r="E15" s="27"/>
      <c r="F15" s="21"/>
    </row>
    <row r="16" spans="1:6">
      <c r="A16" s="28" t="s">
        <v>383</v>
      </c>
      <c r="B16" s="294" t="s">
        <v>382</v>
      </c>
      <c r="C16" s="294"/>
      <c r="D16" s="294"/>
      <c r="E16" s="294"/>
      <c r="F16" s="294"/>
    </row>
    <row r="17" spans="1:7" ht="36.75" customHeight="1">
      <c r="A17" s="28" t="s">
        <v>51</v>
      </c>
      <c r="B17" s="241" t="s">
        <v>384</v>
      </c>
      <c r="C17" s="241"/>
      <c r="D17" s="241"/>
      <c r="E17" s="241"/>
      <c r="F17" s="241"/>
    </row>
    <row r="18" spans="1:7" ht="20.25" customHeight="1">
      <c r="A18" s="23" t="s">
        <v>52</v>
      </c>
      <c r="B18" s="234" t="s">
        <v>385</v>
      </c>
      <c r="C18" s="234"/>
      <c r="D18" s="234"/>
      <c r="E18" s="234"/>
      <c r="F18" s="234"/>
    </row>
    <row r="19" spans="1:7">
      <c r="A19" s="28" t="s">
        <v>65</v>
      </c>
      <c r="B19" s="31" t="s">
        <v>53</v>
      </c>
      <c r="C19" s="32" t="s">
        <v>66</v>
      </c>
      <c r="D19" s="32" t="s">
        <v>54</v>
      </c>
      <c r="E19" s="32" t="s">
        <v>67</v>
      </c>
      <c r="F19" s="32" t="s">
        <v>55</v>
      </c>
    </row>
    <row r="20" spans="1:7" ht="12.75" customHeight="1">
      <c r="A20" s="227" t="s">
        <v>56</v>
      </c>
      <c r="B20" s="33">
        <v>80101600</v>
      </c>
      <c r="C20" s="29">
        <v>80101600</v>
      </c>
      <c r="D20" s="29">
        <v>69</v>
      </c>
      <c r="E20" s="235" t="str">
        <f>IF(B21=C21,"Acredita",IF(B20=C20,"Acredita","No acredita"))</f>
        <v>Acredita</v>
      </c>
      <c r="F20" s="304"/>
    </row>
    <row r="21" spans="1:7">
      <c r="A21" s="227"/>
      <c r="B21" s="33">
        <v>81101500</v>
      </c>
      <c r="C21" s="30">
        <v>81101500</v>
      </c>
      <c r="D21" s="30">
        <v>69</v>
      </c>
      <c r="E21" s="236"/>
      <c r="F21" s="305"/>
    </row>
    <row r="22" spans="1:7" ht="14">
      <c r="A22" s="237" t="s">
        <v>57</v>
      </c>
      <c r="B22" s="238"/>
      <c r="C22" s="239"/>
      <c r="D22" s="34">
        <v>44818</v>
      </c>
      <c r="E22" s="35" t="str">
        <f>IF(D22="","No acredita","Acredita")</f>
        <v>Acredita</v>
      </c>
      <c r="F22" s="305"/>
    </row>
    <row r="23" spans="1:7" ht="14">
      <c r="A23" s="237" t="s">
        <v>58</v>
      </c>
      <c r="B23" s="238"/>
      <c r="C23" s="239"/>
      <c r="D23" s="36">
        <v>195646710</v>
      </c>
      <c r="E23" s="35" t="str">
        <f>IF(D23="","No acredita","Acredita")</f>
        <v>Acredita</v>
      </c>
      <c r="F23" s="305"/>
    </row>
    <row r="24" spans="1:7" ht="14">
      <c r="A24" s="237" t="s">
        <v>59</v>
      </c>
      <c r="B24" s="238"/>
      <c r="C24" s="239"/>
      <c r="D24" s="44">
        <f>IFERROR((D23/(VLOOKUP((YEAR(D26)),[1]SMMLV!$A$9:$C$49,3,0)))*'O5'!D25,"0")</f>
        <v>168.66095689655174</v>
      </c>
      <c r="E24" s="37" t="str">
        <f>IF(D24="","No acredita","Acredita")</f>
        <v>Acredita</v>
      </c>
      <c r="F24" s="305"/>
    </row>
    <row r="25" spans="1:7" ht="14">
      <c r="A25" s="237" t="s">
        <v>80</v>
      </c>
      <c r="B25" s="238"/>
      <c r="C25" s="239"/>
      <c r="D25" s="45">
        <v>1</v>
      </c>
      <c r="E25" s="35" t="str">
        <f>IF(D25="","No acredita","Acredita")</f>
        <v>Acredita</v>
      </c>
      <c r="F25" s="305"/>
    </row>
    <row r="26" spans="1:7" ht="14">
      <c r="A26" s="237" t="s">
        <v>60</v>
      </c>
      <c r="B26" s="238"/>
      <c r="C26" s="239"/>
      <c r="D26" s="34">
        <v>45274</v>
      </c>
      <c r="E26" s="35" t="str">
        <f>IF(D26="","No acredita","Acredita")</f>
        <v>Acredita</v>
      </c>
      <c r="F26" s="305"/>
      <c r="G26" s="47"/>
    </row>
    <row r="27" spans="1:7" ht="68.25" customHeight="1">
      <c r="A27" s="227" t="s">
        <v>91</v>
      </c>
      <c r="B27" s="227"/>
      <c r="C27" s="227"/>
      <c r="D27" s="38" t="s">
        <v>61</v>
      </c>
      <c r="E27" s="35" t="str">
        <f t="shared" ref="E27:E34" si="0">IF(D27="","No acredita",IF(D27="","",IF(D27="SI","Acredita","No acredita")))</f>
        <v>Acredita</v>
      </c>
      <c r="F27" s="305"/>
    </row>
    <row r="28" spans="1:7" ht="31.5" customHeight="1">
      <c r="A28" s="227" t="s">
        <v>92</v>
      </c>
      <c r="B28" s="227"/>
      <c r="C28" s="227"/>
      <c r="D28" s="38" t="s">
        <v>61</v>
      </c>
      <c r="E28" s="35" t="str">
        <f t="shared" si="0"/>
        <v>Acredita</v>
      </c>
      <c r="F28" s="305"/>
    </row>
    <row r="29" spans="1:7" ht="14">
      <c r="A29" s="227" t="s">
        <v>69</v>
      </c>
      <c r="B29" s="227"/>
      <c r="C29" s="227"/>
      <c r="D29" s="38" t="s">
        <v>61</v>
      </c>
      <c r="E29" s="35" t="str">
        <f t="shared" si="0"/>
        <v>Acredita</v>
      </c>
      <c r="F29" s="305"/>
    </row>
    <row r="30" spans="1:7" ht="14">
      <c r="A30" s="227" t="s">
        <v>103</v>
      </c>
      <c r="B30" s="227"/>
      <c r="C30" s="227"/>
      <c r="D30" s="38" t="s">
        <v>61</v>
      </c>
      <c r="E30" s="35" t="str">
        <f t="shared" si="0"/>
        <v>Acredita</v>
      </c>
      <c r="F30" s="306"/>
    </row>
    <row r="31" spans="1:7" ht="14">
      <c r="A31" s="235" t="s">
        <v>97</v>
      </c>
      <c r="B31" s="288" t="s">
        <v>93</v>
      </c>
      <c r="C31" s="289"/>
      <c r="D31" s="38" t="s">
        <v>61</v>
      </c>
      <c r="E31" s="35" t="str">
        <f t="shared" si="0"/>
        <v>Acredita</v>
      </c>
      <c r="F31" s="307"/>
    </row>
    <row r="32" spans="1:7" ht="14">
      <c r="A32" s="287"/>
      <c r="B32" s="288" t="s">
        <v>94</v>
      </c>
      <c r="C32" s="289"/>
      <c r="D32" s="38" t="s">
        <v>61</v>
      </c>
      <c r="E32" s="35" t="str">
        <f t="shared" si="0"/>
        <v>Acredita</v>
      </c>
      <c r="F32" s="308"/>
    </row>
    <row r="33" spans="1:6" ht="14">
      <c r="A33" s="287"/>
      <c r="B33" s="288" t="s">
        <v>95</v>
      </c>
      <c r="C33" s="289"/>
      <c r="D33" s="38" t="s">
        <v>61</v>
      </c>
      <c r="E33" s="35" t="str">
        <f t="shared" si="0"/>
        <v>Acredita</v>
      </c>
      <c r="F33" s="308"/>
    </row>
    <row r="34" spans="1:6" ht="14">
      <c r="A34" s="236"/>
      <c r="B34" s="288" t="s">
        <v>96</v>
      </c>
      <c r="C34" s="289"/>
      <c r="D34" s="38" t="s">
        <v>61</v>
      </c>
      <c r="E34" s="35" t="str">
        <f t="shared" si="0"/>
        <v>Acredita</v>
      </c>
      <c r="F34" s="309"/>
    </row>
    <row r="35" spans="1:6">
      <c r="A35" s="231" t="s">
        <v>68</v>
      </c>
      <c r="B35" s="231"/>
      <c r="C35" s="231"/>
      <c r="D35" s="231"/>
      <c r="E35" s="232" t="str">
        <f>IF(AND(E20="acredita",E22="acredita",E23="acredita",E24="acredita",E25="acredita",E26="acredita",E27="acredita",E28="acredita",E29="acredita",E30="acredita"),"CUMPLE","NO CUMPLE")</f>
        <v>CUMPLE</v>
      </c>
      <c r="F35" s="233"/>
    </row>
    <row r="36" spans="1:6">
      <c r="A36" s="26"/>
      <c r="B36" s="26"/>
      <c r="C36" s="26"/>
      <c r="D36" s="26"/>
      <c r="E36" s="22"/>
      <c r="F36" s="22"/>
    </row>
    <row r="37" spans="1:6">
      <c r="A37" s="28" t="s">
        <v>386</v>
      </c>
      <c r="B37" s="294" t="s">
        <v>387</v>
      </c>
      <c r="C37" s="294"/>
      <c r="D37" s="294"/>
      <c r="E37" s="294"/>
      <c r="F37" s="294"/>
    </row>
    <row r="38" spans="1:6" ht="28.5" customHeight="1">
      <c r="A38" s="28" t="s">
        <v>51</v>
      </c>
      <c r="B38" s="241" t="s">
        <v>388</v>
      </c>
      <c r="C38" s="241"/>
      <c r="D38" s="241"/>
      <c r="E38" s="241"/>
      <c r="F38" s="241"/>
    </row>
    <row r="39" spans="1:6">
      <c r="A39" s="23" t="s">
        <v>52</v>
      </c>
      <c r="B39" s="234" t="s">
        <v>389</v>
      </c>
      <c r="C39" s="234"/>
      <c r="D39" s="234"/>
      <c r="E39" s="234"/>
      <c r="F39" s="234"/>
    </row>
    <row r="40" spans="1:6">
      <c r="A40" s="28" t="s">
        <v>65</v>
      </c>
      <c r="B40" s="31" t="s">
        <v>53</v>
      </c>
      <c r="C40" s="32" t="s">
        <v>66</v>
      </c>
      <c r="D40" s="32" t="s">
        <v>54</v>
      </c>
      <c r="E40" s="32" t="s">
        <v>67</v>
      </c>
      <c r="F40" s="32" t="s">
        <v>55</v>
      </c>
    </row>
    <row r="41" spans="1:6">
      <c r="A41" s="227" t="s">
        <v>56</v>
      </c>
      <c r="B41" s="33">
        <v>80101600</v>
      </c>
      <c r="C41" s="29">
        <v>80101600</v>
      </c>
      <c r="D41" s="29">
        <v>24</v>
      </c>
      <c r="E41" s="235" t="str">
        <f>IF(B42=C42,"Acredita",IF(B41=C41,"Acredita","No acredita"))</f>
        <v>Acredita</v>
      </c>
      <c r="F41" s="304"/>
    </row>
    <row r="42" spans="1:6">
      <c r="A42" s="227"/>
      <c r="B42" s="33">
        <v>81101500</v>
      </c>
      <c r="C42" s="30">
        <v>81101500</v>
      </c>
      <c r="D42" s="30">
        <v>24</v>
      </c>
      <c r="E42" s="236"/>
      <c r="F42" s="305"/>
    </row>
    <row r="43" spans="1:6" ht="14">
      <c r="A43" s="237" t="s">
        <v>57</v>
      </c>
      <c r="B43" s="238"/>
      <c r="C43" s="239"/>
      <c r="D43" s="34">
        <v>39510</v>
      </c>
      <c r="E43" s="35" t="str">
        <f>IF(D43="","No acredita","Acredita")</f>
        <v>Acredita</v>
      </c>
      <c r="F43" s="305"/>
    </row>
    <row r="44" spans="1:6" ht="14">
      <c r="A44" s="237" t="s">
        <v>58</v>
      </c>
      <c r="B44" s="238"/>
      <c r="C44" s="239"/>
      <c r="D44" s="36">
        <v>228000001</v>
      </c>
      <c r="E44" s="35" t="str">
        <f>IF(D44="","No acredita","Acredita")</f>
        <v>Acredita</v>
      </c>
      <c r="F44" s="305"/>
    </row>
    <row r="45" spans="1:6" ht="14">
      <c r="A45" s="237" t="s">
        <v>59</v>
      </c>
      <c r="B45" s="238"/>
      <c r="C45" s="239"/>
      <c r="D45" s="44">
        <f>IFERROR((D44/(VLOOKUP((YEAR(D47)),[1]SMMLV!$A$9:$C$49,3,0)))*'O5'!D46,"0")</f>
        <v>345.82882058504873</v>
      </c>
      <c r="E45" s="37" t="str">
        <f>IF(D45="","No acredita","Acredita")</f>
        <v>Acredita</v>
      </c>
      <c r="F45" s="305"/>
    </row>
    <row r="46" spans="1:6" ht="14">
      <c r="A46" s="237" t="s">
        <v>80</v>
      </c>
      <c r="B46" s="238"/>
      <c r="C46" s="239"/>
      <c r="D46" s="45">
        <v>0.7</v>
      </c>
      <c r="E46" s="35" t="str">
        <f>IF(D46="","No acredita","Acredita")</f>
        <v>Acredita</v>
      </c>
      <c r="F46" s="305"/>
    </row>
    <row r="47" spans="1:6" ht="14">
      <c r="A47" s="237" t="s">
        <v>60</v>
      </c>
      <c r="B47" s="238"/>
      <c r="C47" s="239"/>
      <c r="D47" s="34">
        <v>39775</v>
      </c>
      <c r="E47" s="35" t="str">
        <f>IF(D47="","No acredita","Acredita")</f>
        <v>Acredita</v>
      </c>
      <c r="F47" s="305"/>
    </row>
    <row r="48" spans="1:6" ht="72" customHeight="1">
      <c r="A48" s="227" t="s">
        <v>91</v>
      </c>
      <c r="B48" s="227"/>
      <c r="C48" s="227"/>
      <c r="D48" s="38" t="s">
        <v>61</v>
      </c>
      <c r="E48" s="35" t="str">
        <f t="shared" ref="E48:E55" si="1">IF(D48="","No acredita",IF(D48="","",IF(D48="SI","Acredita","No acredita")))</f>
        <v>Acredita</v>
      </c>
      <c r="F48" s="305"/>
    </row>
    <row r="49" spans="1:6" ht="33" customHeight="1">
      <c r="A49" s="227" t="s">
        <v>92</v>
      </c>
      <c r="B49" s="227"/>
      <c r="C49" s="227"/>
      <c r="D49" s="38" t="s">
        <v>61</v>
      </c>
      <c r="E49" s="35" t="str">
        <f t="shared" si="1"/>
        <v>Acredita</v>
      </c>
      <c r="F49" s="305"/>
    </row>
    <row r="50" spans="1:6" ht="14">
      <c r="A50" s="227" t="s">
        <v>69</v>
      </c>
      <c r="B50" s="227"/>
      <c r="C50" s="227"/>
      <c r="D50" s="38" t="s">
        <v>61</v>
      </c>
      <c r="E50" s="35" t="str">
        <f t="shared" si="1"/>
        <v>Acredita</v>
      </c>
      <c r="F50" s="305"/>
    </row>
    <row r="51" spans="1:6" ht="14">
      <c r="A51" s="227" t="s">
        <v>103</v>
      </c>
      <c r="B51" s="227"/>
      <c r="C51" s="227"/>
      <c r="D51" s="38" t="s">
        <v>61</v>
      </c>
      <c r="E51" s="35" t="str">
        <f t="shared" si="1"/>
        <v>Acredita</v>
      </c>
      <c r="F51" s="306"/>
    </row>
    <row r="52" spans="1:6" ht="14">
      <c r="A52" s="235" t="s">
        <v>97</v>
      </c>
      <c r="B52" s="288" t="s">
        <v>93</v>
      </c>
      <c r="C52" s="289"/>
      <c r="D52" s="38" t="s">
        <v>62</v>
      </c>
      <c r="E52" s="35" t="str">
        <f t="shared" si="1"/>
        <v>No acredita</v>
      </c>
      <c r="F52" s="307"/>
    </row>
    <row r="53" spans="1:6" ht="14">
      <c r="A53" s="287"/>
      <c r="B53" s="288" t="s">
        <v>94</v>
      </c>
      <c r="C53" s="289"/>
      <c r="D53" s="38" t="s">
        <v>61</v>
      </c>
      <c r="E53" s="35" t="str">
        <f t="shared" si="1"/>
        <v>Acredita</v>
      </c>
      <c r="F53" s="308"/>
    </row>
    <row r="54" spans="1:6" ht="14">
      <c r="A54" s="287"/>
      <c r="B54" s="288" t="s">
        <v>95</v>
      </c>
      <c r="C54" s="289"/>
      <c r="D54" s="38" t="s">
        <v>61</v>
      </c>
      <c r="E54" s="35" t="str">
        <f t="shared" si="1"/>
        <v>Acredita</v>
      </c>
      <c r="F54" s="308"/>
    </row>
    <row r="55" spans="1:6" ht="14">
      <c r="A55" s="236"/>
      <c r="B55" s="288" t="s">
        <v>96</v>
      </c>
      <c r="C55" s="289"/>
      <c r="D55" s="38" t="s">
        <v>61</v>
      </c>
      <c r="E55" s="35" t="str">
        <f t="shared" si="1"/>
        <v>Acredita</v>
      </c>
      <c r="F55" s="309"/>
    </row>
    <row r="56" spans="1:6">
      <c r="A56" s="231" t="s">
        <v>70</v>
      </c>
      <c r="B56" s="231"/>
      <c r="C56" s="231"/>
      <c r="D56" s="231"/>
      <c r="E56" s="232" t="str">
        <f>IF(AND(E41="acredita",E43="acredita",E44="acredita",E45="acredita",E46="acredita",E47="acredita",E48="acredita",E49="acredita",E50="acredita",E51="acredita"),"CUMPLE","NO CUMPLE")</f>
        <v>CUMPLE</v>
      </c>
      <c r="F56" s="233"/>
    </row>
    <row r="57" spans="1:6">
      <c r="A57" s="26"/>
      <c r="B57" s="26"/>
      <c r="C57" s="26"/>
      <c r="D57" s="26"/>
      <c r="E57" s="22"/>
      <c r="F57" s="22"/>
    </row>
    <row r="58" spans="1:6">
      <c r="A58" s="28" t="s">
        <v>390</v>
      </c>
      <c r="B58" s="294" t="s">
        <v>391</v>
      </c>
      <c r="C58" s="294"/>
      <c r="D58" s="294"/>
      <c r="E58" s="294"/>
      <c r="F58" s="294"/>
    </row>
    <row r="59" spans="1:6" ht="39" customHeight="1">
      <c r="A59" s="28" t="s">
        <v>51</v>
      </c>
      <c r="B59" s="241" t="s">
        <v>392</v>
      </c>
      <c r="C59" s="241"/>
      <c r="D59" s="241"/>
      <c r="E59" s="241"/>
      <c r="F59" s="241"/>
    </row>
    <row r="60" spans="1:6">
      <c r="A60" s="23" t="s">
        <v>52</v>
      </c>
      <c r="B60" s="234" t="s">
        <v>393</v>
      </c>
      <c r="C60" s="234"/>
      <c r="D60" s="234"/>
      <c r="E60" s="234"/>
      <c r="F60" s="234"/>
    </row>
    <row r="61" spans="1:6">
      <c r="A61" s="28" t="s">
        <v>65</v>
      </c>
      <c r="B61" s="31" t="s">
        <v>53</v>
      </c>
      <c r="C61" s="32" t="s">
        <v>66</v>
      </c>
      <c r="D61" s="32" t="s">
        <v>54</v>
      </c>
      <c r="E61" s="32" t="s">
        <v>67</v>
      </c>
      <c r="F61" s="32" t="s">
        <v>55</v>
      </c>
    </row>
    <row r="62" spans="1:6">
      <c r="A62" s="227" t="s">
        <v>56</v>
      </c>
      <c r="B62" s="33">
        <v>80101600</v>
      </c>
      <c r="C62" s="29">
        <v>80101600</v>
      </c>
      <c r="D62" s="29">
        <v>50</v>
      </c>
      <c r="E62" s="235" t="str">
        <f>IF(B63=C63,"Acredita",IF(B62=C62,"Acredita","No acredita"))</f>
        <v>Acredita</v>
      </c>
      <c r="F62" s="304"/>
    </row>
    <row r="63" spans="1:6">
      <c r="A63" s="227"/>
      <c r="B63" s="33">
        <v>81101500</v>
      </c>
      <c r="C63" s="30">
        <v>81101500</v>
      </c>
      <c r="D63" s="30">
        <v>50</v>
      </c>
      <c r="E63" s="236"/>
      <c r="F63" s="305"/>
    </row>
    <row r="64" spans="1:6" ht="14">
      <c r="A64" s="237" t="s">
        <v>57</v>
      </c>
      <c r="B64" s="238"/>
      <c r="C64" s="239"/>
      <c r="D64" s="34">
        <v>44319</v>
      </c>
      <c r="E64" s="35" t="str">
        <f>IF(D64="","No acredita","Acredita")</f>
        <v>Acredita</v>
      </c>
      <c r="F64" s="305"/>
    </row>
    <row r="65" spans="1:6" ht="14">
      <c r="A65" s="237" t="s">
        <v>58</v>
      </c>
      <c r="B65" s="238"/>
      <c r="C65" s="239"/>
      <c r="D65" s="36">
        <v>1465756320</v>
      </c>
      <c r="E65" s="35" t="str">
        <f>IF(D65="","No acredita","Acredita")</f>
        <v>Acredita</v>
      </c>
      <c r="F65" s="305"/>
    </row>
    <row r="66" spans="1:6" ht="14">
      <c r="A66" s="237" t="s">
        <v>59</v>
      </c>
      <c r="B66" s="238"/>
      <c r="C66" s="239"/>
      <c r="D66" s="44">
        <f>IFERROR((D65/(VLOOKUP((YEAR(D68)),[1]SMMLV!$A$9:$C$49,3,0)))*'O5'!D67,"0")</f>
        <v>884.50812413793096</v>
      </c>
      <c r="E66" s="37" t="str">
        <f>IF(D66="","No acredita","Acredita")</f>
        <v>Acredita</v>
      </c>
      <c r="F66" s="305"/>
    </row>
    <row r="67" spans="1:6" ht="14">
      <c r="A67" s="237" t="s">
        <v>80</v>
      </c>
      <c r="B67" s="238"/>
      <c r="C67" s="239"/>
      <c r="D67" s="45">
        <v>0.7</v>
      </c>
      <c r="E67" s="35" t="str">
        <f>IF(D67="","No acredita","Acredita")</f>
        <v>Acredita</v>
      </c>
      <c r="F67" s="305"/>
    </row>
    <row r="68" spans="1:6" ht="14">
      <c r="A68" s="237" t="s">
        <v>60</v>
      </c>
      <c r="B68" s="238"/>
      <c r="C68" s="239"/>
      <c r="D68" s="34">
        <v>44972</v>
      </c>
      <c r="E68" s="35" t="str">
        <f>IF(D68="","No acredita","Acredita")</f>
        <v>Acredita</v>
      </c>
      <c r="F68" s="305"/>
    </row>
    <row r="69" spans="1:6" ht="65.25" customHeight="1">
      <c r="A69" s="227" t="s">
        <v>91</v>
      </c>
      <c r="B69" s="227"/>
      <c r="C69" s="227"/>
      <c r="D69" s="38" t="s">
        <v>61</v>
      </c>
      <c r="E69" s="35" t="str">
        <f t="shared" ref="E69:E76" si="2">IF(D69="","No acredita",IF(D69="","",IF(D69="SI","Acredita","No acredita")))</f>
        <v>Acredita</v>
      </c>
      <c r="F69" s="305"/>
    </row>
    <row r="70" spans="1:6" ht="28.5" customHeight="1">
      <c r="A70" s="227" t="s">
        <v>92</v>
      </c>
      <c r="B70" s="227"/>
      <c r="C70" s="227"/>
      <c r="D70" s="38" t="s">
        <v>61</v>
      </c>
      <c r="E70" s="35" t="str">
        <f t="shared" si="2"/>
        <v>Acredita</v>
      </c>
      <c r="F70" s="305"/>
    </row>
    <row r="71" spans="1:6" ht="14">
      <c r="A71" s="227" t="s">
        <v>69</v>
      </c>
      <c r="B71" s="227"/>
      <c r="C71" s="227"/>
      <c r="D71" s="38" t="s">
        <v>61</v>
      </c>
      <c r="E71" s="35" t="str">
        <f t="shared" si="2"/>
        <v>Acredita</v>
      </c>
      <c r="F71" s="305"/>
    </row>
    <row r="72" spans="1:6" ht="14">
      <c r="A72" s="227" t="s">
        <v>102</v>
      </c>
      <c r="B72" s="227"/>
      <c r="C72" s="227"/>
      <c r="D72" s="38" t="s">
        <v>61</v>
      </c>
      <c r="E72" s="35" t="str">
        <f t="shared" si="2"/>
        <v>Acredita</v>
      </c>
      <c r="F72" s="306"/>
    </row>
    <row r="73" spans="1:6" ht="14">
      <c r="A73" s="235" t="s">
        <v>97</v>
      </c>
      <c r="B73" s="288" t="s">
        <v>93</v>
      </c>
      <c r="C73" s="289"/>
      <c r="D73" s="38" t="s">
        <v>61</v>
      </c>
      <c r="E73" s="35" t="str">
        <f t="shared" si="2"/>
        <v>Acredita</v>
      </c>
      <c r="F73" s="307"/>
    </row>
    <row r="74" spans="1:6" ht="14">
      <c r="A74" s="287"/>
      <c r="B74" s="288" t="s">
        <v>94</v>
      </c>
      <c r="C74" s="289"/>
      <c r="D74" s="38" t="s">
        <v>61</v>
      </c>
      <c r="E74" s="35" t="str">
        <f t="shared" si="2"/>
        <v>Acredita</v>
      </c>
      <c r="F74" s="308"/>
    </row>
    <row r="75" spans="1:6" ht="14">
      <c r="A75" s="287"/>
      <c r="B75" s="288" t="s">
        <v>95</v>
      </c>
      <c r="C75" s="289"/>
      <c r="D75" s="38" t="s">
        <v>61</v>
      </c>
      <c r="E75" s="35" t="str">
        <f t="shared" si="2"/>
        <v>Acredita</v>
      </c>
      <c r="F75" s="308"/>
    </row>
    <row r="76" spans="1:6" ht="14">
      <c r="A76" s="236"/>
      <c r="B76" s="288" t="s">
        <v>96</v>
      </c>
      <c r="C76" s="289"/>
      <c r="D76" s="38" t="s">
        <v>62</v>
      </c>
      <c r="E76" s="35" t="str">
        <f t="shared" si="2"/>
        <v>No acredita</v>
      </c>
      <c r="F76" s="309"/>
    </row>
    <row r="77" spans="1:6">
      <c r="A77" s="231" t="s">
        <v>71</v>
      </c>
      <c r="B77" s="231"/>
      <c r="C77" s="231"/>
      <c r="D77" s="231"/>
      <c r="E77" s="232" t="str">
        <f>IF(AND(E62="acredita",E64="acredita",E65="acredita",E66="acredita",E67="acredita",E68="acredita",E69="acredita",E70="acredita",E71="acredita",E72="acredita"),"CUMPLE","NO CUMPLE")</f>
        <v>CUMPLE</v>
      </c>
      <c r="F77" s="233"/>
    </row>
    <row r="78" spans="1:6" hidden="1">
      <c r="A78" s="26"/>
      <c r="B78" s="26"/>
      <c r="C78" s="26"/>
      <c r="D78" s="26"/>
      <c r="E78" s="22"/>
      <c r="F78" s="22"/>
    </row>
    <row r="79" spans="1:6" hidden="1">
      <c r="A79" s="28" t="s">
        <v>82</v>
      </c>
      <c r="B79" s="294"/>
      <c r="C79" s="294"/>
      <c r="D79" s="294"/>
      <c r="E79" s="294"/>
      <c r="F79" s="294"/>
    </row>
    <row r="80" spans="1:6" hidden="1">
      <c r="A80" s="28" t="s">
        <v>51</v>
      </c>
      <c r="B80" s="241"/>
      <c r="C80" s="241"/>
      <c r="D80" s="241"/>
      <c r="E80" s="241"/>
      <c r="F80" s="241"/>
    </row>
    <row r="81" spans="1:6" hidden="1">
      <c r="A81" s="23" t="s">
        <v>52</v>
      </c>
      <c r="B81" s="234"/>
      <c r="C81" s="234"/>
      <c r="D81" s="234"/>
      <c r="E81" s="234"/>
      <c r="F81" s="234"/>
    </row>
    <row r="82" spans="1:6" hidden="1">
      <c r="A82" s="28" t="s">
        <v>65</v>
      </c>
      <c r="B82" s="31" t="s">
        <v>53</v>
      </c>
      <c r="C82" s="32" t="s">
        <v>66</v>
      </c>
      <c r="D82" s="32" t="s">
        <v>54</v>
      </c>
      <c r="E82" s="32" t="s">
        <v>67</v>
      </c>
      <c r="F82" s="32" t="s">
        <v>55</v>
      </c>
    </row>
    <row r="83" spans="1:6" hidden="1">
      <c r="A83" s="227" t="s">
        <v>56</v>
      </c>
      <c r="B83" s="33">
        <v>80101600</v>
      </c>
      <c r="C83" s="29"/>
      <c r="D83" s="29"/>
      <c r="E83" s="235" t="str">
        <f>IF(B84=C84,"Acredita",IF(B83=C83,"Acredita","No acredita"))</f>
        <v>No acredita</v>
      </c>
      <c r="F83" s="304"/>
    </row>
    <row r="84" spans="1:6" hidden="1">
      <c r="A84" s="227"/>
      <c r="B84" s="33">
        <v>81101500</v>
      </c>
      <c r="C84" s="30"/>
      <c r="D84" s="30"/>
      <c r="E84" s="236"/>
      <c r="F84" s="305"/>
    </row>
    <row r="85" spans="1:6" ht="14" hidden="1">
      <c r="A85" s="237" t="s">
        <v>57</v>
      </c>
      <c r="B85" s="238"/>
      <c r="C85" s="239"/>
      <c r="D85" s="34"/>
      <c r="E85" s="35" t="str">
        <f>IF(D85="","No acredita","Acredita")</f>
        <v>No acredita</v>
      </c>
      <c r="F85" s="305"/>
    </row>
    <row r="86" spans="1:6" ht="14" hidden="1">
      <c r="A86" s="237" t="s">
        <v>58</v>
      </c>
      <c r="B86" s="238"/>
      <c r="C86" s="239"/>
      <c r="D86" s="36"/>
      <c r="E86" s="35" t="str">
        <f>IF(D86="","No acredita","Acredita")</f>
        <v>No acredita</v>
      </c>
      <c r="F86" s="305"/>
    </row>
    <row r="87" spans="1:6" ht="14" hidden="1">
      <c r="A87" s="237" t="s">
        <v>59</v>
      </c>
      <c r="B87" s="238"/>
      <c r="C87" s="239"/>
      <c r="D87" s="44" t="str">
        <f>IFERROR((D86/(VLOOKUP((YEAR(D89)),[1]SMMLV!$A$9:$C$49,3,0)))*'O5'!D88,"0")</f>
        <v>0</v>
      </c>
      <c r="E87" s="37" t="str">
        <f>IF(D87="","No acredita","Acredita")</f>
        <v>Acredita</v>
      </c>
      <c r="F87" s="305"/>
    </row>
    <row r="88" spans="1:6" ht="14" hidden="1">
      <c r="A88" s="237" t="s">
        <v>80</v>
      </c>
      <c r="B88" s="238"/>
      <c r="C88" s="239"/>
      <c r="D88" s="45"/>
      <c r="E88" s="35" t="str">
        <f>IF(D88="","No acredita","Acredita")</f>
        <v>No acredita</v>
      </c>
      <c r="F88" s="305"/>
    </row>
    <row r="89" spans="1:6" ht="14" hidden="1">
      <c r="A89" s="237" t="s">
        <v>60</v>
      </c>
      <c r="B89" s="238"/>
      <c r="C89" s="239"/>
      <c r="D89" s="34"/>
      <c r="E89" s="35" t="str">
        <f>IF(D89="","No acredita","Acredita")</f>
        <v>No acredita</v>
      </c>
      <c r="F89" s="305"/>
    </row>
    <row r="90" spans="1:6" ht="69.75" hidden="1" customHeight="1">
      <c r="A90" s="227" t="s">
        <v>91</v>
      </c>
      <c r="B90" s="227"/>
      <c r="C90" s="227"/>
      <c r="D90" s="38"/>
      <c r="E90" s="35" t="str">
        <f t="shared" ref="E90:E97" si="3">IF(D90="","No acredita",IF(D90="","",IF(D90="SI","Acredita","No acredita")))</f>
        <v>No acredita</v>
      </c>
      <c r="F90" s="305"/>
    </row>
    <row r="91" spans="1:6" ht="32.25" hidden="1" customHeight="1">
      <c r="A91" s="227" t="s">
        <v>92</v>
      </c>
      <c r="B91" s="227"/>
      <c r="C91" s="227"/>
      <c r="D91" s="38" t="s">
        <v>62</v>
      </c>
      <c r="E91" s="35" t="str">
        <f t="shared" si="3"/>
        <v>No acredita</v>
      </c>
      <c r="F91" s="305"/>
    </row>
    <row r="92" spans="1:6" ht="14" hidden="1">
      <c r="A92" s="227" t="s">
        <v>69</v>
      </c>
      <c r="B92" s="227"/>
      <c r="C92" s="227"/>
      <c r="D92" s="38"/>
      <c r="E92" s="35" t="str">
        <f t="shared" si="3"/>
        <v>No acredita</v>
      </c>
      <c r="F92" s="305"/>
    </row>
    <row r="93" spans="1:6" ht="14" hidden="1">
      <c r="A93" s="227" t="s">
        <v>102</v>
      </c>
      <c r="B93" s="227"/>
      <c r="C93" s="227"/>
      <c r="D93" s="38"/>
      <c r="E93" s="35" t="str">
        <f t="shared" si="3"/>
        <v>No acredita</v>
      </c>
      <c r="F93" s="306"/>
    </row>
    <row r="94" spans="1:6" ht="14" hidden="1">
      <c r="A94" s="235" t="s">
        <v>97</v>
      </c>
      <c r="B94" s="288" t="s">
        <v>93</v>
      </c>
      <c r="C94" s="289"/>
      <c r="D94" s="38"/>
      <c r="E94" s="35" t="str">
        <f t="shared" si="3"/>
        <v>No acredita</v>
      </c>
      <c r="F94" s="307"/>
    </row>
    <row r="95" spans="1:6" ht="14" hidden="1">
      <c r="A95" s="287"/>
      <c r="B95" s="288" t="s">
        <v>94</v>
      </c>
      <c r="C95" s="289"/>
      <c r="D95" s="38"/>
      <c r="E95" s="35" t="str">
        <f t="shared" si="3"/>
        <v>No acredita</v>
      </c>
      <c r="F95" s="308"/>
    </row>
    <row r="96" spans="1:6" ht="14" hidden="1">
      <c r="A96" s="287"/>
      <c r="B96" s="288" t="s">
        <v>95</v>
      </c>
      <c r="C96" s="289"/>
      <c r="D96" s="38"/>
      <c r="E96" s="35" t="str">
        <f t="shared" si="3"/>
        <v>No acredita</v>
      </c>
      <c r="F96" s="308"/>
    </row>
    <row r="97" spans="1:6" ht="14" hidden="1">
      <c r="A97" s="236"/>
      <c r="B97" s="288" t="s">
        <v>96</v>
      </c>
      <c r="C97" s="289"/>
      <c r="D97" s="38"/>
      <c r="E97" s="35" t="str">
        <f t="shared" si="3"/>
        <v>No acredita</v>
      </c>
      <c r="F97" s="309"/>
    </row>
    <row r="98" spans="1:6" hidden="1">
      <c r="A98" s="231" t="s">
        <v>72</v>
      </c>
      <c r="B98" s="231"/>
      <c r="C98" s="231"/>
      <c r="D98" s="231"/>
      <c r="E98" s="232" t="str">
        <f>IF(AND(E83="acredita",E85="acredita",E86="acredita",E87="acredita",E88="acredita",E89="acredita",E90="acredita",E91="acredita",E92="acredita",E93="acredita"),"CUMPLE","NO CUMPLE")</f>
        <v>NO CUMPLE</v>
      </c>
      <c r="F98" s="233"/>
    </row>
    <row r="99" spans="1:6">
      <c r="A99" s="26"/>
      <c r="B99" s="26"/>
      <c r="C99" s="26"/>
      <c r="D99" s="26"/>
      <c r="E99" s="22"/>
      <c r="F99" s="22"/>
    </row>
    <row r="100" spans="1:6" hidden="1">
      <c r="A100" s="293" t="s">
        <v>98</v>
      </c>
      <c r="B100" s="293"/>
      <c r="C100" s="293"/>
      <c r="D100" s="293"/>
      <c r="E100" s="293"/>
      <c r="F100" s="293"/>
    </row>
    <row r="101" spans="1:6" hidden="1">
      <c r="A101" s="28" t="s">
        <v>83</v>
      </c>
      <c r="B101" s="294"/>
      <c r="C101" s="294"/>
      <c r="D101" s="294"/>
      <c r="E101" s="294"/>
      <c r="F101" s="294"/>
    </row>
    <row r="102" spans="1:6" hidden="1">
      <c r="A102" s="28" t="s">
        <v>51</v>
      </c>
      <c r="B102" s="241"/>
      <c r="C102" s="241"/>
      <c r="D102" s="241"/>
      <c r="E102" s="241"/>
      <c r="F102" s="241"/>
    </row>
    <row r="103" spans="1:6" hidden="1">
      <c r="A103" s="23" t="s">
        <v>52</v>
      </c>
      <c r="B103" s="234"/>
      <c r="C103" s="234"/>
      <c r="D103" s="234"/>
      <c r="E103" s="234"/>
      <c r="F103" s="234"/>
    </row>
    <row r="104" spans="1:6" hidden="1">
      <c r="A104" s="28" t="s">
        <v>65</v>
      </c>
      <c r="B104" s="31" t="s">
        <v>53</v>
      </c>
      <c r="C104" s="32" t="s">
        <v>66</v>
      </c>
      <c r="D104" s="32" t="s">
        <v>54</v>
      </c>
      <c r="E104" s="32" t="s">
        <v>67</v>
      </c>
      <c r="F104" s="32" t="s">
        <v>55</v>
      </c>
    </row>
    <row r="105" spans="1:6" hidden="1">
      <c r="A105" s="227" t="s">
        <v>56</v>
      </c>
      <c r="B105" s="33">
        <v>80101600</v>
      </c>
      <c r="C105" s="29"/>
      <c r="D105" s="29"/>
      <c r="E105" s="235" t="str">
        <f>IF(B106=C106,"Acredita",IF(B105=C105,"Acredita","No acredita"))</f>
        <v>No acredita</v>
      </c>
      <c r="F105" s="304"/>
    </row>
    <row r="106" spans="1:6" hidden="1">
      <c r="A106" s="227"/>
      <c r="B106" s="33">
        <v>81101500</v>
      </c>
      <c r="C106" s="30"/>
      <c r="D106" s="30"/>
      <c r="E106" s="236"/>
      <c r="F106" s="305"/>
    </row>
    <row r="107" spans="1:6" ht="14" hidden="1">
      <c r="A107" s="237" t="s">
        <v>57</v>
      </c>
      <c r="B107" s="238"/>
      <c r="C107" s="239"/>
      <c r="D107" s="34"/>
      <c r="E107" s="35" t="str">
        <f>IF(D107="","No acredita","Acredita")</f>
        <v>No acredita</v>
      </c>
      <c r="F107" s="305"/>
    </row>
    <row r="108" spans="1:6" ht="14" hidden="1">
      <c r="A108" s="237" t="s">
        <v>58</v>
      </c>
      <c r="B108" s="238"/>
      <c r="C108" s="239"/>
      <c r="D108" s="36"/>
      <c r="E108" s="35" t="str">
        <f>IF(D108="","No acredita","Acredita")</f>
        <v>No acredita</v>
      </c>
      <c r="F108" s="305"/>
    </row>
    <row r="109" spans="1:6" ht="14" hidden="1">
      <c r="A109" s="237" t="s">
        <v>59</v>
      </c>
      <c r="B109" s="238"/>
      <c r="C109" s="239"/>
      <c r="D109" s="44" t="str">
        <f>IFERROR((D108/(VLOOKUP((YEAR(D111)),[1]SMMLV!$A$9:$C$49,3,0)))*'O5'!D110,"0")</f>
        <v>0</v>
      </c>
      <c r="E109" s="37" t="str">
        <f>IF(D109="","No acredita","Acredita")</f>
        <v>Acredita</v>
      </c>
      <c r="F109" s="305"/>
    </row>
    <row r="110" spans="1:6" ht="14" hidden="1">
      <c r="A110" s="237" t="s">
        <v>80</v>
      </c>
      <c r="B110" s="238"/>
      <c r="C110" s="239"/>
      <c r="D110" s="45"/>
      <c r="E110" s="35" t="str">
        <f>IF(D110="","No acredita","Acredita")</f>
        <v>No acredita</v>
      </c>
      <c r="F110" s="305"/>
    </row>
    <row r="111" spans="1:6" ht="14" hidden="1">
      <c r="A111" s="237" t="s">
        <v>60</v>
      </c>
      <c r="B111" s="238"/>
      <c r="C111" s="239"/>
      <c r="D111" s="34"/>
      <c r="E111" s="35" t="str">
        <f>IF(D111="","No acredita","Acredita")</f>
        <v>No acredita</v>
      </c>
      <c r="F111" s="305"/>
    </row>
    <row r="112" spans="1:6" ht="68.25" hidden="1" customHeight="1">
      <c r="A112" s="227" t="s">
        <v>91</v>
      </c>
      <c r="B112" s="227"/>
      <c r="C112" s="227"/>
      <c r="D112" s="38"/>
      <c r="E112" s="35" t="str">
        <f t="shared" ref="E112:E119" si="4">IF(D112="","No acredita",IF(D112="","",IF(D112="SI","Acredita","No acredita")))</f>
        <v>No acredita</v>
      </c>
      <c r="F112" s="305"/>
    </row>
    <row r="113" spans="1:6" ht="27" hidden="1" customHeight="1">
      <c r="A113" s="227" t="s">
        <v>92</v>
      </c>
      <c r="B113" s="227"/>
      <c r="C113" s="227"/>
      <c r="D113" s="38"/>
      <c r="E113" s="35" t="str">
        <f t="shared" si="4"/>
        <v>No acredita</v>
      </c>
      <c r="F113" s="305"/>
    </row>
    <row r="114" spans="1:6" ht="14" hidden="1">
      <c r="A114" s="227" t="s">
        <v>69</v>
      </c>
      <c r="B114" s="227"/>
      <c r="C114" s="227"/>
      <c r="D114" s="38"/>
      <c r="E114" s="35" t="str">
        <f t="shared" si="4"/>
        <v>No acredita</v>
      </c>
      <c r="F114" s="305"/>
    </row>
    <row r="115" spans="1:6" ht="14" hidden="1">
      <c r="A115" s="227" t="s">
        <v>102</v>
      </c>
      <c r="B115" s="227"/>
      <c r="C115" s="227"/>
      <c r="D115" s="38"/>
      <c r="E115" s="35" t="str">
        <f t="shared" si="4"/>
        <v>No acredita</v>
      </c>
      <c r="F115" s="306"/>
    </row>
    <row r="116" spans="1:6" ht="14" hidden="1">
      <c r="A116" s="235" t="s">
        <v>97</v>
      </c>
      <c r="B116" s="288" t="s">
        <v>93</v>
      </c>
      <c r="C116" s="289"/>
      <c r="D116" s="38"/>
      <c r="E116" s="35" t="str">
        <f t="shared" si="4"/>
        <v>No acredita</v>
      </c>
      <c r="F116" s="307"/>
    </row>
    <row r="117" spans="1:6" ht="14" hidden="1">
      <c r="A117" s="287"/>
      <c r="B117" s="288" t="s">
        <v>94</v>
      </c>
      <c r="C117" s="289"/>
      <c r="D117" s="38"/>
      <c r="E117" s="35" t="str">
        <f t="shared" si="4"/>
        <v>No acredita</v>
      </c>
      <c r="F117" s="308"/>
    </row>
    <row r="118" spans="1:6" ht="14" hidden="1">
      <c r="A118" s="287"/>
      <c r="B118" s="288" t="s">
        <v>95</v>
      </c>
      <c r="C118" s="289"/>
      <c r="D118" s="38"/>
      <c r="E118" s="35" t="str">
        <f t="shared" si="4"/>
        <v>No acredita</v>
      </c>
      <c r="F118" s="308"/>
    </row>
    <row r="119" spans="1:6" ht="14" hidden="1">
      <c r="A119" s="236"/>
      <c r="B119" s="288" t="s">
        <v>96</v>
      </c>
      <c r="C119" s="289"/>
      <c r="D119" s="38"/>
      <c r="E119" s="35" t="str">
        <f t="shared" si="4"/>
        <v>No acredita</v>
      </c>
      <c r="F119" s="309"/>
    </row>
    <row r="120" spans="1:6" hidden="1">
      <c r="A120" s="231" t="s">
        <v>73</v>
      </c>
      <c r="B120" s="231"/>
      <c r="C120" s="231"/>
      <c r="D120" s="231"/>
      <c r="E120" s="232" t="str">
        <f>IF(AND(E105="acredita",E107="acredita",E108="acredita",E109="acredita",E110="acredita",E111="acredita",E112="acredita",E113="acredita",E114="acredita",E115="acredita"),"CUMPLE","NO CUMPLE")</f>
        <v>NO CUMPLE</v>
      </c>
      <c r="F120" s="233"/>
    </row>
    <row r="121" spans="1:6">
      <c r="A121" s="26"/>
      <c r="B121" s="26"/>
      <c r="C121" s="26"/>
      <c r="D121" s="26"/>
      <c r="E121" s="22"/>
      <c r="F121" s="22"/>
    </row>
    <row r="122" spans="1:6">
      <c r="A122" s="227" t="s">
        <v>101</v>
      </c>
      <c r="B122" s="227"/>
      <c r="C122" s="227"/>
      <c r="D122" s="227"/>
      <c r="E122" s="227"/>
      <c r="F122" s="46" t="s">
        <v>61</v>
      </c>
    </row>
    <row r="123" spans="1:6">
      <c r="A123" s="227"/>
      <c r="B123" s="227"/>
      <c r="C123" s="227"/>
      <c r="D123" s="227"/>
      <c r="E123" s="227"/>
      <c r="F123" s="43" t="str">
        <f>IF(F122="SI","CUMPLE","NO CUMPLE")</f>
        <v>CUMPLE</v>
      </c>
    </row>
    <row r="124" spans="1:6" ht="31.5" customHeight="1">
      <c r="A124" s="227" t="s">
        <v>86</v>
      </c>
      <c r="B124" s="227"/>
      <c r="C124" s="227"/>
      <c r="D124" s="227"/>
      <c r="E124" s="227"/>
      <c r="F124" s="227"/>
    </row>
    <row r="125" spans="1:6">
      <c r="A125" s="26"/>
      <c r="B125" s="26"/>
      <c r="C125" s="26"/>
      <c r="D125" s="26"/>
      <c r="E125" s="22"/>
      <c r="F125" s="22"/>
    </row>
    <row r="126" spans="1:6">
      <c r="A126" s="227" t="s">
        <v>99</v>
      </c>
      <c r="B126" s="227"/>
      <c r="C126" s="227"/>
      <c r="D126" s="227"/>
      <c r="E126" s="227"/>
      <c r="F126" s="46">
        <f>SUM(D24+D45+D66+D87+D109)</f>
        <v>1398.9979016195314</v>
      </c>
    </row>
    <row r="127" spans="1:6">
      <c r="A127" s="227"/>
      <c r="B127" s="227"/>
      <c r="C127" s="227"/>
      <c r="D127" s="227"/>
      <c r="E127" s="227"/>
      <c r="F127" s="43" t="str">
        <f>IF(F126&gt;=433.26,"CUMPLE","NO CUMPLE")</f>
        <v>CUMPLE</v>
      </c>
    </row>
    <row r="128" spans="1:6" ht="33" customHeight="1">
      <c r="A128" s="227" t="s">
        <v>86</v>
      </c>
      <c r="B128" s="227"/>
      <c r="C128" s="227"/>
      <c r="D128" s="227"/>
      <c r="E128" s="227"/>
      <c r="F128" s="227"/>
    </row>
    <row r="129" spans="1:6">
      <c r="A129" s="41"/>
      <c r="B129" s="41"/>
      <c r="C129" s="41"/>
      <c r="D129" s="41"/>
      <c r="E129" s="41"/>
      <c r="F129" s="22"/>
    </row>
    <row r="130" spans="1:6">
      <c r="A130" s="227" t="s">
        <v>100</v>
      </c>
      <c r="B130" s="227"/>
      <c r="C130" s="227"/>
      <c r="D130" s="227"/>
      <c r="E130" s="227"/>
      <c r="F130" s="46" t="s">
        <v>61</v>
      </c>
    </row>
    <row r="131" spans="1:6" ht="27" customHeight="1">
      <c r="A131" s="227"/>
      <c r="B131" s="227"/>
      <c r="C131" s="227"/>
      <c r="D131" s="227"/>
      <c r="E131" s="227"/>
      <c r="F131" s="43" t="str">
        <f>IF(F130="SI","CUMPLE","NO CUMPLE")</f>
        <v>CUMPLE</v>
      </c>
    </row>
    <row r="132" spans="1:6" ht="29.25" customHeight="1">
      <c r="A132" s="227" t="s">
        <v>84</v>
      </c>
      <c r="B132" s="227"/>
      <c r="C132" s="227"/>
      <c r="D132" s="227"/>
      <c r="E132" s="227"/>
      <c r="F132" s="227"/>
    </row>
    <row r="133" spans="1:6">
      <c r="A133" s="39"/>
      <c r="B133" s="39"/>
      <c r="C133" s="39"/>
      <c r="D133" s="39"/>
      <c r="E133" s="39"/>
      <c r="F133" s="40"/>
    </row>
    <row r="134" spans="1:6">
      <c r="A134" s="227" t="s">
        <v>74</v>
      </c>
      <c r="B134" s="227"/>
      <c r="C134" s="227"/>
      <c r="D134" s="227"/>
      <c r="E134" s="227"/>
      <c r="F134" s="46" t="s">
        <v>61</v>
      </c>
    </row>
    <row r="135" spans="1:6">
      <c r="A135" s="227"/>
      <c r="B135" s="227"/>
      <c r="C135" s="227"/>
      <c r="D135" s="227"/>
      <c r="E135" s="227"/>
      <c r="F135" s="43" t="str">
        <f>IF(F134="SI","CUMPLE","NO CUMPLE")</f>
        <v>CUMPLE</v>
      </c>
    </row>
    <row r="136" spans="1:6" ht="27.75" customHeight="1">
      <c r="A136" s="227" t="s">
        <v>84</v>
      </c>
      <c r="B136" s="227"/>
      <c r="C136" s="227"/>
      <c r="D136" s="227"/>
      <c r="E136" s="227"/>
      <c r="F136" s="227"/>
    </row>
    <row r="137" spans="1:6">
      <c r="A137" s="39"/>
      <c r="B137" s="39"/>
      <c r="C137" s="39"/>
      <c r="D137" s="39"/>
      <c r="E137" s="39"/>
      <c r="F137" s="40"/>
    </row>
    <row r="138" spans="1:6" ht="14">
      <c r="A138" s="284" t="s">
        <v>90</v>
      </c>
      <c r="B138" s="285"/>
      <c r="C138" s="285"/>
      <c r="D138" s="285"/>
      <c r="E138" s="286"/>
      <c r="F138" s="74" t="str">
        <f>IF(AND(F123="cumple",F127="cumple",F131="cumple",F135="cumple"),"CUMPLE","NO CUMPLE")</f>
        <v>CUMPLE</v>
      </c>
    </row>
    <row r="139" spans="1:6">
      <c r="A139" s="39"/>
      <c r="B139" s="39"/>
      <c r="C139" s="39"/>
      <c r="D139" s="39"/>
      <c r="E139" s="39"/>
      <c r="F139" s="40"/>
    </row>
    <row r="140" spans="1:6">
      <c r="A140" s="39"/>
      <c r="B140" s="39"/>
      <c r="C140" s="39"/>
      <c r="D140" s="39"/>
      <c r="E140" s="39"/>
      <c r="F140" s="40"/>
    </row>
    <row r="141" spans="1:6">
      <c r="A141" s="39"/>
      <c r="B141" s="39"/>
      <c r="C141" s="39"/>
      <c r="D141" s="39"/>
      <c r="E141" s="39"/>
      <c r="F141" s="40"/>
    </row>
    <row r="142" spans="1:6">
      <c r="A142" s="39"/>
      <c r="B142" s="39"/>
      <c r="C142" s="39"/>
      <c r="D142" s="39"/>
      <c r="E142" s="39"/>
      <c r="F142" s="40"/>
    </row>
    <row r="143" spans="1:6">
      <c r="A143" s="39"/>
      <c r="B143" s="39"/>
      <c r="C143" s="39"/>
      <c r="D143" s="39"/>
      <c r="E143" s="39"/>
      <c r="F143" s="40"/>
    </row>
    <row r="144" spans="1:6">
      <c r="A144" s="39"/>
      <c r="B144" s="39"/>
      <c r="C144" s="39"/>
      <c r="D144" s="39"/>
      <c r="E144" s="39"/>
      <c r="F144" s="40"/>
    </row>
    <row r="145" spans="1:7">
      <c r="A145" s="39"/>
      <c r="B145" s="39"/>
      <c r="C145" s="39"/>
      <c r="D145" s="39"/>
      <c r="E145" s="39"/>
      <c r="F145" s="40"/>
    </row>
    <row r="146" spans="1:7">
      <c r="A146" s="39"/>
      <c r="B146" s="39"/>
      <c r="C146" s="39"/>
      <c r="D146" s="39"/>
      <c r="E146" s="39"/>
      <c r="F146" s="40"/>
    </row>
    <row r="147" spans="1:7" ht="14">
      <c r="A147" s="212" t="s">
        <v>114</v>
      </c>
      <c r="B147" s="212"/>
      <c r="C147" s="212"/>
      <c r="D147" s="212"/>
      <c r="E147" s="212"/>
      <c r="F147" s="212"/>
    </row>
    <row r="148" spans="1:7">
      <c r="A148" s="39"/>
      <c r="B148" s="39"/>
      <c r="C148" s="39"/>
      <c r="D148" s="39"/>
      <c r="E148" s="39"/>
      <c r="F148" s="40"/>
    </row>
    <row r="149" spans="1:7">
      <c r="A149" s="262" t="s">
        <v>138</v>
      </c>
      <c r="B149" s="262"/>
      <c r="C149" s="262"/>
      <c r="D149" s="262"/>
      <c r="E149" s="262"/>
      <c r="F149" s="262"/>
    </row>
    <row r="150" spans="1:7">
      <c r="A150" s="281" t="s">
        <v>104</v>
      </c>
      <c r="B150" s="282"/>
      <c r="C150" s="283"/>
      <c r="D150" s="266" t="s">
        <v>394</v>
      </c>
      <c r="E150" s="267"/>
      <c r="F150" s="268"/>
    </row>
    <row r="151" spans="1:7" ht="69" customHeight="1">
      <c r="A151" s="73" t="s">
        <v>105</v>
      </c>
      <c r="B151" s="280" t="s">
        <v>124</v>
      </c>
      <c r="C151" s="280"/>
      <c r="D151" s="52" t="s">
        <v>115</v>
      </c>
      <c r="E151" s="52" t="str">
        <f>IF(D151="","NO CUMPLE","CUMPLE")</f>
        <v>CUMPLE</v>
      </c>
      <c r="F151" s="53"/>
    </row>
    <row r="152" spans="1:7" ht="14">
      <c r="A152" s="73" t="s">
        <v>106</v>
      </c>
      <c r="B152" s="280" t="s">
        <v>133</v>
      </c>
      <c r="C152" s="280"/>
      <c r="D152" s="54" t="s">
        <v>61</v>
      </c>
      <c r="E152" s="55" t="str">
        <f>IF(D152="SI","CUMPLE","NO CUMPLE")</f>
        <v>CUMPLE</v>
      </c>
      <c r="F152" s="53" t="s">
        <v>265</v>
      </c>
    </row>
    <row r="153" spans="1:7" ht="14">
      <c r="A153" s="73" t="s">
        <v>107</v>
      </c>
      <c r="B153" s="280" t="s">
        <v>108</v>
      </c>
      <c r="C153" s="280"/>
      <c r="D153" s="63" t="s">
        <v>395</v>
      </c>
      <c r="E153" s="55" t="str">
        <f>IF(D153="","NO CUMPLE","CUMPLE")</f>
        <v>CUMPLE</v>
      </c>
      <c r="F153" s="53"/>
    </row>
    <row r="154" spans="1:7" ht="14">
      <c r="A154" s="275" t="s">
        <v>109</v>
      </c>
      <c r="B154" s="276"/>
      <c r="C154" s="277"/>
      <c r="D154" s="56">
        <v>45628</v>
      </c>
      <c r="E154" s="55" t="str">
        <f>IF(($B$4-D154)&gt;183,"NO CUMPLE","CUMPLE")</f>
        <v>CUMPLE</v>
      </c>
      <c r="F154" s="53"/>
    </row>
    <row r="155" spans="1:7" ht="14">
      <c r="A155" s="278" t="s">
        <v>107</v>
      </c>
      <c r="B155" s="280" t="s">
        <v>132</v>
      </c>
      <c r="C155" s="280"/>
      <c r="D155" s="54">
        <v>34200</v>
      </c>
      <c r="E155" s="55" t="str">
        <f>IF(D155="","NO CUMPLE","CUMPLE")</f>
        <v>CUMPLE</v>
      </c>
      <c r="F155" s="53"/>
      <c r="G155" s="50"/>
    </row>
    <row r="156" spans="1:7" ht="14">
      <c r="A156" s="279"/>
      <c r="B156" s="280" t="s">
        <v>121</v>
      </c>
      <c r="C156" s="280"/>
      <c r="D156" s="61">
        <f>IF(D155&gt;0,(($B$4-D155)/365))</f>
        <v>31.317808219178083</v>
      </c>
      <c r="E156" s="62" t="str">
        <f>IF(D155="","NO CUMPLE",IF(D156&gt;=10,"CUMPLE","NO CUMPLE"))</f>
        <v>CUMPLE</v>
      </c>
      <c r="F156" s="53"/>
      <c r="G156" s="50"/>
    </row>
    <row r="157" spans="1:7" ht="14">
      <c r="A157" s="275" t="s">
        <v>125</v>
      </c>
      <c r="B157" s="276"/>
      <c r="C157" s="277"/>
      <c r="D157" s="54" t="s">
        <v>61</v>
      </c>
      <c r="E157" s="55" t="str">
        <f>IF(D157="SI","CUMPLE","NO CUMPLE")</f>
        <v>CUMPLE</v>
      </c>
      <c r="F157" s="53"/>
      <c r="G157" s="50"/>
    </row>
    <row r="158" spans="1:7" ht="14">
      <c r="A158" s="275" t="s">
        <v>126</v>
      </c>
      <c r="B158" s="276"/>
      <c r="C158" s="277"/>
      <c r="D158" s="54" t="s">
        <v>61</v>
      </c>
      <c r="E158" s="55" t="str">
        <f t="shared" ref="E158:E159" si="5">IF(D158="SI","CUMPLE","NO CUMPLE")</f>
        <v>CUMPLE</v>
      </c>
      <c r="F158" s="53"/>
      <c r="G158" s="50"/>
    </row>
    <row r="159" spans="1:7" ht="14">
      <c r="A159" s="275" t="s">
        <v>127</v>
      </c>
      <c r="B159" s="276"/>
      <c r="C159" s="277"/>
      <c r="D159" s="54" t="s">
        <v>61</v>
      </c>
      <c r="E159" s="55" t="str">
        <f t="shared" si="5"/>
        <v>CUMPLE</v>
      </c>
      <c r="F159" s="53"/>
      <c r="G159" s="50"/>
    </row>
    <row r="160" spans="1:7">
      <c r="A160" s="64"/>
      <c r="B160" s="65"/>
      <c r="C160" s="65"/>
      <c r="D160" s="66"/>
      <c r="E160" s="67"/>
      <c r="F160" s="68"/>
      <c r="G160" s="50"/>
    </row>
    <row r="161" spans="1:7" ht="146.25" customHeight="1">
      <c r="A161" s="269" t="s">
        <v>396</v>
      </c>
      <c r="B161" s="270"/>
      <c r="C161" s="59" t="s">
        <v>122</v>
      </c>
      <c r="D161" s="54" t="s">
        <v>61</v>
      </c>
      <c r="E161" s="55" t="str">
        <f>IF(D161="SI","CUMPLE","NO CUMPLE")</f>
        <v>CUMPLE</v>
      </c>
      <c r="F161" s="53"/>
    </row>
    <row r="162" spans="1:7" ht="42">
      <c r="A162" s="271"/>
      <c r="B162" s="272"/>
      <c r="C162" s="59" t="s">
        <v>123</v>
      </c>
      <c r="D162" s="54" t="s">
        <v>61</v>
      </c>
      <c r="E162" s="55" t="str">
        <f>IF(D162="SI","CUMPLE","NO CUMPLE")</f>
        <v>CUMPLE</v>
      </c>
      <c r="F162" s="53"/>
    </row>
    <row r="163" spans="1:7" ht="28">
      <c r="A163" s="271"/>
      <c r="B163" s="272"/>
      <c r="C163" s="59" t="s">
        <v>128</v>
      </c>
      <c r="D163" s="56" t="s">
        <v>543</v>
      </c>
      <c r="E163" s="55" t="str">
        <f>IF(D163="","NO CUMPLE","CUMPLE")</f>
        <v>CUMPLE</v>
      </c>
      <c r="F163" s="53"/>
    </row>
    <row r="164" spans="1:7" ht="28">
      <c r="A164" s="271"/>
      <c r="B164" s="272"/>
      <c r="C164" s="59" t="s">
        <v>129</v>
      </c>
      <c r="D164" s="56" t="s">
        <v>130</v>
      </c>
      <c r="E164" s="55" t="str">
        <f>IF(D164="Director Interventoria","CUMPLE","NO CUMPLE")</f>
        <v>CUMPLE</v>
      </c>
      <c r="F164" s="53"/>
    </row>
    <row r="165" spans="1:7" ht="14">
      <c r="A165" s="271"/>
      <c r="B165" s="272"/>
      <c r="C165" s="60" t="s">
        <v>110</v>
      </c>
      <c r="D165" s="58">
        <v>578208960</v>
      </c>
      <c r="E165" s="55" t="str">
        <f>IF(D165="","NO CUMPLE","CUMPLE")</f>
        <v>CUMPLE</v>
      </c>
      <c r="F165" s="53"/>
    </row>
    <row r="166" spans="1:7" ht="14">
      <c r="A166" s="271"/>
      <c r="B166" s="272"/>
      <c r="C166" s="60" t="s">
        <v>111</v>
      </c>
      <c r="D166" s="57">
        <v>41263</v>
      </c>
      <c r="E166" s="55" t="str">
        <f>IF(D166="","NO CUMPLE","CUMPLE")</f>
        <v>CUMPLE</v>
      </c>
      <c r="F166" s="53"/>
    </row>
    <row r="167" spans="1:7" ht="14">
      <c r="A167" s="271"/>
      <c r="B167" s="272"/>
      <c r="C167" s="60" t="s">
        <v>112</v>
      </c>
      <c r="D167" s="57">
        <v>41628</v>
      </c>
      <c r="E167" s="55" t="str">
        <f t="shared" ref="E167" si="6">IF(D167="","NO CUMPLE","CUMPLE")</f>
        <v>CUMPLE</v>
      </c>
      <c r="F167" s="53"/>
      <c r="G167" s="51"/>
    </row>
    <row r="168" spans="1:7">
      <c r="A168" s="273"/>
      <c r="B168" s="274"/>
      <c r="C168" s="60" t="s">
        <v>113</v>
      </c>
      <c r="D168" s="61">
        <f>IFERROR((D165/(VLOOKUP((YEAR(D167)),[1]SMMLV!$A$9:$C$49,3,0))),"0")</f>
        <v>980.84641221374045</v>
      </c>
      <c r="E168" s="62"/>
      <c r="F168" s="53"/>
    </row>
    <row r="169" spans="1:7" ht="15">
      <c r="A169" s="69"/>
      <c r="B169" s="69"/>
      <c r="C169" s="69"/>
      <c r="D169" s="69"/>
      <c r="E169" s="69"/>
      <c r="F169" s="69"/>
    </row>
    <row r="170" spans="1:7" ht="154">
      <c r="A170" s="269" t="s">
        <v>398</v>
      </c>
      <c r="B170" s="270"/>
      <c r="C170" s="59" t="s">
        <v>122</v>
      </c>
      <c r="D170" s="54" t="s">
        <v>61</v>
      </c>
      <c r="E170" s="55" t="str">
        <f>IF(D170="SI","CUMPLE","NO CUMPLE")</f>
        <v>CUMPLE</v>
      </c>
      <c r="F170" s="53"/>
    </row>
    <row r="171" spans="1:7" ht="42">
      <c r="A171" s="271"/>
      <c r="B171" s="272"/>
      <c r="C171" s="59" t="s">
        <v>123</v>
      </c>
      <c r="D171" s="54" t="s">
        <v>61</v>
      </c>
      <c r="E171" s="55" t="str">
        <f>IF(D171="SI","CUMPLE","NO CUMPLE")</f>
        <v>CUMPLE</v>
      </c>
      <c r="F171" s="53"/>
    </row>
    <row r="172" spans="1:7" ht="28">
      <c r="A172" s="271"/>
      <c r="B172" s="272"/>
      <c r="C172" s="59" t="s">
        <v>128</v>
      </c>
      <c r="D172" s="56" t="s">
        <v>544</v>
      </c>
      <c r="E172" s="55" t="str">
        <f>IF(D172="","NO CUMPLE","CUMPLE")</f>
        <v>CUMPLE</v>
      </c>
      <c r="F172" s="53"/>
    </row>
    <row r="173" spans="1:7" ht="28">
      <c r="A173" s="271"/>
      <c r="B173" s="272"/>
      <c r="C173" s="59" t="s">
        <v>129</v>
      </c>
      <c r="D173" s="56" t="s">
        <v>130</v>
      </c>
      <c r="E173" s="55" t="str">
        <f>IF(D173="Director Interventoria","CUMPLE","NO CUMPLE")</f>
        <v>CUMPLE</v>
      </c>
      <c r="F173" s="53"/>
    </row>
    <row r="174" spans="1:7" ht="14">
      <c r="A174" s="271"/>
      <c r="B174" s="272"/>
      <c r="C174" s="60" t="s">
        <v>110</v>
      </c>
      <c r="D174" s="58">
        <v>255587545</v>
      </c>
      <c r="E174" s="55" t="str">
        <f>IF(D174="","NO CUMPLE","CUMPLE")</f>
        <v>CUMPLE</v>
      </c>
      <c r="F174" s="53"/>
    </row>
    <row r="175" spans="1:7" ht="14">
      <c r="A175" s="271"/>
      <c r="B175" s="272"/>
      <c r="C175" s="60" t="s">
        <v>111</v>
      </c>
      <c r="D175" s="57">
        <v>40162</v>
      </c>
      <c r="E175" s="55" t="str">
        <f>IF(D175="","NO CUMPLE","CUMPLE")</f>
        <v>CUMPLE</v>
      </c>
      <c r="F175" s="53"/>
    </row>
    <row r="176" spans="1:7" ht="14">
      <c r="A176" s="271"/>
      <c r="B176" s="272"/>
      <c r="C176" s="60" t="s">
        <v>112</v>
      </c>
      <c r="D176" s="57">
        <v>40268</v>
      </c>
      <c r="E176" s="55" t="str">
        <f t="shared" ref="E176" si="7">IF(D176="","NO CUMPLE","CUMPLE")</f>
        <v>CUMPLE</v>
      </c>
      <c r="F176" s="53"/>
    </row>
    <row r="177" spans="1:6">
      <c r="A177" s="273"/>
      <c r="B177" s="274"/>
      <c r="C177" s="60" t="s">
        <v>113</v>
      </c>
      <c r="D177" s="61">
        <f>IFERROR((D174/(VLOOKUP((YEAR(D176)),[1]SMMLV!$A$9:$C$49,3,0))),"0")</f>
        <v>496.28649514563108</v>
      </c>
      <c r="E177" s="62"/>
      <c r="F177" s="53"/>
    </row>
    <row r="178" spans="1:6" ht="15">
      <c r="A178" s="69"/>
      <c r="B178" s="69"/>
      <c r="C178" s="69"/>
      <c r="D178" s="69"/>
      <c r="E178" s="69"/>
      <c r="F178" s="69"/>
    </row>
    <row r="179" spans="1:6" ht="154">
      <c r="A179" s="269" t="s">
        <v>399</v>
      </c>
      <c r="B179" s="270"/>
      <c r="C179" s="59" t="s">
        <v>122</v>
      </c>
      <c r="D179" s="54" t="s">
        <v>61</v>
      </c>
      <c r="E179" s="55" t="str">
        <f>IF(D179="SI","CUMPLE","NO CUMPLE")</f>
        <v>CUMPLE</v>
      </c>
      <c r="F179" s="53"/>
    </row>
    <row r="180" spans="1:6" ht="42">
      <c r="A180" s="271"/>
      <c r="B180" s="272"/>
      <c r="C180" s="59" t="s">
        <v>123</v>
      </c>
      <c r="D180" s="54" t="s">
        <v>61</v>
      </c>
      <c r="E180" s="55" t="str">
        <f>IF(D180="SI","CUMPLE","NO CUMPLE")</f>
        <v>CUMPLE</v>
      </c>
      <c r="F180" s="53"/>
    </row>
    <row r="181" spans="1:6" ht="42">
      <c r="A181" s="271"/>
      <c r="B181" s="272"/>
      <c r="C181" s="59" t="s">
        <v>128</v>
      </c>
      <c r="D181" s="56" t="s">
        <v>545</v>
      </c>
      <c r="E181" s="55" t="str">
        <f>IF(D181="","NO CUMPLE","CUMPLE")</f>
        <v>CUMPLE</v>
      </c>
      <c r="F181" s="53"/>
    </row>
    <row r="182" spans="1:6" ht="28">
      <c r="A182" s="271"/>
      <c r="B182" s="272"/>
      <c r="C182" s="59" t="s">
        <v>129</v>
      </c>
      <c r="D182" s="56" t="s">
        <v>130</v>
      </c>
      <c r="E182" s="55" t="str">
        <f>IF(D182="Director Interventoria","CUMPLE","NO CUMPLE")</f>
        <v>CUMPLE</v>
      </c>
      <c r="F182" s="53"/>
    </row>
    <row r="183" spans="1:6" ht="14">
      <c r="A183" s="271"/>
      <c r="B183" s="272"/>
      <c r="C183" s="60" t="s">
        <v>110</v>
      </c>
      <c r="D183" s="58">
        <v>44201410</v>
      </c>
      <c r="E183" s="55" t="str">
        <f>IF(D183="","NO CUMPLE","CUMPLE")</f>
        <v>CUMPLE</v>
      </c>
      <c r="F183" s="53"/>
    </row>
    <row r="184" spans="1:6" ht="14">
      <c r="A184" s="271"/>
      <c r="B184" s="272"/>
      <c r="C184" s="60" t="s">
        <v>111</v>
      </c>
      <c r="D184" s="57">
        <v>36842</v>
      </c>
      <c r="E184" s="55" t="str">
        <f>IF(D184="","NO CUMPLE","CUMPLE")</f>
        <v>CUMPLE</v>
      </c>
      <c r="F184" s="53"/>
    </row>
    <row r="185" spans="1:6" ht="14">
      <c r="A185" s="271"/>
      <c r="B185" s="272"/>
      <c r="C185" s="60" t="s">
        <v>112</v>
      </c>
      <c r="D185" s="57">
        <v>37313</v>
      </c>
      <c r="E185" s="55" t="str">
        <f t="shared" ref="E185" si="8">IF(D185="","NO CUMPLE","CUMPLE")</f>
        <v>CUMPLE</v>
      </c>
      <c r="F185" s="53"/>
    </row>
    <row r="186" spans="1:6">
      <c r="A186" s="273"/>
      <c r="B186" s="274"/>
      <c r="C186" s="60" t="s">
        <v>113</v>
      </c>
      <c r="D186" s="61">
        <f>IFERROR((D183/(VLOOKUP((YEAR(D185)),[1]SMMLV!$A$9:$C$49,3,0))),"0")</f>
        <v>143.04663430420712</v>
      </c>
      <c r="E186" s="62"/>
      <c r="F186" s="53"/>
    </row>
    <row r="187" spans="1:6" ht="15">
      <c r="A187" s="69"/>
      <c r="B187" s="69"/>
      <c r="C187" s="69"/>
      <c r="D187" s="69"/>
      <c r="E187" s="69"/>
      <c r="F187" s="69"/>
    </row>
    <row r="188" spans="1:6">
      <c r="A188" s="227" t="s">
        <v>203</v>
      </c>
      <c r="B188" s="227"/>
      <c r="C188" s="227"/>
      <c r="D188" s="227"/>
      <c r="E188" s="227"/>
      <c r="F188" s="71">
        <f>SUM(D168+D177+D186)</f>
        <v>1620.1795416635787</v>
      </c>
    </row>
    <row r="189" spans="1:6">
      <c r="A189" s="227"/>
      <c r="B189" s="227"/>
      <c r="C189" s="227"/>
      <c r="D189" s="227"/>
      <c r="E189" s="227"/>
      <c r="F189" s="43" t="str">
        <f>IF(F188&gt;=433.26,"CUMPLE","NO CUMPLE")</f>
        <v>CUMPLE</v>
      </c>
    </row>
    <row r="190" spans="1:6" ht="33" customHeight="1">
      <c r="A190" s="227" t="s">
        <v>84</v>
      </c>
      <c r="B190" s="227"/>
      <c r="C190" s="227"/>
      <c r="D190" s="227"/>
      <c r="E190" s="227"/>
      <c r="F190" s="227"/>
    </row>
    <row r="191" spans="1:6">
      <c r="A191" s="39"/>
      <c r="B191" s="39"/>
      <c r="C191" s="39"/>
      <c r="D191" s="39"/>
      <c r="E191" s="39"/>
      <c r="F191" s="40"/>
    </row>
    <row r="192" spans="1:6">
      <c r="A192" s="246" t="s">
        <v>138</v>
      </c>
      <c r="B192" s="247"/>
      <c r="C192" s="247"/>
      <c r="D192" s="247"/>
      <c r="E192" s="248"/>
      <c r="F192" s="70" t="str">
        <f>IF(AND(E151="cumple",E152="cumple",E153="cumple",E154="cumple",E155="cumple",E156="cumple",E157="cumple",E158="cumple",E159="cumple",F189="cumple"),"CUMPLE","NO CUMPLE")</f>
        <v>CUMPLE</v>
      </c>
    </row>
    <row r="193" spans="1:6" ht="15">
      <c r="A193" s="69"/>
      <c r="B193" s="69"/>
      <c r="C193" s="69"/>
      <c r="D193" s="69"/>
      <c r="E193" s="69"/>
      <c r="F193" s="69"/>
    </row>
    <row r="194" spans="1:6">
      <c r="A194" s="262" t="s">
        <v>137</v>
      </c>
      <c r="B194" s="262"/>
      <c r="C194" s="262"/>
      <c r="D194" s="262"/>
      <c r="E194" s="262"/>
      <c r="F194" s="262"/>
    </row>
    <row r="195" spans="1:6">
      <c r="A195" s="263" t="s">
        <v>104</v>
      </c>
      <c r="B195" s="264"/>
      <c r="C195" s="265"/>
      <c r="D195" s="266" t="s">
        <v>400</v>
      </c>
      <c r="E195" s="267"/>
      <c r="F195" s="268"/>
    </row>
    <row r="196" spans="1:6" ht="14">
      <c r="A196" s="99" t="s">
        <v>105</v>
      </c>
      <c r="B196" s="256" t="s">
        <v>124</v>
      </c>
      <c r="C196" s="256"/>
      <c r="D196" s="52" t="s">
        <v>116</v>
      </c>
      <c r="E196" s="52" t="str">
        <f>IF(D196="","NO CUMPLE","CUMPLE")</f>
        <v>CUMPLE</v>
      </c>
      <c r="F196" s="53"/>
    </row>
    <row r="197" spans="1:6" ht="14">
      <c r="A197" s="99" t="s">
        <v>106</v>
      </c>
      <c r="B197" s="256" t="s">
        <v>133</v>
      </c>
      <c r="C197" s="256"/>
      <c r="D197" s="54" t="s">
        <v>61</v>
      </c>
      <c r="E197" s="55" t="str">
        <f>IF(D197="SI","CUMPLE","NO CUMPLE")</f>
        <v>CUMPLE</v>
      </c>
      <c r="F197" s="53"/>
    </row>
    <row r="198" spans="1:6" ht="27" customHeight="1">
      <c r="A198" s="99" t="s">
        <v>107</v>
      </c>
      <c r="B198" s="256" t="s">
        <v>108</v>
      </c>
      <c r="C198" s="256"/>
      <c r="D198" s="55" t="s">
        <v>401</v>
      </c>
      <c r="E198" s="55" t="str">
        <f>IF(D198="","NO CUMPLE","CUMPLE")</f>
        <v>CUMPLE</v>
      </c>
      <c r="F198" s="53"/>
    </row>
    <row r="199" spans="1:6" ht="14">
      <c r="A199" s="253" t="s">
        <v>109</v>
      </c>
      <c r="B199" s="254"/>
      <c r="C199" s="255"/>
      <c r="D199" s="56">
        <v>45629</v>
      </c>
      <c r="E199" s="55" t="str">
        <f>IF(($B$4-D199)&gt;183,"NO CUMPLE","CUMPLE")</f>
        <v>CUMPLE</v>
      </c>
      <c r="F199" s="53"/>
    </row>
    <row r="200" spans="1:6" ht="14">
      <c r="A200" s="257" t="s">
        <v>107</v>
      </c>
      <c r="B200" s="256" t="s">
        <v>132</v>
      </c>
      <c r="C200" s="256"/>
      <c r="D200" s="54">
        <v>39779</v>
      </c>
      <c r="E200" s="55" t="str">
        <f>IF(D200="","NO CUMPLE","CUMPLE")</f>
        <v>CUMPLE</v>
      </c>
      <c r="F200" s="53"/>
    </row>
    <row r="201" spans="1:6" ht="14">
      <c r="A201" s="258"/>
      <c r="B201" s="256" t="s">
        <v>269</v>
      </c>
      <c r="C201" s="256"/>
      <c r="D201" s="100">
        <f>IF(D200&gt;0,(($B$4-D200)/365))</f>
        <v>16.032876712328768</v>
      </c>
      <c r="E201" s="101" t="str">
        <f>IF(D200="","NO CUMPLE",IF(D201&gt;=6,"CUMPLE","NO CUMPLE"))</f>
        <v>CUMPLE</v>
      </c>
      <c r="F201" s="53"/>
    </row>
    <row r="202" spans="1:6" ht="14">
      <c r="A202" s="253" t="s">
        <v>125</v>
      </c>
      <c r="B202" s="254"/>
      <c r="C202" s="255"/>
      <c r="D202" s="54" t="s">
        <v>61</v>
      </c>
      <c r="E202" s="55" t="str">
        <f t="shared" ref="E202:E204" si="9">IF(D202="SI","CUMPLE","NO CUMPLE")</f>
        <v>CUMPLE</v>
      </c>
      <c r="F202" s="53"/>
    </row>
    <row r="203" spans="1:6" ht="14">
      <c r="A203" s="253" t="s">
        <v>126</v>
      </c>
      <c r="B203" s="254"/>
      <c r="C203" s="255"/>
      <c r="D203" s="54" t="s">
        <v>61</v>
      </c>
      <c r="E203" s="55" t="str">
        <f t="shared" si="9"/>
        <v>CUMPLE</v>
      </c>
      <c r="F203" s="53"/>
    </row>
    <row r="204" spans="1:6" ht="14">
      <c r="A204" s="253" t="s">
        <v>127</v>
      </c>
      <c r="B204" s="254"/>
      <c r="C204" s="255"/>
      <c r="D204" s="54" t="s">
        <v>61</v>
      </c>
      <c r="E204" s="55" t="str">
        <f t="shared" si="9"/>
        <v>CUMPLE</v>
      </c>
      <c r="F204" s="53"/>
    </row>
    <row r="205" spans="1:6">
      <c r="A205" s="64"/>
      <c r="B205" s="65"/>
      <c r="C205" s="65"/>
      <c r="D205" s="66"/>
      <c r="E205" s="67"/>
      <c r="F205" s="68"/>
    </row>
    <row r="206" spans="1:6" ht="154">
      <c r="A206" s="269" t="s">
        <v>402</v>
      </c>
      <c r="B206" s="270"/>
      <c r="C206" s="102" t="s">
        <v>122</v>
      </c>
      <c r="D206" s="54" t="s">
        <v>61</v>
      </c>
      <c r="E206" s="55" t="str">
        <f>IF(D206="SI","CUMPLE","NO CUMPLE")</f>
        <v>CUMPLE</v>
      </c>
      <c r="F206" s="53"/>
    </row>
    <row r="207" spans="1:6" ht="42">
      <c r="A207" s="271"/>
      <c r="B207" s="272"/>
      <c r="C207" s="102" t="s">
        <v>123</v>
      </c>
      <c r="D207" s="54" t="s">
        <v>61</v>
      </c>
      <c r="E207" s="55" t="str">
        <f>IF(D207="SI","CUMPLE","NO CUMPLE")</f>
        <v>CUMPLE</v>
      </c>
      <c r="F207" s="53"/>
    </row>
    <row r="208" spans="1:6" ht="47.25" customHeight="1">
      <c r="A208" s="271"/>
      <c r="B208" s="272"/>
      <c r="C208" s="102" t="s">
        <v>128</v>
      </c>
      <c r="D208" s="56" t="s">
        <v>546</v>
      </c>
      <c r="E208" s="55" t="str">
        <f>IF(D208="","NO CUMPLE","CUMPLE")</f>
        <v>CUMPLE</v>
      </c>
      <c r="F208" s="53"/>
    </row>
    <row r="209" spans="1:6" ht="28">
      <c r="A209" s="271"/>
      <c r="B209" s="272"/>
      <c r="C209" s="102" t="s">
        <v>129</v>
      </c>
      <c r="D209" s="56" t="s">
        <v>204</v>
      </c>
      <c r="E209" s="55" t="str">
        <f>IF(D209="Residente Interventoría","CUMPLE","NO CUMPLE")</f>
        <v>CUMPLE</v>
      </c>
      <c r="F209" s="53"/>
    </row>
    <row r="210" spans="1:6" ht="14">
      <c r="A210" s="271"/>
      <c r="B210" s="272"/>
      <c r="C210" s="103" t="s">
        <v>110</v>
      </c>
      <c r="D210" s="58">
        <v>3599096244</v>
      </c>
      <c r="E210" s="55" t="str">
        <f>IF(D210="","NO CUMPLE","CUMPLE")</f>
        <v>CUMPLE</v>
      </c>
      <c r="F210" s="53"/>
    </row>
    <row r="211" spans="1:6" ht="14">
      <c r="A211" s="271"/>
      <c r="B211" s="272"/>
      <c r="C211" s="103" t="s">
        <v>111</v>
      </c>
      <c r="D211" s="57">
        <v>41305</v>
      </c>
      <c r="E211" s="55" t="str">
        <f>IF(D211="","NO CUMPLE","CUMPLE")</f>
        <v>CUMPLE</v>
      </c>
      <c r="F211" s="53"/>
    </row>
    <row r="212" spans="1:6" ht="14">
      <c r="A212" s="271"/>
      <c r="B212" s="272"/>
      <c r="C212" s="103" t="s">
        <v>112</v>
      </c>
      <c r="D212" s="57">
        <v>41758</v>
      </c>
      <c r="E212" s="55" t="str">
        <f t="shared" ref="E212" si="10">IF(D212="","NO CUMPLE","CUMPLE")</f>
        <v>CUMPLE</v>
      </c>
      <c r="F212" s="53"/>
    </row>
    <row r="213" spans="1:6">
      <c r="A213" s="273"/>
      <c r="B213" s="274"/>
      <c r="C213" s="103" t="s">
        <v>113</v>
      </c>
      <c r="D213" s="100">
        <f>IFERROR((D210/(VLOOKUP((YEAR(D212)),[1]SMMLV!$A$9:$C$49,3,0))),"0")</f>
        <v>5842.6887077922074</v>
      </c>
      <c r="E213" s="101"/>
      <c r="F213" s="53"/>
    </row>
    <row r="214" spans="1:6" ht="15">
      <c r="A214" s="69"/>
      <c r="B214" s="69"/>
      <c r="C214" s="69"/>
      <c r="D214" s="69"/>
      <c r="E214" s="69"/>
      <c r="F214" s="69"/>
    </row>
    <row r="215" spans="1:6" ht="154">
      <c r="A215" s="269" t="s">
        <v>403</v>
      </c>
      <c r="B215" s="270"/>
      <c r="C215" s="102" t="s">
        <v>122</v>
      </c>
      <c r="D215" s="54" t="s">
        <v>61</v>
      </c>
      <c r="E215" s="55" t="str">
        <f>IF(D215="SI","CUMPLE","NO CUMPLE")</f>
        <v>CUMPLE</v>
      </c>
      <c r="F215" s="53"/>
    </row>
    <row r="216" spans="1:6" ht="42">
      <c r="A216" s="271"/>
      <c r="B216" s="272"/>
      <c r="C216" s="102" t="s">
        <v>123</v>
      </c>
      <c r="D216" s="54" t="s">
        <v>61</v>
      </c>
      <c r="E216" s="55" t="str">
        <f>IF(D216="SI","CUMPLE","NO CUMPLE")</f>
        <v>CUMPLE</v>
      </c>
      <c r="F216" s="53"/>
    </row>
    <row r="217" spans="1:6" ht="28">
      <c r="A217" s="271"/>
      <c r="B217" s="272"/>
      <c r="C217" s="102" t="s">
        <v>128</v>
      </c>
      <c r="D217" s="56" t="s">
        <v>547</v>
      </c>
      <c r="E217" s="55" t="str">
        <f>IF(D217="","NO CUMPLE","CUMPLE")</f>
        <v>CUMPLE</v>
      </c>
      <c r="F217" s="53"/>
    </row>
    <row r="218" spans="1:6" ht="28">
      <c r="A218" s="271"/>
      <c r="B218" s="272"/>
      <c r="C218" s="102" t="s">
        <v>129</v>
      </c>
      <c r="D218" s="56" t="s">
        <v>204</v>
      </c>
      <c r="E218" s="55" t="str">
        <f>IF(D218="Residente Interventoría","CUMPLE","NO CUMPLE")</f>
        <v>CUMPLE</v>
      </c>
      <c r="F218" s="53"/>
    </row>
    <row r="219" spans="1:6" ht="14">
      <c r="A219" s="271"/>
      <c r="B219" s="272"/>
      <c r="C219" s="103" t="s">
        <v>110</v>
      </c>
      <c r="D219" s="58">
        <v>229900374</v>
      </c>
      <c r="E219" s="55" t="str">
        <f>IF(D219="","NO CUMPLE","CUMPLE")</f>
        <v>CUMPLE</v>
      </c>
      <c r="F219" s="53"/>
    </row>
    <row r="220" spans="1:6" ht="14">
      <c r="A220" s="271"/>
      <c r="B220" s="272"/>
      <c r="C220" s="103" t="s">
        <v>111</v>
      </c>
      <c r="D220" s="57">
        <v>43320</v>
      </c>
      <c r="E220" s="55" t="str">
        <f>IF(D220="","NO CUMPLE","CUMPLE")</f>
        <v>CUMPLE</v>
      </c>
      <c r="F220" s="53"/>
    </row>
    <row r="221" spans="1:6" ht="14">
      <c r="A221" s="271"/>
      <c r="B221" s="272"/>
      <c r="C221" s="103" t="s">
        <v>112</v>
      </c>
      <c r="D221" s="57">
        <v>43791</v>
      </c>
      <c r="E221" s="55" t="str">
        <f t="shared" ref="E221" si="11">IF(D221="","NO CUMPLE","CUMPLE")</f>
        <v>CUMPLE</v>
      </c>
      <c r="F221" s="53"/>
    </row>
    <row r="222" spans="1:6">
      <c r="A222" s="273"/>
      <c r="B222" s="274"/>
      <c r="C222" s="103" t="s">
        <v>113</v>
      </c>
      <c r="D222" s="100">
        <f>IFERROR((D219/(VLOOKUP((YEAR(D221)),[1]SMMLV!$A$9:$C$49,3,0))),"0")</f>
        <v>277.61856309985558</v>
      </c>
      <c r="E222" s="101"/>
      <c r="F222" s="53"/>
    </row>
    <row r="223" spans="1:6" ht="15">
      <c r="A223" s="69"/>
      <c r="B223" s="69"/>
      <c r="C223" s="69"/>
      <c r="D223" s="69"/>
      <c r="E223" s="69"/>
      <c r="F223" s="69"/>
    </row>
    <row r="224" spans="1:6">
      <c r="A224" s="227" t="s">
        <v>202</v>
      </c>
      <c r="B224" s="227"/>
      <c r="C224" s="227"/>
      <c r="D224" s="227"/>
      <c r="E224" s="227"/>
      <c r="F224" s="71">
        <f>D213+D222</f>
        <v>6120.3072708920627</v>
      </c>
    </row>
    <row r="225" spans="1:6">
      <c r="A225" s="227"/>
      <c r="B225" s="227"/>
      <c r="C225" s="227"/>
      <c r="D225" s="227"/>
      <c r="E225" s="227"/>
      <c r="F225" s="43" t="str">
        <f>IF(F224&gt;=216.63,"CUMPLE","NO CUMPLE")</f>
        <v>CUMPLE</v>
      </c>
    </row>
    <row r="226" spans="1:6" ht="27" customHeight="1">
      <c r="A226" s="227" t="s">
        <v>84</v>
      </c>
      <c r="B226" s="227"/>
      <c r="C226" s="227"/>
      <c r="D226" s="227"/>
      <c r="E226" s="227"/>
      <c r="F226" s="227"/>
    </row>
    <row r="227" spans="1:6">
      <c r="A227" s="39"/>
      <c r="B227" s="39"/>
      <c r="C227" s="39"/>
      <c r="D227" s="39"/>
      <c r="E227" s="39"/>
      <c r="F227" s="40"/>
    </row>
    <row r="228" spans="1:6">
      <c r="A228" s="259" t="s">
        <v>135</v>
      </c>
      <c r="B228" s="260"/>
      <c r="C228" s="260"/>
      <c r="D228" s="260"/>
      <c r="E228" s="261"/>
      <c r="F228" s="43" t="str">
        <f>IF(AND(E196="cumple",E197="cumple",E198="cumple",E199="cumple",E200="cumple",E201="cumple",E202="cumple",E203="cumple",E204="cumple",F225="cumple"),"CUMPLE","NO CUMPLE")</f>
        <v>CUMPLE</v>
      </c>
    </row>
    <row r="229" spans="1:6">
      <c r="A229" s="39"/>
      <c r="B229" s="39"/>
      <c r="C229" s="39"/>
      <c r="D229" s="39"/>
      <c r="E229" s="39"/>
      <c r="F229" s="40"/>
    </row>
    <row r="230" spans="1:6">
      <c r="A230" s="262" t="s">
        <v>136</v>
      </c>
      <c r="B230" s="262"/>
      <c r="C230" s="262"/>
      <c r="D230" s="262"/>
      <c r="E230" s="262"/>
      <c r="F230" s="262"/>
    </row>
    <row r="231" spans="1:6">
      <c r="A231" s="263" t="s">
        <v>104</v>
      </c>
      <c r="B231" s="264"/>
      <c r="C231" s="265"/>
      <c r="D231" s="266" t="s">
        <v>404</v>
      </c>
      <c r="E231" s="267"/>
      <c r="F231" s="268"/>
    </row>
    <row r="232" spans="1:6" ht="14">
      <c r="A232" s="99" t="s">
        <v>105</v>
      </c>
      <c r="B232" s="256" t="s">
        <v>124</v>
      </c>
      <c r="C232" s="256"/>
      <c r="D232" s="52" t="s">
        <v>116</v>
      </c>
      <c r="E232" s="52" t="str">
        <f>IF(D232="","NO CUMPLE","CUMPLE")</f>
        <v>CUMPLE</v>
      </c>
      <c r="F232" s="53"/>
    </row>
    <row r="233" spans="1:6" ht="14">
      <c r="A233" s="99" t="s">
        <v>106</v>
      </c>
      <c r="B233" s="256" t="s">
        <v>133</v>
      </c>
      <c r="C233" s="256"/>
      <c r="D233" s="54" t="s">
        <v>61</v>
      </c>
      <c r="E233" s="55" t="str">
        <f>IF(D233="SI","CUMPLE","NO CUMPLE")</f>
        <v>CUMPLE</v>
      </c>
      <c r="F233" s="53"/>
    </row>
    <row r="234" spans="1:6" ht="28">
      <c r="A234" s="99" t="s">
        <v>107</v>
      </c>
      <c r="B234" s="256" t="s">
        <v>108</v>
      </c>
      <c r="C234" s="256"/>
      <c r="D234" s="55" t="s">
        <v>405</v>
      </c>
      <c r="E234" s="55" t="str">
        <f>IF(D234="","NO CUMPLE","CUMPLE")</f>
        <v>CUMPLE</v>
      </c>
      <c r="F234" s="53"/>
    </row>
    <row r="235" spans="1:6" ht="14">
      <c r="A235" s="253" t="s">
        <v>109</v>
      </c>
      <c r="B235" s="254"/>
      <c r="C235" s="255"/>
      <c r="D235" s="133">
        <v>45636</v>
      </c>
      <c r="E235" s="106" t="str">
        <f>IF(($B$4-D235)&gt;183,"NO CUMPLE","CUMPLE")</f>
        <v>CUMPLE</v>
      </c>
      <c r="F235" s="138" t="s">
        <v>564</v>
      </c>
    </row>
    <row r="236" spans="1:6" ht="14">
      <c r="A236" s="257" t="s">
        <v>107</v>
      </c>
      <c r="B236" s="256" t="s">
        <v>132</v>
      </c>
      <c r="C236" s="256"/>
      <c r="D236" s="54">
        <v>38201</v>
      </c>
      <c r="E236" s="55" t="str">
        <f>IF(D236="","NO CUMPLE","CUMPLE")</f>
        <v>CUMPLE</v>
      </c>
      <c r="F236" s="53"/>
    </row>
    <row r="237" spans="1:6" ht="14">
      <c r="A237" s="258"/>
      <c r="B237" s="256" t="s">
        <v>269</v>
      </c>
      <c r="C237" s="256"/>
      <c r="D237" s="100">
        <f>IF(D236&gt;0,(($B$4-D236)/365))</f>
        <v>20.356164383561644</v>
      </c>
      <c r="E237" s="101" t="str">
        <f>IF(D236="","NO CUMPLE",IF(D237&gt;=6,"CUMPLE","NO CUMPLE"))</f>
        <v>CUMPLE</v>
      </c>
      <c r="F237" s="53"/>
    </row>
    <row r="238" spans="1:6" ht="14">
      <c r="A238" s="253" t="s">
        <v>125</v>
      </c>
      <c r="B238" s="254"/>
      <c r="C238" s="255"/>
      <c r="D238" s="54" t="s">
        <v>61</v>
      </c>
      <c r="E238" s="55" t="str">
        <f t="shared" ref="E238:E240" si="12">IF(D238="SI","CUMPLE","NO CUMPLE")</f>
        <v>CUMPLE</v>
      </c>
      <c r="F238" s="53"/>
    </row>
    <row r="239" spans="1:6" ht="14">
      <c r="A239" s="253" t="s">
        <v>126</v>
      </c>
      <c r="B239" s="254"/>
      <c r="C239" s="255"/>
      <c r="D239" s="54" t="s">
        <v>61</v>
      </c>
      <c r="E239" s="55" t="str">
        <f t="shared" si="12"/>
        <v>CUMPLE</v>
      </c>
      <c r="F239" s="53"/>
    </row>
    <row r="240" spans="1:6" ht="14">
      <c r="A240" s="253" t="s">
        <v>127</v>
      </c>
      <c r="B240" s="254"/>
      <c r="C240" s="255"/>
      <c r="D240" s="54" t="s">
        <v>61</v>
      </c>
      <c r="E240" s="55" t="str">
        <f t="shared" si="12"/>
        <v>CUMPLE</v>
      </c>
      <c r="F240" s="53"/>
    </row>
    <row r="241" spans="1:6">
      <c r="A241" s="64"/>
      <c r="B241" s="65"/>
      <c r="C241" s="65"/>
      <c r="D241" s="66"/>
      <c r="E241" s="67"/>
      <c r="F241" s="68"/>
    </row>
    <row r="242" spans="1:6" ht="154">
      <c r="A242" s="269" t="s">
        <v>406</v>
      </c>
      <c r="B242" s="270"/>
      <c r="C242" s="102" t="s">
        <v>122</v>
      </c>
      <c r="D242" s="54" t="s">
        <v>61</v>
      </c>
      <c r="E242" s="55" t="str">
        <f>IF(D242="SI","CUMPLE","NO CUMPLE")</f>
        <v>CUMPLE</v>
      </c>
      <c r="F242" s="53"/>
    </row>
    <row r="243" spans="1:6" ht="42">
      <c r="A243" s="271"/>
      <c r="B243" s="272"/>
      <c r="C243" s="102" t="s">
        <v>123</v>
      </c>
      <c r="D243" s="54" t="s">
        <v>61</v>
      </c>
      <c r="E243" s="55" t="str">
        <f>IF(D243="SI","CUMPLE","NO CUMPLE")</f>
        <v>CUMPLE</v>
      </c>
      <c r="F243" s="53"/>
    </row>
    <row r="244" spans="1:6" ht="28">
      <c r="A244" s="271"/>
      <c r="B244" s="272"/>
      <c r="C244" s="102" t="s">
        <v>128</v>
      </c>
      <c r="D244" s="56" t="s">
        <v>548</v>
      </c>
      <c r="E244" s="55" t="str">
        <f>IF(D244="","NO CUMPLE","CUMPLE")</f>
        <v>CUMPLE</v>
      </c>
      <c r="F244" s="53"/>
    </row>
    <row r="245" spans="1:6" ht="28">
      <c r="A245" s="271"/>
      <c r="B245" s="272"/>
      <c r="C245" s="102" t="s">
        <v>129</v>
      </c>
      <c r="D245" s="56" t="s">
        <v>204</v>
      </c>
      <c r="E245" s="55" t="str">
        <f>IF(D245="Residente Interventoría","CUMPLE","NO CUMPLE")</f>
        <v>CUMPLE</v>
      </c>
      <c r="F245" s="53"/>
    </row>
    <row r="246" spans="1:6" ht="14">
      <c r="A246" s="271"/>
      <c r="B246" s="272"/>
      <c r="C246" s="103" t="s">
        <v>110</v>
      </c>
      <c r="D246" s="58">
        <v>2623031739</v>
      </c>
      <c r="E246" s="55" t="str">
        <f>IF(D246="","NO CUMPLE","CUMPLE")</f>
        <v>CUMPLE</v>
      </c>
      <c r="F246" s="53"/>
    </row>
    <row r="247" spans="1:6" ht="14">
      <c r="A247" s="271"/>
      <c r="B247" s="272"/>
      <c r="C247" s="103" t="s">
        <v>111</v>
      </c>
      <c r="D247" s="57">
        <v>44488</v>
      </c>
      <c r="E247" s="55" t="str">
        <f>IF(D247="","NO CUMPLE","CUMPLE")</f>
        <v>CUMPLE</v>
      </c>
      <c r="F247" s="53"/>
    </row>
    <row r="248" spans="1:6" ht="14">
      <c r="A248" s="271"/>
      <c r="B248" s="272"/>
      <c r="C248" s="103" t="s">
        <v>112</v>
      </c>
      <c r="D248" s="57">
        <v>45153</v>
      </c>
      <c r="E248" s="55" t="str">
        <f t="shared" ref="E248" si="13">IF(D248="","NO CUMPLE","CUMPLE")</f>
        <v>CUMPLE</v>
      </c>
      <c r="F248" s="53"/>
    </row>
    <row r="249" spans="1:6">
      <c r="A249" s="273"/>
      <c r="B249" s="274"/>
      <c r="C249" s="103" t="s">
        <v>113</v>
      </c>
      <c r="D249" s="100">
        <f>IFERROR((D246/(VLOOKUP((YEAR(D248)),[1]SMMLV!$A$9:$C$49,3,0))),"0")</f>
        <v>2261.2342577586205</v>
      </c>
      <c r="E249" s="101"/>
      <c r="F249" s="53"/>
    </row>
    <row r="250" spans="1:6" ht="15">
      <c r="A250" s="69"/>
      <c r="B250" s="69"/>
      <c r="C250" s="69"/>
      <c r="D250" s="69"/>
      <c r="E250" s="69"/>
      <c r="F250" s="69"/>
    </row>
    <row r="251" spans="1:6" ht="154">
      <c r="A251" s="269" t="s">
        <v>407</v>
      </c>
      <c r="B251" s="270"/>
      <c r="C251" s="102" t="s">
        <v>122</v>
      </c>
      <c r="D251" s="54" t="s">
        <v>61</v>
      </c>
      <c r="E251" s="55" t="str">
        <f>IF(D251="SI","CUMPLE","NO CUMPLE")</f>
        <v>CUMPLE</v>
      </c>
      <c r="F251" s="53"/>
    </row>
    <row r="252" spans="1:6" ht="42">
      <c r="A252" s="271"/>
      <c r="B252" s="272"/>
      <c r="C252" s="102" t="s">
        <v>123</v>
      </c>
      <c r="D252" s="54" t="s">
        <v>61</v>
      </c>
      <c r="E252" s="55" t="str">
        <f>IF(D252="SI","CUMPLE","NO CUMPLE")</f>
        <v>CUMPLE</v>
      </c>
      <c r="F252" s="53"/>
    </row>
    <row r="253" spans="1:6" ht="28">
      <c r="A253" s="271"/>
      <c r="B253" s="272"/>
      <c r="C253" s="102" t="s">
        <v>128</v>
      </c>
      <c r="D253" s="56" t="s">
        <v>549</v>
      </c>
      <c r="E253" s="55" t="str">
        <f>IF(D253="","NO CUMPLE","CUMPLE")</f>
        <v>CUMPLE</v>
      </c>
      <c r="F253" s="53"/>
    </row>
    <row r="254" spans="1:6" ht="28">
      <c r="A254" s="271"/>
      <c r="B254" s="272"/>
      <c r="C254" s="102" t="s">
        <v>129</v>
      </c>
      <c r="D254" s="56" t="s">
        <v>204</v>
      </c>
      <c r="E254" s="55" t="str">
        <f>IF(D254="Residente Interventoría","CUMPLE","NO CUMPLE")</f>
        <v>CUMPLE</v>
      </c>
      <c r="F254" s="53"/>
    </row>
    <row r="255" spans="1:6" ht="14">
      <c r="A255" s="271"/>
      <c r="B255" s="272"/>
      <c r="C255" s="103" t="s">
        <v>110</v>
      </c>
      <c r="D255" s="58">
        <v>53550000</v>
      </c>
      <c r="E255" s="55" t="str">
        <f>IF(D255="","NO CUMPLE","CUMPLE")</f>
        <v>CUMPLE</v>
      </c>
      <c r="F255" s="53"/>
    </row>
    <row r="256" spans="1:6" ht="14">
      <c r="A256" s="271"/>
      <c r="B256" s="272"/>
      <c r="C256" s="103" t="s">
        <v>111</v>
      </c>
      <c r="D256" s="57">
        <v>45536</v>
      </c>
      <c r="E256" s="55" t="str">
        <f>IF(D256="","NO CUMPLE","CUMPLE")</f>
        <v>CUMPLE</v>
      </c>
      <c r="F256" s="53"/>
    </row>
    <row r="257" spans="1:6" ht="14">
      <c r="A257" s="271"/>
      <c r="B257" s="272"/>
      <c r="C257" s="103" t="s">
        <v>112</v>
      </c>
      <c r="D257" s="57">
        <v>45626</v>
      </c>
      <c r="E257" s="55" t="str">
        <f t="shared" ref="E257" si="14">IF(D257="","NO CUMPLE","CUMPLE")</f>
        <v>CUMPLE</v>
      </c>
      <c r="F257" s="53"/>
    </row>
    <row r="258" spans="1:6">
      <c r="A258" s="273"/>
      <c r="B258" s="274"/>
      <c r="C258" s="103" t="s">
        <v>113</v>
      </c>
      <c r="D258" s="100">
        <f>IFERROR((D255/(VLOOKUP((YEAR(D257)),[1]SMMLV!$A$9:$C$49,3,0))),"0")</f>
        <v>41.192307692307693</v>
      </c>
      <c r="E258" s="101"/>
      <c r="F258" s="53"/>
    </row>
    <row r="259" spans="1:6" ht="15">
      <c r="A259" s="69"/>
      <c r="B259" s="69"/>
      <c r="C259" s="69"/>
      <c r="D259" s="69"/>
      <c r="E259" s="69"/>
      <c r="F259" s="69"/>
    </row>
    <row r="260" spans="1:6">
      <c r="A260" s="227" t="s">
        <v>202</v>
      </c>
      <c r="B260" s="227"/>
      <c r="C260" s="227"/>
      <c r="D260" s="227"/>
      <c r="E260" s="227"/>
      <c r="F260" s="71">
        <f>D249+D258</f>
        <v>2302.4265654509281</v>
      </c>
    </row>
    <row r="261" spans="1:6">
      <c r="A261" s="227"/>
      <c r="B261" s="227"/>
      <c r="C261" s="227"/>
      <c r="D261" s="227"/>
      <c r="E261" s="227"/>
      <c r="F261" s="43" t="str">
        <f>IF(F260&gt;=216.63,"CUMPLE","NO CUMPLE")</f>
        <v>CUMPLE</v>
      </c>
    </row>
    <row r="262" spans="1:6" ht="27.75" customHeight="1">
      <c r="A262" s="227" t="s">
        <v>84</v>
      </c>
      <c r="B262" s="227"/>
      <c r="C262" s="227"/>
      <c r="D262" s="227"/>
      <c r="E262" s="227"/>
      <c r="F262" s="227"/>
    </row>
    <row r="263" spans="1:6">
      <c r="A263" s="39"/>
      <c r="B263" s="39"/>
      <c r="C263" s="39"/>
      <c r="D263" s="39"/>
      <c r="E263" s="39"/>
      <c r="F263" s="40"/>
    </row>
    <row r="264" spans="1:6">
      <c r="A264" s="246" t="s">
        <v>134</v>
      </c>
      <c r="B264" s="247"/>
      <c r="C264" s="247"/>
      <c r="D264" s="247"/>
      <c r="E264" s="248"/>
      <c r="F264" s="70" t="str">
        <f>IF(AND(E232="cumple",E233="cumple",E234="cumple",E235="cumple",E236="cumple",E237="cumple",E238="cumple",E239="cumple",E240="cumple",F261="cumple"),"CUMPLE","NO CUMPLE")</f>
        <v>CUMPLE</v>
      </c>
    </row>
    <row r="265" spans="1:6">
      <c r="A265" s="39"/>
      <c r="B265" s="39"/>
      <c r="C265" s="39"/>
      <c r="D265" s="39"/>
      <c r="E265" s="39"/>
      <c r="F265" s="40"/>
    </row>
    <row r="266" spans="1:6" ht="30.75" customHeight="1">
      <c r="A266" s="249" t="s">
        <v>114</v>
      </c>
      <c r="B266" s="250"/>
      <c r="C266" s="250"/>
      <c r="D266" s="250"/>
      <c r="E266" s="251"/>
      <c r="F266" s="104" t="str">
        <f>IF(AND(F192="CUMPLE",F228="CUMPLE",F264="CUMPLE"),"CUMPLE","NO CUMPLE")</f>
        <v>CUMPLE</v>
      </c>
    </row>
    <row r="267" spans="1:6">
      <c r="A267" s="39"/>
      <c r="B267" s="39"/>
      <c r="C267" s="39"/>
      <c r="D267" s="39"/>
      <c r="E267" s="39"/>
      <c r="F267" s="40"/>
    </row>
    <row r="268" spans="1:6">
      <c r="A268" s="39"/>
      <c r="B268" s="39"/>
      <c r="C268" s="39"/>
      <c r="D268" s="39"/>
      <c r="E268" s="39"/>
      <c r="F268" s="40"/>
    </row>
    <row r="269" spans="1:6" ht="14">
      <c r="A269" s="252" t="s">
        <v>139</v>
      </c>
      <c r="B269" s="252"/>
      <c r="C269" s="252"/>
      <c r="D269" s="252"/>
      <c r="E269" s="252"/>
      <c r="F269" s="252"/>
    </row>
    <row r="270" spans="1:6">
      <c r="A270" s="39"/>
      <c r="B270" s="39"/>
      <c r="C270" s="39"/>
      <c r="D270" s="39"/>
      <c r="E270" s="39"/>
      <c r="F270" s="40"/>
    </row>
    <row r="271" spans="1:6">
      <c r="A271" s="227" t="s">
        <v>140</v>
      </c>
      <c r="B271" s="227"/>
      <c r="C271" s="227"/>
      <c r="D271" s="227"/>
      <c r="E271" s="227"/>
      <c r="F271" s="46" t="s">
        <v>61</v>
      </c>
    </row>
    <row r="272" spans="1:6">
      <c r="A272" s="227"/>
      <c r="B272" s="227"/>
      <c r="C272" s="227"/>
      <c r="D272" s="227"/>
      <c r="E272" s="227"/>
      <c r="F272" s="43" t="str">
        <f>IF(F271="SI","CUMPLE","NO CUMPLE")</f>
        <v>CUMPLE</v>
      </c>
    </row>
    <row r="273" spans="1:6" ht="33.75" customHeight="1">
      <c r="A273" s="227" t="s">
        <v>86</v>
      </c>
      <c r="B273" s="227"/>
      <c r="C273" s="227"/>
      <c r="D273" s="227"/>
      <c r="E273" s="227"/>
      <c r="F273" s="227"/>
    </row>
    <row r="274" spans="1:6">
      <c r="A274" s="39"/>
      <c r="B274" s="39"/>
      <c r="C274" s="39"/>
      <c r="D274" s="39"/>
      <c r="E274" s="39"/>
      <c r="F274" s="40"/>
    </row>
    <row r="275" spans="1:6" ht="14">
      <c r="A275" s="249" t="s">
        <v>139</v>
      </c>
      <c r="B275" s="250"/>
      <c r="C275" s="250"/>
      <c r="D275" s="250"/>
      <c r="E275" s="251"/>
      <c r="F275" s="104" t="str">
        <f>IF((F272="CUMPLE"),"CUMPLE","NO CUMPLE")</f>
        <v>CUMPLE</v>
      </c>
    </row>
    <row r="276" spans="1:6">
      <c r="A276" s="39"/>
      <c r="B276" s="39"/>
      <c r="C276" s="39"/>
      <c r="D276" s="39"/>
      <c r="E276" s="39"/>
      <c r="F276" s="40"/>
    </row>
    <row r="277" spans="1:6" ht="16">
      <c r="A277" s="242" t="s">
        <v>89</v>
      </c>
      <c r="B277" s="243"/>
      <c r="C277" s="243"/>
      <c r="D277" s="243"/>
      <c r="E277" s="244"/>
      <c r="F277" s="105" t="str">
        <f>IF(AND(F138="CUMPLE",F266="CUMPLE",F275="CUMPLE"),"HABILITADO","NO HABILITADO")</f>
        <v>HABILITADO</v>
      </c>
    </row>
    <row r="278" spans="1:6">
      <c r="A278" s="39"/>
      <c r="B278" s="39"/>
      <c r="C278" s="39"/>
      <c r="D278" s="39"/>
      <c r="E278" s="39"/>
      <c r="F278" s="40"/>
    </row>
    <row r="279" spans="1:6">
      <c r="A279" s="39"/>
      <c r="B279" s="39"/>
      <c r="C279" s="39"/>
      <c r="D279" s="39"/>
      <c r="E279" s="39"/>
      <c r="F279" s="40"/>
    </row>
    <row r="280" spans="1:6" ht="16">
      <c r="A280" s="245" t="s">
        <v>141</v>
      </c>
      <c r="B280" s="245"/>
      <c r="C280" s="245"/>
      <c r="D280" s="245"/>
      <c r="E280" s="245"/>
      <c r="F280" s="245"/>
    </row>
    <row r="281" spans="1:6" ht="14">
      <c r="A281" s="212" t="s">
        <v>142</v>
      </c>
      <c r="B281" s="212"/>
      <c r="C281" s="212"/>
      <c r="D281" s="212"/>
      <c r="E281" s="212"/>
      <c r="F281" s="212"/>
    </row>
    <row r="282" spans="1:6">
      <c r="A282" s="27"/>
      <c r="B282" s="27"/>
      <c r="C282" s="27"/>
      <c r="D282" s="27"/>
      <c r="E282" s="27"/>
      <c r="F282" s="21"/>
    </row>
    <row r="283" spans="1:6">
      <c r="A283" s="28" t="s">
        <v>408</v>
      </c>
      <c r="B283" s="294" t="s">
        <v>409</v>
      </c>
      <c r="C283" s="294"/>
      <c r="D283" s="294"/>
      <c r="E283" s="294"/>
      <c r="F283" s="294"/>
    </row>
    <row r="284" spans="1:6" ht="56.25" customHeight="1">
      <c r="A284" s="28" t="s">
        <v>51</v>
      </c>
      <c r="B284" s="241" t="s">
        <v>410</v>
      </c>
      <c r="C284" s="241"/>
      <c r="D284" s="241"/>
      <c r="E284" s="241"/>
      <c r="F284" s="241"/>
    </row>
    <row r="285" spans="1:6">
      <c r="A285" s="23" t="s">
        <v>52</v>
      </c>
      <c r="B285" s="234" t="s">
        <v>411</v>
      </c>
      <c r="C285" s="234"/>
      <c r="D285" s="234"/>
      <c r="E285" s="234"/>
      <c r="F285" s="234"/>
    </row>
    <row r="286" spans="1:6">
      <c r="A286" s="28" t="s">
        <v>65</v>
      </c>
      <c r="B286" s="31" t="s">
        <v>53</v>
      </c>
      <c r="C286" s="32" t="s">
        <v>66</v>
      </c>
      <c r="D286" s="32" t="s">
        <v>54</v>
      </c>
      <c r="E286" s="32" t="s">
        <v>67</v>
      </c>
      <c r="F286" s="32" t="s">
        <v>55</v>
      </c>
    </row>
    <row r="287" spans="1:6">
      <c r="A287" s="227" t="s">
        <v>56</v>
      </c>
      <c r="B287" s="33">
        <v>80101600</v>
      </c>
      <c r="C287" s="29">
        <v>80101600</v>
      </c>
      <c r="D287" s="29">
        <v>45</v>
      </c>
      <c r="E287" s="235" t="str">
        <f>IF(B288=C288,"Acredita",IF(B287=C287,"Acredita","No acredita"))</f>
        <v>Acredita</v>
      </c>
      <c r="F287" s="304"/>
    </row>
    <row r="288" spans="1:6">
      <c r="A288" s="227"/>
      <c r="B288" s="33">
        <v>81101500</v>
      </c>
      <c r="C288" s="30">
        <v>81101500</v>
      </c>
      <c r="D288" s="30">
        <v>45</v>
      </c>
      <c r="E288" s="236"/>
      <c r="F288" s="305"/>
    </row>
    <row r="289" spans="1:6" ht="14">
      <c r="A289" s="237" t="s">
        <v>57</v>
      </c>
      <c r="B289" s="238"/>
      <c r="C289" s="239"/>
      <c r="D289" s="34">
        <v>43500</v>
      </c>
      <c r="E289" s="35" t="str">
        <f>IF(D289="","No acredita","Acredita")</f>
        <v>Acredita</v>
      </c>
      <c r="F289" s="305"/>
    </row>
    <row r="290" spans="1:6" ht="14">
      <c r="A290" s="237" t="s">
        <v>58</v>
      </c>
      <c r="B290" s="238"/>
      <c r="C290" s="239"/>
      <c r="D290" s="36">
        <v>1929630220</v>
      </c>
      <c r="E290" s="35" t="str">
        <f>IF(D290="","No acredita","Acredita")</f>
        <v>Acredita</v>
      </c>
      <c r="F290" s="305"/>
    </row>
    <row r="291" spans="1:6" ht="14">
      <c r="A291" s="237" t="s">
        <v>59</v>
      </c>
      <c r="B291" s="238"/>
      <c r="C291" s="239"/>
      <c r="D291" s="89">
        <f>IFERROR((D290/(VLOOKUP((YEAR(D293)),[1]SMMLV!$A$9:$C$49,3,0)))*'O5'!D292,"0")</f>
        <v>849.56521662561124</v>
      </c>
      <c r="E291" s="37" t="str">
        <f>IF(D291="","No acredita","Acredita")</f>
        <v>Acredita</v>
      </c>
      <c r="F291" s="305"/>
    </row>
    <row r="292" spans="1:6" ht="14">
      <c r="A292" s="237" t="s">
        <v>80</v>
      </c>
      <c r="B292" s="238"/>
      <c r="C292" s="239"/>
      <c r="D292" s="45">
        <v>0.4</v>
      </c>
      <c r="E292" s="35" t="str">
        <f>IF(D292="","No acredita","Acredita")</f>
        <v>Acredita</v>
      </c>
      <c r="F292" s="305"/>
    </row>
    <row r="293" spans="1:6" ht="14">
      <c r="A293" s="237" t="s">
        <v>60</v>
      </c>
      <c r="B293" s="238"/>
      <c r="C293" s="239"/>
      <c r="D293" s="34">
        <v>44280</v>
      </c>
      <c r="E293" s="35" t="str">
        <f>IF(D293="","No acredita","Acredita")</f>
        <v>Acredita</v>
      </c>
      <c r="F293" s="305"/>
    </row>
    <row r="294" spans="1:6" ht="62.25" customHeight="1">
      <c r="A294" s="227" t="s">
        <v>91</v>
      </c>
      <c r="B294" s="227"/>
      <c r="C294" s="227"/>
      <c r="D294" s="38" t="s">
        <v>61</v>
      </c>
      <c r="E294" s="35" t="str">
        <f t="shared" ref="E294:E297" si="15">IF(D294="","No acredita",IF(D294="","",IF(D294="SI","Acredita","No acredita")))</f>
        <v>Acredita</v>
      </c>
      <c r="F294" s="305"/>
    </row>
    <row r="295" spans="1:6" ht="30" customHeight="1">
      <c r="A295" s="227" t="s">
        <v>92</v>
      </c>
      <c r="B295" s="227"/>
      <c r="C295" s="227"/>
      <c r="D295" s="38" t="s">
        <v>61</v>
      </c>
      <c r="E295" s="35" t="str">
        <f t="shared" si="15"/>
        <v>Acredita</v>
      </c>
      <c r="F295" s="305"/>
    </row>
    <row r="296" spans="1:6" ht="14">
      <c r="A296" s="227" t="s">
        <v>69</v>
      </c>
      <c r="B296" s="227"/>
      <c r="C296" s="227"/>
      <c r="D296" s="38" t="s">
        <v>61</v>
      </c>
      <c r="E296" s="35" t="str">
        <f t="shared" si="15"/>
        <v>Acredita</v>
      </c>
      <c r="F296" s="305"/>
    </row>
    <row r="297" spans="1:6" ht="14">
      <c r="A297" s="227" t="s">
        <v>103</v>
      </c>
      <c r="B297" s="227"/>
      <c r="C297" s="227"/>
      <c r="D297" s="38" t="s">
        <v>61</v>
      </c>
      <c r="E297" s="35" t="str">
        <f t="shared" si="15"/>
        <v>Acredita</v>
      </c>
      <c r="F297" s="306"/>
    </row>
    <row r="298" spans="1:6">
      <c r="A298" s="231" t="s">
        <v>143</v>
      </c>
      <c r="B298" s="231"/>
      <c r="C298" s="231"/>
      <c r="D298" s="231"/>
      <c r="E298" s="232" t="str">
        <f>IF(AND(E287="acredita",E289="acredita",E290="acredita",E291="acredita",E292="acredita",E293="acredita",E294="acredita",E295="acredita",E296="acredita",E297="acredita"),"CUMPLE","NO CUMPLE")</f>
        <v>CUMPLE</v>
      </c>
      <c r="F298" s="233"/>
    </row>
    <row r="299" spans="1:6">
      <c r="A299" s="26"/>
      <c r="B299" s="26"/>
      <c r="C299" s="26"/>
      <c r="D299" s="26"/>
      <c r="E299" s="22"/>
      <c r="F299" s="22"/>
    </row>
    <row r="300" spans="1:6">
      <c r="A300" s="28" t="s">
        <v>412</v>
      </c>
      <c r="B300" s="294" t="s">
        <v>413</v>
      </c>
      <c r="C300" s="294"/>
      <c r="D300" s="294"/>
      <c r="E300" s="294"/>
      <c r="F300" s="294"/>
    </row>
    <row r="301" spans="1:6" ht="53.25" customHeight="1">
      <c r="A301" s="28" t="s">
        <v>51</v>
      </c>
      <c r="B301" s="241" t="s">
        <v>414</v>
      </c>
      <c r="C301" s="241"/>
      <c r="D301" s="241"/>
      <c r="E301" s="241"/>
      <c r="F301" s="241"/>
    </row>
    <row r="302" spans="1:6">
      <c r="A302" s="23" t="s">
        <v>52</v>
      </c>
      <c r="B302" s="234" t="s">
        <v>397</v>
      </c>
      <c r="C302" s="234"/>
      <c r="D302" s="234"/>
      <c r="E302" s="234"/>
      <c r="F302" s="234"/>
    </row>
    <row r="303" spans="1:6">
      <c r="A303" s="28" t="s">
        <v>65</v>
      </c>
      <c r="B303" s="31" t="s">
        <v>53</v>
      </c>
      <c r="C303" s="32" t="s">
        <v>66</v>
      </c>
      <c r="D303" s="32" t="s">
        <v>54</v>
      </c>
      <c r="E303" s="32" t="s">
        <v>67</v>
      </c>
      <c r="F303" s="32" t="s">
        <v>55</v>
      </c>
    </row>
    <row r="304" spans="1:6">
      <c r="A304" s="227" t="s">
        <v>56</v>
      </c>
      <c r="B304" s="33">
        <v>80101600</v>
      </c>
      <c r="C304" s="29">
        <v>80101600</v>
      </c>
      <c r="D304" s="29">
        <v>12</v>
      </c>
      <c r="E304" s="235" t="str">
        <f>IF(B305=C305,"Acredita",IF(B304=C304,"Acredita","No acredita"))</f>
        <v>Acredita</v>
      </c>
      <c r="F304" s="304"/>
    </row>
    <row r="305" spans="1:6">
      <c r="A305" s="227"/>
      <c r="B305" s="33">
        <v>81101500</v>
      </c>
      <c r="C305" s="30">
        <v>81101500</v>
      </c>
      <c r="D305" s="30">
        <v>12</v>
      </c>
      <c r="E305" s="236"/>
      <c r="F305" s="305"/>
    </row>
    <row r="306" spans="1:6" ht="14">
      <c r="A306" s="237" t="s">
        <v>57</v>
      </c>
      <c r="B306" s="238"/>
      <c r="C306" s="239"/>
      <c r="D306" s="34">
        <v>41305</v>
      </c>
      <c r="E306" s="35" t="str">
        <f>IF(D306="","No acredita","Acredita")</f>
        <v>Acredita</v>
      </c>
      <c r="F306" s="305"/>
    </row>
    <row r="307" spans="1:6" ht="14">
      <c r="A307" s="237" t="s">
        <v>58</v>
      </c>
      <c r="B307" s="238"/>
      <c r="C307" s="239"/>
      <c r="D307" s="36">
        <v>3599096244</v>
      </c>
      <c r="E307" s="35" t="str">
        <f>IF(D307="","No acredita","Acredita")</f>
        <v>Acredita</v>
      </c>
      <c r="F307" s="305"/>
    </row>
    <row r="308" spans="1:6" ht="14">
      <c r="A308" s="237" t="s">
        <v>59</v>
      </c>
      <c r="B308" s="238"/>
      <c r="C308" s="239"/>
      <c r="D308" s="44">
        <f>IFERROR((D307/(VLOOKUP((YEAR(D310)),[1]SMMLV!$A$9:$C$49,3,0)))*'O5'!D309,"0")</f>
        <v>2921.3443538961037</v>
      </c>
      <c r="E308" s="37" t="str">
        <f>IF(D308="","No acredita","Acredita")</f>
        <v>Acredita</v>
      </c>
      <c r="F308" s="305"/>
    </row>
    <row r="309" spans="1:6" ht="14">
      <c r="A309" s="237" t="s">
        <v>80</v>
      </c>
      <c r="B309" s="238"/>
      <c r="C309" s="239"/>
      <c r="D309" s="45">
        <v>0.5</v>
      </c>
      <c r="E309" s="35" t="str">
        <f>IF(D309="","No acredita","Acredita")</f>
        <v>Acredita</v>
      </c>
      <c r="F309" s="305"/>
    </row>
    <row r="310" spans="1:6" ht="14">
      <c r="A310" s="237" t="s">
        <v>60</v>
      </c>
      <c r="B310" s="238"/>
      <c r="C310" s="239"/>
      <c r="D310" s="34">
        <v>41758</v>
      </c>
      <c r="E310" s="35" t="str">
        <f>IF(D310="","No acredita","Acredita")</f>
        <v>Acredita</v>
      </c>
      <c r="F310" s="305"/>
    </row>
    <row r="311" spans="1:6" ht="70.5" customHeight="1">
      <c r="A311" s="227" t="s">
        <v>91</v>
      </c>
      <c r="B311" s="227"/>
      <c r="C311" s="227"/>
      <c r="D311" s="38" t="s">
        <v>61</v>
      </c>
      <c r="E311" s="35" t="str">
        <f t="shared" ref="E311:E314" si="16">IF(D311="","No acredita",IF(D311="","",IF(D311="SI","Acredita","No acredita")))</f>
        <v>Acredita</v>
      </c>
      <c r="F311" s="305"/>
    </row>
    <row r="312" spans="1:6" ht="30" customHeight="1">
      <c r="A312" s="227" t="s">
        <v>92</v>
      </c>
      <c r="B312" s="227"/>
      <c r="C312" s="227"/>
      <c r="D312" s="38" t="s">
        <v>61</v>
      </c>
      <c r="E312" s="35" t="str">
        <f t="shared" si="16"/>
        <v>Acredita</v>
      </c>
      <c r="F312" s="305"/>
    </row>
    <row r="313" spans="1:6" ht="14">
      <c r="A313" s="227" t="s">
        <v>69</v>
      </c>
      <c r="B313" s="227"/>
      <c r="C313" s="227"/>
      <c r="D313" s="38" t="s">
        <v>61</v>
      </c>
      <c r="E313" s="35" t="str">
        <f t="shared" si="16"/>
        <v>Acredita</v>
      </c>
      <c r="F313" s="305"/>
    </row>
    <row r="314" spans="1:6" ht="14">
      <c r="A314" s="227" t="s">
        <v>103</v>
      </c>
      <c r="B314" s="227"/>
      <c r="C314" s="227"/>
      <c r="D314" s="38" t="s">
        <v>61</v>
      </c>
      <c r="E314" s="35" t="str">
        <f t="shared" si="16"/>
        <v>Acredita</v>
      </c>
      <c r="F314" s="306"/>
    </row>
    <row r="315" spans="1:6">
      <c r="A315" s="231" t="s">
        <v>144</v>
      </c>
      <c r="B315" s="231"/>
      <c r="C315" s="231"/>
      <c r="D315" s="231"/>
      <c r="E315" s="232" t="str">
        <f>IF(AND(E304="acredita",E306="acredita",E307="acredita",E308="acredita",E309="acredita",E310="acredita",E311="acredita",E312="acredita",E313="acredita",E314="acredita"),"CUMPLE","NO CUMPLE")</f>
        <v>CUMPLE</v>
      </c>
      <c r="F315" s="233"/>
    </row>
    <row r="317" spans="1:6">
      <c r="A317" s="226" t="s">
        <v>145</v>
      </c>
      <c r="B317" s="226"/>
      <c r="C317" s="226"/>
      <c r="D317" s="226"/>
      <c r="E317" s="226"/>
      <c r="F317" s="77">
        <f>D291+D308</f>
        <v>3770.9095705217151</v>
      </c>
    </row>
    <row r="319" spans="1:6">
      <c r="A319" s="228" t="s">
        <v>146</v>
      </c>
      <c r="B319" s="229"/>
      <c r="C319" s="35">
        <v>40</v>
      </c>
      <c r="D319" s="208" t="str">
        <f>IF(F317&gt;433.26,"40",IF(F317&gt;216.63,"30",IF(F317&gt;108.32,"20",IF(F317&gt;43.33,"10","0"))))</f>
        <v>40</v>
      </c>
      <c r="E319" s="230" t="s">
        <v>151</v>
      </c>
      <c r="F319" s="230"/>
    </row>
    <row r="320" spans="1:6" ht="12.75" customHeight="1">
      <c r="A320" s="228" t="s">
        <v>147</v>
      </c>
      <c r="B320" s="229"/>
      <c r="C320" s="35">
        <v>30</v>
      </c>
      <c r="D320" s="209"/>
      <c r="E320" s="230"/>
      <c r="F320" s="230"/>
    </row>
    <row r="321" spans="1:7" ht="12.75" customHeight="1">
      <c r="A321" s="228" t="s">
        <v>148</v>
      </c>
      <c r="B321" s="229"/>
      <c r="C321" s="35">
        <v>20</v>
      </c>
      <c r="D321" s="209"/>
      <c r="E321" s="230"/>
      <c r="F321" s="230"/>
    </row>
    <row r="322" spans="1:7" ht="12.75" customHeight="1">
      <c r="A322" s="228" t="s">
        <v>149</v>
      </c>
      <c r="B322" s="229"/>
      <c r="C322" s="35">
        <v>10</v>
      </c>
      <c r="D322" s="209"/>
      <c r="E322" s="230"/>
      <c r="F322" s="230"/>
      <c r="G322" s="75"/>
    </row>
    <row r="323" spans="1:7">
      <c r="A323" s="228" t="s">
        <v>150</v>
      </c>
      <c r="B323" s="229"/>
      <c r="C323" s="35">
        <v>0</v>
      </c>
      <c r="D323" s="210"/>
      <c r="E323" s="230"/>
      <c r="F323" s="230"/>
      <c r="G323" s="76"/>
    </row>
    <row r="324" spans="1:7">
      <c r="G324" s="76"/>
    </row>
    <row r="325" spans="1:7" ht="14">
      <c r="A325" s="212" t="s">
        <v>152</v>
      </c>
      <c r="B325" s="212"/>
      <c r="C325" s="212"/>
      <c r="D325" s="212"/>
      <c r="E325" s="212"/>
      <c r="F325" s="212"/>
      <c r="G325" s="76"/>
    </row>
    <row r="327" spans="1:7" ht="154">
      <c r="A327" s="269" t="s">
        <v>415</v>
      </c>
      <c r="B327" s="270"/>
      <c r="C327" s="102" t="s">
        <v>122</v>
      </c>
      <c r="D327" s="54" t="s">
        <v>61</v>
      </c>
      <c r="E327" s="55" t="str">
        <f>IF(D327="SI","CUMPLE","NO CUMPLE")</f>
        <v>CUMPLE</v>
      </c>
      <c r="F327" s="53"/>
    </row>
    <row r="328" spans="1:7" ht="42">
      <c r="A328" s="271"/>
      <c r="B328" s="272"/>
      <c r="C328" s="102" t="s">
        <v>123</v>
      </c>
      <c r="D328" s="54" t="s">
        <v>61</v>
      </c>
      <c r="E328" s="55" t="str">
        <f>IF(D328="SI","CUMPLE","NO CUMPLE")</f>
        <v>CUMPLE</v>
      </c>
      <c r="F328" s="53"/>
    </row>
    <row r="329" spans="1:7" ht="28">
      <c r="A329" s="271"/>
      <c r="B329" s="272"/>
      <c r="C329" s="102" t="s">
        <v>128</v>
      </c>
      <c r="D329" s="56" t="s">
        <v>416</v>
      </c>
      <c r="E329" s="55" t="str">
        <f>IF(D329="","NO CUMPLE","CUMPLE")</f>
        <v>CUMPLE</v>
      </c>
      <c r="F329" s="53"/>
    </row>
    <row r="330" spans="1:7" ht="28">
      <c r="A330" s="271"/>
      <c r="B330" s="272"/>
      <c r="C330" s="102" t="s">
        <v>129</v>
      </c>
      <c r="D330" s="56" t="s">
        <v>130</v>
      </c>
      <c r="E330" s="55" t="str">
        <f>IF(D330="Director Interventoria","CUMPLE","NO CUMPLE")</f>
        <v>CUMPLE</v>
      </c>
      <c r="F330" s="53"/>
    </row>
    <row r="331" spans="1:7" ht="14">
      <c r="A331" s="271"/>
      <c r="B331" s="272"/>
      <c r="C331" s="103" t="s">
        <v>110</v>
      </c>
      <c r="D331" s="58">
        <v>699500000</v>
      </c>
      <c r="E331" s="55" t="str">
        <f>IF(D331="","NO CUMPLE","CUMPLE")</f>
        <v>CUMPLE</v>
      </c>
      <c r="F331" s="53"/>
    </row>
    <row r="332" spans="1:7" ht="14">
      <c r="A332" s="271"/>
      <c r="B332" s="272"/>
      <c r="C332" s="103" t="s">
        <v>111</v>
      </c>
      <c r="D332" s="57">
        <v>38926</v>
      </c>
      <c r="E332" s="55" t="str">
        <f>IF(D332="","NO CUMPLE","CUMPLE")</f>
        <v>CUMPLE</v>
      </c>
      <c r="F332" s="53"/>
      <c r="G332" s="51"/>
    </row>
    <row r="333" spans="1:7" ht="14">
      <c r="A333" s="271"/>
      <c r="B333" s="272"/>
      <c r="C333" s="103" t="s">
        <v>112</v>
      </c>
      <c r="D333" s="57">
        <v>39413</v>
      </c>
      <c r="E333" s="55" t="str">
        <f t="shared" ref="E333" si="17">IF(D333="","NO CUMPLE","CUMPLE")</f>
        <v>CUMPLE</v>
      </c>
      <c r="F333" s="53"/>
    </row>
    <row r="334" spans="1:7">
      <c r="A334" s="273"/>
      <c r="B334" s="274"/>
      <c r="C334" s="103" t="s">
        <v>113</v>
      </c>
      <c r="D334" s="100">
        <f>IFERROR((D331/(VLOOKUP((YEAR(D333)),[1]SMMLV!$A$9:$C$49,3,0))),"0")</f>
        <v>1612.8660364307125</v>
      </c>
      <c r="E334" s="101"/>
      <c r="F334" s="53"/>
    </row>
    <row r="335" spans="1:7" ht="154">
      <c r="A335" s="269" t="s">
        <v>417</v>
      </c>
      <c r="B335" s="270"/>
      <c r="C335" s="102" t="s">
        <v>122</v>
      </c>
      <c r="D335" s="54" t="s">
        <v>61</v>
      </c>
      <c r="E335" s="55" t="str">
        <f>IF(D335="SI","CUMPLE","NO CUMPLE")</f>
        <v>CUMPLE</v>
      </c>
      <c r="F335" s="53"/>
    </row>
    <row r="336" spans="1:7" ht="42">
      <c r="A336" s="271"/>
      <c r="B336" s="272"/>
      <c r="C336" s="102" t="s">
        <v>123</v>
      </c>
      <c r="D336" s="54" t="s">
        <v>61</v>
      </c>
      <c r="E336" s="55" t="str">
        <f>IF(D336="SI","CUMPLE","NO CUMPLE")</f>
        <v>CUMPLE</v>
      </c>
      <c r="F336" s="53"/>
    </row>
    <row r="337" spans="1:6" ht="28">
      <c r="A337" s="271"/>
      <c r="B337" s="272"/>
      <c r="C337" s="102" t="s">
        <v>128</v>
      </c>
      <c r="D337" s="56" t="s">
        <v>418</v>
      </c>
      <c r="E337" s="55" t="str">
        <f>IF(D337="","NO CUMPLE","CUMPLE")</f>
        <v>CUMPLE</v>
      </c>
      <c r="F337" s="53"/>
    </row>
    <row r="338" spans="1:6" ht="28">
      <c r="A338" s="271"/>
      <c r="B338" s="272"/>
      <c r="C338" s="102" t="s">
        <v>129</v>
      </c>
      <c r="D338" s="56" t="s">
        <v>130</v>
      </c>
      <c r="E338" s="55" t="str">
        <f>IF(D338="Director Interventoria","CUMPLE","NO CUMPLE")</f>
        <v>CUMPLE</v>
      </c>
      <c r="F338" s="53"/>
    </row>
    <row r="339" spans="1:6" ht="14">
      <c r="A339" s="271"/>
      <c r="B339" s="272"/>
      <c r="C339" s="103" t="s">
        <v>110</v>
      </c>
      <c r="D339" s="58">
        <v>195000000</v>
      </c>
      <c r="E339" s="55" t="str">
        <f>IF(D339="","NO CUMPLE","CUMPLE")</f>
        <v>CUMPLE</v>
      </c>
      <c r="F339" s="53"/>
    </row>
    <row r="340" spans="1:6" ht="14">
      <c r="A340" s="271"/>
      <c r="B340" s="272"/>
      <c r="C340" s="103" t="s">
        <v>111</v>
      </c>
      <c r="D340" s="57">
        <v>39415</v>
      </c>
      <c r="E340" s="55" t="str">
        <f>IF(D340="","NO CUMPLE","CUMPLE")</f>
        <v>CUMPLE</v>
      </c>
      <c r="F340" s="53"/>
    </row>
    <row r="341" spans="1:6" ht="14">
      <c r="A341" s="271"/>
      <c r="B341" s="272"/>
      <c r="C341" s="103" t="s">
        <v>112</v>
      </c>
      <c r="D341" s="57">
        <v>39626</v>
      </c>
      <c r="E341" s="55" t="str">
        <f t="shared" ref="E341" si="18">IF(D341="","NO CUMPLE","CUMPLE")</f>
        <v>CUMPLE</v>
      </c>
      <c r="F341" s="53"/>
    </row>
    <row r="342" spans="1:6">
      <c r="A342" s="273"/>
      <c r="B342" s="274"/>
      <c r="C342" s="103" t="s">
        <v>113</v>
      </c>
      <c r="D342" s="100">
        <f>IFERROR((D339/(VLOOKUP((YEAR(D341)),[1]SMMLV!$A$9:$C$49,3,0))),"0")</f>
        <v>422.53521126760563</v>
      </c>
      <c r="E342" s="101"/>
      <c r="F342" s="53"/>
    </row>
    <row r="343" spans="1:6">
      <c r="A343" s="226" t="s">
        <v>155</v>
      </c>
      <c r="B343" s="226"/>
      <c r="C343" s="226"/>
      <c r="D343" s="226"/>
      <c r="E343" s="226"/>
      <c r="F343" s="77">
        <f>D334+D342</f>
        <v>2035.401247698318</v>
      </c>
    </row>
    <row r="345" spans="1:6">
      <c r="A345" s="227" t="s">
        <v>153</v>
      </c>
      <c r="B345" s="227"/>
      <c r="C345" s="227"/>
      <c r="D345" s="35">
        <v>30</v>
      </c>
      <c r="E345" s="208" t="str">
        <f>IF(F343&gt;=346.608,"30","0")</f>
        <v>30</v>
      </c>
      <c r="F345" s="313" t="s">
        <v>151</v>
      </c>
    </row>
    <row r="346" spans="1:6">
      <c r="A346" s="227" t="s">
        <v>154</v>
      </c>
      <c r="B346" s="227"/>
      <c r="C346" s="227"/>
      <c r="D346" s="35">
        <v>0</v>
      </c>
      <c r="E346" s="210"/>
      <c r="F346" s="314"/>
    </row>
    <row r="348" spans="1:6" ht="14">
      <c r="A348" s="212" t="s">
        <v>156</v>
      </c>
      <c r="B348" s="212"/>
      <c r="C348" s="212"/>
      <c r="D348" s="212"/>
      <c r="E348" s="212"/>
      <c r="F348" s="212"/>
    </row>
    <row r="349" spans="1:6" ht="14">
      <c r="A349" s="198" t="s">
        <v>157</v>
      </c>
      <c r="B349" s="198"/>
      <c r="C349" s="198"/>
      <c r="D349" s="78" t="s">
        <v>160</v>
      </c>
      <c r="E349" s="208" t="str">
        <f>IF(D349="X","18,92",IF(D350="X","10",IF(D351="X","0","0")))</f>
        <v>18,92</v>
      </c>
      <c r="F349" s="313" t="s">
        <v>151</v>
      </c>
    </row>
    <row r="350" spans="1:6">
      <c r="A350" s="198" t="s">
        <v>158</v>
      </c>
      <c r="B350" s="198"/>
      <c r="C350" s="198"/>
      <c r="D350" s="78"/>
      <c r="E350" s="209"/>
      <c r="F350" s="318"/>
    </row>
    <row r="351" spans="1:6">
      <c r="A351" s="199" t="s">
        <v>159</v>
      </c>
      <c r="B351" s="199"/>
      <c r="C351" s="199"/>
      <c r="D351" s="78"/>
      <c r="E351" s="210"/>
      <c r="F351" s="314"/>
    </row>
    <row r="353" spans="1:6" ht="14">
      <c r="A353" s="212" t="s">
        <v>161</v>
      </c>
      <c r="B353" s="212"/>
      <c r="C353" s="212"/>
      <c r="D353" s="212"/>
      <c r="E353" s="212"/>
      <c r="F353" s="212"/>
    </row>
    <row r="354" spans="1:6" ht="53.25" customHeight="1">
      <c r="A354" s="198" t="s">
        <v>162</v>
      </c>
      <c r="B354" s="198"/>
      <c r="C354" s="198"/>
      <c r="D354" s="78" t="s">
        <v>160</v>
      </c>
      <c r="E354" s="208" t="str">
        <f>IF(D354="X","10",IF(D355="X","5",IF(D356="X","0","0")))</f>
        <v>10</v>
      </c>
      <c r="F354" s="313" t="s">
        <v>151</v>
      </c>
    </row>
    <row r="355" spans="1:6" ht="31.5" customHeight="1">
      <c r="A355" s="198" t="s">
        <v>163</v>
      </c>
      <c r="B355" s="198"/>
      <c r="C355" s="198"/>
      <c r="D355" s="78"/>
      <c r="E355" s="209"/>
      <c r="F355" s="318"/>
    </row>
    <row r="356" spans="1:6" ht="39.75" customHeight="1">
      <c r="A356" s="198" t="s">
        <v>164</v>
      </c>
      <c r="B356" s="198"/>
      <c r="C356" s="198"/>
      <c r="D356" s="78"/>
      <c r="E356" s="210"/>
      <c r="F356" s="314"/>
    </row>
    <row r="358" spans="1:6" ht="14">
      <c r="A358" s="212" t="s">
        <v>165</v>
      </c>
      <c r="B358" s="212"/>
      <c r="C358" s="212"/>
      <c r="D358" s="212"/>
      <c r="E358" s="212"/>
      <c r="F358" s="212"/>
    </row>
    <row r="359" spans="1:6" ht="12.75" customHeight="1">
      <c r="A359" s="207" t="s">
        <v>166</v>
      </c>
      <c r="B359" s="207"/>
      <c r="C359" s="79" t="s">
        <v>61</v>
      </c>
      <c r="D359" s="78" t="str">
        <f>IF(C359="NO","No Cumple",IF(C359="","","Cumple"))</f>
        <v>Cumple</v>
      </c>
      <c r="E359" s="208" t="str">
        <f>IF(AND(D359="cumple",D360="cumple",D361="cumple",D362="cumple"),"1","0")</f>
        <v>1</v>
      </c>
      <c r="F359" s="230" t="s">
        <v>151</v>
      </c>
    </row>
    <row r="360" spans="1:6" ht="12.75" customHeight="1">
      <c r="A360" s="207" t="s">
        <v>167</v>
      </c>
      <c r="B360" s="207"/>
      <c r="C360" s="79" t="s">
        <v>61</v>
      </c>
      <c r="D360" s="78" t="str">
        <f t="shared" ref="D360" si="19">IF(C360="NO","No Cumple",IF(C360="","","Cumple"))</f>
        <v>Cumple</v>
      </c>
      <c r="E360" s="209"/>
      <c r="F360" s="230"/>
    </row>
    <row r="361" spans="1:6" ht="14">
      <c r="A361" s="207" t="s">
        <v>168</v>
      </c>
      <c r="B361" s="207"/>
      <c r="C361" s="80">
        <v>45551</v>
      </c>
      <c r="D361" s="78" t="str">
        <f>IF(C361="","",IF($B$4-C361&gt;183,"No Cumple","Cumple"))</f>
        <v>Cumple</v>
      </c>
      <c r="E361" s="209"/>
      <c r="F361" s="230"/>
    </row>
    <row r="362" spans="1:6">
      <c r="A362" s="207" t="s">
        <v>169</v>
      </c>
      <c r="B362" s="207"/>
      <c r="C362" s="85">
        <v>1399</v>
      </c>
      <c r="D362" s="81" t="str">
        <f>IF(C362="","",IF(C362&lt;$B$5*40%,"No Cumple","Cumple"))</f>
        <v>Cumple</v>
      </c>
      <c r="E362" s="210"/>
      <c r="F362" s="230"/>
    </row>
    <row r="364" spans="1:6" ht="14">
      <c r="A364" s="212" t="s">
        <v>170</v>
      </c>
      <c r="B364" s="212"/>
      <c r="C364" s="212"/>
      <c r="D364" s="212"/>
      <c r="E364" s="212"/>
      <c r="F364" s="212"/>
    </row>
    <row r="365" spans="1:6" ht="14">
      <c r="A365" s="83"/>
      <c r="B365" s="83"/>
      <c r="C365" s="83"/>
      <c r="D365" s="83"/>
      <c r="E365" s="83"/>
      <c r="F365" s="83"/>
    </row>
    <row r="366" spans="1:6" ht="14">
      <c r="A366" s="204" t="s">
        <v>172</v>
      </c>
      <c r="B366" s="205"/>
      <c r="C366" s="205"/>
      <c r="D366" s="205"/>
      <c r="E366" s="205"/>
      <c r="F366" s="206"/>
    </row>
    <row r="367" spans="1:6" ht="14">
      <c r="A367" s="207" t="s">
        <v>171</v>
      </c>
      <c r="B367" s="207"/>
      <c r="C367" s="79"/>
      <c r="D367" s="78" t="str">
        <f>IF(C367="NO","No Cumple",IF(C367="","","Cumple"))</f>
        <v/>
      </c>
      <c r="E367" s="208" t="str">
        <f>IF(AND(D367="cumple",D368="cumple",D369="cumple",D370="cumple"),"0,08","0")</f>
        <v>0</v>
      </c>
      <c r="F367" s="230" t="s">
        <v>151</v>
      </c>
    </row>
    <row r="368" spans="1:6" ht="14">
      <c r="A368" s="207" t="s">
        <v>174</v>
      </c>
      <c r="B368" s="207"/>
      <c r="C368" s="84"/>
      <c r="D368" s="78" t="str">
        <f>IF(C368&gt;=50%,"Cumple",IF(C368="",""," No Cumple"))</f>
        <v/>
      </c>
      <c r="E368" s="209"/>
      <c r="F368" s="230"/>
    </row>
    <row r="369" spans="1:7" ht="14">
      <c r="A369" s="207" t="s">
        <v>173</v>
      </c>
      <c r="B369" s="207"/>
      <c r="C369" s="79"/>
      <c r="D369" s="78" t="str">
        <f>IF(C369="NO","No Cumple",IF(C369="","","Cumple"))</f>
        <v/>
      </c>
      <c r="E369" s="209"/>
      <c r="F369" s="230"/>
    </row>
    <row r="370" spans="1:7" ht="14">
      <c r="A370" s="207" t="s">
        <v>183</v>
      </c>
      <c r="B370" s="207"/>
      <c r="C370" s="88"/>
      <c r="D370" s="78" t="str">
        <f>IF(C370&lt;10%,"No Cumple","Cumple")</f>
        <v>No Cumple</v>
      </c>
      <c r="E370" s="210"/>
      <c r="F370" s="230"/>
    </row>
    <row r="372" spans="1:7" ht="14">
      <c r="A372" s="204" t="s">
        <v>175</v>
      </c>
      <c r="B372" s="205"/>
      <c r="C372" s="205"/>
      <c r="D372" s="205"/>
      <c r="E372" s="205"/>
      <c r="F372" s="206"/>
    </row>
    <row r="373" spans="1:7" ht="14">
      <c r="A373" s="207" t="s">
        <v>171</v>
      </c>
      <c r="B373" s="207"/>
      <c r="C373" s="79" t="s">
        <v>61</v>
      </c>
      <c r="D373" s="78" t="str">
        <f>IF(C373="NO","No Cumple",IF(C373="","","Cumple"))</f>
        <v>Cumple</v>
      </c>
      <c r="E373" s="208" t="str">
        <f>IF(AND(D373="cumple",D374="cumple",D375="cumple",D376="cumple",D377="cumple"),"0,08","0")</f>
        <v>0,08</v>
      </c>
      <c r="F373" s="230" t="s">
        <v>151</v>
      </c>
    </row>
    <row r="374" spans="1:7" ht="14">
      <c r="A374" s="207" t="s">
        <v>176</v>
      </c>
      <c r="B374" s="207"/>
      <c r="C374" s="79" t="s">
        <v>61</v>
      </c>
      <c r="D374" s="78" t="str">
        <f t="shared" ref="D374:D376" si="20">IF(C374="NO","No Cumple",IF(C374="","","Cumple"))</f>
        <v>Cumple</v>
      </c>
      <c r="E374" s="209"/>
      <c r="F374" s="230"/>
    </row>
    <row r="375" spans="1:7" ht="27.75" customHeight="1">
      <c r="A375" s="207" t="s">
        <v>177</v>
      </c>
      <c r="B375" s="207"/>
      <c r="C375" s="79" t="s">
        <v>61</v>
      </c>
      <c r="D375" s="78" t="str">
        <f t="shared" si="20"/>
        <v>Cumple</v>
      </c>
      <c r="E375" s="209"/>
      <c r="F375" s="230"/>
    </row>
    <row r="376" spans="1:7" ht="14">
      <c r="A376" s="207" t="s">
        <v>178</v>
      </c>
      <c r="B376" s="207"/>
      <c r="C376" s="79" t="s">
        <v>61</v>
      </c>
      <c r="D376" s="78" t="str">
        <f t="shared" si="20"/>
        <v>Cumple</v>
      </c>
      <c r="E376" s="209"/>
      <c r="F376" s="230"/>
    </row>
    <row r="377" spans="1:7" ht="14">
      <c r="A377" s="207" t="s">
        <v>182</v>
      </c>
      <c r="B377" s="207"/>
      <c r="C377" s="88">
        <v>1</v>
      </c>
      <c r="D377" s="78" t="str">
        <f>IF(C377&lt;10%,"No Cumple","Cumple")</f>
        <v>Cumple</v>
      </c>
      <c r="E377" s="210"/>
      <c r="F377" s="230"/>
      <c r="G377" s="95"/>
    </row>
    <row r="379" spans="1:7" ht="31.5" customHeight="1">
      <c r="A379" s="198" t="s">
        <v>180</v>
      </c>
      <c r="B379" s="198"/>
      <c r="C379" s="198"/>
      <c r="D379" s="198"/>
      <c r="E379" s="86"/>
      <c r="F379" s="30"/>
    </row>
    <row r="380" spans="1:7">
      <c r="A380" s="199" t="s">
        <v>181</v>
      </c>
      <c r="B380" s="199"/>
      <c r="C380" s="199"/>
      <c r="D380" s="199"/>
      <c r="E380" s="86"/>
      <c r="F380" s="30"/>
    </row>
    <row r="382" spans="1:7" ht="33" customHeight="1">
      <c r="B382" s="200" t="s">
        <v>179</v>
      </c>
      <c r="C382" s="200"/>
      <c r="D382" s="200"/>
      <c r="E382" s="87">
        <f>SUM(D319+E345+E349+E354+E359+E367+E373-E379-E380)</f>
        <v>100</v>
      </c>
    </row>
  </sheetData>
  <sheetProtection algorithmName="SHA-512" hashValue="/gvExePV6BJnVL6F0aWwuPNOOnlwWBDV/9TJrpnPtqx9/aKJs6TjSxUSNFAkkSgQu6++ubtJG38nYVzjbZSfVA==" saltValue="GzU8D+zLmI10PVRbIEpQpA==" spinCount="100000" sheet="1" objects="1" scenarios="1" selectLockedCells="1" selectUnlockedCells="1"/>
  <mergeCells count="288">
    <mergeCell ref="A379:D379"/>
    <mergeCell ref="A380:D380"/>
    <mergeCell ref="B382:D382"/>
    <mergeCell ref="A372:F372"/>
    <mergeCell ref="A373:B373"/>
    <mergeCell ref="E373:E377"/>
    <mergeCell ref="F373:F377"/>
    <mergeCell ref="A374:B374"/>
    <mergeCell ref="A375:B375"/>
    <mergeCell ref="A376:B376"/>
    <mergeCell ref="A377:B377"/>
    <mergeCell ref="A364:F364"/>
    <mergeCell ref="A366:F366"/>
    <mergeCell ref="A367:B367"/>
    <mergeCell ref="E367:E370"/>
    <mergeCell ref="F367:F370"/>
    <mergeCell ref="A368:B368"/>
    <mergeCell ref="A369:B369"/>
    <mergeCell ref="A370:B370"/>
    <mergeCell ref="A358:F358"/>
    <mergeCell ref="A359:B359"/>
    <mergeCell ref="E359:E362"/>
    <mergeCell ref="F359:F362"/>
    <mergeCell ref="A360:B360"/>
    <mergeCell ref="A361:B361"/>
    <mergeCell ref="A362:B362"/>
    <mergeCell ref="A353:F353"/>
    <mergeCell ref="A354:C354"/>
    <mergeCell ref="E354:E356"/>
    <mergeCell ref="F354:F356"/>
    <mergeCell ref="A355:C355"/>
    <mergeCell ref="A356:C356"/>
    <mergeCell ref="A348:F348"/>
    <mergeCell ref="A349:C349"/>
    <mergeCell ref="E349:E351"/>
    <mergeCell ref="F349:F351"/>
    <mergeCell ref="A350:C350"/>
    <mergeCell ref="A351:C351"/>
    <mergeCell ref="A325:F325"/>
    <mergeCell ref="A327:B334"/>
    <mergeCell ref="A335:B342"/>
    <mergeCell ref="A343:E343"/>
    <mergeCell ref="A345:C345"/>
    <mergeCell ref="E345:E346"/>
    <mergeCell ref="F345:F346"/>
    <mergeCell ref="A346:C346"/>
    <mergeCell ref="A319:B319"/>
    <mergeCell ref="D319:D323"/>
    <mergeCell ref="E319:F323"/>
    <mergeCell ref="A320:B320"/>
    <mergeCell ref="A321:B321"/>
    <mergeCell ref="A322:B322"/>
    <mergeCell ref="A323:B323"/>
    <mergeCell ref="A312:C312"/>
    <mergeCell ref="A313:C313"/>
    <mergeCell ref="A314:C314"/>
    <mergeCell ref="A315:D315"/>
    <mergeCell ref="E315:F315"/>
    <mergeCell ref="A317:E317"/>
    <mergeCell ref="B302:F302"/>
    <mergeCell ref="A304:A305"/>
    <mergeCell ref="E304:E305"/>
    <mergeCell ref="F304:F314"/>
    <mergeCell ref="A306:C306"/>
    <mergeCell ref="A307:C307"/>
    <mergeCell ref="A308:C308"/>
    <mergeCell ref="A309:C309"/>
    <mergeCell ref="A310:C310"/>
    <mergeCell ref="A311:C311"/>
    <mergeCell ref="A296:C296"/>
    <mergeCell ref="A297:C297"/>
    <mergeCell ref="A298:D298"/>
    <mergeCell ref="E298:F298"/>
    <mergeCell ref="B300:F300"/>
    <mergeCell ref="B301:F301"/>
    <mergeCell ref="A287:A288"/>
    <mergeCell ref="E287:E288"/>
    <mergeCell ref="F287:F297"/>
    <mergeCell ref="A289:C289"/>
    <mergeCell ref="A290:C290"/>
    <mergeCell ref="A291:C291"/>
    <mergeCell ref="A292:C292"/>
    <mergeCell ref="A293:C293"/>
    <mergeCell ref="A294:C294"/>
    <mergeCell ref="A295:C295"/>
    <mergeCell ref="A277:E277"/>
    <mergeCell ref="A280:F280"/>
    <mergeCell ref="A281:F281"/>
    <mergeCell ref="B283:F283"/>
    <mergeCell ref="B284:F284"/>
    <mergeCell ref="B285:F285"/>
    <mergeCell ref="A264:E264"/>
    <mergeCell ref="A266:E266"/>
    <mergeCell ref="A269:F269"/>
    <mergeCell ref="A271:E272"/>
    <mergeCell ref="A273:F273"/>
    <mergeCell ref="A275:E275"/>
    <mergeCell ref="A239:C239"/>
    <mergeCell ref="A240:C240"/>
    <mergeCell ref="A242:B249"/>
    <mergeCell ref="A251:B258"/>
    <mergeCell ref="A260:E261"/>
    <mergeCell ref="A262:F262"/>
    <mergeCell ref="B234:C234"/>
    <mergeCell ref="A235:C235"/>
    <mergeCell ref="A236:A237"/>
    <mergeCell ref="B236:C236"/>
    <mergeCell ref="B237:C237"/>
    <mergeCell ref="A238:C238"/>
    <mergeCell ref="A228:E228"/>
    <mergeCell ref="A230:F230"/>
    <mergeCell ref="A231:C231"/>
    <mergeCell ref="D231:F231"/>
    <mergeCell ref="B232:C232"/>
    <mergeCell ref="B233:C233"/>
    <mergeCell ref="A203:C203"/>
    <mergeCell ref="A204:C204"/>
    <mergeCell ref="A206:B213"/>
    <mergeCell ref="A215:B222"/>
    <mergeCell ref="A224:E225"/>
    <mergeCell ref="A226:F226"/>
    <mergeCell ref="B198:C198"/>
    <mergeCell ref="A199:C199"/>
    <mergeCell ref="A200:A201"/>
    <mergeCell ref="B200:C200"/>
    <mergeCell ref="B201:C201"/>
    <mergeCell ref="A202:C202"/>
    <mergeCell ref="A192:E192"/>
    <mergeCell ref="A194:F194"/>
    <mergeCell ref="A195:C195"/>
    <mergeCell ref="D195:F195"/>
    <mergeCell ref="B196:C196"/>
    <mergeCell ref="B197:C197"/>
    <mergeCell ref="A159:C159"/>
    <mergeCell ref="A161:B168"/>
    <mergeCell ref="A170:B177"/>
    <mergeCell ref="A179:B186"/>
    <mergeCell ref="A188:E189"/>
    <mergeCell ref="A190:F190"/>
    <mergeCell ref="A154:C154"/>
    <mergeCell ref="A155:A156"/>
    <mergeCell ref="B155:C155"/>
    <mergeCell ref="B156:C156"/>
    <mergeCell ref="A157:C157"/>
    <mergeCell ref="A158:C158"/>
    <mergeCell ref="A149:F149"/>
    <mergeCell ref="A150:C150"/>
    <mergeCell ref="D150:F150"/>
    <mergeCell ref="B151:C151"/>
    <mergeCell ref="B152:C152"/>
    <mergeCell ref="B153:C153"/>
    <mergeCell ref="A130:E131"/>
    <mergeCell ref="A132:F132"/>
    <mergeCell ref="A134:E135"/>
    <mergeCell ref="A136:F136"/>
    <mergeCell ref="A138:E138"/>
    <mergeCell ref="A147:F147"/>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F94:F97"/>
    <mergeCell ref="B95:C95"/>
    <mergeCell ref="B96:C96"/>
    <mergeCell ref="B97:C97"/>
    <mergeCell ref="A98:D98"/>
    <mergeCell ref="E98:F98"/>
    <mergeCell ref="A89:C89"/>
    <mergeCell ref="A90:C90"/>
    <mergeCell ref="A91:C91"/>
    <mergeCell ref="A92:C92"/>
    <mergeCell ref="A93:C93"/>
    <mergeCell ref="A94:A97"/>
    <mergeCell ref="B94:C94"/>
    <mergeCell ref="B79:F79"/>
    <mergeCell ref="B80:F80"/>
    <mergeCell ref="B81:F81"/>
    <mergeCell ref="A83:A84"/>
    <mergeCell ref="E83:E84"/>
    <mergeCell ref="F83:F93"/>
    <mergeCell ref="A85:C85"/>
    <mergeCell ref="A86:C86"/>
    <mergeCell ref="A87:C87"/>
    <mergeCell ref="A88:C88"/>
    <mergeCell ref="F73:F76"/>
    <mergeCell ref="B74:C74"/>
    <mergeCell ref="B75:C75"/>
    <mergeCell ref="B76:C76"/>
    <mergeCell ref="A77:D77"/>
    <mergeCell ref="E77:F77"/>
    <mergeCell ref="A68:C68"/>
    <mergeCell ref="A69:C69"/>
    <mergeCell ref="A70:C70"/>
    <mergeCell ref="A71:C71"/>
    <mergeCell ref="A72:C72"/>
    <mergeCell ref="A73:A76"/>
    <mergeCell ref="B73:C73"/>
    <mergeCell ref="B58:F58"/>
    <mergeCell ref="B59:F59"/>
    <mergeCell ref="B60:F60"/>
    <mergeCell ref="A62:A63"/>
    <mergeCell ref="E62:E63"/>
    <mergeCell ref="F62:F72"/>
    <mergeCell ref="A64:C64"/>
    <mergeCell ref="A65:C65"/>
    <mergeCell ref="A66:C66"/>
    <mergeCell ref="A67:C67"/>
    <mergeCell ref="F52:F55"/>
    <mergeCell ref="B53:C53"/>
    <mergeCell ref="B54:C54"/>
    <mergeCell ref="B55:C55"/>
    <mergeCell ref="A56:D56"/>
    <mergeCell ref="E56:F56"/>
    <mergeCell ref="A47:C47"/>
    <mergeCell ref="A48:C48"/>
    <mergeCell ref="A49:C49"/>
    <mergeCell ref="A50:C50"/>
    <mergeCell ref="A51:C51"/>
    <mergeCell ref="A52:A55"/>
    <mergeCell ref="B52:C52"/>
    <mergeCell ref="B37:F37"/>
    <mergeCell ref="B38:F38"/>
    <mergeCell ref="B39:F39"/>
    <mergeCell ref="A41:A42"/>
    <mergeCell ref="E41:E42"/>
    <mergeCell ref="F41:F51"/>
    <mergeCell ref="A43:C43"/>
    <mergeCell ref="A44:C44"/>
    <mergeCell ref="A45:C45"/>
    <mergeCell ref="A46:C46"/>
    <mergeCell ref="F31:F34"/>
    <mergeCell ref="B32:C32"/>
    <mergeCell ref="B33:C33"/>
    <mergeCell ref="B34:C34"/>
    <mergeCell ref="A35:D35"/>
    <mergeCell ref="E35:F35"/>
    <mergeCell ref="A27:C27"/>
    <mergeCell ref="A28:C28"/>
    <mergeCell ref="A29:C29"/>
    <mergeCell ref="A30:C30"/>
    <mergeCell ref="A31:A34"/>
    <mergeCell ref="B31:C31"/>
    <mergeCell ref="B17:F17"/>
    <mergeCell ref="B18:F18"/>
    <mergeCell ref="A20:A21"/>
    <mergeCell ref="E20:E21"/>
    <mergeCell ref="F20:F30"/>
    <mergeCell ref="A22:C22"/>
    <mergeCell ref="A23:C23"/>
    <mergeCell ref="A24:C24"/>
    <mergeCell ref="A25:C25"/>
    <mergeCell ref="A26:C26"/>
    <mergeCell ref="B9:D9"/>
    <mergeCell ref="B10:D10"/>
    <mergeCell ref="B11:D11"/>
    <mergeCell ref="A13:F13"/>
    <mergeCell ref="A14:F14"/>
    <mergeCell ref="B16:F16"/>
    <mergeCell ref="A1:F1"/>
    <mergeCell ref="A2:F2"/>
    <mergeCell ref="B4:C4"/>
    <mergeCell ref="B5:C5"/>
    <mergeCell ref="B6:C6"/>
    <mergeCell ref="B7:F7"/>
  </mergeCells>
  <conditionalFormatting sqref="E151:E168">
    <cfRule type="expression" dxfId="146" priority="26">
      <formula>"NO CUMPLE"</formula>
    </cfRule>
  </conditionalFormatting>
  <conditionalFormatting sqref="E170:E177">
    <cfRule type="expression" dxfId="145" priority="5">
      <formula>"NO CUMPLE"</formula>
    </cfRule>
  </conditionalFormatting>
  <conditionalFormatting sqref="E179:E186">
    <cfRule type="expression" dxfId="144" priority="4">
      <formula>"NO CUMPLE"</formula>
    </cfRule>
  </conditionalFormatting>
  <conditionalFormatting sqref="E196:E213">
    <cfRule type="expression" dxfId="143" priority="19">
      <formula>"NO CUMPLE"</formula>
    </cfRule>
  </conditionalFormatting>
  <conditionalFormatting sqref="E215:E222">
    <cfRule type="expression" dxfId="142" priority="3">
      <formula>"NO CUMPLE"</formula>
    </cfRule>
  </conditionalFormatting>
  <conditionalFormatting sqref="E232:E249">
    <cfRule type="expression" dxfId="141" priority="2">
      <formula>"NO CUMPLE"</formula>
    </cfRule>
  </conditionalFormatting>
  <conditionalFormatting sqref="E251:E258">
    <cfRule type="expression" dxfId="140" priority="1">
      <formula>"NO CUMPLE"</formula>
    </cfRule>
  </conditionalFormatting>
  <conditionalFormatting sqref="E327:E342">
    <cfRule type="expression" dxfId="139" priority="6">
      <formula>"NO CUMPLE"</formula>
    </cfRule>
  </conditionalFormatting>
  <conditionalFormatting sqref="E35:F35">
    <cfRule type="containsText" dxfId="138" priority="37" stopIfTrue="1" operator="containsText" text="NO CUMPLE">
      <formula>NOT(ISERROR(SEARCH("NO CUMPLE",E35)))</formula>
    </cfRule>
  </conditionalFormatting>
  <conditionalFormatting sqref="E56:F56">
    <cfRule type="containsText" dxfId="137" priority="33" stopIfTrue="1" operator="containsText" text="NO CUMPLE">
      <formula>NOT(ISERROR(SEARCH("NO CUMPLE",E56)))</formula>
    </cfRule>
  </conditionalFormatting>
  <conditionalFormatting sqref="E77:F77">
    <cfRule type="containsText" dxfId="136" priority="32" stopIfTrue="1" operator="containsText" text="NO CUMPLE">
      <formula>NOT(ISERROR(SEARCH("NO CUMPLE",E77)))</formula>
    </cfRule>
  </conditionalFormatting>
  <conditionalFormatting sqref="E98:F98">
    <cfRule type="containsText" dxfId="135" priority="31" stopIfTrue="1" operator="containsText" text="NO CUMPLE">
      <formula>NOT(ISERROR(SEARCH("NO CUMPLE",E98)))</formula>
    </cfRule>
  </conditionalFormatting>
  <conditionalFormatting sqref="E120:F120">
    <cfRule type="containsText" dxfId="134" priority="30" stopIfTrue="1" operator="containsText" text="NO CUMPLE">
      <formula>NOT(ISERROR(SEARCH("NO CUMPLE",E120)))</formula>
    </cfRule>
  </conditionalFormatting>
  <conditionalFormatting sqref="E298:F298">
    <cfRule type="containsText" dxfId="133" priority="8" stopIfTrue="1" operator="containsText" text="NO CUMPLE">
      <formula>NOT(ISERROR(SEARCH("NO CUMPLE",E298)))</formula>
    </cfRule>
  </conditionalFormatting>
  <conditionalFormatting sqref="E315:F315">
    <cfRule type="containsText" dxfId="132" priority="7" stopIfTrue="1" operator="containsText" text="NO CUMPLE">
      <formula>NOT(ISERROR(SEARCH("NO CUMPLE",E315)))</formula>
    </cfRule>
  </conditionalFormatting>
  <conditionalFormatting sqref="F123">
    <cfRule type="containsText" dxfId="131" priority="28" stopIfTrue="1" operator="containsText" text="NO CUMPLE">
      <formula>NOT(ISERROR(SEARCH("NO CUMPLE",F123)))</formula>
    </cfRule>
  </conditionalFormatting>
  <conditionalFormatting sqref="F127 F129">
    <cfRule type="containsText" dxfId="130" priority="36" stopIfTrue="1" operator="containsText" text="NO CUMPLE">
      <formula>NOT(ISERROR(SEARCH("NO CUMPLE",F127)))</formula>
    </cfRule>
  </conditionalFormatting>
  <conditionalFormatting sqref="F131">
    <cfRule type="containsText" dxfId="129" priority="35" stopIfTrue="1" operator="containsText" text="NO CUMPLE">
      <formula>NOT(ISERROR(SEARCH("NO CUMPLE",F131)))</formula>
    </cfRule>
  </conditionalFormatting>
  <conditionalFormatting sqref="F135">
    <cfRule type="containsText" dxfId="128" priority="34" stopIfTrue="1" operator="containsText" text="NO CUMPLE">
      <formula>NOT(ISERROR(SEARCH("NO CUMPLE",F135)))</formula>
    </cfRule>
  </conditionalFormatting>
  <conditionalFormatting sqref="F138">
    <cfRule type="containsText" dxfId="127" priority="27" operator="containsText" text="NO CUMPLE">
      <formula>NOT(ISERROR(SEARCH("NO CUMPLE",F138)))</formula>
    </cfRule>
    <cfRule type="containsText" dxfId="126" priority="29" stopIfTrue="1" operator="containsText" text="NO HABILITADO">
      <formula>NOT(ISERROR(SEARCH("NO HABILITADO",F138)))</formula>
    </cfRule>
  </conditionalFormatting>
  <conditionalFormatting sqref="F189">
    <cfRule type="containsText" dxfId="125" priority="24" stopIfTrue="1" operator="containsText" text="NO CUMPLE">
      <formula>NOT(ISERROR(SEARCH("NO CUMPLE",F189)))</formula>
    </cfRule>
  </conditionalFormatting>
  <conditionalFormatting sqref="F192">
    <cfRule type="containsText" dxfId="124" priority="25" stopIfTrue="1" operator="containsText" text="NO HABILITADO">
      <formula>NOT(ISERROR(SEARCH("NO HABILITADO",F192)))</formula>
    </cfRule>
    <cfRule type="containsText" dxfId="123" priority="23" operator="containsText" text="NO CUMPLE">
      <formula>NOT(ISERROR(SEARCH("NO CUMPLE",F192)))</formula>
    </cfRule>
  </conditionalFormatting>
  <conditionalFormatting sqref="F225">
    <cfRule type="containsText" dxfId="122" priority="21" stopIfTrue="1" operator="containsText" text="NO CUMPLE">
      <formula>NOT(ISERROR(SEARCH("NO CUMPLE",F225)))</formula>
    </cfRule>
  </conditionalFormatting>
  <conditionalFormatting sqref="F228">
    <cfRule type="containsText" dxfId="121" priority="20" operator="containsText" text="NO CUMPLE">
      <formula>NOT(ISERROR(SEARCH("NO CUMPLE",F228)))</formula>
    </cfRule>
    <cfRule type="containsText" dxfId="120" priority="22" stopIfTrue="1" operator="containsText" text="NO HABILITADO">
      <formula>NOT(ISERROR(SEARCH("NO HABILITADO",F228)))</formula>
    </cfRule>
  </conditionalFormatting>
  <conditionalFormatting sqref="F261">
    <cfRule type="containsText" dxfId="119" priority="17" stopIfTrue="1" operator="containsText" text="NO CUMPLE">
      <formula>NOT(ISERROR(SEARCH("NO CUMPLE",F261)))</formula>
    </cfRule>
  </conditionalFormatting>
  <conditionalFormatting sqref="F264">
    <cfRule type="containsText" dxfId="118" priority="16" operator="containsText" text="NO CUMPLE">
      <formula>NOT(ISERROR(SEARCH("NO CUMPLE",F264)))</formula>
    </cfRule>
    <cfRule type="containsText" dxfId="117" priority="18" stopIfTrue="1" operator="containsText" text="NO HABILITADO">
      <formula>NOT(ISERROR(SEARCH("NO HABILITADO",F264)))</formula>
    </cfRule>
  </conditionalFormatting>
  <conditionalFormatting sqref="F266">
    <cfRule type="containsText" dxfId="116" priority="15" stopIfTrue="1" operator="containsText" text="NO HABILITADO">
      <formula>NOT(ISERROR(SEARCH("NO HABILITADO",F266)))</formula>
    </cfRule>
    <cfRule type="containsText" dxfId="115" priority="14" operator="containsText" text="NO CUMPLE">
      <formula>NOT(ISERROR(SEARCH("NO CUMPLE",F266)))</formula>
    </cfRule>
  </conditionalFormatting>
  <conditionalFormatting sqref="F272">
    <cfRule type="containsText" dxfId="114" priority="13" stopIfTrue="1" operator="containsText" text="NO CUMPLE">
      <formula>NOT(ISERROR(SEARCH("NO CUMPLE",F272)))</formula>
    </cfRule>
  </conditionalFormatting>
  <conditionalFormatting sqref="F275">
    <cfRule type="containsText" dxfId="113" priority="12" stopIfTrue="1" operator="containsText" text="NO HABILITADO">
      <formula>NOT(ISERROR(SEARCH("NO HABILITADO",F275)))</formula>
    </cfRule>
    <cfRule type="containsText" dxfId="112" priority="11" operator="containsText" text="NO CUMPLE">
      <formula>NOT(ISERROR(SEARCH("NO CUMPLE",F275)))</formula>
    </cfRule>
  </conditionalFormatting>
  <conditionalFormatting sqref="F277">
    <cfRule type="containsText" dxfId="111" priority="10" stopIfTrue="1" operator="containsText" text="NO HABILITADO">
      <formula>NOT(ISERROR(SEARCH("NO HABILITADO",F277)))</formula>
    </cfRule>
    <cfRule type="containsText" dxfId="110" priority="9" operator="containsText" text="NO CUMPLE">
      <formula>NOT(ISERROR(SEARCH("NO CUMPLE",F277)))</formula>
    </cfRule>
  </conditionalFormatting>
  <dataValidations count="3">
    <dataValidation type="whole" allowBlank="1" showInputMessage="1" showErrorMessage="1" sqref="D165 D174 D183 D210 D219 D246 D255 D331 D339" xr:uid="{00000000-0002-0000-0800-000000000000}">
      <formula1>0</formula1>
      <formula2>1E+44</formula2>
    </dataValidation>
    <dataValidation type="date" operator="greaterThan" allowBlank="1" showInputMessage="1" showErrorMessage="1" errorTitle="OJO" error="REVISAR QUE FECHA DE TERMINACIÓN SEA MAYOR QUE LA DE SUSCRIPCIÓN DEL CONTRATO" sqref="D26 D47 D68 D89 D111 D293 D310" xr:uid="{00000000-0002-0000-0800-000001000000}">
      <formula1>D22</formula1>
    </dataValidation>
    <dataValidation allowBlank="1" showInputMessage="1" showErrorMessage="1" errorTitle="FECHA DE CIERRE DEL PROCESO" error="SOLO COLOCAR FECHA_x000a_" sqref="B4:B6" xr:uid="{00000000-0002-0000-0800-000002000000}"/>
  </dataValidations>
  <pageMargins left="0.59" right="0.31496062992125984" top="0.74803149606299213" bottom="0.74803149606299213" header="0.31496062992125984" footer="0.31496062992125984"/>
  <pageSetup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E6B1A-0EB2-4306-92C4-5FA1C079B858}">
  <dimension ref="A1:G376"/>
  <sheetViews>
    <sheetView topLeftCell="A361" zoomScaleNormal="100" workbookViewId="0">
      <selection activeCell="G14" sqref="G14"/>
    </sheetView>
  </sheetViews>
  <sheetFormatPr baseColWidth="10" defaultColWidth="40.5" defaultRowHeight="13"/>
  <cols>
    <col min="1" max="1" width="31.83203125" style="20" customWidth="1"/>
    <col min="2" max="2" width="17" style="20" customWidth="1"/>
    <col min="3" max="3" width="18.5" style="20" customWidth="1"/>
    <col min="4" max="4" width="16.5" style="20" customWidth="1"/>
    <col min="5" max="5" width="28.5" style="20" customWidth="1"/>
    <col min="6" max="6" width="38.33203125" style="42" customWidth="1"/>
    <col min="7" max="7" width="18.1640625" style="20" customWidth="1"/>
    <col min="8" max="16384" width="40.5" style="20"/>
  </cols>
  <sheetData>
    <row r="1" spans="1:6" ht="15" customHeight="1">
      <c r="A1" s="297" t="s">
        <v>87</v>
      </c>
      <c r="B1" s="297"/>
      <c r="C1" s="297"/>
      <c r="D1" s="297"/>
      <c r="E1" s="297"/>
      <c r="F1" s="297"/>
    </row>
    <row r="2" spans="1:6" ht="28.5" customHeight="1">
      <c r="A2" s="297" t="s">
        <v>88</v>
      </c>
      <c r="B2" s="297"/>
      <c r="C2" s="297"/>
      <c r="D2" s="297"/>
      <c r="E2" s="297"/>
      <c r="F2" s="297"/>
    </row>
    <row r="3" spans="1:6">
      <c r="A3" s="21"/>
      <c r="B3" s="22"/>
      <c r="C3" s="22"/>
      <c r="D3" s="22"/>
      <c r="E3" s="22"/>
      <c r="F3" s="22"/>
    </row>
    <row r="4" spans="1:6">
      <c r="A4" s="23" t="s">
        <v>49</v>
      </c>
      <c r="B4" s="298">
        <v>45631</v>
      </c>
      <c r="C4" s="298"/>
      <c r="D4" s="22"/>
      <c r="E4" s="22"/>
      <c r="F4" s="22"/>
    </row>
    <row r="5" spans="1:6">
      <c r="A5" s="23" t="s">
        <v>64</v>
      </c>
      <c r="B5" s="299">
        <f>SUM(B6/1300000)</f>
        <v>433.26314615384615</v>
      </c>
      <c r="C5" s="299"/>
      <c r="D5" s="22"/>
      <c r="E5" s="22"/>
      <c r="F5" s="22"/>
    </row>
    <row r="6" spans="1:6">
      <c r="A6" s="23" t="s">
        <v>63</v>
      </c>
      <c r="B6" s="300">
        <v>563242090</v>
      </c>
      <c r="C6" s="300"/>
      <c r="D6" s="22"/>
      <c r="E6" s="22"/>
      <c r="F6" s="22"/>
    </row>
    <row r="7" spans="1:6" ht="17.25" customHeight="1">
      <c r="A7" s="24" t="s">
        <v>50</v>
      </c>
      <c r="B7" s="301" t="s">
        <v>419</v>
      </c>
      <c r="C7" s="302"/>
      <c r="D7" s="302"/>
      <c r="E7" s="302"/>
      <c r="F7" s="303"/>
    </row>
    <row r="8" spans="1:6">
      <c r="B8" s="25"/>
      <c r="C8" s="25"/>
      <c r="D8" s="25"/>
      <c r="E8" s="25"/>
      <c r="F8" s="25"/>
    </row>
    <row r="9" spans="1:6">
      <c r="A9" s="24" t="s">
        <v>184</v>
      </c>
      <c r="B9" s="240" t="s">
        <v>419</v>
      </c>
      <c r="C9" s="240"/>
      <c r="D9" s="240"/>
      <c r="E9" s="90">
        <v>1</v>
      </c>
      <c r="F9" s="25"/>
    </row>
    <row r="10" spans="1:6">
      <c r="A10" s="24" t="s">
        <v>185</v>
      </c>
      <c r="B10" s="240"/>
      <c r="C10" s="240"/>
      <c r="D10" s="240"/>
      <c r="E10" s="90">
        <v>0</v>
      </c>
      <c r="F10" s="25"/>
    </row>
    <row r="11" spans="1:6">
      <c r="A11" s="24" t="s">
        <v>186</v>
      </c>
      <c r="B11" s="240"/>
      <c r="C11" s="240"/>
      <c r="D11" s="240"/>
      <c r="E11" s="90">
        <v>0</v>
      </c>
      <c r="F11" s="25"/>
    </row>
    <row r="12" spans="1:6">
      <c r="B12" s="25"/>
      <c r="C12" s="25"/>
      <c r="D12" s="25"/>
      <c r="E12" s="25"/>
      <c r="F12" s="25"/>
    </row>
    <row r="13" spans="1:6" ht="16">
      <c r="A13" s="245" t="s">
        <v>89</v>
      </c>
      <c r="B13" s="245"/>
      <c r="C13" s="245"/>
      <c r="D13" s="245"/>
      <c r="E13" s="245"/>
      <c r="F13" s="245"/>
    </row>
    <row r="14" spans="1:6" ht="14">
      <c r="A14" s="212" t="s">
        <v>90</v>
      </c>
      <c r="B14" s="212"/>
      <c r="C14" s="212"/>
      <c r="D14" s="212"/>
      <c r="E14" s="212"/>
      <c r="F14" s="212"/>
    </row>
    <row r="15" spans="1:6">
      <c r="A15" s="27"/>
      <c r="B15" s="27"/>
      <c r="C15" s="27"/>
      <c r="D15" s="27"/>
      <c r="E15" s="27"/>
      <c r="F15" s="21"/>
    </row>
    <row r="16" spans="1:6">
      <c r="A16" s="28" t="s">
        <v>420</v>
      </c>
      <c r="B16" s="294" t="s">
        <v>421</v>
      </c>
      <c r="C16" s="294"/>
      <c r="D16" s="294"/>
      <c r="E16" s="294"/>
      <c r="F16" s="294"/>
    </row>
    <row r="17" spans="1:7" ht="36.75" customHeight="1">
      <c r="A17" s="28" t="s">
        <v>51</v>
      </c>
      <c r="B17" s="241" t="s">
        <v>422</v>
      </c>
      <c r="C17" s="241"/>
      <c r="D17" s="241"/>
      <c r="E17" s="241"/>
      <c r="F17" s="241"/>
    </row>
    <row r="18" spans="1:7" ht="20.25" customHeight="1">
      <c r="A18" s="23" t="s">
        <v>52</v>
      </c>
      <c r="B18" s="234" t="s">
        <v>423</v>
      </c>
      <c r="C18" s="234"/>
      <c r="D18" s="234"/>
      <c r="E18" s="234"/>
      <c r="F18" s="234"/>
    </row>
    <row r="19" spans="1:7">
      <c r="A19" s="28" t="s">
        <v>65</v>
      </c>
      <c r="B19" s="31" t="s">
        <v>53</v>
      </c>
      <c r="C19" s="32" t="s">
        <v>66</v>
      </c>
      <c r="D19" s="32" t="s">
        <v>54</v>
      </c>
      <c r="E19" s="32" t="s">
        <v>67</v>
      </c>
      <c r="F19" s="32" t="s">
        <v>55</v>
      </c>
    </row>
    <row r="20" spans="1:7" ht="12.75" customHeight="1">
      <c r="A20" s="227" t="s">
        <v>56</v>
      </c>
      <c r="B20" s="33">
        <v>80101600</v>
      </c>
      <c r="C20" s="29">
        <v>80101600</v>
      </c>
      <c r="D20" s="29">
        <v>143</v>
      </c>
      <c r="E20" s="235" t="str">
        <f>IF(B21=C21,"Acredita",IF(B20=C20,"Acredita","No acredita"))</f>
        <v>Acredita</v>
      </c>
      <c r="F20" s="304"/>
    </row>
    <row r="21" spans="1:7">
      <c r="A21" s="227"/>
      <c r="B21" s="33">
        <v>81101500</v>
      </c>
      <c r="C21" s="30"/>
      <c r="D21" s="30"/>
      <c r="E21" s="236"/>
      <c r="F21" s="305"/>
    </row>
    <row r="22" spans="1:7" ht="14">
      <c r="A22" s="237" t="s">
        <v>57</v>
      </c>
      <c r="B22" s="238"/>
      <c r="C22" s="239"/>
      <c r="D22" s="34">
        <v>43320</v>
      </c>
      <c r="E22" s="35" t="str">
        <f>IF(D22="","No acredita","Acredita")</f>
        <v>Acredita</v>
      </c>
      <c r="F22" s="305"/>
    </row>
    <row r="23" spans="1:7" ht="14">
      <c r="A23" s="237" t="s">
        <v>58</v>
      </c>
      <c r="B23" s="238"/>
      <c r="C23" s="239"/>
      <c r="D23" s="36">
        <v>805849010</v>
      </c>
      <c r="E23" s="35" t="str">
        <f>IF(D23="","No acredita","Acredita")</f>
        <v>Acredita</v>
      </c>
      <c r="F23" s="305"/>
    </row>
    <row r="24" spans="1:7" ht="14">
      <c r="A24" s="237" t="s">
        <v>59</v>
      </c>
      <c r="B24" s="238"/>
      <c r="C24" s="239"/>
      <c r="D24" s="44">
        <f>IFERROR((D23/(VLOOKUP((YEAR(D26)),[1]SMMLV!$A$9:$C$49,3,0)))*'O6'!D25,"0")</f>
        <v>973.11126702056231</v>
      </c>
      <c r="E24" s="37" t="str">
        <f>IF(D24="","No acredita","Acredita")</f>
        <v>Acredita</v>
      </c>
      <c r="F24" s="305"/>
    </row>
    <row r="25" spans="1:7" ht="14">
      <c r="A25" s="237" t="s">
        <v>80</v>
      </c>
      <c r="B25" s="238"/>
      <c r="C25" s="239"/>
      <c r="D25" s="45">
        <v>1</v>
      </c>
      <c r="E25" s="35" t="str">
        <f>IF(D25="","No acredita","Acredita")</f>
        <v>Acredita</v>
      </c>
      <c r="F25" s="305"/>
    </row>
    <row r="26" spans="1:7" ht="14">
      <c r="A26" s="237" t="s">
        <v>60</v>
      </c>
      <c r="B26" s="238"/>
      <c r="C26" s="239"/>
      <c r="D26" s="34">
        <v>43637</v>
      </c>
      <c r="E26" s="35" t="str">
        <f>IF(D26="","No acredita","Acredita")</f>
        <v>Acredita</v>
      </c>
      <c r="F26" s="305"/>
      <c r="G26" s="47"/>
    </row>
    <row r="27" spans="1:7" ht="68.25" customHeight="1">
      <c r="A27" s="227" t="s">
        <v>91</v>
      </c>
      <c r="B27" s="227"/>
      <c r="C27" s="227"/>
      <c r="D27" s="38" t="s">
        <v>61</v>
      </c>
      <c r="E27" s="35" t="str">
        <f t="shared" ref="E27:E34" si="0">IF(D27="","No acredita",IF(D27="","",IF(D27="SI","Acredita","No acredita")))</f>
        <v>Acredita</v>
      </c>
      <c r="F27" s="305"/>
    </row>
    <row r="28" spans="1:7" ht="31.5" customHeight="1">
      <c r="A28" s="227" t="s">
        <v>92</v>
      </c>
      <c r="B28" s="227"/>
      <c r="C28" s="227"/>
      <c r="D28" s="38" t="s">
        <v>61</v>
      </c>
      <c r="E28" s="35" t="str">
        <f t="shared" si="0"/>
        <v>Acredita</v>
      </c>
      <c r="F28" s="305"/>
    </row>
    <row r="29" spans="1:7" ht="14">
      <c r="A29" s="227" t="s">
        <v>69</v>
      </c>
      <c r="B29" s="227"/>
      <c r="C29" s="227"/>
      <c r="D29" s="38" t="s">
        <v>61</v>
      </c>
      <c r="E29" s="35" t="str">
        <f t="shared" si="0"/>
        <v>Acredita</v>
      </c>
      <c r="F29" s="305"/>
    </row>
    <row r="30" spans="1:7" ht="14">
      <c r="A30" s="227" t="s">
        <v>103</v>
      </c>
      <c r="B30" s="227"/>
      <c r="C30" s="227"/>
      <c r="D30" s="38" t="s">
        <v>61</v>
      </c>
      <c r="E30" s="35" t="str">
        <f t="shared" si="0"/>
        <v>Acredita</v>
      </c>
      <c r="F30" s="306"/>
    </row>
    <row r="31" spans="1:7" ht="14">
      <c r="A31" s="235" t="s">
        <v>97</v>
      </c>
      <c r="B31" s="288" t="s">
        <v>93</v>
      </c>
      <c r="C31" s="289"/>
      <c r="D31" s="38" t="s">
        <v>61</v>
      </c>
      <c r="E31" s="35" t="str">
        <f t="shared" si="0"/>
        <v>Acredita</v>
      </c>
      <c r="F31" s="307"/>
    </row>
    <row r="32" spans="1:7" ht="14">
      <c r="A32" s="287"/>
      <c r="B32" s="288" t="s">
        <v>94</v>
      </c>
      <c r="C32" s="289"/>
      <c r="D32" s="38" t="s">
        <v>61</v>
      </c>
      <c r="E32" s="35" t="str">
        <f t="shared" si="0"/>
        <v>Acredita</v>
      </c>
      <c r="F32" s="308"/>
    </row>
    <row r="33" spans="1:6" ht="14">
      <c r="A33" s="287"/>
      <c r="B33" s="288" t="s">
        <v>95</v>
      </c>
      <c r="C33" s="289"/>
      <c r="D33" s="38" t="s">
        <v>61</v>
      </c>
      <c r="E33" s="35" t="str">
        <f t="shared" si="0"/>
        <v>Acredita</v>
      </c>
      <c r="F33" s="308"/>
    </row>
    <row r="34" spans="1:6" ht="14">
      <c r="A34" s="236"/>
      <c r="B34" s="288" t="s">
        <v>96</v>
      </c>
      <c r="C34" s="289"/>
      <c r="D34" s="38" t="s">
        <v>61</v>
      </c>
      <c r="E34" s="35" t="str">
        <f t="shared" si="0"/>
        <v>Acredita</v>
      </c>
      <c r="F34" s="309"/>
    </row>
    <row r="35" spans="1:6">
      <c r="A35" s="231" t="s">
        <v>68</v>
      </c>
      <c r="B35" s="231"/>
      <c r="C35" s="231"/>
      <c r="D35" s="231"/>
      <c r="E35" s="232" t="str">
        <f>IF(AND(E20="acredita",E22="acredita",E23="acredita",E24="acredita",E25="acredita",E26="acredita",E27="acredita",E28="acredita",E29="acredita",E30="acredita"),"CUMPLE","NO CUMPLE")</f>
        <v>CUMPLE</v>
      </c>
      <c r="F35" s="233"/>
    </row>
    <row r="36" spans="1:6">
      <c r="A36" s="26"/>
      <c r="B36" s="26"/>
      <c r="C36" s="26"/>
      <c r="D36" s="26"/>
      <c r="E36" s="22"/>
      <c r="F36" s="22"/>
    </row>
    <row r="37" spans="1:6">
      <c r="A37" s="28" t="s">
        <v>424</v>
      </c>
      <c r="B37" s="294" t="s">
        <v>421</v>
      </c>
      <c r="C37" s="294"/>
      <c r="D37" s="294"/>
      <c r="E37" s="294"/>
      <c r="F37" s="294"/>
    </row>
    <row r="38" spans="1:6" ht="42.75" customHeight="1">
      <c r="A38" s="28" t="s">
        <v>51</v>
      </c>
      <c r="B38" s="241" t="s">
        <v>425</v>
      </c>
      <c r="C38" s="241"/>
      <c r="D38" s="241"/>
      <c r="E38" s="241"/>
      <c r="F38" s="241"/>
    </row>
    <row r="39" spans="1:6">
      <c r="A39" s="23" t="s">
        <v>52</v>
      </c>
      <c r="B39" s="234" t="s">
        <v>426</v>
      </c>
      <c r="C39" s="234"/>
      <c r="D39" s="234"/>
      <c r="E39" s="234"/>
      <c r="F39" s="234"/>
    </row>
    <row r="40" spans="1:6">
      <c r="A40" s="28" t="s">
        <v>65</v>
      </c>
      <c r="B40" s="31" t="s">
        <v>53</v>
      </c>
      <c r="C40" s="32" t="s">
        <v>66</v>
      </c>
      <c r="D40" s="32" t="s">
        <v>54</v>
      </c>
      <c r="E40" s="32" t="s">
        <v>67</v>
      </c>
      <c r="F40" s="32" t="s">
        <v>55</v>
      </c>
    </row>
    <row r="41" spans="1:6">
      <c r="A41" s="227" t="s">
        <v>56</v>
      </c>
      <c r="B41" s="33">
        <v>80101600</v>
      </c>
      <c r="C41" s="29">
        <v>80101600</v>
      </c>
      <c r="D41" s="29">
        <v>150</v>
      </c>
      <c r="E41" s="235" t="str">
        <f>IF(B42=C42,"Acredita",IF(B41=C41,"Acredita","No acredita"))</f>
        <v>Acredita</v>
      </c>
      <c r="F41" s="304"/>
    </row>
    <row r="42" spans="1:6">
      <c r="A42" s="227"/>
      <c r="B42" s="33">
        <v>81101500</v>
      </c>
      <c r="C42" s="30"/>
      <c r="D42" s="30"/>
      <c r="E42" s="236"/>
      <c r="F42" s="305"/>
    </row>
    <row r="43" spans="1:6" ht="14">
      <c r="A43" s="237" t="s">
        <v>57</v>
      </c>
      <c r="B43" s="238"/>
      <c r="C43" s="239"/>
      <c r="D43" s="34">
        <v>42906</v>
      </c>
      <c r="E43" s="35" t="str">
        <f>IF(D43="","No acredita","Acredita")</f>
        <v>Acredita</v>
      </c>
      <c r="F43" s="305"/>
    </row>
    <row r="44" spans="1:6" ht="14">
      <c r="A44" s="237" t="s">
        <v>58</v>
      </c>
      <c r="B44" s="238"/>
      <c r="C44" s="239"/>
      <c r="D44" s="36">
        <v>713231374</v>
      </c>
      <c r="E44" s="35" t="str">
        <f>IF(D44="","No acredita","Acredita")</f>
        <v>Acredita</v>
      </c>
      <c r="F44" s="305"/>
    </row>
    <row r="45" spans="1:6" ht="14">
      <c r="A45" s="237" t="s">
        <v>59</v>
      </c>
      <c r="B45" s="238"/>
      <c r="C45" s="239"/>
      <c r="D45" s="44">
        <f>IFERROR((D44/(VLOOKUP((YEAR(D47)),[1]SMMLV!$A$9:$C$49,3,0)))*'O6'!D46,"0")</f>
        <v>861.26988731047345</v>
      </c>
      <c r="E45" s="37" t="str">
        <f>IF(D45="","No acredita","Acredita")</f>
        <v>Acredita</v>
      </c>
      <c r="F45" s="305"/>
    </row>
    <row r="46" spans="1:6" ht="14">
      <c r="A46" s="237" t="s">
        <v>80</v>
      </c>
      <c r="B46" s="238"/>
      <c r="C46" s="239"/>
      <c r="D46" s="45">
        <v>1</v>
      </c>
      <c r="E46" s="35" t="str">
        <f>IF(D46="","No acredita","Acredita")</f>
        <v>Acredita</v>
      </c>
      <c r="F46" s="305"/>
    </row>
    <row r="47" spans="1:6" ht="14">
      <c r="A47" s="237" t="s">
        <v>60</v>
      </c>
      <c r="B47" s="238"/>
      <c r="C47" s="239"/>
      <c r="D47" s="34">
        <v>43668</v>
      </c>
      <c r="E47" s="35" t="str">
        <f>IF(D47="","No acredita","Acredita")</f>
        <v>Acredita</v>
      </c>
      <c r="F47" s="305"/>
    </row>
    <row r="48" spans="1:6" ht="72" customHeight="1">
      <c r="A48" s="227" t="s">
        <v>91</v>
      </c>
      <c r="B48" s="227"/>
      <c r="C48" s="227"/>
      <c r="D48" s="38" t="s">
        <v>61</v>
      </c>
      <c r="E48" s="35" t="str">
        <f t="shared" ref="E48:E55" si="1">IF(D48="","No acredita",IF(D48="","",IF(D48="SI","Acredita","No acredita")))</f>
        <v>Acredita</v>
      </c>
      <c r="F48" s="305"/>
    </row>
    <row r="49" spans="1:6" ht="33" customHeight="1">
      <c r="A49" s="227" t="s">
        <v>92</v>
      </c>
      <c r="B49" s="227"/>
      <c r="C49" s="227"/>
      <c r="D49" s="38" t="s">
        <v>61</v>
      </c>
      <c r="E49" s="35" t="str">
        <f t="shared" si="1"/>
        <v>Acredita</v>
      </c>
      <c r="F49" s="305"/>
    </row>
    <row r="50" spans="1:6" ht="14">
      <c r="A50" s="227" t="s">
        <v>69</v>
      </c>
      <c r="B50" s="227"/>
      <c r="C50" s="227"/>
      <c r="D50" s="38" t="s">
        <v>61</v>
      </c>
      <c r="E50" s="35" t="str">
        <f t="shared" si="1"/>
        <v>Acredita</v>
      </c>
      <c r="F50" s="305"/>
    </row>
    <row r="51" spans="1:6" ht="14">
      <c r="A51" s="227" t="s">
        <v>103</v>
      </c>
      <c r="B51" s="227"/>
      <c r="C51" s="227"/>
      <c r="D51" s="38" t="s">
        <v>61</v>
      </c>
      <c r="E51" s="35" t="str">
        <f t="shared" si="1"/>
        <v>Acredita</v>
      </c>
      <c r="F51" s="306"/>
    </row>
    <row r="52" spans="1:6" ht="14">
      <c r="A52" s="235" t="s">
        <v>97</v>
      </c>
      <c r="B52" s="288" t="s">
        <v>93</v>
      </c>
      <c r="C52" s="289"/>
      <c r="D52" s="38" t="s">
        <v>61</v>
      </c>
      <c r="E52" s="35" t="str">
        <f t="shared" si="1"/>
        <v>Acredita</v>
      </c>
      <c r="F52" s="307"/>
    </row>
    <row r="53" spans="1:6" ht="14">
      <c r="A53" s="287"/>
      <c r="B53" s="288" t="s">
        <v>94</v>
      </c>
      <c r="C53" s="289"/>
      <c r="D53" s="38" t="s">
        <v>61</v>
      </c>
      <c r="E53" s="35" t="str">
        <f t="shared" si="1"/>
        <v>Acredita</v>
      </c>
      <c r="F53" s="308"/>
    </row>
    <row r="54" spans="1:6" ht="14">
      <c r="A54" s="287"/>
      <c r="B54" s="288" t="s">
        <v>95</v>
      </c>
      <c r="C54" s="289"/>
      <c r="D54" s="38" t="s">
        <v>61</v>
      </c>
      <c r="E54" s="35" t="str">
        <f t="shared" si="1"/>
        <v>Acredita</v>
      </c>
      <c r="F54" s="308"/>
    </row>
    <row r="55" spans="1:6" ht="14">
      <c r="A55" s="236"/>
      <c r="B55" s="288" t="s">
        <v>96</v>
      </c>
      <c r="C55" s="289"/>
      <c r="D55" s="38" t="s">
        <v>61</v>
      </c>
      <c r="E55" s="35" t="str">
        <f t="shared" si="1"/>
        <v>Acredita</v>
      </c>
      <c r="F55" s="309"/>
    </row>
    <row r="56" spans="1:6">
      <c r="A56" s="231" t="s">
        <v>70</v>
      </c>
      <c r="B56" s="231"/>
      <c r="C56" s="231"/>
      <c r="D56" s="231"/>
      <c r="E56" s="232" t="str">
        <f>IF(AND(E41="acredita",E43="acredita",E44="acredita",E45="acredita",E46="acredita",E47="acredita",E48="acredita",E49="acredita",E50="acredita",E51="acredita"),"CUMPLE","NO CUMPLE")</f>
        <v>CUMPLE</v>
      </c>
      <c r="F56" s="233"/>
    </row>
    <row r="57" spans="1:6">
      <c r="A57" s="26"/>
      <c r="B57" s="26"/>
      <c r="C57" s="26"/>
      <c r="D57" s="26"/>
      <c r="E57" s="22"/>
      <c r="F57" s="22"/>
    </row>
    <row r="58" spans="1:6" hidden="1">
      <c r="A58" s="28" t="s">
        <v>81</v>
      </c>
      <c r="B58" s="294"/>
      <c r="C58" s="294"/>
      <c r="D58" s="294"/>
      <c r="E58" s="294"/>
      <c r="F58" s="294"/>
    </row>
    <row r="59" spans="1:6" hidden="1">
      <c r="A59" s="28" t="s">
        <v>51</v>
      </c>
      <c r="B59" s="241"/>
      <c r="C59" s="241"/>
      <c r="D59" s="241"/>
      <c r="E59" s="241"/>
      <c r="F59" s="241"/>
    </row>
    <row r="60" spans="1:6" hidden="1">
      <c r="A60" s="23" t="s">
        <v>52</v>
      </c>
      <c r="B60" s="234"/>
      <c r="C60" s="234"/>
      <c r="D60" s="234"/>
      <c r="E60" s="234"/>
      <c r="F60" s="234"/>
    </row>
    <row r="61" spans="1:6" hidden="1">
      <c r="A61" s="28" t="s">
        <v>65</v>
      </c>
      <c r="B61" s="31" t="s">
        <v>53</v>
      </c>
      <c r="C61" s="32" t="s">
        <v>66</v>
      </c>
      <c r="D61" s="32" t="s">
        <v>54</v>
      </c>
      <c r="E61" s="32" t="s">
        <v>67</v>
      </c>
      <c r="F61" s="32" t="s">
        <v>55</v>
      </c>
    </row>
    <row r="62" spans="1:6" hidden="1">
      <c r="A62" s="227" t="s">
        <v>56</v>
      </c>
      <c r="B62" s="33">
        <v>80101600</v>
      </c>
      <c r="C62" s="29"/>
      <c r="D62" s="29"/>
      <c r="E62" s="235" t="str">
        <f>IF(B63=C63,"Acredita",IF(B62=C62,"Acredita","No acredita"))</f>
        <v>No acredita</v>
      </c>
      <c r="F62" s="304"/>
    </row>
    <row r="63" spans="1:6" hidden="1">
      <c r="A63" s="227"/>
      <c r="B63" s="33">
        <v>81101500</v>
      </c>
      <c r="C63" s="30"/>
      <c r="D63" s="30"/>
      <c r="E63" s="236"/>
      <c r="F63" s="305"/>
    </row>
    <row r="64" spans="1:6" ht="14" hidden="1">
      <c r="A64" s="237" t="s">
        <v>57</v>
      </c>
      <c r="B64" s="238"/>
      <c r="C64" s="239"/>
      <c r="D64" s="34"/>
      <c r="E64" s="35" t="str">
        <f>IF(D64="","No acredita","Acredita")</f>
        <v>No acredita</v>
      </c>
      <c r="F64" s="305"/>
    </row>
    <row r="65" spans="1:6" ht="14" hidden="1">
      <c r="A65" s="237" t="s">
        <v>58</v>
      </c>
      <c r="B65" s="238"/>
      <c r="C65" s="239"/>
      <c r="D65" s="36"/>
      <c r="E65" s="35" t="str">
        <f>IF(D65="","No acredita","Acredita")</f>
        <v>No acredita</v>
      </c>
      <c r="F65" s="305"/>
    </row>
    <row r="66" spans="1:6" ht="14" hidden="1">
      <c r="A66" s="237" t="s">
        <v>59</v>
      </c>
      <c r="B66" s="238"/>
      <c r="C66" s="239"/>
      <c r="D66" s="44" t="str">
        <f>IFERROR((D65/(VLOOKUP((YEAR(D68)),[1]SMMLV!$A$9:$C$49,3,0)))*'O6'!D67,"0")</f>
        <v>0</v>
      </c>
      <c r="E66" s="37" t="str">
        <f>IF(D66="","No acredita","Acredita")</f>
        <v>Acredita</v>
      </c>
      <c r="F66" s="305"/>
    </row>
    <row r="67" spans="1:6" ht="14" hidden="1">
      <c r="A67" s="237" t="s">
        <v>80</v>
      </c>
      <c r="B67" s="238"/>
      <c r="C67" s="239"/>
      <c r="D67" s="45"/>
      <c r="E67" s="35" t="str">
        <f>IF(D67="","No acredita","Acredita")</f>
        <v>No acredita</v>
      </c>
      <c r="F67" s="305"/>
    </row>
    <row r="68" spans="1:6" ht="14" hidden="1">
      <c r="A68" s="237" t="s">
        <v>60</v>
      </c>
      <c r="B68" s="238"/>
      <c r="C68" s="239"/>
      <c r="D68" s="34"/>
      <c r="E68" s="35" t="str">
        <f>IF(D68="","No acredita","Acredita")</f>
        <v>No acredita</v>
      </c>
      <c r="F68" s="305"/>
    </row>
    <row r="69" spans="1:6" ht="65.25" hidden="1" customHeight="1">
      <c r="A69" s="227" t="s">
        <v>91</v>
      </c>
      <c r="B69" s="227"/>
      <c r="C69" s="227"/>
      <c r="D69" s="38"/>
      <c r="E69" s="35" t="str">
        <f t="shared" ref="E69:E76" si="2">IF(D69="","No acredita",IF(D69="","",IF(D69="SI","Acredita","No acredita")))</f>
        <v>No acredita</v>
      </c>
      <c r="F69" s="305"/>
    </row>
    <row r="70" spans="1:6" ht="28.5" hidden="1" customHeight="1">
      <c r="A70" s="227" t="s">
        <v>92</v>
      </c>
      <c r="B70" s="227"/>
      <c r="C70" s="227"/>
      <c r="D70" s="38"/>
      <c r="E70" s="35" t="str">
        <f t="shared" si="2"/>
        <v>No acredita</v>
      </c>
      <c r="F70" s="305"/>
    </row>
    <row r="71" spans="1:6" ht="14" hidden="1">
      <c r="A71" s="227" t="s">
        <v>69</v>
      </c>
      <c r="B71" s="227"/>
      <c r="C71" s="227"/>
      <c r="D71" s="38"/>
      <c r="E71" s="35" t="str">
        <f t="shared" si="2"/>
        <v>No acredita</v>
      </c>
      <c r="F71" s="305"/>
    </row>
    <row r="72" spans="1:6" ht="14" hidden="1">
      <c r="A72" s="227" t="s">
        <v>102</v>
      </c>
      <c r="B72" s="227"/>
      <c r="C72" s="227"/>
      <c r="D72" s="38"/>
      <c r="E72" s="35" t="str">
        <f t="shared" si="2"/>
        <v>No acredita</v>
      </c>
      <c r="F72" s="306"/>
    </row>
    <row r="73" spans="1:6" ht="14" hidden="1">
      <c r="A73" s="235" t="s">
        <v>97</v>
      </c>
      <c r="B73" s="288" t="s">
        <v>93</v>
      </c>
      <c r="C73" s="289"/>
      <c r="D73" s="38"/>
      <c r="E73" s="35" t="str">
        <f t="shared" si="2"/>
        <v>No acredita</v>
      </c>
      <c r="F73" s="307"/>
    </row>
    <row r="74" spans="1:6" ht="14" hidden="1">
      <c r="A74" s="287"/>
      <c r="B74" s="288" t="s">
        <v>94</v>
      </c>
      <c r="C74" s="289"/>
      <c r="D74" s="38"/>
      <c r="E74" s="35" t="str">
        <f t="shared" si="2"/>
        <v>No acredita</v>
      </c>
      <c r="F74" s="308"/>
    </row>
    <row r="75" spans="1:6" ht="14" hidden="1">
      <c r="A75" s="287"/>
      <c r="B75" s="288" t="s">
        <v>95</v>
      </c>
      <c r="C75" s="289"/>
      <c r="D75" s="38"/>
      <c r="E75" s="35" t="str">
        <f t="shared" si="2"/>
        <v>No acredita</v>
      </c>
      <c r="F75" s="308"/>
    </row>
    <row r="76" spans="1:6" ht="14" hidden="1">
      <c r="A76" s="236"/>
      <c r="B76" s="288" t="s">
        <v>96</v>
      </c>
      <c r="C76" s="289"/>
      <c r="D76" s="38"/>
      <c r="E76" s="35" t="str">
        <f t="shared" si="2"/>
        <v>No acredita</v>
      </c>
      <c r="F76" s="309"/>
    </row>
    <row r="77" spans="1:6" hidden="1">
      <c r="A77" s="231" t="s">
        <v>71</v>
      </c>
      <c r="B77" s="231"/>
      <c r="C77" s="231"/>
      <c r="D77" s="231"/>
      <c r="E77" s="232" t="str">
        <f>IF(AND(E62="acredita",E64="acredita",E65="acredita",E66="acredita",E67="acredita",E68="acredita",E69="acredita",E70="acredita",E71="acredita",E72="acredita"),"CUMPLE","NO CUMPLE")</f>
        <v>NO CUMPLE</v>
      </c>
      <c r="F77" s="233"/>
    </row>
    <row r="78" spans="1:6" hidden="1">
      <c r="A78" s="26"/>
      <c r="B78" s="26"/>
      <c r="C78" s="26"/>
      <c r="D78" s="26"/>
      <c r="E78" s="22"/>
      <c r="F78" s="22"/>
    </row>
    <row r="79" spans="1:6" hidden="1">
      <c r="A79" s="28" t="s">
        <v>82</v>
      </c>
      <c r="B79" s="294"/>
      <c r="C79" s="294"/>
      <c r="D79" s="294"/>
      <c r="E79" s="294"/>
      <c r="F79" s="294"/>
    </row>
    <row r="80" spans="1:6" hidden="1">
      <c r="A80" s="28" t="s">
        <v>51</v>
      </c>
      <c r="B80" s="241"/>
      <c r="C80" s="241"/>
      <c r="D80" s="241"/>
      <c r="E80" s="241"/>
      <c r="F80" s="241"/>
    </row>
    <row r="81" spans="1:6" hidden="1">
      <c r="A81" s="23" t="s">
        <v>52</v>
      </c>
      <c r="B81" s="234"/>
      <c r="C81" s="234"/>
      <c r="D81" s="234"/>
      <c r="E81" s="234"/>
      <c r="F81" s="234"/>
    </row>
    <row r="82" spans="1:6" hidden="1">
      <c r="A82" s="28" t="s">
        <v>65</v>
      </c>
      <c r="B82" s="31" t="s">
        <v>53</v>
      </c>
      <c r="C82" s="32" t="s">
        <v>66</v>
      </c>
      <c r="D82" s="32" t="s">
        <v>54</v>
      </c>
      <c r="E82" s="32" t="s">
        <v>67</v>
      </c>
      <c r="F82" s="32" t="s">
        <v>55</v>
      </c>
    </row>
    <row r="83" spans="1:6" hidden="1">
      <c r="A83" s="227" t="s">
        <v>56</v>
      </c>
      <c r="B83" s="33">
        <v>80101600</v>
      </c>
      <c r="C83" s="29"/>
      <c r="D83" s="29"/>
      <c r="E83" s="235" t="str">
        <f>IF(B84=C84,"Acredita",IF(B83=C83,"Acredita","No acredita"))</f>
        <v>No acredita</v>
      </c>
      <c r="F83" s="304"/>
    </row>
    <row r="84" spans="1:6" hidden="1">
      <c r="A84" s="227"/>
      <c r="B84" s="33">
        <v>81101500</v>
      </c>
      <c r="C84" s="30"/>
      <c r="D84" s="30"/>
      <c r="E84" s="236"/>
      <c r="F84" s="305"/>
    </row>
    <row r="85" spans="1:6" ht="14" hidden="1">
      <c r="A85" s="237" t="s">
        <v>57</v>
      </c>
      <c r="B85" s="238"/>
      <c r="C85" s="239"/>
      <c r="D85" s="34"/>
      <c r="E85" s="35" t="str">
        <f>IF(D85="","No acredita","Acredita")</f>
        <v>No acredita</v>
      </c>
      <c r="F85" s="305"/>
    </row>
    <row r="86" spans="1:6" ht="14" hidden="1">
      <c r="A86" s="237" t="s">
        <v>58</v>
      </c>
      <c r="B86" s="238"/>
      <c r="C86" s="239"/>
      <c r="D86" s="36"/>
      <c r="E86" s="35" t="str">
        <f>IF(D86="","No acredita","Acredita")</f>
        <v>No acredita</v>
      </c>
      <c r="F86" s="305"/>
    </row>
    <row r="87" spans="1:6" ht="14" hidden="1">
      <c r="A87" s="237" t="s">
        <v>59</v>
      </c>
      <c r="B87" s="238"/>
      <c r="C87" s="239"/>
      <c r="D87" s="44" t="str">
        <f>IFERROR((D86/(VLOOKUP((YEAR(D89)),[1]SMMLV!$A$9:$C$49,3,0)))*'O6'!D88,"0")</f>
        <v>0</v>
      </c>
      <c r="E87" s="37" t="str">
        <f>IF(D87="","No acredita","Acredita")</f>
        <v>Acredita</v>
      </c>
      <c r="F87" s="305"/>
    </row>
    <row r="88" spans="1:6" ht="14" hidden="1">
      <c r="A88" s="237" t="s">
        <v>80</v>
      </c>
      <c r="B88" s="238"/>
      <c r="C88" s="239"/>
      <c r="D88" s="45"/>
      <c r="E88" s="35" t="str">
        <f>IF(D88="","No acredita","Acredita")</f>
        <v>No acredita</v>
      </c>
      <c r="F88" s="305"/>
    </row>
    <row r="89" spans="1:6" ht="14" hidden="1">
      <c r="A89" s="237" t="s">
        <v>60</v>
      </c>
      <c r="B89" s="238"/>
      <c r="C89" s="239"/>
      <c r="D89" s="34"/>
      <c r="E89" s="35" t="str">
        <f>IF(D89="","No acredita","Acredita")</f>
        <v>No acredita</v>
      </c>
      <c r="F89" s="305"/>
    </row>
    <row r="90" spans="1:6" ht="69.75" hidden="1" customHeight="1">
      <c r="A90" s="227" t="s">
        <v>91</v>
      </c>
      <c r="B90" s="227"/>
      <c r="C90" s="227"/>
      <c r="D90" s="38"/>
      <c r="E90" s="35" t="str">
        <f t="shared" ref="E90:E97" si="3">IF(D90="","No acredita",IF(D90="","",IF(D90="SI","Acredita","No acredita")))</f>
        <v>No acredita</v>
      </c>
      <c r="F90" s="305"/>
    </row>
    <row r="91" spans="1:6" ht="32.25" hidden="1" customHeight="1">
      <c r="A91" s="227" t="s">
        <v>92</v>
      </c>
      <c r="B91" s="227"/>
      <c r="C91" s="227"/>
      <c r="D91" s="38" t="s">
        <v>62</v>
      </c>
      <c r="E91" s="35" t="str">
        <f t="shared" si="3"/>
        <v>No acredita</v>
      </c>
      <c r="F91" s="305"/>
    </row>
    <row r="92" spans="1:6" ht="14" hidden="1">
      <c r="A92" s="227" t="s">
        <v>69</v>
      </c>
      <c r="B92" s="227"/>
      <c r="C92" s="227"/>
      <c r="D92" s="38"/>
      <c r="E92" s="35" t="str">
        <f t="shared" si="3"/>
        <v>No acredita</v>
      </c>
      <c r="F92" s="305"/>
    </row>
    <row r="93" spans="1:6" ht="14" hidden="1">
      <c r="A93" s="227" t="s">
        <v>102</v>
      </c>
      <c r="B93" s="227"/>
      <c r="C93" s="227"/>
      <c r="D93" s="38"/>
      <c r="E93" s="35" t="str">
        <f t="shared" si="3"/>
        <v>No acredita</v>
      </c>
      <c r="F93" s="306"/>
    </row>
    <row r="94" spans="1:6" ht="14" hidden="1">
      <c r="A94" s="235" t="s">
        <v>97</v>
      </c>
      <c r="B94" s="288" t="s">
        <v>93</v>
      </c>
      <c r="C94" s="289"/>
      <c r="D94" s="38"/>
      <c r="E94" s="35" t="str">
        <f t="shared" si="3"/>
        <v>No acredita</v>
      </c>
      <c r="F94" s="307"/>
    </row>
    <row r="95" spans="1:6" ht="14" hidden="1">
      <c r="A95" s="287"/>
      <c r="B95" s="288" t="s">
        <v>94</v>
      </c>
      <c r="C95" s="289"/>
      <c r="D95" s="38"/>
      <c r="E95" s="35" t="str">
        <f t="shared" si="3"/>
        <v>No acredita</v>
      </c>
      <c r="F95" s="308"/>
    </row>
    <row r="96" spans="1:6" ht="14" hidden="1">
      <c r="A96" s="287"/>
      <c r="B96" s="288" t="s">
        <v>95</v>
      </c>
      <c r="C96" s="289"/>
      <c r="D96" s="38"/>
      <c r="E96" s="35" t="str">
        <f t="shared" si="3"/>
        <v>No acredita</v>
      </c>
      <c r="F96" s="308"/>
    </row>
    <row r="97" spans="1:6" ht="14" hidden="1">
      <c r="A97" s="236"/>
      <c r="B97" s="288" t="s">
        <v>96</v>
      </c>
      <c r="C97" s="289"/>
      <c r="D97" s="38"/>
      <c r="E97" s="35" t="str">
        <f t="shared" si="3"/>
        <v>No acredita</v>
      </c>
      <c r="F97" s="309"/>
    </row>
    <row r="98" spans="1:6" hidden="1">
      <c r="A98" s="231" t="s">
        <v>72</v>
      </c>
      <c r="B98" s="231"/>
      <c r="C98" s="231"/>
      <c r="D98" s="231"/>
      <c r="E98" s="232" t="str">
        <f>IF(AND(E83="acredita",E85="acredita",E86="acredita",E87="acredita",E88="acredita",E89="acredita",E90="acredita",E91="acredita",E92="acredita",E93="acredita"),"CUMPLE","NO CUMPLE")</f>
        <v>NO CUMPLE</v>
      </c>
      <c r="F98" s="233"/>
    </row>
    <row r="99" spans="1:6" hidden="1">
      <c r="A99" s="26"/>
      <c r="B99" s="26"/>
      <c r="C99" s="26"/>
      <c r="D99" s="26"/>
      <c r="E99" s="22"/>
      <c r="F99" s="22"/>
    </row>
    <row r="100" spans="1:6" hidden="1">
      <c r="A100" s="293" t="s">
        <v>98</v>
      </c>
      <c r="B100" s="293"/>
      <c r="C100" s="293"/>
      <c r="D100" s="293"/>
      <c r="E100" s="293"/>
      <c r="F100" s="293"/>
    </row>
    <row r="101" spans="1:6" hidden="1">
      <c r="A101" s="28" t="s">
        <v>83</v>
      </c>
      <c r="B101" s="294"/>
      <c r="C101" s="294"/>
      <c r="D101" s="294"/>
      <c r="E101" s="294"/>
      <c r="F101" s="294"/>
    </row>
    <row r="102" spans="1:6" hidden="1">
      <c r="A102" s="28" t="s">
        <v>51</v>
      </c>
      <c r="B102" s="241"/>
      <c r="C102" s="241"/>
      <c r="D102" s="241"/>
      <c r="E102" s="241"/>
      <c r="F102" s="241"/>
    </row>
    <row r="103" spans="1:6" hidden="1">
      <c r="A103" s="23" t="s">
        <v>52</v>
      </c>
      <c r="B103" s="234"/>
      <c r="C103" s="234"/>
      <c r="D103" s="234"/>
      <c r="E103" s="234"/>
      <c r="F103" s="234"/>
    </row>
    <row r="104" spans="1:6" hidden="1">
      <c r="A104" s="28" t="s">
        <v>65</v>
      </c>
      <c r="B104" s="31" t="s">
        <v>53</v>
      </c>
      <c r="C104" s="32" t="s">
        <v>66</v>
      </c>
      <c r="D104" s="32" t="s">
        <v>54</v>
      </c>
      <c r="E104" s="32" t="s">
        <v>67</v>
      </c>
      <c r="F104" s="32" t="s">
        <v>55</v>
      </c>
    </row>
    <row r="105" spans="1:6" hidden="1">
      <c r="A105" s="227" t="s">
        <v>56</v>
      </c>
      <c r="B105" s="33">
        <v>80101600</v>
      </c>
      <c r="C105" s="29"/>
      <c r="D105" s="29"/>
      <c r="E105" s="235" t="str">
        <f>IF(B106=C106,"Acredita",IF(B105=C105,"Acredita","No acredita"))</f>
        <v>No acredita</v>
      </c>
      <c r="F105" s="304"/>
    </row>
    <row r="106" spans="1:6" hidden="1">
      <c r="A106" s="227"/>
      <c r="B106" s="33">
        <v>81101500</v>
      </c>
      <c r="C106" s="30"/>
      <c r="D106" s="30"/>
      <c r="E106" s="236"/>
      <c r="F106" s="305"/>
    </row>
    <row r="107" spans="1:6" ht="14" hidden="1">
      <c r="A107" s="237" t="s">
        <v>57</v>
      </c>
      <c r="B107" s="238"/>
      <c r="C107" s="239"/>
      <c r="D107" s="34"/>
      <c r="E107" s="35" t="str">
        <f>IF(D107="","No acredita","Acredita")</f>
        <v>No acredita</v>
      </c>
      <c r="F107" s="305"/>
    </row>
    <row r="108" spans="1:6" ht="14" hidden="1">
      <c r="A108" s="237" t="s">
        <v>58</v>
      </c>
      <c r="B108" s="238"/>
      <c r="C108" s="239"/>
      <c r="D108" s="36"/>
      <c r="E108" s="35" t="str">
        <f>IF(D108="","No acredita","Acredita")</f>
        <v>No acredita</v>
      </c>
      <c r="F108" s="305"/>
    </row>
    <row r="109" spans="1:6" ht="14" hidden="1">
      <c r="A109" s="237" t="s">
        <v>59</v>
      </c>
      <c r="B109" s="238"/>
      <c r="C109" s="239"/>
      <c r="D109" s="44" t="str">
        <f>IFERROR((D108/(VLOOKUP((YEAR(D111)),[1]SMMLV!$A$9:$C$49,3,0)))*'O6'!D110,"0")</f>
        <v>0</v>
      </c>
      <c r="E109" s="37" t="str">
        <f>IF(D109="","No acredita","Acredita")</f>
        <v>Acredita</v>
      </c>
      <c r="F109" s="305"/>
    </row>
    <row r="110" spans="1:6" ht="14" hidden="1">
      <c r="A110" s="237" t="s">
        <v>80</v>
      </c>
      <c r="B110" s="238"/>
      <c r="C110" s="239"/>
      <c r="D110" s="45"/>
      <c r="E110" s="35" t="str">
        <f>IF(D110="","No acredita","Acredita")</f>
        <v>No acredita</v>
      </c>
      <c r="F110" s="305"/>
    </row>
    <row r="111" spans="1:6" ht="14" hidden="1">
      <c r="A111" s="237" t="s">
        <v>60</v>
      </c>
      <c r="B111" s="238"/>
      <c r="C111" s="239"/>
      <c r="D111" s="34"/>
      <c r="E111" s="35" t="str">
        <f>IF(D111="","No acredita","Acredita")</f>
        <v>No acredita</v>
      </c>
      <c r="F111" s="305"/>
    </row>
    <row r="112" spans="1:6" ht="68.25" hidden="1" customHeight="1">
      <c r="A112" s="227" t="s">
        <v>91</v>
      </c>
      <c r="B112" s="227"/>
      <c r="C112" s="227"/>
      <c r="D112" s="38"/>
      <c r="E112" s="35" t="str">
        <f t="shared" ref="E112:E119" si="4">IF(D112="","No acredita",IF(D112="","",IF(D112="SI","Acredita","No acredita")))</f>
        <v>No acredita</v>
      </c>
      <c r="F112" s="305"/>
    </row>
    <row r="113" spans="1:6" ht="27" hidden="1" customHeight="1">
      <c r="A113" s="227" t="s">
        <v>92</v>
      </c>
      <c r="B113" s="227"/>
      <c r="C113" s="227"/>
      <c r="D113" s="38"/>
      <c r="E113" s="35" t="str">
        <f t="shared" si="4"/>
        <v>No acredita</v>
      </c>
      <c r="F113" s="305"/>
    </row>
    <row r="114" spans="1:6" ht="14" hidden="1">
      <c r="A114" s="227" t="s">
        <v>69</v>
      </c>
      <c r="B114" s="227"/>
      <c r="C114" s="227"/>
      <c r="D114" s="38"/>
      <c r="E114" s="35" t="str">
        <f t="shared" si="4"/>
        <v>No acredita</v>
      </c>
      <c r="F114" s="305"/>
    </row>
    <row r="115" spans="1:6" ht="14" hidden="1">
      <c r="A115" s="227" t="s">
        <v>102</v>
      </c>
      <c r="B115" s="227"/>
      <c r="C115" s="227"/>
      <c r="D115" s="38"/>
      <c r="E115" s="35" t="str">
        <f t="shared" si="4"/>
        <v>No acredita</v>
      </c>
      <c r="F115" s="306"/>
    </row>
    <row r="116" spans="1:6" ht="14" hidden="1">
      <c r="A116" s="235" t="s">
        <v>97</v>
      </c>
      <c r="B116" s="288" t="s">
        <v>93</v>
      </c>
      <c r="C116" s="289"/>
      <c r="D116" s="38"/>
      <c r="E116" s="35" t="str">
        <f t="shared" si="4"/>
        <v>No acredita</v>
      </c>
      <c r="F116" s="307"/>
    </row>
    <row r="117" spans="1:6" ht="14" hidden="1">
      <c r="A117" s="287"/>
      <c r="B117" s="288" t="s">
        <v>94</v>
      </c>
      <c r="C117" s="289"/>
      <c r="D117" s="38"/>
      <c r="E117" s="35" t="str">
        <f t="shared" si="4"/>
        <v>No acredita</v>
      </c>
      <c r="F117" s="308"/>
    </row>
    <row r="118" spans="1:6" ht="14" hidden="1">
      <c r="A118" s="287"/>
      <c r="B118" s="288" t="s">
        <v>95</v>
      </c>
      <c r="C118" s="289"/>
      <c r="D118" s="38"/>
      <c r="E118" s="35" t="str">
        <f t="shared" si="4"/>
        <v>No acredita</v>
      </c>
      <c r="F118" s="308"/>
    </row>
    <row r="119" spans="1:6" ht="14" hidden="1">
      <c r="A119" s="236"/>
      <c r="B119" s="288" t="s">
        <v>96</v>
      </c>
      <c r="C119" s="289"/>
      <c r="D119" s="38"/>
      <c r="E119" s="35" t="str">
        <f t="shared" si="4"/>
        <v>No acredita</v>
      </c>
      <c r="F119" s="309"/>
    </row>
    <row r="120" spans="1:6" hidden="1">
      <c r="A120" s="231" t="s">
        <v>73</v>
      </c>
      <c r="B120" s="231"/>
      <c r="C120" s="231"/>
      <c r="D120" s="231"/>
      <c r="E120" s="232" t="str">
        <f>IF(AND(E105="acredita",E107="acredita",E108="acredita",E109="acredita",E110="acredita",E111="acredita",E112="acredita",E113="acredita",E114="acredita",E115="acredita"),"CUMPLE","NO CUMPLE")</f>
        <v>NO CUMPLE</v>
      </c>
      <c r="F120" s="233"/>
    </row>
    <row r="121" spans="1:6">
      <c r="A121" s="26"/>
      <c r="B121" s="26"/>
      <c r="C121" s="26"/>
      <c r="D121" s="26"/>
      <c r="E121" s="22"/>
      <c r="F121" s="22"/>
    </row>
    <row r="122" spans="1:6">
      <c r="A122" s="227" t="s">
        <v>101</v>
      </c>
      <c r="B122" s="227"/>
      <c r="C122" s="227"/>
      <c r="D122" s="227"/>
      <c r="E122" s="227"/>
      <c r="F122" s="46" t="s">
        <v>61</v>
      </c>
    </row>
    <row r="123" spans="1:6">
      <c r="A123" s="227"/>
      <c r="B123" s="227"/>
      <c r="C123" s="227"/>
      <c r="D123" s="227"/>
      <c r="E123" s="227"/>
      <c r="F123" s="43" t="str">
        <f>IF(F122="SI","CUMPLE","NO CUMPLE")</f>
        <v>CUMPLE</v>
      </c>
    </row>
    <row r="124" spans="1:6" ht="31.5" customHeight="1">
      <c r="A124" s="227" t="s">
        <v>86</v>
      </c>
      <c r="B124" s="227"/>
      <c r="C124" s="227"/>
      <c r="D124" s="227"/>
      <c r="E124" s="227"/>
      <c r="F124" s="227"/>
    </row>
    <row r="125" spans="1:6">
      <c r="A125" s="26"/>
      <c r="B125" s="26"/>
      <c r="C125" s="26"/>
      <c r="D125" s="26"/>
      <c r="E125" s="22"/>
      <c r="F125" s="22"/>
    </row>
    <row r="126" spans="1:6">
      <c r="A126" s="227" t="s">
        <v>99</v>
      </c>
      <c r="B126" s="227"/>
      <c r="C126" s="227"/>
      <c r="D126" s="227"/>
      <c r="E126" s="227"/>
      <c r="F126" s="46">
        <f>SUM(D24+D45+D66+D87+D109)</f>
        <v>1834.3811543310358</v>
      </c>
    </row>
    <row r="127" spans="1:6">
      <c r="A127" s="227"/>
      <c r="B127" s="227"/>
      <c r="C127" s="227"/>
      <c r="D127" s="227"/>
      <c r="E127" s="227"/>
      <c r="F127" s="43" t="str">
        <f>IF(F126&gt;=433.26,"CUMPLE","NO CUMPLE")</f>
        <v>CUMPLE</v>
      </c>
    </row>
    <row r="128" spans="1:6" ht="33" customHeight="1">
      <c r="A128" s="227" t="s">
        <v>86</v>
      </c>
      <c r="B128" s="227"/>
      <c r="C128" s="227"/>
      <c r="D128" s="227"/>
      <c r="E128" s="227"/>
      <c r="F128" s="227"/>
    </row>
    <row r="129" spans="1:6">
      <c r="A129" s="41"/>
      <c r="B129" s="41"/>
      <c r="C129" s="41"/>
      <c r="D129" s="41"/>
      <c r="E129" s="41"/>
      <c r="F129" s="22"/>
    </row>
    <row r="130" spans="1:6">
      <c r="A130" s="227" t="s">
        <v>100</v>
      </c>
      <c r="B130" s="227"/>
      <c r="C130" s="227"/>
      <c r="D130" s="227"/>
      <c r="E130" s="227"/>
      <c r="F130" s="46" t="s">
        <v>61</v>
      </c>
    </row>
    <row r="131" spans="1:6" ht="27" customHeight="1">
      <c r="A131" s="227"/>
      <c r="B131" s="227"/>
      <c r="C131" s="227"/>
      <c r="D131" s="227"/>
      <c r="E131" s="227"/>
      <c r="F131" s="43" t="str">
        <f>IF(F130="SI","CUMPLE","NO CUMPLE")</f>
        <v>CUMPLE</v>
      </c>
    </row>
    <row r="132" spans="1:6" ht="29.25" customHeight="1">
      <c r="A132" s="227" t="s">
        <v>84</v>
      </c>
      <c r="B132" s="227"/>
      <c r="C132" s="227"/>
      <c r="D132" s="227"/>
      <c r="E132" s="227"/>
      <c r="F132" s="227"/>
    </row>
    <row r="133" spans="1:6">
      <c r="A133" s="39"/>
      <c r="B133" s="39"/>
      <c r="C133" s="39"/>
      <c r="D133" s="39"/>
      <c r="E133" s="39"/>
      <c r="F133" s="40"/>
    </row>
    <row r="134" spans="1:6">
      <c r="A134" s="227" t="s">
        <v>74</v>
      </c>
      <c r="B134" s="227"/>
      <c r="C134" s="227"/>
      <c r="D134" s="227"/>
      <c r="E134" s="227"/>
      <c r="F134" s="46" t="s">
        <v>61</v>
      </c>
    </row>
    <row r="135" spans="1:6">
      <c r="A135" s="227"/>
      <c r="B135" s="227"/>
      <c r="C135" s="227"/>
      <c r="D135" s="227"/>
      <c r="E135" s="227"/>
      <c r="F135" s="43" t="str">
        <f>IF(F134="SI","CUMPLE","NO CUMPLE")</f>
        <v>CUMPLE</v>
      </c>
    </row>
    <row r="136" spans="1:6" ht="27.75" customHeight="1">
      <c r="A136" s="227" t="s">
        <v>84</v>
      </c>
      <c r="B136" s="227"/>
      <c r="C136" s="227"/>
      <c r="D136" s="227"/>
      <c r="E136" s="227"/>
      <c r="F136" s="227"/>
    </row>
    <row r="137" spans="1:6">
      <c r="A137" s="39"/>
      <c r="B137" s="39"/>
      <c r="C137" s="39"/>
      <c r="D137" s="39"/>
      <c r="E137" s="39"/>
      <c r="F137" s="40"/>
    </row>
    <row r="138" spans="1:6" ht="14">
      <c r="A138" s="284" t="s">
        <v>90</v>
      </c>
      <c r="B138" s="285"/>
      <c r="C138" s="285"/>
      <c r="D138" s="285"/>
      <c r="E138" s="286"/>
      <c r="F138" s="74" t="str">
        <f>IF(AND(F123="cumple",F127="cumple",F131="cumple",F135="cumple"),"CUMPLE","NO CUMPLE")</f>
        <v>CUMPLE</v>
      </c>
    </row>
    <row r="139" spans="1:6">
      <c r="A139" s="39"/>
      <c r="B139" s="39"/>
      <c r="C139" s="39"/>
      <c r="D139" s="39"/>
      <c r="E139" s="39"/>
      <c r="F139" s="40"/>
    </row>
    <row r="140" spans="1:6">
      <c r="A140" s="39"/>
      <c r="B140" s="39"/>
      <c r="C140" s="39"/>
      <c r="D140" s="39"/>
      <c r="E140" s="39"/>
      <c r="F140" s="40"/>
    </row>
    <row r="141" spans="1:6" ht="14">
      <c r="A141" s="212" t="s">
        <v>114</v>
      </c>
      <c r="B141" s="212"/>
      <c r="C141" s="212"/>
      <c r="D141" s="212"/>
      <c r="E141" s="212"/>
      <c r="F141" s="212"/>
    </row>
    <row r="142" spans="1:6">
      <c r="A142" s="39"/>
      <c r="B142" s="39"/>
      <c r="C142" s="39"/>
      <c r="D142" s="39"/>
      <c r="E142" s="39"/>
      <c r="F142" s="40"/>
    </row>
    <row r="143" spans="1:6">
      <c r="A143" s="262" t="s">
        <v>138</v>
      </c>
      <c r="B143" s="262"/>
      <c r="C143" s="262"/>
      <c r="D143" s="262"/>
      <c r="E143" s="262"/>
      <c r="F143" s="262"/>
    </row>
    <row r="144" spans="1:6">
      <c r="A144" s="281" t="s">
        <v>104</v>
      </c>
      <c r="B144" s="282"/>
      <c r="C144" s="283"/>
      <c r="D144" s="266" t="s">
        <v>427</v>
      </c>
      <c r="E144" s="267"/>
      <c r="F144" s="268"/>
    </row>
    <row r="145" spans="1:7" ht="69" customHeight="1">
      <c r="A145" s="73" t="s">
        <v>105</v>
      </c>
      <c r="B145" s="280" t="s">
        <v>124</v>
      </c>
      <c r="C145" s="280"/>
      <c r="D145" s="52" t="s">
        <v>116</v>
      </c>
      <c r="E145" s="52" t="str">
        <f>IF(D145="","NO CUMPLE","CUMPLE")</f>
        <v>CUMPLE</v>
      </c>
      <c r="F145" s="53"/>
    </row>
    <row r="146" spans="1:7" ht="28">
      <c r="A146" s="73" t="s">
        <v>106</v>
      </c>
      <c r="B146" s="280" t="s">
        <v>133</v>
      </c>
      <c r="C146" s="280"/>
      <c r="D146" s="54" t="s">
        <v>61</v>
      </c>
      <c r="E146" s="55" t="str">
        <f>IF(D146="SI","CUMPLE","NO CUMPLE")</f>
        <v>CUMPLE</v>
      </c>
      <c r="F146" s="53" t="s">
        <v>428</v>
      </c>
    </row>
    <row r="147" spans="1:7" ht="28">
      <c r="A147" s="73" t="s">
        <v>107</v>
      </c>
      <c r="B147" s="280" t="s">
        <v>108</v>
      </c>
      <c r="C147" s="280"/>
      <c r="D147" s="55" t="s">
        <v>429</v>
      </c>
      <c r="E147" s="55" t="str">
        <f>IF(D147="","NO CUMPLE","CUMPLE")</f>
        <v>CUMPLE</v>
      </c>
      <c r="F147" s="53"/>
    </row>
    <row r="148" spans="1:7" ht="14">
      <c r="A148" s="275" t="s">
        <v>109</v>
      </c>
      <c r="B148" s="276"/>
      <c r="C148" s="277"/>
      <c r="D148" s="56">
        <v>45630</v>
      </c>
      <c r="E148" s="55" t="str">
        <f>IF(($B$4-D148)&gt;183,"NO CUMPLE","CUMPLE")</f>
        <v>CUMPLE</v>
      </c>
      <c r="F148" s="53"/>
    </row>
    <row r="149" spans="1:7" ht="14">
      <c r="A149" s="278" t="s">
        <v>107</v>
      </c>
      <c r="B149" s="280" t="s">
        <v>132</v>
      </c>
      <c r="C149" s="280"/>
      <c r="D149" s="54">
        <v>37214</v>
      </c>
      <c r="E149" s="55" t="str">
        <f>IF(D149="","NO CUMPLE","CUMPLE")</f>
        <v>CUMPLE</v>
      </c>
      <c r="F149" s="53"/>
      <c r="G149" s="50"/>
    </row>
    <row r="150" spans="1:7" ht="14">
      <c r="A150" s="279"/>
      <c r="B150" s="280" t="s">
        <v>121</v>
      </c>
      <c r="C150" s="280"/>
      <c r="D150" s="61">
        <f>IF(D149&gt;0,(($B$4-D149)/365))</f>
        <v>23.06027397260274</v>
      </c>
      <c r="E150" s="62" t="str">
        <f>IF(D149="","NO CUMPLE",IF(D150&gt;=10,"CUMPLE","NO CUMPLE"))</f>
        <v>CUMPLE</v>
      </c>
      <c r="F150" s="53"/>
      <c r="G150" s="50"/>
    </row>
    <row r="151" spans="1:7" ht="14">
      <c r="A151" s="275" t="s">
        <v>125</v>
      </c>
      <c r="B151" s="276"/>
      <c r="C151" s="277"/>
      <c r="D151" s="54" t="s">
        <v>61</v>
      </c>
      <c r="E151" s="55" t="str">
        <f>IF(D151="SI","CUMPLE","NO CUMPLE")</f>
        <v>CUMPLE</v>
      </c>
      <c r="F151" s="53"/>
      <c r="G151" s="50"/>
    </row>
    <row r="152" spans="1:7" ht="14">
      <c r="A152" s="275" t="s">
        <v>126</v>
      </c>
      <c r="B152" s="276"/>
      <c r="C152" s="277"/>
      <c r="D152" s="54" t="s">
        <v>61</v>
      </c>
      <c r="E152" s="55" t="str">
        <f>IF(D152="SI","CUMPLE","NO CUMPLE")</f>
        <v>CUMPLE</v>
      </c>
      <c r="F152" s="53"/>
      <c r="G152" s="50"/>
    </row>
    <row r="153" spans="1:7" ht="14">
      <c r="A153" s="275" t="s">
        <v>127</v>
      </c>
      <c r="B153" s="276"/>
      <c r="C153" s="277"/>
      <c r="D153" s="54" t="s">
        <v>61</v>
      </c>
      <c r="E153" s="55" t="str">
        <f>IF(D153="SI","CUMPLE","NO CUMPLE")</f>
        <v>CUMPLE</v>
      </c>
      <c r="F153" s="53"/>
      <c r="G153" s="50"/>
    </row>
    <row r="154" spans="1:7">
      <c r="A154" s="64"/>
      <c r="B154" s="65"/>
      <c r="C154" s="65"/>
      <c r="D154" s="66"/>
      <c r="E154" s="67"/>
      <c r="F154" s="68"/>
      <c r="G154" s="50"/>
    </row>
    <row r="155" spans="1:7" ht="146.25" customHeight="1">
      <c r="A155" s="269" t="s">
        <v>430</v>
      </c>
      <c r="B155" s="270"/>
      <c r="C155" s="59" t="s">
        <v>122</v>
      </c>
      <c r="D155" s="54" t="s">
        <v>61</v>
      </c>
      <c r="E155" s="55" t="str">
        <f>IF(D155="SI","CUMPLE","NO CUMPLE")</f>
        <v>CUMPLE</v>
      </c>
      <c r="F155" s="53"/>
    </row>
    <row r="156" spans="1:7" ht="42">
      <c r="A156" s="271"/>
      <c r="B156" s="272"/>
      <c r="C156" s="59" t="s">
        <v>123</v>
      </c>
      <c r="D156" s="54" t="s">
        <v>61</v>
      </c>
      <c r="E156" s="55" t="str">
        <f>IF(D156="SI","CUMPLE","NO CUMPLE")</f>
        <v>CUMPLE</v>
      </c>
      <c r="F156" s="53"/>
    </row>
    <row r="157" spans="1:7" ht="70">
      <c r="A157" s="271"/>
      <c r="B157" s="272"/>
      <c r="C157" s="59" t="s">
        <v>128</v>
      </c>
      <c r="D157" s="56" t="s">
        <v>550</v>
      </c>
      <c r="E157" s="55" t="str">
        <f>IF(D157="","NO CUMPLE","CUMPLE")</f>
        <v>CUMPLE</v>
      </c>
      <c r="F157" s="53"/>
    </row>
    <row r="158" spans="1:7" ht="28">
      <c r="A158" s="271"/>
      <c r="B158" s="272"/>
      <c r="C158" s="59" t="s">
        <v>129</v>
      </c>
      <c r="D158" s="56" t="s">
        <v>130</v>
      </c>
      <c r="E158" s="55" t="str">
        <f>IF(D158="Director Interventoria","CUMPLE","NO CUMPLE")</f>
        <v>CUMPLE</v>
      </c>
      <c r="F158" s="53"/>
    </row>
    <row r="159" spans="1:7" ht="14">
      <c r="A159" s="271"/>
      <c r="B159" s="272"/>
      <c r="C159" s="60" t="s">
        <v>110</v>
      </c>
      <c r="D159" s="58">
        <v>1746202374</v>
      </c>
      <c r="E159" s="55" t="str">
        <f>IF(D159="","NO CUMPLE","CUMPLE")</f>
        <v>CUMPLE</v>
      </c>
      <c r="F159" s="53"/>
    </row>
    <row r="160" spans="1:7" ht="14">
      <c r="A160" s="271"/>
      <c r="B160" s="272"/>
      <c r="C160" s="60" t="s">
        <v>111</v>
      </c>
      <c r="D160" s="57">
        <v>42177</v>
      </c>
      <c r="E160" s="55" t="str">
        <f>IF(D160="","NO CUMPLE","CUMPLE")</f>
        <v>CUMPLE</v>
      </c>
      <c r="F160" s="53"/>
    </row>
    <row r="161" spans="1:7" ht="14">
      <c r="A161" s="271"/>
      <c r="B161" s="272"/>
      <c r="C161" s="60" t="s">
        <v>112</v>
      </c>
      <c r="D161" s="57">
        <v>43173</v>
      </c>
      <c r="E161" s="55" t="str">
        <f>IF(D161="","NO CUMPLE","CUMPLE")</f>
        <v>CUMPLE</v>
      </c>
      <c r="F161" s="53"/>
      <c r="G161" s="51"/>
    </row>
    <row r="162" spans="1:7">
      <c r="A162" s="273"/>
      <c r="B162" s="274"/>
      <c r="C162" s="60" t="s">
        <v>113</v>
      </c>
      <c r="D162" s="61">
        <f>IFERROR((D159/(VLOOKUP((YEAR(D161)),[1]SMMLV!$A$9:$C$49,3,0))),"0")</f>
        <v>2235.1619267781302</v>
      </c>
      <c r="E162" s="62"/>
      <c r="F162" s="53"/>
    </row>
    <row r="163" spans="1:7" ht="15">
      <c r="A163" s="69"/>
      <c r="B163" s="69"/>
      <c r="C163" s="69"/>
      <c r="D163" s="69"/>
      <c r="E163" s="69"/>
      <c r="F163" s="69"/>
    </row>
    <row r="164" spans="1:7" ht="154" hidden="1">
      <c r="A164" s="269" t="s">
        <v>431</v>
      </c>
      <c r="B164" s="270"/>
      <c r="C164" s="59" t="s">
        <v>122</v>
      </c>
      <c r="D164" s="54"/>
      <c r="E164" s="55" t="str">
        <f>IF(D164="SI","CUMPLE","NO CUMPLE")</f>
        <v>NO CUMPLE</v>
      </c>
      <c r="F164" s="53"/>
    </row>
    <row r="165" spans="1:7" ht="42" hidden="1">
      <c r="A165" s="271"/>
      <c r="B165" s="272"/>
      <c r="C165" s="59" t="s">
        <v>123</v>
      </c>
      <c r="D165" s="54"/>
      <c r="E165" s="55" t="str">
        <f>IF(D165="SI","CUMPLE","NO CUMPLE")</f>
        <v>NO CUMPLE</v>
      </c>
      <c r="F165" s="53"/>
    </row>
    <row r="166" spans="1:7" ht="14" hidden="1">
      <c r="A166" s="271"/>
      <c r="B166" s="272"/>
      <c r="C166" s="59" t="s">
        <v>128</v>
      </c>
      <c r="D166" s="56"/>
      <c r="E166" s="55" t="str">
        <f>IF(D166="","NO CUMPLE","CUMPLE")</f>
        <v>NO CUMPLE</v>
      </c>
      <c r="F166" s="53"/>
    </row>
    <row r="167" spans="1:7" ht="14" hidden="1">
      <c r="A167" s="271"/>
      <c r="B167" s="272"/>
      <c r="C167" s="59" t="s">
        <v>129</v>
      </c>
      <c r="D167" s="56"/>
      <c r="E167" s="55" t="str">
        <f>IF(D167="Director Interventoria","CUMPLE","NO CUMPLE")</f>
        <v>NO CUMPLE</v>
      </c>
      <c r="F167" s="53"/>
    </row>
    <row r="168" spans="1:7" ht="14" hidden="1">
      <c r="A168" s="271"/>
      <c r="B168" s="272"/>
      <c r="C168" s="60" t="s">
        <v>110</v>
      </c>
      <c r="D168" s="58"/>
      <c r="E168" s="55" t="str">
        <f>IF(D168="","NO CUMPLE","CUMPLE")</f>
        <v>NO CUMPLE</v>
      </c>
      <c r="F168" s="53"/>
    </row>
    <row r="169" spans="1:7" ht="14" hidden="1">
      <c r="A169" s="271"/>
      <c r="B169" s="272"/>
      <c r="C169" s="60" t="s">
        <v>111</v>
      </c>
      <c r="D169" s="57"/>
      <c r="E169" s="55" t="str">
        <f>IF(D169="","NO CUMPLE","CUMPLE")</f>
        <v>NO CUMPLE</v>
      </c>
      <c r="F169" s="53"/>
    </row>
    <row r="170" spans="1:7" ht="14" hidden="1">
      <c r="A170" s="271"/>
      <c r="B170" s="272"/>
      <c r="C170" s="60" t="s">
        <v>112</v>
      </c>
      <c r="D170" s="57"/>
      <c r="E170" s="55" t="str">
        <f>IF(D170="","NO CUMPLE","CUMPLE")</f>
        <v>NO CUMPLE</v>
      </c>
      <c r="F170" s="53"/>
    </row>
    <row r="171" spans="1:7" hidden="1">
      <c r="A171" s="273"/>
      <c r="B171" s="274"/>
      <c r="C171" s="60" t="s">
        <v>113</v>
      </c>
      <c r="D171" s="61" t="str">
        <f>IFERROR((D168/(VLOOKUP((YEAR(D170)),[1]SMMLV!$A$9:$C$49,3,0))),"0")</f>
        <v>0</v>
      </c>
      <c r="E171" s="62"/>
      <c r="F171" s="53"/>
    </row>
    <row r="172" spans="1:7" ht="15" hidden="1">
      <c r="A172" s="69"/>
      <c r="B172" s="69"/>
      <c r="C172" s="69"/>
      <c r="D172" s="69"/>
      <c r="E172" s="69"/>
      <c r="F172" s="69"/>
    </row>
    <row r="173" spans="1:7" ht="154" hidden="1">
      <c r="A173" s="269" t="s">
        <v>432</v>
      </c>
      <c r="B173" s="270"/>
      <c r="C173" s="59" t="s">
        <v>122</v>
      </c>
      <c r="D173" s="54"/>
      <c r="E173" s="55" t="str">
        <f>IF(D173="SI","CUMPLE","NO CUMPLE")</f>
        <v>NO CUMPLE</v>
      </c>
      <c r="F173" s="53"/>
    </row>
    <row r="174" spans="1:7" ht="42" hidden="1">
      <c r="A174" s="271"/>
      <c r="B174" s="272"/>
      <c r="C174" s="59" t="s">
        <v>123</v>
      </c>
      <c r="D174" s="54"/>
      <c r="E174" s="55" t="str">
        <f>IF(D174="SI","CUMPLE","NO CUMPLE")</f>
        <v>NO CUMPLE</v>
      </c>
      <c r="F174" s="53"/>
    </row>
    <row r="175" spans="1:7" ht="14" hidden="1">
      <c r="A175" s="271"/>
      <c r="B175" s="272"/>
      <c r="C175" s="59" t="s">
        <v>128</v>
      </c>
      <c r="D175" s="56"/>
      <c r="E175" s="55" t="str">
        <f>IF(D175="","NO CUMPLE","CUMPLE")</f>
        <v>NO CUMPLE</v>
      </c>
      <c r="F175" s="53"/>
    </row>
    <row r="176" spans="1:7" ht="14" hidden="1">
      <c r="A176" s="271"/>
      <c r="B176" s="272"/>
      <c r="C176" s="59" t="s">
        <v>129</v>
      </c>
      <c r="D176" s="56"/>
      <c r="E176" s="55" t="str">
        <f>IF(D176="Director Interventoria","CUMPLE","NO CUMPLE")</f>
        <v>NO CUMPLE</v>
      </c>
      <c r="F176" s="53"/>
    </row>
    <row r="177" spans="1:6" ht="14" hidden="1">
      <c r="A177" s="271"/>
      <c r="B177" s="272"/>
      <c r="C177" s="60" t="s">
        <v>110</v>
      </c>
      <c r="D177" s="58"/>
      <c r="E177" s="55" t="str">
        <f>IF(D177="","NO CUMPLE","CUMPLE")</f>
        <v>NO CUMPLE</v>
      </c>
      <c r="F177" s="53"/>
    </row>
    <row r="178" spans="1:6" ht="14" hidden="1">
      <c r="A178" s="271"/>
      <c r="B178" s="272"/>
      <c r="C178" s="60" t="s">
        <v>111</v>
      </c>
      <c r="D178" s="57"/>
      <c r="E178" s="55" t="str">
        <f>IF(D178="","NO CUMPLE","CUMPLE")</f>
        <v>NO CUMPLE</v>
      </c>
      <c r="F178" s="53"/>
    </row>
    <row r="179" spans="1:6" ht="14" hidden="1">
      <c r="A179" s="271"/>
      <c r="B179" s="272"/>
      <c r="C179" s="60" t="s">
        <v>112</v>
      </c>
      <c r="D179" s="57"/>
      <c r="E179" s="55" t="str">
        <f>IF(D179="","NO CUMPLE","CUMPLE")</f>
        <v>NO CUMPLE</v>
      </c>
      <c r="F179" s="53"/>
    </row>
    <row r="180" spans="1:6" hidden="1">
      <c r="A180" s="273"/>
      <c r="B180" s="274"/>
      <c r="C180" s="60" t="s">
        <v>113</v>
      </c>
      <c r="D180" s="61" t="str">
        <f>IFERROR((D177/(VLOOKUP((YEAR(D179)),[1]SMMLV!$A$9:$C$49,3,0))),"0")</f>
        <v>0</v>
      </c>
      <c r="E180" s="62"/>
      <c r="F180" s="53"/>
    </row>
    <row r="181" spans="1:6" ht="15" hidden="1">
      <c r="A181" s="69"/>
      <c r="B181" s="69"/>
      <c r="C181" s="69"/>
      <c r="D181" s="69"/>
      <c r="E181" s="69"/>
      <c r="F181" s="69"/>
    </row>
    <row r="182" spans="1:6">
      <c r="A182" s="227" t="s">
        <v>203</v>
      </c>
      <c r="B182" s="227"/>
      <c r="C182" s="227"/>
      <c r="D182" s="227"/>
      <c r="E182" s="227"/>
      <c r="F182" s="71">
        <f>SUM(D162+D171+D180)</f>
        <v>2235.1619267781302</v>
      </c>
    </row>
    <row r="183" spans="1:6">
      <c r="A183" s="227"/>
      <c r="B183" s="227"/>
      <c r="C183" s="227"/>
      <c r="D183" s="227"/>
      <c r="E183" s="227"/>
      <c r="F183" s="43" t="str">
        <f>IF(F182&gt;=433.26,"CUMPLE","NO CUMPLE")</f>
        <v>CUMPLE</v>
      </c>
    </row>
    <row r="184" spans="1:6" ht="33" customHeight="1">
      <c r="A184" s="227" t="s">
        <v>84</v>
      </c>
      <c r="B184" s="227"/>
      <c r="C184" s="227"/>
      <c r="D184" s="227"/>
      <c r="E184" s="227"/>
      <c r="F184" s="227"/>
    </row>
    <row r="185" spans="1:6">
      <c r="A185" s="39"/>
      <c r="B185" s="39"/>
      <c r="C185" s="39"/>
      <c r="D185" s="39"/>
      <c r="E185" s="39"/>
      <c r="F185" s="40"/>
    </row>
    <row r="186" spans="1:6">
      <c r="A186" s="246" t="s">
        <v>138</v>
      </c>
      <c r="B186" s="247"/>
      <c r="C186" s="247"/>
      <c r="D186" s="247"/>
      <c r="E186" s="248"/>
      <c r="F186" s="70" t="str">
        <f>IF(AND(E145="cumple",E146="cumple",E147="cumple",E148="cumple",E149="cumple",E150="cumple",E151="cumple",E152="cumple",E153="cumple",F183="cumple"),"CUMPLE","NO CUMPLE")</f>
        <v>CUMPLE</v>
      </c>
    </row>
    <row r="187" spans="1:6" ht="15">
      <c r="A187" s="69"/>
      <c r="B187" s="69"/>
      <c r="C187" s="69"/>
      <c r="D187" s="69"/>
      <c r="E187" s="69"/>
      <c r="F187" s="69"/>
    </row>
    <row r="188" spans="1:6">
      <c r="A188" s="262" t="s">
        <v>137</v>
      </c>
      <c r="B188" s="262"/>
      <c r="C188" s="262"/>
      <c r="D188" s="262"/>
      <c r="E188" s="262"/>
      <c r="F188" s="262"/>
    </row>
    <row r="189" spans="1:6">
      <c r="A189" s="263" t="s">
        <v>104</v>
      </c>
      <c r="B189" s="264"/>
      <c r="C189" s="265"/>
      <c r="D189" s="266" t="s">
        <v>433</v>
      </c>
      <c r="E189" s="267"/>
      <c r="F189" s="268"/>
    </row>
    <row r="190" spans="1:6" ht="14">
      <c r="A190" s="99" t="s">
        <v>105</v>
      </c>
      <c r="B190" s="256" t="s">
        <v>124</v>
      </c>
      <c r="C190" s="256"/>
      <c r="D190" s="52" t="s">
        <v>115</v>
      </c>
      <c r="E190" s="52" t="str">
        <f>IF(D190="","NO CUMPLE","CUMPLE")</f>
        <v>CUMPLE</v>
      </c>
      <c r="F190" s="53"/>
    </row>
    <row r="191" spans="1:6" ht="14">
      <c r="A191" s="99" t="s">
        <v>106</v>
      </c>
      <c r="B191" s="256" t="s">
        <v>133</v>
      </c>
      <c r="C191" s="256"/>
      <c r="D191" s="54" t="s">
        <v>61</v>
      </c>
      <c r="E191" s="55" t="str">
        <f>IF(D191="SI","CUMPLE","NO CUMPLE")</f>
        <v>CUMPLE</v>
      </c>
      <c r="F191" s="53"/>
    </row>
    <row r="192" spans="1:6" ht="14">
      <c r="A192" s="99" t="s">
        <v>107</v>
      </c>
      <c r="B192" s="256" t="s">
        <v>108</v>
      </c>
      <c r="C192" s="256"/>
      <c r="D192" s="63" t="s">
        <v>434</v>
      </c>
      <c r="E192" s="55" t="str">
        <f>IF(D192="","NO CUMPLE","CUMPLE")</f>
        <v>CUMPLE</v>
      </c>
      <c r="F192" s="53"/>
    </row>
    <row r="193" spans="1:6" ht="14">
      <c r="A193" s="253" t="s">
        <v>109</v>
      </c>
      <c r="B193" s="254"/>
      <c r="C193" s="255"/>
      <c r="D193" s="56">
        <v>45534</v>
      </c>
      <c r="E193" s="55" t="str">
        <f>IF(($B$4-D193)&gt;183,"NO CUMPLE","CUMPLE")</f>
        <v>CUMPLE</v>
      </c>
      <c r="F193" s="53"/>
    </row>
    <row r="194" spans="1:6" ht="14">
      <c r="A194" s="257" t="s">
        <v>107</v>
      </c>
      <c r="B194" s="256" t="s">
        <v>132</v>
      </c>
      <c r="C194" s="256"/>
      <c r="D194" s="54">
        <v>43307</v>
      </c>
      <c r="E194" s="55" t="str">
        <f>IF(D194="","NO CUMPLE","CUMPLE")</f>
        <v>CUMPLE</v>
      </c>
      <c r="F194" s="53"/>
    </row>
    <row r="195" spans="1:6" ht="14">
      <c r="A195" s="258"/>
      <c r="B195" s="256" t="s">
        <v>269</v>
      </c>
      <c r="C195" s="256"/>
      <c r="D195" s="100">
        <f>IF(D194&gt;0,(($B$4-D194)/365))</f>
        <v>6.3671232876712329</v>
      </c>
      <c r="E195" s="101" t="str">
        <f>IF(D194="","NO CUMPLE",IF(D195&gt;=6,"CUMPLE","NO CUMPLE"))</f>
        <v>CUMPLE</v>
      </c>
      <c r="F195" s="53"/>
    </row>
    <row r="196" spans="1:6" ht="14">
      <c r="A196" s="253" t="s">
        <v>125</v>
      </c>
      <c r="B196" s="254"/>
      <c r="C196" s="255"/>
      <c r="D196" s="54" t="s">
        <v>61</v>
      </c>
      <c r="E196" s="55" t="str">
        <f>IF(D196="SI","CUMPLE","NO CUMPLE")</f>
        <v>CUMPLE</v>
      </c>
      <c r="F196" s="53"/>
    </row>
    <row r="197" spans="1:6" ht="14">
      <c r="A197" s="253" t="s">
        <v>126</v>
      </c>
      <c r="B197" s="254"/>
      <c r="C197" s="255"/>
      <c r="D197" s="54" t="s">
        <v>61</v>
      </c>
      <c r="E197" s="55" t="str">
        <f>IF(D197="SI","CUMPLE","NO CUMPLE")</f>
        <v>CUMPLE</v>
      </c>
      <c r="F197" s="53"/>
    </row>
    <row r="198" spans="1:6" ht="14">
      <c r="A198" s="253" t="s">
        <v>127</v>
      </c>
      <c r="B198" s="254"/>
      <c r="C198" s="255"/>
      <c r="D198" s="54" t="s">
        <v>61</v>
      </c>
      <c r="E198" s="55" t="str">
        <f>IF(D198="SI","CUMPLE","NO CUMPLE")</f>
        <v>CUMPLE</v>
      </c>
      <c r="F198" s="53"/>
    </row>
    <row r="199" spans="1:6">
      <c r="A199" s="64"/>
      <c r="B199" s="65"/>
      <c r="C199" s="65"/>
      <c r="D199" s="66"/>
      <c r="E199" s="67"/>
      <c r="F199" s="68"/>
    </row>
    <row r="200" spans="1:6" ht="154">
      <c r="A200" s="269" t="s">
        <v>435</v>
      </c>
      <c r="B200" s="270"/>
      <c r="C200" s="102" t="s">
        <v>122</v>
      </c>
      <c r="D200" s="54" t="s">
        <v>61</v>
      </c>
      <c r="E200" s="55" t="str">
        <f>IF(D200="SI","CUMPLE","NO CUMPLE")</f>
        <v>CUMPLE</v>
      </c>
      <c r="F200" s="329"/>
    </row>
    <row r="201" spans="1:6" ht="42">
      <c r="A201" s="271"/>
      <c r="B201" s="272"/>
      <c r="C201" s="102" t="s">
        <v>123</v>
      </c>
      <c r="D201" s="54" t="s">
        <v>61</v>
      </c>
      <c r="E201" s="55" t="str">
        <f>IF(D201="SI","CUMPLE","NO CUMPLE")</f>
        <v>CUMPLE</v>
      </c>
      <c r="F201" s="330"/>
    </row>
    <row r="202" spans="1:6" ht="42">
      <c r="A202" s="271"/>
      <c r="B202" s="272"/>
      <c r="C202" s="102" t="s">
        <v>128</v>
      </c>
      <c r="D202" s="56" t="s">
        <v>551</v>
      </c>
      <c r="E202" s="55" t="str">
        <f>IF(D202="","NO CUMPLE","CUMPLE")</f>
        <v>CUMPLE</v>
      </c>
      <c r="F202" s="330"/>
    </row>
    <row r="203" spans="1:6" ht="28">
      <c r="A203" s="271"/>
      <c r="B203" s="272"/>
      <c r="C203" s="102" t="s">
        <v>129</v>
      </c>
      <c r="D203" s="56" t="s">
        <v>204</v>
      </c>
      <c r="E203" s="55" t="str">
        <f>IF(D203="Residente Interventoría","CUMPLE","NO CUMPLE")</f>
        <v>CUMPLE</v>
      </c>
      <c r="F203" s="330"/>
    </row>
    <row r="204" spans="1:6" ht="14">
      <c r="A204" s="271"/>
      <c r="B204" s="272"/>
      <c r="C204" s="103" t="s">
        <v>110</v>
      </c>
      <c r="D204" s="58">
        <v>924568720</v>
      </c>
      <c r="E204" s="55" t="str">
        <f>IF(D204="","NO CUMPLE","CUMPLE")</f>
        <v>CUMPLE</v>
      </c>
      <c r="F204" s="330"/>
    </row>
    <row r="205" spans="1:6" ht="14">
      <c r="A205" s="271"/>
      <c r="B205" s="272"/>
      <c r="C205" s="103" t="s">
        <v>111</v>
      </c>
      <c r="D205" s="57">
        <v>43311</v>
      </c>
      <c r="E205" s="55" t="str">
        <f>IF(D205="","NO CUMPLE","CUMPLE")</f>
        <v>CUMPLE</v>
      </c>
      <c r="F205" s="330"/>
    </row>
    <row r="206" spans="1:6" ht="14">
      <c r="A206" s="271"/>
      <c r="B206" s="272"/>
      <c r="C206" s="103" t="s">
        <v>112</v>
      </c>
      <c r="D206" s="57">
        <v>44104</v>
      </c>
      <c r="E206" s="55" t="str">
        <f>IF(D206="","NO CUMPLE","CUMPLE")</f>
        <v>CUMPLE</v>
      </c>
      <c r="F206" s="331"/>
    </row>
    <row r="207" spans="1:6">
      <c r="A207" s="273"/>
      <c r="B207" s="274"/>
      <c r="C207" s="103" t="s">
        <v>113</v>
      </c>
      <c r="D207" s="100">
        <f>IFERROR((D204/(VLOOKUP((YEAR(D206)),[1]SMMLV!$A$9:$C$49,3,0))),"0")</f>
        <v>1053.275871693307</v>
      </c>
      <c r="E207" s="101"/>
      <c r="F207" s="53"/>
    </row>
    <row r="208" spans="1:6">
      <c r="A208" s="165"/>
      <c r="B208" s="165"/>
      <c r="C208" s="164"/>
      <c r="D208" s="163"/>
      <c r="E208" s="162"/>
      <c r="F208" s="68"/>
    </row>
    <row r="209" spans="1:6" ht="154">
      <c r="A209" s="269" t="s">
        <v>590</v>
      </c>
      <c r="B209" s="270"/>
      <c r="C209" s="102" t="s">
        <v>122</v>
      </c>
      <c r="D209" s="54" t="s">
        <v>61</v>
      </c>
      <c r="E209" s="55" t="str">
        <f>IF(D209="SI","CUMPLE","NO CUMPLE")</f>
        <v>CUMPLE</v>
      </c>
      <c r="F209" s="53"/>
    </row>
    <row r="210" spans="1:6" ht="42">
      <c r="A210" s="271"/>
      <c r="B210" s="272"/>
      <c r="C210" s="102" t="s">
        <v>123</v>
      </c>
      <c r="D210" s="54" t="s">
        <v>61</v>
      </c>
      <c r="E210" s="55" t="str">
        <f>IF(D210="SI","CUMPLE","NO CUMPLE")</f>
        <v>CUMPLE</v>
      </c>
      <c r="F210" s="53"/>
    </row>
    <row r="211" spans="1:6" ht="28">
      <c r="A211" s="271"/>
      <c r="B211" s="272"/>
      <c r="C211" s="102" t="s">
        <v>128</v>
      </c>
      <c r="D211" s="56" t="s">
        <v>419</v>
      </c>
      <c r="E211" s="55" t="str">
        <f>IF(D211="","NO CUMPLE","CUMPLE")</f>
        <v>CUMPLE</v>
      </c>
      <c r="F211" s="53"/>
    </row>
    <row r="212" spans="1:6" ht="28">
      <c r="A212" s="271"/>
      <c r="B212" s="272"/>
      <c r="C212" s="102" t="s">
        <v>129</v>
      </c>
      <c r="D212" s="56" t="s">
        <v>204</v>
      </c>
      <c r="E212" s="55" t="str">
        <f>IF(D212="Residente Interventoría","CUMPLE","NO CUMPLE")</f>
        <v>CUMPLE</v>
      </c>
      <c r="F212" s="53"/>
    </row>
    <row r="213" spans="1:6" ht="14">
      <c r="A213" s="271"/>
      <c r="B213" s="272"/>
      <c r="C213" s="103" t="s">
        <v>110</v>
      </c>
      <c r="D213" s="58">
        <v>1187624789</v>
      </c>
      <c r="E213" s="55" t="str">
        <f>IF(D213="","NO CUMPLE","CUMPLE")</f>
        <v>CUMPLE</v>
      </c>
      <c r="F213" s="53"/>
    </row>
    <row r="214" spans="1:6" ht="14">
      <c r="A214" s="271"/>
      <c r="B214" s="272"/>
      <c r="C214" s="103" t="s">
        <v>111</v>
      </c>
      <c r="D214" s="57">
        <v>45461</v>
      </c>
      <c r="E214" s="55" t="str">
        <f>IF(D214="","NO CUMPLE","CUMPLE")</f>
        <v>CUMPLE</v>
      </c>
      <c r="F214" s="53"/>
    </row>
    <row r="215" spans="1:6" ht="14">
      <c r="A215" s="271"/>
      <c r="B215" s="272"/>
      <c r="C215" s="103" t="s">
        <v>112</v>
      </c>
      <c r="D215" s="57">
        <v>45614</v>
      </c>
      <c r="E215" s="55" t="str">
        <f>IF(D215="","NO CUMPLE","CUMPLE")</f>
        <v>CUMPLE</v>
      </c>
      <c r="F215" s="53"/>
    </row>
    <row r="216" spans="1:6">
      <c r="A216" s="273"/>
      <c r="B216" s="274"/>
      <c r="C216" s="103" t="s">
        <v>113</v>
      </c>
      <c r="D216" s="100">
        <f>IFERROR((D213/(VLOOKUP((YEAR(D215)),[1]SMMLV!$A$9:$C$49,3,0))),"0")</f>
        <v>913.55753000000004</v>
      </c>
      <c r="E216" s="101"/>
      <c r="F216" s="53"/>
    </row>
    <row r="217" spans="1:6" ht="15">
      <c r="A217" s="69"/>
      <c r="B217" s="69"/>
      <c r="C217" s="69"/>
      <c r="D217" s="69"/>
      <c r="E217" s="69"/>
      <c r="F217" s="69"/>
    </row>
    <row r="218" spans="1:6">
      <c r="A218" s="227" t="s">
        <v>202</v>
      </c>
      <c r="B218" s="227"/>
      <c r="C218" s="227"/>
      <c r="D218" s="227"/>
      <c r="E218" s="227"/>
      <c r="F218" s="71">
        <f>(D207+D216)</f>
        <v>1966.833401693307</v>
      </c>
    </row>
    <row r="219" spans="1:6">
      <c r="A219" s="227"/>
      <c r="B219" s="227"/>
      <c r="C219" s="227"/>
      <c r="D219" s="227"/>
      <c r="E219" s="227"/>
      <c r="F219" s="43" t="str">
        <f>IF(F218&gt;=216.63,"CUMPLE","NO CUMPLE")</f>
        <v>CUMPLE</v>
      </c>
    </row>
    <row r="220" spans="1:6" ht="27" customHeight="1">
      <c r="A220" s="227" t="s">
        <v>84</v>
      </c>
      <c r="B220" s="227"/>
      <c r="C220" s="227"/>
      <c r="D220" s="227"/>
      <c r="E220" s="227"/>
      <c r="F220" s="227"/>
    </row>
    <row r="221" spans="1:6">
      <c r="A221" s="39"/>
      <c r="B221" s="39"/>
      <c r="C221" s="39"/>
      <c r="D221" s="39"/>
      <c r="E221" s="39"/>
      <c r="F221" s="40"/>
    </row>
    <row r="222" spans="1:6">
      <c r="A222" s="259" t="s">
        <v>135</v>
      </c>
      <c r="B222" s="260"/>
      <c r="C222" s="260"/>
      <c r="D222" s="260"/>
      <c r="E222" s="261"/>
      <c r="F222" s="43" t="str">
        <f>IF(AND(E190="cumple",E191="cumple",E192="cumple",E193="cumple",E194="cumple",E195="cumple",E196="cumple",E197="cumple",E198="cumple",F219="cumple"),"CUMPLE","NO CUMPLE")</f>
        <v>CUMPLE</v>
      </c>
    </row>
    <row r="223" spans="1:6">
      <c r="A223" s="39"/>
      <c r="B223" s="39"/>
      <c r="C223" s="39"/>
      <c r="D223" s="39"/>
      <c r="E223" s="39"/>
      <c r="F223" s="40"/>
    </row>
    <row r="224" spans="1:6">
      <c r="A224" s="262" t="s">
        <v>136</v>
      </c>
      <c r="B224" s="262"/>
      <c r="C224" s="262"/>
      <c r="D224" s="262"/>
      <c r="E224" s="262"/>
      <c r="F224" s="262"/>
    </row>
    <row r="225" spans="1:6">
      <c r="A225" s="263" t="s">
        <v>104</v>
      </c>
      <c r="B225" s="264"/>
      <c r="C225" s="265"/>
      <c r="D225" s="266" t="s">
        <v>436</v>
      </c>
      <c r="E225" s="267"/>
      <c r="F225" s="268"/>
    </row>
    <row r="226" spans="1:6" ht="14">
      <c r="A226" s="99" t="s">
        <v>105</v>
      </c>
      <c r="B226" s="256" t="s">
        <v>124</v>
      </c>
      <c r="C226" s="256"/>
      <c r="D226" s="52" t="s">
        <v>115</v>
      </c>
      <c r="E226" s="52" t="str">
        <f>IF(D226="","NO CUMPLE","CUMPLE")</f>
        <v>CUMPLE</v>
      </c>
      <c r="F226" s="53"/>
    </row>
    <row r="227" spans="1:6" ht="14">
      <c r="A227" s="99" t="s">
        <v>106</v>
      </c>
      <c r="B227" s="256" t="s">
        <v>133</v>
      </c>
      <c r="C227" s="256"/>
      <c r="D227" s="54" t="s">
        <v>61</v>
      </c>
      <c r="E227" s="55" t="str">
        <f>IF(D227="SI","CUMPLE","NO CUMPLE")</f>
        <v>CUMPLE</v>
      </c>
      <c r="F227" s="53"/>
    </row>
    <row r="228" spans="1:6" ht="14">
      <c r="A228" s="99" t="s">
        <v>107</v>
      </c>
      <c r="B228" s="256" t="s">
        <v>108</v>
      </c>
      <c r="C228" s="256"/>
      <c r="D228" s="63" t="s">
        <v>437</v>
      </c>
      <c r="E228" s="55" t="str">
        <f>IF(D228="","NO CUMPLE","CUMPLE")</f>
        <v>CUMPLE</v>
      </c>
      <c r="F228" s="53"/>
    </row>
    <row r="229" spans="1:6" ht="14">
      <c r="A229" s="253" t="s">
        <v>109</v>
      </c>
      <c r="B229" s="254"/>
      <c r="C229" s="255"/>
      <c r="D229" s="56">
        <v>45630</v>
      </c>
      <c r="E229" s="55" t="str">
        <f>IF(($B$4-D229)&gt;183,"NO CUMPLE","CUMPLE")</f>
        <v>CUMPLE</v>
      </c>
      <c r="F229" s="53"/>
    </row>
    <row r="230" spans="1:6" ht="14">
      <c r="A230" s="257" t="s">
        <v>107</v>
      </c>
      <c r="B230" s="256" t="s">
        <v>132</v>
      </c>
      <c r="C230" s="256"/>
      <c r="D230" s="54">
        <v>43398</v>
      </c>
      <c r="E230" s="55" t="str">
        <f>IF(D230="","NO CUMPLE","CUMPLE")</f>
        <v>CUMPLE</v>
      </c>
      <c r="F230" s="53"/>
    </row>
    <row r="231" spans="1:6" ht="14">
      <c r="A231" s="258"/>
      <c r="B231" s="256" t="s">
        <v>269</v>
      </c>
      <c r="C231" s="256"/>
      <c r="D231" s="100">
        <f>IF(D230&gt;0,(($B$4-D230)/365))</f>
        <v>6.117808219178082</v>
      </c>
      <c r="E231" s="101" t="str">
        <f>IF(D230="","NO CUMPLE",IF(D231&gt;=6,"CUMPLE","NO CUMPLE"))</f>
        <v>CUMPLE</v>
      </c>
      <c r="F231" s="53"/>
    </row>
    <row r="232" spans="1:6" ht="14">
      <c r="A232" s="253" t="s">
        <v>125</v>
      </c>
      <c r="B232" s="254"/>
      <c r="C232" s="255"/>
      <c r="D232" s="54" t="s">
        <v>61</v>
      </c>
      <c r="E232" s="55" t="str">
        <f>IF(D232="SI","CUMPLE","NO CUMPLE")</f>
        <v>CUMPLE</v>
      </c>
      <c r="F232" s="53"/>
    </row>
    <row r="233" spans="1:6" ht="14">
      <c r="A233" s="253" t="s">
        <v>126</v>
      </c>
      <c r="B233" s="254"/>
      <c r="C233" s="255"/>
      <c r="D233" s="54" t="s">
        <v>61</v>
      </c>
      <c r="E233" s="55" t="str">
        <f>IF(D233="SI","CUMPLE","NO CUMPLE")</f>
        <v>CUMPLE</v>
      </c>
      <c r="F233" s="53"/>
    </row>
    <row r="234" spans="1:6" ht="14">
      <c r="A234" s="253" t="s">
        <v>127</v>
      </c>
      <c r="B234" s="254"/>
      <c r="C234" s="255"/>
      <c r="D234" s="54" t="s">
        <v>61</v>
      </c>
      <c r="E234" s="55" t="str">
        <f>IF(D234="SI","CUMPLE","NO CUMPLE")</f>
        <v>CUMPLE</v>
      </c>
      <c r="F234" s="53"/>
    </row>
    <row r="235" spans="1:6">
      <c r="A235" s="64"/>
      <c r="B235" s="65"/>
      <c r="C235" s="65"/>
      <c r="D235" s="66"/>
      <c r="E235" s="67"/>
      <c r="F235" s="68"/>
    </row>
    <row r="236" spans="1:6" ht="154">
      <c r="A236" s="269" t="s">
        <v>438</v>
      </c>
      <c r="B236" s="270"/>
      <c r="C236" s="102" t="s">
        <v>122</v>
      </c>
      <c r="D236" s="54" t="s">
        <v>61</v>
      </c>
      <c r="E236" s="55" t="str">
        <f>IF(D236="SI","CUMPLE","NO CUMPLE")</f>
        <v>CUMPLE</v>
      </c>
      <c r="F236" s="329"/>
    </row>
    <row r="237" spans="1:6" ht="42">
      <c r="A237" s="271"/>
      <c r="B237" s="272"/>
      <c r="C237" s="102" t="s">
        <v>123</v>
      </c>
      <c r="D237" s="54" t="s">
        <v>61</v>
      </c>
      <c r="E237" s="55" t="str">
        <f>IF(D237="SI","CUMPLE","NO CUMPLE")</f>
        <v>CUMPLE</v>
      </c>
      <c r="F237" s="330"/>
    </row>
    <row r="238" spans="1:6" ht="38.25" customHeight="1">
      <c r="A238" s="271"/>
      <c r="B238" s="272"/>
      <c r="C238" s="102" t="s">
        <v>128</v>
      </c>
      <c r="D238" s="56" t="s">
        <v>421</v>
      </c>
      <c r="E238" s="55" t="str">
        <f>IF(D238="","NO CUMPLE","CUMPLE")</f>
        <v>CUMPLE</v>
      </c>
      <c r="F238" s="330"/>
    </row>
    <row r="239" spans="1:6" ht="28">
      <c r="A239" s="271"/>
      <c r="B239" s="272"/>
      <c r="C239" s="102" t="s">
        <v>129</v>
      </c>
      <c r="D239" s="56" t="s">
        <v>204</v>
      </c>
      <c r="E239" s="55" t="str">
        <f>IF(D239="Residente Interventoría","CUMPLE","NO CUMPLE")</f>
        <v>CUMPLE</v>
      </c>
      <c r="F239" s="330"/>
    </row>
    <row r="240" spans="1:6" ht="14">
      <c r="A240" s="271"/>
      <c r="B240" s="272"/>
      <c r="C240" s="103" t="s">
        <v>110</v>
      </c>
      <c r="D240" s="58">
        <v>790607197</v>
      </c>
      <c r="E240" s="55" t="str">
        <f>IF(D240="","NO CUMPLE","CUMPLE")</f>
        <v>CUMPLE</v>
      </c>
      <c r="F240" s="330"/>
    </row>
    <row r="241" spans="1:6" ht="14">
      <c r="A241" s="271"/>
      <c r="B241" s="272"/>
      <c r="C241" s="103" t="s">
        <v>111</v>
      </c>
      <c r="D241" s="57">
        <v>44200</v>
      </c>
      <c r="E241" s="55" t="str">
        <f>IF(D241="","NO CUMPLE","CUMPLE")</f>
        <v>CUMPLE</v>
      </c>
      <c r="F241" s="330"/>
    </row>
    <row r="242" spans="1:6" ht="14">
      <c r="A242" s="271"/>
      <c r="B242" s="272"/>
      <c r="C242" s="103" t="s">
        <v>112</v>
      </c>
      <c r="D242" s="57">
        <v>44565</v>
      </c>
      <c r="E242" s="55" t="str">
        <f>IF(D242="","NO CUMPLE","CUMPLE")</f>
        <v>CUMPLE</v>
      </c>
      <c r="F242" s="330"/>
    </row>
    <row r="243" spans="1:6">
      <c r="A243" s="273"/>
      <c r="B243" s="274"/>
      <c r="C243" s="103" t="s">
        <v>113</v>
      </c>
      <c r="D243" s="100">
        <f>IFERROR((D240/(VLOOKUP((YEAR(D242)),[1]SMMLV!$A$9:$C$49,3,0))),"0")</f>
        <v>790.60719700000004</v>
      </c>
      <c r="E243" s="101"/>
      <c r="F243" s="331"/>
    </row>
    <row r="244" spans="1:6" ht="15">
      <c r="A244" s="69"/>
      <c r="B244" s="69"/>
      <c r="C244" s="69"/>
      <c r="D244" s="69"/>
      <c r="E244" s="69"/>
      <c r="F244" s="69"/>
    </row>
    <row r="245" spans="1:6" ht="154">
      <c r="A245" s="269" t="s">
        <v>589</v>
      </c>
      <c r="B245" s="270"/>
      <c r="C245" s="102" t="s">
        <v>122</v>
      </c>
      <c r="D245" s="54" t="s">
        <v>61</v>
      </c>
      <c r="E245" s="55" t="str">
        <f>IF(D245="SI","CUMPLE","NO CUMPLE")</f>
        <v>CUMPLE</v>
      </c>
      <c r="F245" s="53"/>
    </row>
    <row r="246" spans="1:6" ht="42">
      <c r="A246" s="271"/>
      <c r="B246" s="272"/>
      <c r="C246" s="102" t="s">
        <v>123</v>
      </c>
      <c r="D246" s="54" t="s">
        <v>61</v>
      </c>
      <c r="E246" s="55" t="str">
        <f>IF(D246="SI","CUMPLE","NO CUMPLE")</f>
        <v>CUMPLE</v>
      </c>
      <c r="F246" s="53"/>
    </row>
    <row r="247" spans="1:6" ht="28">
      <c r="A247" s="271"/>
      <c r="B247" s="272"/>
      <c r="C247" s="102" t="s">
        <v>128</v>
      </c>
      <c r="D247" s="56" t="s">
        <v>419</v>
      </c>
      <c r="E247" s="55" t="str">
        <f>IF(D247="","NO CUMPLE","CUMPLE")</f>
        <v>CUMPLE</v>
      </c>
      <c r="F247" s="53"/>
    </row>
    <row r="248" spans="1:6" ht="28">
      <c r="A248" s="271"/>
      <c r="B248" s="272"/>
      <c r="C248" s="102" t="s">
        <v>129</v>
      </c>
      <c r="D248" s="56" t="s">
        <v>204</v>
      </c>
      <c r="E248" s="55" t="str">
        <f>IF(D248="Residente Interventoría","CUMPLE","NO CUMPLE")</f>
        <v>CUMPLE</v>
      </c>
      <c r="F248" s="53"/>
    </row>
    <row r="249" spans="1:6" ht="14">
      <c r="A249" s="271"/>
      <c r="B249" s="272"/>
      <c r="C249" s="103" t="s">
        <v>110</v>
      </c>
      <c r="D249" s="58">
        <v>594022630</v>
      </c>
      <c r="E249" s="55" t="str">
        <f>IF(D249="","NO CUMPLE","CUMPLE")</f>
        <v>CUMPLE</v>
      </c>
      <c r="F249" s="53"/>
    </row>
    <row r="250" spans="1:6" ht="14">
      <c r="A250" s="271"/>
      <c r="B250" s="272"/>
      <c r="C250" s="103" t="s">
        <v>111</v>
      </c>
      <c r="D250" s="57">
        <v>44764</v>
      </c>
      <c r="E250" s="55" t="str">
        <f>IF(D250="","NO CUMPLE","CUMPLE")</f>
        <v>CUMPLE</v>
      </c>
      <c r="F250" s="53"/>
    </row>
    <row r="251" spans="1:6" ht="14">
      <c r="A251" s="271"/>
      <c r="B251" s="272"/>
      <c r="C251" s="103" t="s">
        <v>112</v>
      </c>
      <c r="D251" s="57">
        <v>44956</v>
      </c>
      <c r="E251" s="55" t="str">
        <f>IF(D251="","NO CUMPLE","CUMPLE")</f>
        <v>CUMPLE</v>
      </c>
      <c r="F251" s="53"/>
    </row>
    <row r="252" spans="1:6">
      <c r="A252" s="273"/>
      <c r="B252" s="274"/>
      <c r="C252" s="103" t="s">
        <v>113</v>
      </c>
      <c r="D252" s="100">
        <f>IFERROR((D249/(VLOOKUP((YEAR(D251)),[1]SMMLV!$A$9:$C$49,3,0))),"0")</f>
        <v>512.08847413793103</v>
      </c>
      <c r="E252" s="101"/>
      <c r="F252" s="53"/>
    </row>
    <row r="253" spans="1:6" ht="15">
      <c r="A253" s="69"/>
      <c r="B253" s="69"/>
      <c r="C253" s="69"/>
      <c r="D253" s="69"/>
      <c r="E253" s="69"/>
      <c r="F253" s="69"/>
    </row>
    <row r="254" spans="1:6">
      <c r="A254" s="227" t="s">
        <v>202</v>
      </c>
      <c r="B254" s="227"/>
      <c r="C254" s="227"/>
      <c r="D254" s="227"/>
      <c r="E254" s="227"/>
      <c r="F254" s="71">
        <f>D243+D252</f>
        <v>1302.6956711379312</v>
      </c>
    </row>
    <row r="255" spans="1:6">
      <c r="A255" s="227"/>
      <c r="B255" s="227"/>
      <c r="C255" s="227"/>
      <c r="D255" s="227"/>
      <c r="E255" s="227"/>
      <c r="F255" s="43" t="str">
        <f>IF(F254&gt;=216.63,"CUMPLE","NO CUMPLE")</f>
        <v>CUMPLE</v>
      </c>
    </row>
    <row r="256" spans="1:6" ht="27.75" customHeight="1">
      <c r="A256" s="227" t="s">
        <v>84</v>
      </c>
      <c r="B256" s="227"/>
      <c r="C256" s="227"/>
      <c r="D256" s="227"/>
      <c r="E256" s="227"/>
      <c r="F256" s="227"/>
    </row>
    <row r="257" spans="1:6">
      <c r="A257" s="39"/>
      <c r="B257" s="39"/>
      <c r="C257" s="39"/>
      <c r="D257" s="39"/>
      <c r="E257" s="39"/>
      <c r="F257" s="40"/>
    </row>
    <row r="258" spans="1:6">
      <c r="A258" s="246" t="s">
        <v>134</v>
      </c>
      <c r="B258" s="247"/>
      <c r="C258" s="247"/>
      <c r="D258" s="247"/>
      <c r="E258" s="248"/>
      <c r="F258" s="70" t="str">
        <f>IF(AND(E226="cumple",E227="cumple",E228="cumple",E229="cumple",E230="cumple",E231="cumple",E232="cumple",E233="cumple",E234="cumple",F255="cumple"),"CUMPLE","NO CUMPLE")</f>
        <v>CUMPLE</v>
      </c>
    </row>
    <row r="259" spans="1:6">
      <c r="A259" s="39"/>
      <c r="B259" s="39"/>
      <c r="C259" s="39"/>
      <c r="D259" s="39"/>
      <c r="E259" s="39"/>
      <c r="F259" s="40"/>
    </row>
    <row r="260" spans="1:6" ht="30.75" customHeight="1">
      <c r="A260" s="249" t="s">
        <v>114</v>
      </c>
      <c r="B260" s="250"/>
      <c r="C260" s="250"/>
      <c r="D260" s="250"/>
      <c r="E260" s="251"/>
      <c r="F260" s="104" t="str">
        <f>IF(AND(F186="CUMPLE",F222="CUMPLE",F258="CUMPLE"),"CUMPLE","NO CUMPLE")</f>
        <v>CUMPLE</v>
      </c>
    </row>
    <row r="261" spans="1:6">
      <c r="A261" s="39"/>
      <c r="B261" s="39"/>
      <c r="C261" s="39"/>
      <c r="D261" s="39"/>
      <c r="E261" s="39"/>
      <c r="F261" s="40"/>
    </row>
    <row r="262" spans="1:6">
      <c r="A262" s="39"/>
      <c r="B262" s="39"/>
      <c r="C262" s="39"/>
      <c r="D262" s="39"/>
      <c r="E262" s="39"/>
      <c r="F262" s="40"/>
    </row>
    <row r="263" spans="1:6" ht="14">
      <c r="A263" s="252" t="s">
        <v>139</v>
      </c>
      <c r="B263" s="252"/>
      <c r="C263" s="252"/>
      <c r="D263" s="252"/>
      <c r="E263" s="252"/>
      <c r="F263" s="252"/>
    </row>
    <row r="264" spans="1:6">
      <c r="A264" s="39"/>
      <c r="B264" s="39"/>
      <c r="C264" s="39"/>
      <c r="D264" s="39"/>
      <c r="E264" s="39"/>
      <c r="F264" s="40"/>
    </row>
    <row r="265" spans="1:6">
      <c r="A265" s="227" t="s">
        <v>140</v>
      </c>
      <c r="B265" s="227"/>
      <c r="C265" s="227"/>
      <c r="D265" s="227"/>
      <c r="E265" s="227"/>
      <c r="F265" s="46" t="s">
        <v>61</v>
      </c>
    </row>
    <row r="266" spans="1:6">
      <c r="A266" s="227"/>
      <c r="B266" s="227"/>
      <c r="C266" s="227"/>
      <c r="D266" s="227"/>
      <c r="E266" s="227"/>
      <c r="F266" s="43" t="str">
        <f>IF(F265="SI","CUMPLE","NO CUMPLE")</f>
        <v>CUMPLE</v>
      </c>
    </row>
    <row r="267" spans="1:6" ht="33.75" customHeight="1">
      <c r="A267" s="227" t="s">
        <v>86</v>
      </c>
      <c r="B267" s="227"/>
      <c r="C267" s="227"/>
      <c r="D267" s="227"/>
      <c r="E267" s="227"/>
      <c r="F267" s="227"/>
    </row>
    <row r="268" spans="1:6">
      <c r="A268" s="39"/>
      <c r="B268" s="39"/>
      <c r="C268" s="39"/>
      <c r="D268" s="39"/>
      <c r="E268" s="39"/>
      <c r="F268" s="40"/>
    </row>
    <row r="269" spans="1:6" ht="14">
      <c r="A269" s="249" t="s">
        <v>139</v>
      </c>
      <c r="B269" s="250"/>
      <c r="C269" s="250"/>
      <c r="D269" s="250"/>
      <c r="E269" s="251"/>
      <c r="F269" s="104" t="str">
        <f>IF((F266="CUMPLE"),"CUMPLE","NO CUMPLE")</f>
        <v>CUMPLE</v>
      </c>
    </row>
    <row r="270" spans="1:6">
      <c r="A270" s="39"/>
      <c r="B270" s="39"/>
      <c r="C270" s="39"/>
      <c r="D270" s="39"/>
      <c r="E270" s="39"/>
      <c r="F270" s="40"/>
    </row>
    <row r="271" spans="1:6" ht="16">
      <c r="A271" s="242" t="s">
        <v>89</v>
      </c>
      <c r="B271" s="243"/>
      <c r="C271" s="243"/>
      <c r="D271" s="243"/>
      <c r="E271" s="244"/>
      <c r="F271" s="105" t="str">
        <f>IF(AND(F138="CUMPLE",F260="CUMPLE",F269="CUMPLE"),"HABILITADO","NO HABILITADO")</f>
        <v>HABILITADO</v>
      </c>
    </row>
    <row r="272" spans="1:6">
      <c r="A272" s="39"/>
      <c r="B272" s="39"/>
      <c r="C272" s="39"/>
      <c r="D272" s="39"/>
      <c r="E272" s="39"/>
      <c r="F272" s="40"/>
    </row>
    <row r="273" spans="1:6">
      <c r="A273" s="39"/>
      <c r="B273" s="39"/>
      <c r="C273" s="39"/>
      <c r="D273" s="39"/>
      <c r="E273" s="39"/>
      <c r="F273" s="40"/>
    </row>
    <row r="274" spans="1:6" ht="16">
      <c r="A274" s="245" t="s">
        <v>141</v>
      </c>
      <c r="B274" s="245"/>
      <c r="C274" s="245"/>
      <c r="D274" s="245"/>
      <c r="E274" s="245"/>
      <c r="F274" s="245"/>
    </row>
    <row r="275" spans="1:6" ht="14">
      <c r="A275" s="212" t="s">
        <v>142</v>
      </c>
      <c r="B275" s="212"/>
      <c r="C275" s="212"/>
      <c r="D275" s="212"/>
      <c r="E275" s="212"/>
      <c r="F275" s="212"/>
    </row>
    <row r="276" spans="1:6">
      <c r="A276" s="27"/>
      <c r="B276" s="27"/>
      <c r="C276" s="27"/>
      <c r="D276" s="27"/>
      <c r="E276" s="27"/>
      <c r="F276" s="21"/>
    </row>
    <row r="277" spans="1:6">
      <c r="A277" s="28" t="s">
        <v>439</v>
      </c>
      <c r="B277" s="294" t="s">
        <v>440</v>
      </c>
      <c r="C277" s="294"/>
      <c r="D277" s="294"/>
      <c r="E277" s="294"/>
      <c r="F277" s="294"/>
    </row>
    <row r="278" spans="1:6" ht="42" customHeight="1">
      <c r="A278" s="28" t="s">
        <v>51</v>
      </c>
      <c r="B278" s="241" t="s">
        <v>441</v>
      </c>
      <c r="C278" s="241"/>
      <c r="D278" s="241"/>
      <c r="E278" s="241"/>
      <c r="F278" s="241"/>
    </row>
    <row r="279" spans="1:6" ht="16.5" customHeight="1">
      <c r="A279" s="23" t="s">
        <v>52</v>
      </c>
      <c r="B279" s="234" t="s">
        <v>442</v>
      </c>
      <c r="C279" s="234"/>
      <c r="D279" s="234"/>
      <c r="E279" s="234"/>
      <c r="F279" s="234"/>
    </row>
    <row r="280" spans="1:6">
      <c r="A280" s="28" t="s">
        <v>65</v>
      </c>
      <c r="B280" s="31" t="s">
        <v>53</v>
      </c>
      <c r="C280" s="32" t="s">
        <v>66</v>
      </c>
      <c r="D280" s="32" t="s">
        <v>54</v>
      </c>
      <c r="E280" s="32" t="s">
        <v>67</v>
      </c>
      <c r="F280" s="32" t="s">
        <v>55</v>
      </c>
    </row>
    <row r="281" spans="1:6">
      <c r="A281" s="227" t="s">
        <v>56</v>
      </c>
      <c r="B281" s="33">
        <v>80101600</v>
      </c>
      <c r="C281" s="29">
        <v>80101600</v>
      </c>
      <c r="D281" s="29">
        <v>11</v>
      </c>
      <c r="E281" s="235" t="str">
        <f>IF(B282=C282,"Acredita",IF(B281=C281,"Acredita","No acredita"))</f>
        <v>Acredita</v>
      </c>
      <c r="F281" s="304"/>
    </row>
    <row r="282" spans="1:6">
      <c r="A282" s="227"/>
      <c r="B282" s="33">
        <v>81101500</v>
      </c>
      <c r="C282" s="30">
        <v>81101500</v>
      </c>
      <c r="D282" s="30">
        <v>11</v>
      </c>
      <c r="E282" s="236"/>
      <c r="F282" s="305"/>
    </row>
    <row r="283" spans="1:6" ht="14">
      <c r="A283" s="237" t="s">
        <v>57</v>
      </c>
      <c r="B283" s="238"/>
      <c r="C283" s="239"/>
      <c r="D283" s="34">
        <v>43196</v>
      </c>
      <c r="E283" s="35" t="str">
        <f>IF(D283="","No acredita","Acredita")</f>
        <v>Acredita</v>
      </c>
      <c r="F283" s="305"/>
    </row>
    <row r="284" spans="1:6" ht="14">
      <c r="A284" s="237" t="s">
        <v>58</v>
      </c>
      <c r="B284" s="238"/>
      <c r="C284" s="239"/>
      <c r="D284" s="36">
        <v>998548918</v>
      </c>
      <c r="E284" s="35" t="str">
        <f>IF(D284="","No acredita","Acredita")</f>
        <v>Acredita</v>
      </c>
      <c r="F284" s="305"/>
    </row>
    <row r="285" spans="1:6" ht="14">
      <c r="A285" s="237" t="s">
        <v>59</v>
      </c>
      <c r="B285" s="238"/>
      <c r="C285" s="239"/>
      <c r="D285" s="89">
        <f>IFERROR((D284/(VLOOKUP((YEAR(D287)),[1]SMMLV!$A$9:$C$49,3,0)))*'O6'!D286,"0")</f>
        <v>1205.8080244796622</v>
      </c>
      <c r="E285" s="37" t="str">
        <f>IF(D285="","No acredita","Acredita")</f>
        <v>Acredita</v>
      </c>
      <c r="F285" s="305"/>
    </row>
    <row r="286" spans="1:6" ht="14">
      <c r="A286" s="237" t="s">
        <v>80</v>
      </c>
      <c r="B286" s="238"/>
      <c r="C286" s="239"/>
      <c r="D286" s="45">
        <v>1</v>
      </c>
      <c r="E286" s="35" t="str">
        <f>IF(D286="","No acredita","Acredita")</f>
        <v>Acredita</v>
      </c>
      <c r="F286" s="305"/>
    </row>
    <row r="287" spans="1:6" ht="14">
      <c r="A287" s="237" t="s">
        <v>60</v>
      </c>
      <c r="B287" s="238"/>
      <c r="C287" s="239"/>
      <c r="D287" s="34">
        <v>43701</v>
      </c>
      <c r="E287" s="35" t="str">
        <f>IF(D287="","No acredita","Acredita")</f>
        <v>Acredita</v>
      </c>
      <c r="F287" s="305"/>
    </row>
    <row r="288" spans="1:6" ht="62.25" customHeight="1">
      <c r="A288" s="227" t="s">
        <v>91</v>
      </c>
      <c r="B288" s="227"/>
      <c r="C288" s="227"/>
      <c r="D288" s="38" t="s">
        <v>61</v>
      </c>
      <c r="E288" s="35" t="str">
        <f>IF(D288="","No acredita",IF(D288="","",IF(D288="SI","Acredita","No acredita")))</f>
        <v>Acredita</v>
      </c>
      <c r="F288" s="305"/>
    </row>
    <row r="289" spans="1:6" ht="30" customHeight="1">
      <c r="A289" s="227" t="s">
        <v>92</v>
      </c>
      <c r="B289" s="227"/>
      <c r="C289" s="227"/>
      <c r="D289" s="38" t="s">
        <v>61</v>
      </c>
      <c r="E289" s="35" t="str">
        <f>IF(D289="","No acredita",IF(D289="","",IF(D289="SI","Acredita","No acredita")))</f>
        <v>Acredita</v>
      </c>
      <c r="F289" s="305"/>
    </row>
    <row r="290" spans="1:6" ht="14">
      <c r="A290" s="227" t="s">
        <v>69</v>
      </c>
      <c r="B290" s="227"/>
      <c r="C290" s="227"/>
      <c r="D290" s="38" t="s">
        <v>61</v>
      </c>
      <c r="E290" s="35" t="str">
        <f>IF(D290="","No acredita",IF(D290="","",IF(D290="SI","Acredita","No acredita")))</f>
        <v>Acredita</v>
      </c>
      <c r="F290" s="305"/>
    </row>
    <row r="291" spans="1:6" ht="14">
      <c r="A291" s="227" t="s">
        <v>103</v>
      </c>
      <c r="B291" s="227"/>
      <c r="C291" s="227"/>
      <c r="D291" s="38" t="s">
        <v>61</v>
      </c>
      <c r="E291" s="35" t="str">
        <f>IF(D291="","No acredita",IF(D291="","",IF(D291="SI","Acredita","No acredita")))</f>
        <v>Acredita</v>
      </c>
      <c r="F291" s="306"/>
    </row>
    <row r="292" spans="1:6">
      <c r="A292" s="231" t="s">
        <v>143</v>
      </c>
      <c r="B292" s="231"/>
      <c r="C292" s="231"/>
      <c r="D292" s="231"/>
      <c r="E292" s="232" t="str">
        <f>IF(AND(E281="acredita",E283="acredita",E284="acredita",E285="acredita",E286="acredita",E287="acredita",E288="acredita",E289="acredita",E290="acredita",E291="acredita"),"CUMPLE","NO CUMPLE")</f>
        <v>CUMPLE</v>
      </c>
      <c r="F292" s="233"/>
    </row>
    <row r="293" spans="1:6">
      <c r="A293" s="26"/>
      <c r="B293" s="26"/>
      <c r="C293" s="26"/>
      <c r="D293" s="26"/>
      <c r="E293" s="22"/>
      <c r="F293" s="22"/>
    </row>
    <row r="294" spans="1:6">
      <c r="A294" s="28" t="s">
        <v>443</v>
      </c>
      <c r="B294" s="294" t="s">
        <v>440</v>
      </c>
      <c r="C294" s="294"/>
      <c r="D294" s="294"/>
      <c r="E294" s="294"/>
      <c r="F294" s="294"/>
    </row>
    <row r="295" spans="1:6" ht="38.25" customHeight="1">
      <c r="A295" s="28" t="s">
        <v>51</v>
      </c>
      <c r="B295" s="241" t="s">
        <v>444</v>
      </c>
      <c r="C295" s="241"/>
      <c r="D295" s="241"/>
      <c r="E295" s="241"/>
      <c r="F295" s="241"/>
    </row>
    <row r="296" spans="1:6">
      <c r="A296" s="23" t="s">
        <v>52</v>
      </c>
      <c r="B296" s="234" t="s">
        <v>445</v>
      </c>
      <c r="C296" s="234"/>
      <c r="D296" s="234"/>
      <c r="E296" s="234"/>
      <c r="F296" s="234"/>
    </row>
    <row r="297" spans="1:6">
      <c r="A297" s="28" t="s">
        <v>65</v>
      </c>
      <c r="B297" s="31" t="s">
        <v>53</v>
      </c>
      <c r="C297" s="32" t="s">
        <v>66</v>
      </c>
      <c r="D297" s="32" t="s">
        <v>54</v>
      </c>
      <c r="E297" s="32" t="s">
        <v>67</v>
      </c>
      <c r="F297" s="32" t="s">
        <v>55</v>
      </c>
    </row>
    <row r="298" spans="1:6">
      <c r="A298" s="227" t="s">
        <v>56</v>
      </c>
      <c r="B298" s="33">
        <v>80101600</v>
      </c>
      <c r="C298" s="29">
        <v>80101600</v>
      </c>
      <c r="D298" s="29">
        <v>12</v>
      </c>
      <c r="E298" s="235" t="str">
        <f>IF(B299=C299,"Acredita",IF(B298=C298,"Acredita","No acredita"))</f>
        <v>Acredita</v>
      </c>
      <c r="F298" s="304"/>
    </row>
    <row r="299" spans="1:6">
      <c r="A299" s="227"/>
      <c r="B299" s="33">
        <v>81101500</v>
      </c>
      <c r="C299" s="30">
        <v>81101500</v>
      </c>
      <c r="D299" s="30">
        <v>12</v>
      </c>
      <c r="E299" s="236"/>
      <c r="F299" s="305"/>
    </row>
    <row r="300" spans="1:6" ht="14">
      <c r="A300" s="237" t="s">
        <v>57</v>
      </c>
      <c r="B300" s="238"/>
      <c r="C300" s="239"/>
      <c r="D300" s="34">
        <v>43462</v>
      </c>
      <c r="E300" s="35" t="str">
        <f>IF(D300="","No acredita","Acredita")</f>
        <v>Acredita</v>
      </c>
      <c r="F300" s="305"/>
    </row>
    <row r="301" spans="1:6" ht="14">
      <c r="A301" s="237" t="s">
        <v>58</v>
      </c>
      <c r="B301" s="238"/>
      <c r="C301" s="239"/>
      <c r="D301" s="36">
        <v>535072632</v>
      </c>
      <c r="E301" s="35" t="str">
        <f>IF(D301="","No acredita","Acredita")</f>
        <v>Acredita</v>
      </c>
      <c r="F301" s="305"/>
    </row>
    <row r="302" spans="1:6" ht="14">
      <c r="A302" s="237" t="s">
        <v>59</v>
      </c>
      <c r="B302" s="238"/>
      <c r="C302" s="239"/>
      <c r="D302" s="44">
        <f>IFERROR((D301/(VLOOKUP((YEAR(D304)),[1]SMMLV!$A$9:$C$49,3,0)))*'O6'!D303,"0")</f>
        <v>646.13246453395413</v>
      </c>
      <c r="E302" s="37" t="str">
        <f>IF(D302="","No acredita","Acredita")</f>
        <v>Acredita</v>
      </c>
      <c r="F302" s="305"/>
    </row>
    <row r="303" spans="1:6" ht="14">
      <c r="A303" s="237" t="s">
        <v>80</v>
      </c>
      <c r="B303" s="238"/>
      <c r="C303" s="239"/>
      <c r="D303" s="45">
        <v>1</v>
      </c>
      <c r="E303" s="35" t="str">
        <f>IF(D303="","No acredita","Acredita")</f>
        <v>Acredita</v>
      </c>
      <c r="F303" s="305"/>
    </row>
    <row r="304" spans="1:6" ht="14">
      <c r="A304" s="237" t="s">
        <v>60</v>
      </c>
      <c r="B304" s="238"/>
      <c r="C304" s="239"/>
      <c r="D304" s="34">
        <v>43799</v>
      </c>
      <c r="E304" s="35" t="str">
        <f>IF(D304="","No acredita","Acredita")</f>
        <v>Acredita</v>
      </c>
      <c r="F304" s="305"/>
    </row>
    <row r="305" spans="1:7" ht="70.5" customHeight="1">
      <c r="A305" s="227" t="s">
        <v>91</v>
      </c>
      <c r="B305" s="227"/>
      <c r="C305" s="227"/>
      <c r="D305" s="38" t="s">
        <v>61</v>
      </c>
      <c r="E305" s="35" t="str">
        <f>IF(D305="","No acredita",IF(D305="","",IF(D305="SI","Acredita","No acredita")))</f>
        <v>Acredita</v>
      </c>
      <c r="F305" s="305"/>
    </row>
    <row r="306" spans="1:7" ht="30" customHeight="1">
      <c r="A306" s="227" t="s">
        <v>92</v>
      </c>
      <c r="B306" s="227"/>
      <c r="C306" s="227"/>
      <c r="D306" s="38" t="s">
        <v>61</v>
      </c>
      <c r="E306" s="35" t="str">
        <f>IF(D306="","No acredita",IF(D306="","",IF(D306="SI","Acredita","No acredita")))</f>
        <v>Acredita</v>
      </c>
      <c r="F306" s="305"/>
    </row>
    <row r="307" spans="1:7" ht="14">
      <c r="A307" s="227" t="s">
        <v>69</v>
      </c>
      <c r="B307" s="227"/>
      <c r="C307" s="227"/>
      <c r="D307" s="38" t="s">
        <v>61</v>
      </c>
      <c r="E307" s="35" t="str">
        <f>IF(D307="","No acredita",IF(D307="","",IF(D307="SI","Acredita","No acredita")))</f>
        <v>Acredita</v>
      </c>
      <c r="F307" s="305"/>
    </row>
    <row r="308" spans="1:7" ht="14">
      <c r="A308" s="227" t="s">
        <v>103</v>
      </c>
      <c r="B308" s="227"/>
      <c r="C308" s="227"/>
      <c r="D308" s="38" t="s">
        <v>61</v>
      </c>
      <c r="E308" s="35" t="str">
        <f>IF(D308="","No acredita",IF(D308="","",IF(D308="SI","Acredita","No acredita")))</f>
        <v>Acredita</v>
      </c>
      <c r="F308" s="306"/>
    </row>
    <row r="309" spans="1:7">
      <c r="A309" s="231" t="s">
        <v>144</v>
      </c>
      <c r="B309" s="231"/>
      <c r="C309" s="231"/>
      <c r="D309" s="231"/>
      <c r="E309" s="232" t="str">
        <f>IF(AND(E298="acredita",E300="acredita",E301="acredita",E302="acredita",E303="acredita",E304="acredita",E305="acredita",E306="acredita",E307="acredita",E308="acredita"),"CUMPLE","NO CUMPLE")</f>
        <v>CUMPLE</v>
      </c>
      <c r="F309" s="233"/>
    </row>
    <row r="311" spans="1:7">
      <c r="A311" s="226" t="s">
        <v>145</v>
      </c>
      <c r="B311" s="226"/>
      <c r="C311" s="226"/>
      <c r="D311" s="226"/>
      <c r="E311" s="226"/>
      <c r="F311" s="77">
        <f>D285+D302</f>
        <v>1851.9404890136163</v>
      </c>
    </row>
    <row r="313" spans="1:7">
      <c r="A313" s="228" t="s">
        <v>146</v>
      </c>
      <c r="B313" s="229"/>
      <c r="C313" s="35">
        <v>40</v>
      </c>
      <c r="D313" s="208" t="str">
        <f>IF(F311&gt;433.26,"40",IF(F311&gt;216.63,"30",IF(F311&gt;108.32,"20",IF(F311&gt;43.33,"10","0"))))</f>
        <v>40</v>
      </c>
      <c r="E313" s="230" t="s">
        <v>151</v>
      </c>
      <c r="F313" s="230"/>
    </row>
    <row r="314" spans="1:7" ht="12.75" customHeight="1">
      <c r="A314" s="228" t="s">
        <v>147</v>
      </c>
      <c r="B314" s="229"/>
      <c r="C314" s="35">
        <v>30</v>
      </c>
      <c r="D314" s="209"/>
      <c r="E314" s="230"/>
      <c r="F314" s="230"/>
    </row>
    <row r="315" spans="1:7" ht="12.75" customHeight="1">
      <c r="A315" s="228" t="s">
        <v>148</v>
      </c>
      <c r="B315" s="229"/>
      <c r="C315" s="35">
        <v>20</v>
      </c>
      <c r="D315" s="209"/>
      <c r="E315" s="230"/>
      <c r="F315" s="230"/>
    </row>
    <row r="316" spans="1:7" ht="12.75" customHeight="1">
      <c r="A316" s="228" t="s">
        <v>149</v>
      </c>
      <c r="B316" s="229"/>
      <c r="C316" s="35">
        <v>10</v>
      </c>
      <c r="D316" s="209"/>
      <c r="E316" s="230"/>
      <c r="F316" s="230"/>
      <c r="G316" s="75"/>
    </row>
    <row r="317" spans="1:7">
      <c r="A317" s="228" t="s">
        <v>150</v>
      </c>
      <c r="B317" s="229"/>
      <c r="C317" s="35">
        <v>0</v>
      </c>
      <c r="D317" s="210"/>
      <c r="E317" s="230"/>
      <c r="F317" s="230"/>
      <c r="G317" s="76"/>
    </row>
    <row r="318" spans="1:7">
      <c r="G318" s="76"/>
    </row>
    <row r="319" spans="1:7" ht="14">
      <c r="A319" s="212" t="s">
        <v>152</v>
      </c>
      <c r="B319" s="212"/>
      <c r="C319" s="212"/>
      <c r="D319" s="212"/>
      <c r="E319" s="212"/>
      <c r="F319" s="212"/>
      <c r="G319" s="76"/>
    </row>
    <row r="321" spans="1:7" ht="154">
      <c r="A321" s="269" t="s">
        <v>446</v>
      </c>
      <c r="B321" s="270"/>
      <c r="C321" s="102" t="s">
        <v>122</v>
      </c>
      <c r="D321" s="54" t="s">
        <v>61</v>
      </c>
      <c r="E321" s="55" t="str">
        <f>IF(D321="SI","CUMPLE","NO CUMPLE")</f>
        <v>CUMPLE</v>
      </c>
      <c r="F321" s="53"/>
    </row>
    <row r="322" spans="1:7" ht="42">
      <c r="A322" s="271"/>
      <c r="B322" s="272"/>
      <c r="C322" s="102" t="s">
        <v>123</v>
      </c>
      <c r="D322" s="54" t="s">
        <v>61</v>
      </c>
      <c r="E322" s="55" t="str">
        <f>IF(D322="SI","CUMPLE","NO CUMPLE")</f>
        <v>CUMPLE</v>
      </c>
      <c r="F322" s="53"/>
    </row>
    <row r="323" spans="1:7" ht="28">
      <c r="A323" s="271"/>
      <c r="B323" s="272"/>
      <c r="C323" s="102" t="s">
        <v>128</v>
      </c>
      <c r="D323" s="56" t="s">
        <v>447</v>
      </c>
      <c r="E323" s="55" t="str">
        <f>IF(D323="","NO CUMPLE","CUMPLE")</f>
        <v>CUMPLE</v>
      </c>
      <c r="F323" s="53"/>
    </row>
    <row r="324" spans="1:7" ht="28">
      <c r="A324" s="271"/>
      <c r="B324" s="272"/>
      <c r="C324" s="102" t="s">
        <v>129</v>
      </c>
      <c r="D324" s="56" t="s">
        <v>130</v>
      </c>
      <c r="E324" s="55" t="str">
        <f>IF(D324="Director Interventoria","CUMPLE","NO CUMPLE")</f>
        <v>CUMPLE</v>
      </c>
      <c r="F324" s="53"/>
    </row>
    <row r="325" spans="1:7" ht="14">
      <c r="A325" s="271"/>
      <c r="B325" s="272"/>
      <c r="C325" s="103" t="s">
        <v>110</v>
      </c>
      <c r="D325" s="58">
        <v>998548918</v>
      </c>
      <c r="E325" s="55" t="str">
        <f>IF(D325="","NO CUMPLE","CUMPLE")</f>
        <v>CUMPLE</v>
      </c>
      <c r="F325" s="53"/>
    </row>
    <row r="326" spans="1:7" ht="14">
      <c r="A326" s="271"/>
      <c r="B326" s="272"/>
      <c r="C326" s="103" t="s">
        <v>111</v>
      </c>
      <c r="D326" s="57">
        <v>43196</v>
      </c>
      <c r="E326" s="55" t="str">
        <f>IF(D326="","NO CUMPLE","CUMPLE")</f>
        <v>CUMPLE</v>
      </c>
      <c r="F326" s="53"/>
      <c r="G326" s="51"/>
    </row>
    <row r="327" spans="1:7" ht="14">
      <c r="A327" s="271"/>
      <c r="B327" s="272"/>
      <c r="C327" s="103" t="s">
        <v>112</v>
      </c>
      <c r="D327" s="57">
        <v>43763</v>
      </c>
      <c r="E327" s="55" t="str">
        <f>IF(D327="","NO CUMPLE","CUMPLE")</f>
        <v>CUMPLE</v>
      </c>
      <c r="F327" s="53"/>
    </row>
    <row r="328" spans="1:7">
      <c r="A328" s="273"/>
      <c r="B328" s="274"/>
      <c r="C328" s="103" t="s">
        <v>113</v>
      </c>
      <c r="D328" s="100">
        <f>IFERROR((D325/(VLOOKUP((YEAR(D327)),[1]SMMLV!$A$9:$C$49,3,0))),"0")</f>
        <v>1205.8080244796622</v>
      </c>
      <c r="E328" s="101"/>
      <c r="F328" s="53"/>
    </row>
    <row r="329" spans="1:7" ht="154">
      <c r="A329" s="269" t="s">
        <v>448</v>
      </c>
      <c r="B329" s="270"/>
      <c r="C329" s="102" t="s">
        <v>122</v>
      </c>
      <c r="D329" s="54"/>
      <c r="E329" s="55" t="str">
        <f>IF(D329="SI","CUMPLE","NO CUMPLE")</f>
        <v>NO CUMPLE</v>
      </c>
      <c r="F329" s="53"/>
    </row>
    <row r="330" spans="1:7" ht="42">
      <c r="A330" s="271"/>
      <c r="B330" s="272"/>
      <c r="C330" s="102" t="s">
        <v>123</v>
      </c>
      <c r="D330" s="54"/>
      <c r="E330" s="55" t="str">
        <f>IF(D330="SI","CUMPLE","NO CUMPLE")</f>
        <v>NO CUMPLE</v>
      </c>
      <c r="F330" s="53"/>
    </row>
    <row r="331" spans="1:7" ht="14">
      <c r="A331" s="271"/>
      <c r="B331" s="272"/>
      <c r="C331" s="102" t="s">
        <v>128</v>
      </c>
      <c r="D331" s="56"/>
      <c r="E331" s="55" t="str">
        <f>IF(D331="","NO CUMPLE","CUMPLE")</f>
        <v>NO CUMPLE</v>
      </c>
      <c r="F331" s="53"/>
    </row>
    <row r="332" spans="1:7" ht="14">
      <c r="A332" s="271"/>
      <c r="B332" s="272"/>
      <c r="C332" s="102" t="s">
        <v>129</v>
      </c>
      <c r="D332" s="56"/>
      <c r="E332" s="55" t="str">
        <f>IF(D332="Director Interventoria","CUMPLE","NO CUMPLE")</f>
        <v>NO CUMPLE</v>
      </c>
      <c r="F332" s="53"/>
    </row>
    <row r="333" spans="1:7" ht="14">
      <c r="A333" s="271"/>
      <c r="B333" s="272"/>
      <c r="C333" s="103" t="s">
        <v>110</v>
      </c>
      <c r="D333" s="58"/>
      <c r="E333" s="55" t="str">
        <f>IF(D333="","NO CUMPLE","CUMPLE")</f>
        <v>NO CUMPLE</v>
      </c>
      <c r="F333" s="53"/>
    </row>
    <row r="334" spans="1:7" ht="14">
      <c r="A334" s="271"/>
      <c r="B334" s="272"/>
      <c r="C334" s="103" t="s">
        <v>111</v>
      </c>
      <c r="D334" s="57"/>
      <c r="E334" s="55" t="str">
        <f>IF(D334="","NO CUMPLE","CUMPLE")</f>
        <v>NO CUMPLE</v>
      </c>
      <c r="F334" s="53"/>
    </row>
    <row r="335" spans="1:7" ht="14">
      <c r="A335" s="271"/>
      <c r="B335" s="272"/>
      <c r="C335" s="103" t="s">
        <v>112</v>
      </c>
      <c r="D335" s="57"/>
      <c r="E335" s="55" t="str">
        <f>IF(D335="","NO CUMPLE","CUMPLE")</f>
        <v>NO CUMPLE</v>
      </c>
      <c r="F335" s="53"/>
    </row>
    <row r="336" spans="1:7">
      <c r="A336" s="273"/>
      <c r="B336" s="274"/>
      <c r="C336" s="103" t="s">
        <v>113</v>
      </c>
      <c r="D336" s="100" t="str">
        <f>IFERROR((D333/(VLOOKUP((YEAR(D335)),[1]SMMLV!$A$9:$C$49,3,0))),"0")</f>
        <v>0</v>
      </c>
      <c r="E336" s="101"/>
      <c r="F336" s="53"/>
    </row>
    <row r="337" spans="1:6">
      <c r="A337" s="226" t="s">
        <v>155</v>
      </c>
      <c r="B337" s="226"/>
      <c r="C337" s="226"/>
      <c r="D337" s="226"/>
      <c r="E337" s="226"/>
      <c r="F337" s="77">
        <f>D328+D336</f>
        <v>1205.8080244796622</v>
      </c>
    </row>
    <row r="339" spans="1:6">
      <c r="A339" s="227" t="s">
        <v>153</v>
      </c>
      <c r="B339" s="227"/>
      <c r="C339" s="227"/>
      <c r="D339" s="35">
        <v>30</v>
      </c>
      <c r="E339" s="208" t="str">
        <f>IF(F337&gt;=346.608,"30","0")</f>
        <v>30</v>
      </c>
      <c r="F339" s="313" t="s">
        <v>151</v>
      </c>
    </row>
    <row r="340" spans="1:6">
      <c r="A340" s="227" t="s">
        <v>154</v>
      </c>
      <c r="B340" s="227"/>
      <c r="C340" s="227"/>
      <c r="D340" s="35">
        <v>0</v>
      </c>
      <c r="E340" s="210"/>
      <c r="F340" s="314"/>
    </row>
    <row r="342" spans="1:6" ht="14">
      <c r="A342" s="212" t="s">
        <v>156</v>
      </c>
      <c r="B342" s="212"/>
      <c r="C342" s="212"/>
      <c r="D342" s="212"/>
      <c r="E342" s="212"/>
      <c r="F342" s="212"/>
    </row>
    <row r="343" spans="1:6" ht="14">
      <c r="A343" s="198" t="s">
        <v>157</v>
      </c>
      <c r="B343" s="198"/>
      <c r="C343" s="198"/>
      <c r="D343" s="78" t="s">
        <v>160</v>
      </c>
      <c r="E343" s="208" t="str">
        <f>IF(D343="X","18,92",IF(D344="X","10",IF(D345="X","0","0")))</f>
        <v>18,92</v>
      </c>
      <c r="F343" s="313" t="s">
        <v>151</v>
      </c>
    </row>
    <row r="344" spans="1:6">
      <c r="A344" s="198" t="s">
        <v>158</v>
      </c>
      <c r="B344" s="198"/>
      <c r="C344" s="198"/>
      <c r="D344" s="78"/>
      <c r="E344" s="209"/>
      <c r="F344" s="318"/>
    </row>
    <row r="345" spans="1:6">
      <c r="A345" s="199" t="s">
        <v>159</v>
      </c>
      <c r="B345" s="199"/>
      <c r="C345" s="199"/>
      <c r="D345" s="78"/>
      <c r="E345" s="210"/>
      <c r="F345" s="314"/>
    </row>
    <row r="347" spans="1:6" ht="14">
      <c r="A347" s="212" t="s">
        <v>161</v>
      </c>
      <c r="B347" s="212"/>
      <c r="C347" s="212"/>
      <c r="D347" s="212"/>
      <c r="E347" s="212"/>
      <c r="F347" s="212"/>
    </row>
    <row r="348" spans="1:6" ht="53.25" customHeight="1">
      <c r="A348" s="198" t="s">
        <v>162</v>
      </c>
      <c r="B348" s="198"/>
      <c r="C348" s="198"/>
      <c r="D348" s="78" t="s">
        <v>160</v>
      </c>
      <c r="E348" s="208" t="str">
        <f>IF(D348="X","10",IF(D349="X","5",IF(D350="X","0","0")))</f>
        <v>10</v>
      </c>
      <c r="F348" s="313" t="s">
        <v>151</v>
      </c>
    </row>
    <row r="349" spans="1:6" ht="31.5" customHeight="1">
      <c r="A349" s="198" t="s">
        <v>163</v>
      </c>
      <c r="B349" s="198"/>
      <c r="C349" s="198"/>
      <c r="D349" s="78"/>
      <c r="E349" s="209"/>
      <c r="F349" s="318"/>
    </row>
    <row r="350" spans="1:6" ht="39.75" customHeight="1">
      <c r="A350" s="198" t="s">
        <v>164</v>
      </c>
      <c r="B350" s="198"/>
      <c r="C350" s="198"/>
      <c r="D350" s="78"/>
      <c r="E350" s="210"/>
      <c r="F350" s="314"/>
    </row>
    <row r="352" spans="1:6" ht="14">
      <c r="A352" s="212" t="s">
        <v>165</v>
      </c>
      <c r="B352" s="212"/>
      <c r="C352" s="212"/>
      <c r="D352" s="212"/>
      <c r="E352" s="212"/>
      <c r="F352" s="212"/>
    </row>
    <row r="353" spans="1:6" ht="12.75" customHeight="1">
      <c r="A353" s="207" t="s">
        <v>166</v>
      </c>
      <c r="B353" s="207"/>
      <c r="C353" s="79" t="s">
        <v>61</v>
      </c>
      <c r="D353" s="78" t="str">
        <f>IF(C353="NO","No Cumple",IF(C353="","","Cumple"))</f>
        <v>Cumple</v>
      </c>
      <c r="E353" s="208" t="str">
        <f>IF(AND(D353="cumple",D354="cumple",D355="cumple",D356="cumple"),"1","0")</f>
        <v>1</v>
      </c>
      <c r="F353" s="230" t="s">
        <v>151</v>
      </c>
    </row>
    <row r="354" spans="1:6" ht="12.75" customHeight="1">
      <c r="A354" s="207" t="s">
        <v>167</v>
      </c>
      <c r="B354" s="207"/>
      <c r="C354" s="79" t="s">
        <v>61</v>
      </c>
      <c r="D354" s="78" t="str">
        <f>IF(C354="NO","No Cumple",IF(C354="","","Cumple"))</f>
        <v>Cumple</v>
      </c>
      <c r="E354" s="209"/>
      <c r="F354" s="230"/>
    </row>
    <row r="355" spans="1:6" ht="14">
      <c r="A355" s="207" t="s">
        <v>168</v>
      </c>
      <c r="B355" s="207"/>
      <c r="C355" s="80">
        <v>45580</v>
      </c>
      <c r="D355" s="78" t="str">
        <f>IF(C355="","",IF($B$4-C355&gt;183,"No Cumple","Cumple"))</f>
        <v>Cumple</v>
      </c>
      <c r="E355" s="209"/>
      <c r="F355" s="230"/>
    </row>
    <row r="356" spans="1:6">
      <c r="A356" s="207" t="s">
        <v>169</v>
      </c>
      <c r="B356" s="207"/>
      <c r="C356" s="85">
        <v>2235</v>
      </c>
      <c r="D356" s="81" t="str">
        <f>IF(C356="","",IF(C356&lt;$B$5*40%,"No Cumple","Cumple"))</f>
        <v>Cumple</v>
      </c>
      <c r="E356" s="210"/>
      <c r="F356" s="230"/>
    </row>
    <row r="358" spans="1:6" ht="14">
      <c r="A358" s="212" t="s">
        <v>170</v>
      </c>
      <c r="B358" s="212"/>
      <c r="C358" s="212"/>
      <c r="D358" s="212"/>
      <c r="E358" s="212"/>
      <c r="F358" s="212"/>
    </row>
    <row r="359" spans="1:6" ht="14">
      <c r="A359" s="83"/>
      <c r="B359" s="83"/>
      <c r="C359" s="83"/>
      <c r="D359" s="83"/>
      <c r="E359" s="83"/>
      <c r="F359" s="83"/>
    </row>
    <row r="360" spans="1:6" ht="14">
      <c r="A360" s="204" t="s">
        <v>172</v>
      </c>
      <c r="B360" s="205"/>
      <c r="C360" s="205"/>
      <c r="D360" s="205"/>
      <c r="E360" s="205"/>
      <c r="F360" s="206"/>
    </row>
    <row r="361" spans="1:6" ht="14">
      <c r="A361" s="207" t="s">
        <v>171</v>
      </c>
      <c r="B361" s="207"/>
      <c r="C361" s="79" t="s">
        <v>61</v>
      </c>
      <c r="D361" s="78" t="str">
        <f>IF(C361="NO","No Cumple",IF(C361="","","Cumple"))</f>
        <v>Cumple</v>
      </c>
      <c r="E361" s="208" t="str">
        <f>IF(AND(D361="cumple",D362="cumple",D363="cumple",D364="cumple"),"0,08","0")</f>
        <v>0,08</v>
      </c>
      <c r="F361" s="230" t="s">
        <v>151</v>
      </c>
    </row>
    <row r="362" spans="1:6" ht="14">
      <c r="A362" s="207" t="s">
        <v>174</v>
      </c>
      <c r="B362" s="207"/>
      <c r="C362" s="84" t="s">
        <v>61</v>
      </c>
      <c r="D362" s="78" t="str">
        <f>IF(C362&gt;=50%,"Cumple",IF(C362="",""," No Cumple"))</f>
        <v>Cumple</v>
      </c>
      <c r="E362" s="209"/>
      <c r="F362" s="230"/>
    </row>
    <row r="363" spans="1:6" ht="14">
      <c r="A363" s="207" t="s">
        <v>173</v>
      </c>
      <c r="B363" s="207"/>
      <c r="C363" s="79" t="s">
        <v>61</v>
      </c>
      <c r="D363" s="78" t="str">
        <f>IF(C363="NO","No Cumple",IF(C363="","","Cumple"))</f>
        <v>Cumple</v>
      </c>
      <c r="E363" s="209"/>
      <c r="F363" s="230"/>
    </row>
    <row r="364" spans="1:6" ht="14">
      <c r="A364" s="207" t="s">
        <v>183</v>
      </c>
      <c r="B364" s="207"/>
      <c r="C364" s="88">
        <v>1</v>
      </c>
      <c r="D364" s="78" t="str">
        <f>IF(C364&lt;10%,"No Cumple","Cumple")</f>
        <v>Cumple</v>
      </c>
      <c r="E364" s="210"/>
      <c r="F364" s="230"/>
    </row>
    <row r="366" spans="1:6" ht="14">
      <c r="A366" s="204" t="s">
        <v>175</v>
      </c>
      <c r="B366" s="205"/>
      <c r="C366" s="205"/>
      <c r="D366" s="205"/>
      <c r="E366" s="205"/>
      <c r="F366" s="206"/>
    </row>
    <row r="367" spans="1:6" ht="14">
      <c r="A367" s="207" t="s">
        <v>171</v>
      </c>
      <c r="B367" s="207"/>
      <c r="C367" s="79"/>
      <c r="D367" s="78" t="str">
        <f>IF(C367="NO","No Cumple",IF(C367="","","Cumple"))</f>
        <v/>
      </c>
      <c r="E367" s="208" t="str">
        <f>IF(AND(D367="cumple",D368="cumple",D369="cumple",D370="cumple",D371="cumple"),"0,08","0")</f>
        <v>0</v>
      </c>
      <c r="F367" s="230" t="s">
        <v>151</v>
      </c>
    </row>
    <row r="368" spans="1:6" ht="14">
      <c r="A368" s="207" t="s">
        <v>176</v>
      </c>
      <c r="B368" s="207"/>
      <c r="C368" s="79"/>
      <c r="D368" s="78" t="str">
        <f>IF(C368="NO","No Cumple",IF(C368="","","Cumple"))</f>
        <v/>
      </c>
      <c r="E368" s="209"/>
      <c r="F368" s="230"/>
    </row>
    <row r="369" spans="1:7" ht="27.75" customHeight="1">
      <c r="A369" s="207" t="s">
        <v>177</v>
      </c>
      <c r="B369" s="207"/>
      <c r="C369" s="79"/>
      <c r="D369" s="78" t="str">
        <f>IF(C369="NO","No Cumple",IF(C369="","","Cumple"))</f>
        <v/>
      </c>
      <c r="E369" s="209"/>
      <c r="F369" s="230"/>
    </row>
    <row r="370" spans="1:7" ht="14">
      <c r="A370" s="207" t="s">
        <v>178</v>
      </c>
      <c r="B370" s="207"/>
      <c r="C370" s="79"/>
      <c r="D370" s="78" t="str">
        <f>IF(C370="NO","No Cumple",IF(C370="","","Cumple"))</f>
        <v/>
      </c>
      <c r="E370" s="209"/>
      <c r="F370" s="230"/>
    </row>
    <row r="371" spans="1:7" ht="14">
      <c r="A371" s="207" t="s">
        <v>182</v>
      </c>
      <c r="B371" s="207"/>
      <c r="C371" s="88">
        <v>0</v>
      </c>
      <c r="D371" s="78" t="str">
        <f>IF(C371&lt;10%,"No Cumple","Cumple")</f>
        <v>No Cumple</v>
      </c>
      <c r="E371" s="210"/>
      <c r="F371" s="230"/>
      <c r="G371" s="95"/>
    </row>
    <row r="373" spans="1:7" ht="31.5" customHeight="1">
      <c r="A373" s="198" t="s">
        <v>180</v>
      </c>
      <c r="B373" s="198"/>
      <c r="C373" s="198"/>
      <c r="D373" s="198"/>
      <c r="E373" s="86"/>
      <c r="F373" s="30"/>
    </row>
    <row r="374" spans="1:7">
      <c r="A374" s="199" t="s">
        <v>181</v>
      </c>
      <c r="B374" s="199"/>
      <c r="C374" s="199"/>
      <c r="D374" s="199"/>
      <c r="E374" s="86"/>
      <c r="F374" s="30"/>
    </row>
    <row r="376" spans="1:7" ht="33" customHeight="1">
      <c r="B376" s="200" t="s">
        <v>179</v>
      </c>
      <c r="C376" s="200"/>
      <c r="D376" s="200"/>
      <c r="E376" s="87">
        <f>SUM(D313+E339+E343+E348+E353+E361+E367-E373-E374)</f>
        <v>100</v>
      </c>
    </row>
  </sheetData>
  <sheetProtection selectLockedCells="1" selectUnlockedCells="1"/>
  <mergeCells count="290">
    <mergeCell ref="A373:D373"/>
    <mergeCell ref="A374:D374"/>
    <mergeCell ref="B376:D376"/>
    <mergeCell ref="A366:F366"/>
    <mergeCell ref="A367:B367"/>
    <mergeCell ref="E367:E371"/>
    <mergeCell ref="F367:F371"/>
    <mergeCell ref="A368:B368"/>
    <mergeCell ref="A369:B369"/>
    <mergeCell ref="A370:B370"/>
    <mergeCell ref="A352:F352"/>
    <mergeCell ref="A353:B353"/>
    <mergeCell ref="E353:E356"/>
    <mergeCell ref="F353:F356"/>
    <mergeCell ref="A354:B354"/>
    <mergeCell ref="A355:B355"/>
    <mergeCell ref="A356:B356"/>
    <mergeCell ref="A371:B371"/>
    <mergeCell ref="A358:F358"/>
    <mergeCell ref="A360:F360"/>
    <mergeCell ref="A361:B361"/>
    <mergeCell ref="E361:E364"/>
    <mergeCell ref="F361:F364"/>
    <mergeCell ref="A362:B362"/>
    <mergeCell ref="A363:B363"/>
    <mergeCell ref="A364:B364"/>
    <mergeCell ref="A343:C343"/>
    <mergeCell ref="E343:E345"/>
    <mergeCell ref="F343:F345"/>
    <mergeCell ref="A344:C344"/>
    <mergeCell ref="A345:C345"/>
    <mergeCell ref="A347:F347"/>
    <mergeCell ref="A348:C348"/>
    <mergeCell ref="E348:E350"/>
    <mergeCell ref="F348:F350"/>
    <mergeCell ref="A349:C349"/>
    <mergeCell ref="A350:C350"/>
    <mergeCell ref="A319:F319"/>
    <mergeCell ref="A321:B328"/>
    <mergeCell ref="A329:B336"/>
    <mergeCell ref="A337:E337"/>
    <mergeCell ref="A339:C339"/>
    <mergeCell ref="E339:E340"/>
    <mergeCell ref="F339:F340"/>
    <mergeCell ref="A340:C340"/>
    <mergeCell ref="A342:F342"/>
    <mergeCell ref="A309:D309"/>
    <mergeCell ref="E309:F309"/>
    <mergeCell ref="A311:E311"/>
    <mergeCell ref="A313:B313"/>
    <mergeCell ref="D313:D317"/>
    <mergeCell ref="E313:F317"/>
    <mergeCell ref="A314:B314"/>
    <mergeCell ref="A315:B315"/>
    <mergeCell ref="A316:B316"/>
    <mergeCell ref="A317:B317"/>
    <mergeCell ref="A292:D292"/>
    <mergeCell ref="E292:F292"/>
    <mergeCell ref="B294:F294"/>
    <mergeCell ref="B295:F295"/>
    <mergeCell ref="B296:F296"/>
    <mergeCell ref="A298:A299"/>
    <mergeCell ref="E298:E299"/>
    <mergeCell ref="F298:F308"/>
    <mergeCell ref="A300:C300"/>
    <mergeCell ref="A301:C301"/>
    <mergeCell ref="A302:C302"/>
    <mergeCell ref="A303:C303"/>
    <mergeCell ref="A304:C304"/>
    <mergeCell ref="A305:C305"/>
    <mergeCell ref="A306:C306"/>
    <mergeCell ref="A307:C307"/>
    <mergeCell ref="A308:C308"/>
    <mergeCell ref="B278:F278"/>
    <mergeCell ref="B279:F279"/>
    <mergeCell ref="A281:A282"/>
    <mergeCell ref="E281:E282"/>
    <mergeCell ref="F281:F291"/>
    <mergeCell ref="A283:C283"/>
    <mergeCell ref="A284:C284"/>
    <mergeCell ref="A285:C285"/>
    <mergeCell ref="A286:C286"/>
    <mergeCell ref="A287:C287"/>
    <mergeCell ref="A288:C288"/>
    <mergeCell ref="A289:C289"/>
    <mergeCell ref="A290:C290"/>
    <mergeCell ref="A291:C291"/>
    <mergeCell ref="A260:E260"/>
    <mergeCell ref="A263:F263"/>
    <mergeCell ref="A265:E266"/>
    <mergeCell ref="A267:F267"/>
    <mergeCell ref="A269:E269"/>
    <mergeCell ref="A271:E271"/>
    <mergeCell ref="A274:F274"/>
    <mergeCell ref="A275:F275"/>
    <mergeCell ref="B277:F277"/>
    <mergeCell ref="A232:C232"/>
    <mergeCell ref="A233:C233"/>
    <mergeCell ref="A234:C234"/>
    <mergeCell ref="A236:B243"/>
    <mergeCell ref="A245:B252"/>
    <mergeCell ref="A254:E255"/>
    <mergeCell ref="A256:F256"/>
    <mergeCell ref="F236:F243"/>
    <mergeCell ref="A258:E258"/>
    <mergeCell ref="A224:F224"/>
    <mergeCell ref="A225:C225"/>
    <mergeCell ref="D225:F225"/>
    <mergeCell ref="B226:C226"/>
    <mergeCell ref="B227:C227"/>
    <mergeCell ref="B228:C228"/>
    <mergeCell ref="A229:C229"/>
    <mergeCell ref="A230:A231"/>
    <mergeCell ref="B230:C230"/>
    <mergeCell ref="B231:C231"/>
    <mergeCell ref="A196:C196"/>
    <mergeCell ref="A197:C197"/>
    <mergeCell ref="A198:C198"/>
    <mergeCell ref="A200:B207"/>
    <mergeCell ref="A209:B216"/>
    <mergeCell ref="A218:E219"/>
    <mergeCell ref="A220:F220"/>
    <mergeCell ref="F200:F206"/>
    <mergeCell ref="A222:E222"/>
    <mergeCell ref="A188:F188"/>
    <mergeCell ref="A189:C189"/>
    <mergeCell ref="D189:F189"/>
    <mergeCell ref="B190:C190"/>
    <mergeCell ref="B191:C191"/>
    <mergeCell ref="B192:C192"/>
    <mergeCell ref="A193:C193"/>
    <mergeCell ref="A194:A195"/>
    <mergeCell ref="B194:C194"/>
    <mergeCell ref="B195:C195"/>
    <mergeCell ref="A151:C151"/>
    <mergeCell ref="A152:C152"/>
    <mergeCell ref="A153:C153"/>
    <mergeCell ref="A155:B162"/>
    <mergeCell ref="A164:B171"/>
    <mergeCell ref="A173:B180"/>
    <mergeCell ref="A182:E183"/>
    <mergeCell ref="A184:F184"/>
    <mergeCell ref="A186:E186"/>
    <mergeCell ref="A143:F143"/>
    <mergeCell ref="A144:C144"/>
    <mergeCell ref="D144:F144"/>
    <mergeCell ref="B145:C145"/>
    <mergeCell ref="B146:C146"/>
    <mergeCell ref="B147:C147"/>
    <mergeCell ref="A148:C148"/>
    <mergeCell ref="A149:A150"/>
    <mergeCell ref="B149:C149"/>
    <mergeCell ref="B150:C150"/>
    <mergeCell ref="A124:F124"/>
    <mergeCell ref="A126:E127"/>
    <mergeCell ref="A128:F128"/>
    <mergeCell ref="A130:E131"/>
    <mergeCell ref="A132:F132"/>
    <mergeCell ref="A134:E135"/>
    <mergeCell ref="A136:F136"/>
    <mergeCell ref="A138:E138"/>
    <mergeCell ref="A141:F141"/>
    <mergeCell ref="A116:A119"/>
    <mergeCell ref="B116:C116"/>
    <mergeCell ref="F116:F119"/>
    <mergeCell ref="B117:C117"/>
    <mergeCell ref="B118:C118"/>
    <mergeCell ref="B119:C119"/>
    <mergeCell ref="A120:D120"/>
    <mergeCell ref="E120:F120"/>
    <mergeCell ref="A122:E123"/>
    <mergeCell ref="B101:F101"/>
    <mergeCell ref="B102:F102"/>
    <mergeCell ref="B103:F103"/>
    <mergeCell ref="A105:A106"/>
    <mergeCell ref="E105:E106"/>
    <mergeCell ref="F105:F115"/>
    <mergeCell ref="A107:C107"/>
    <mergeCell ref="A108:C108"/>
    <mergeCell ref="A109:C109"/>
    <mergeCell ref="A110:C110"/>
    <mergeCell ref="A111:C111"/>
    <mergeCell ref="A112:C112"/>
    <mergeCell ref="A113:C113"/>
    <mergeCell ref="A114:C114"/>
    <mergeCell ref="A115:C115"/>
    <mergeCell ref="A94:A97"/>
    <mergeCell ref="B94:C94"/>
    <mergeCell ref="F94:F97"/>
    <mergeCell ref="B95:C95"/>
    <mergeCell ref="B96:C96"/>
    <mergeCell ref="B97:C97"/>
    <mergeCell ref="A98:D98"/>
    <mergeCell ref="E98:F98"/>
    <mergeCell ref="A100:F100"/>
    <mergeCell ref="B80:F80"/>
    <mergeCell ref="B81:F81"/>
    <mergeCell ref="A83:A84"/>
    <mergeCell ref="E83:E84"/>
    <mergeCell ref="F83:F93"/>
    <mergeCell ref="A85:C85"/>
    <mergeCell ref="A86:C86"/>
    <mergeCell ref="A87:C87"/>
    <mergeCell ref="A88:C88"/>
    <mergeCell ref="A89:C89"/>
    <mergeCell ref="A90:C90"/>
    <mergeCell ref="A91:C91"/>
    <mergeCell ref="A92:C92"/>
    <mergeCell ref="A93:C93"/>
    <mergeCell ref="A73:A76"/>
    <mergeCell ref="B73:C73"/>
    <mergeCell ref="F73:F76"/>
    <mergeCell ref="B74:C74"/>
    <mergeCell ref="B75:C75"/>
    <mergeCell ref="B76:C76"/>
    <mergeCell ref="A77:D77"/>
    <mergeCell ref="E77:F77"/>
    <mergeCell ref="B79:F79"/>
    <mergeCell ref="B59:F59"/>
    <mergeCell ref="B60:F60"/>
    <mergeCell ref="A62:A63"/>
    <mergeCell ref="E62:E63"/>
    <mergeCell ref="F62:F72"/>
    <mergeCell ref="A64:C64"/>
    <mergeCell ref="A65:C65"/>
    <mergeCell ref="A66:C66"/>
    <mergeCell ref="A67:C67"/>
    <mergeCell ref="A68:C68"/>
    <mergeCell ref="A69:C69"/>
    <mergeCell ref="A70:C70"/>
    <mergeCell ref="A71:C71"/>
    <mergeCell ref="A72:C72"/>
    <mergeCell ref="A52:A55"/>
    <mergeCell ref="B52:C52"/>
    <mergeCell ref="F52:F55"/>
    <mergeCell ref="B53:C53"/>
    <mergeCell ref="B54:C54"/>
    <mergeCell ref="B55:C55"/>
    <mergeCell ref="A56:D56"/>
    <mergeCell ref="E56:F56"/>
    <mergeCell ref="B58:F58"/>
    <mergeCell ref="B38:F38"/>
    <mergeCell ref="B39:F39"/>
    <mergeCell ref="A41:A42"/>
    <mergeCell ref="E41:E42"/>
    <mergeCell ref="F41:F51"/>
    <mergeCell ref="A43:C43"/>
    <mergeCell ref="A44:C44"/>
    <mergeCell ref="A45:C45"/>
    <mergeCell ref="A46:C46"/>
    <mergeCell ref="A47:C47"/>
    <mergeCell ref="A48:C48"/>
    <mergeCell ref="A49:C49"/>
    <mergeCell ref="A50:C50"/>
    <mergeCell ref="A51:C51"/>
    <mergeCell ref="A31:A34"/>
    <mergeCell ref="B31:C31"/>
    <mergeCell ref="F31:F34"/>
    <mergeCell ref="B32:C32"/>
    <mergeCell ref="B33:C33"/>
    <mergeCell ref="B34:C34"/>
    <mergeCell ref="A35:D35"/>
    <mergeCell ref="E35:F35"/>
    <mergeCell ref="B37:F37"/>
    <mergeCell ref="A13:F13"/>
    <mergeCell ref="A14:F14"/>
    <mergeCell ref="B16:F16"/>
    <mergeCell ref="B17:F17"/>
    <mergeCell ref="B18:F18"/>
    <mergeCell ref="A20:A21"/>
    <mergeCell ref="E20:E21"/>
    <mergeCell ref="F20:F30"/>
    <mergeCell ref="A22:C22"/>
    <mergeCell ref="A23:C23"/>
    <mergeCell ref="A24:C24"/>
    <mergeCell ref="A25:C25"/>
    <mergeCell ref="A26:C26"/>
    <mergeCell ref="A27:C27"/>
    <mergeCell ref="A28:C28"/>
    <mergeCell ref="A29:C29"/>
    <mergeCell ref="A30:C30"/>
    <mergeCell ref="A1:F1"/>
    <mergeCell ref="A2:F2"/>
    <mergeCell ref="B4:C4"/>
    <mergeCell ref="B5:C5"/>
    <mergeCell ref="B6:C6"/>
    <mergeCell ref="B7:F7"/>
    <mergeCell ref="B9:D9"/>
    <mergeCell ref="B10:D10"/>
    <mergeCell ref="B11:D11"/>
  </mergeCells>
  <conditionalFormatting sqref="E145:E162">
    <cfRule type="expression" dxfId="109" priority="25">
      <formula>"NO CUMPLE"</formula>
    </cfRule>
  </conditionalFormatting>
  <conditionalFormatting sqref="E164:E171">
    <cfRule type="expression" dxfId="108" priority="5">
      <formula>"NO CUMPLE"</formula>
    </cfRule>
  </conditionalFormatting>
  <conditionalFormatting sqref="E173:E180">
    <cfRule type="expression" dxfId="107" priority="4">
      <formula>"NO CUMPLE"</formula>
    </cfRule>
  </conditionalFormatting>
  <conditionalFormatting sqref="E190:E216">
    <cfRule type="expression" dxfId="106" priority="3">
      <formula>"NO CUMPLE"</formula>
    </cfRule>
  </conditionalFormatting>
  <conditionalFormatting sqref="E226:E243">
    <cfRule type="expression" dxfId="105" priority="2">
      <formula>"NO CUMPLE"</formula>
    </cfRule>
  </conditionalFormatting>
  <conditionalFormatting sqref="E245:E252">
    <cfRule type="expression" dxfId="104" priority="1">
      <formula>"NO CUMPLE"</formula>
    </cfRule>
  </conditionalFormatting>
  <conditionalFormatting sqref="E321:E336">
    <cfRule type="expression" dxfId="103" priority="6">
      <formula>"NO CUMPLE"</formula>
    </cfRule>
  </conditionalFormatting>
  <conditionalFormatting sqref="E35:F35">
    <cfRule type="containsText" dxfId="102" priority="36" stopIfTrue="1" operator="containsText" text="NO CUMPLE">
      <formula>NOT(ISERROR(SEARCH("NO CUMPLE",E35)))</formula>
    </cfRule>
  </conditionalFormatting>
  <conditionalFormatting sqref="E56:F56">
    <cfRule type="containsText" dxfId="101" priority="32" stopIfTrue="1" operator="containsText" text="NO CUMPLE">
      <formula>NOT(ISERROR(SEARCH("NO CUMPLE",E56)))</formula>
    </cfRule>
  </conditionalFormatting>
  <conditionalFormatting sqref="E77:F77">
    <cfRule type="containsText" dxfId="100" priority="31" stopIfTrue="1" operator="containsText" text="NO CUMPLE">
      <formula>NOT(ISERROR(SEARCH("NO CUMPLE",E77)))</formula>
    </cfRule>
  </conditionalFormatting>
  <conditionalFormatting sqref="E98:F98">
    <cfRule type="containsText" dxfId="99" priority="30" stopIfTrue="1" operator="containsText" text="NO CUMPLE">
      <formula>NOT(ISERROR(SEARCH("NO CUMPLE",E98)))</formula>
    </cfRule>
  </conditionalFormatting>
  <conditionalFormatting sqref="E120:F120">
    <cfRule type="containsText" dxfId="98" priority="29" stopIfTrue="1" operator="containsText" text="NO CUMPLE">
      <formula>NOT(ISERROR(SEARCH("NO CUMPLE",E120)))</formula>
    </cfRule>
  </conditionalFormatting>
  <conditionalFormatting sqref="E292:F292">
    <cfRule type="containsText" dxfId="97" priority="8" stopIfTrue="1" operator="containsText" text="NO CUMPLE">
      <formula>NOT(ISERROR(SEARCH("NO CUMPLE",E292)))</formula>
    </cfRule>
  </conditionalFormatting>
  <conditionalFormatting sqref="E309:F309">
    <cfRule type="containsText" dxfId="96" priority="7" stopIfTrue="1" operator="containsText" text="NO CUMPLE">
      <formula>NOT(ISERROR(SEARCH("NO CUMPLE",E309)))</formula>
    </cfRule>
  </conditionalFormatting>
  <conditionalFormatting sqref="F123">
    <cfRule type="containsText" dxfId="95" priority="27" stopIfTrue="1" operator="containsText" text="NO CUMPLE">
      <formula>NOT(ISERROR(SEARCH("NO CUMPLE",F123)))</formula>
    </cfRule>
  </conditionalFormatting>
  <conditionalFormatting sqref="F127 F129">
    <cfRule type="containsText" dxfId="94" priority="35" stopIfTrue="1" operator="containsText" text="NO CUMPLE">
      <formula>NOT(ISERROR(SEARCH("NO CUMPLE",F127)))</formula>
    </cfRule>
  </conditionalFormatting>
  <conditionalFormatting sqref="F131">
    <cfRule type="containsText" dxfId="93" priority="34" stopIfTrue="1" operator="containsText" text="NO CUMPLE">
      <formula>NOT(ISERROR(SEARCH("NO CUMPLE",F131)))</formula>
    </cfRule>
  </conditionalFormatting>
  <conditionalFormatting sqref="F135">
    <cfRule type="containsText" dxfId="92" priority="33" stopIfTrue="1" operator="containsText" text="NO CUMPLE">
      <formula>NOT(ISERROR(SEARCH("NO CUMPLE",F135)))</formula>
    </cfRule>
  </conditionalFormatting>
  <conditionalFormatting sqref="F138">
    <cfRule type="containsText" dxfId="91" priority="28" stopIfTrue="1" operator="containsText" text="NO HABILITADO">
      <formula>NOT(ISERROR(SEARCH("NO HABILITADO",F138)))</formula>
    </cfRule>
    <cfRule type="containsText" dxfId="90" priority="26" operator="containsText" text="NO CUMPLE">
      <formula>NOT(ISERROR(SEARCH("NO CUMPLE",F138)))</formula>
    </cfRule>
  </conditionalFormatting>
  <conditionalFormatting sqref="F183">
    <cfRule type="containsText" dxfId="89" priority="23" stopIfTrue="1" operator="containsText" text="NO CUMPLE">
      <formula>NOT(ISERROR(SEARCH("NO CUMPLE",F183)))</formula>
    </cfRule>
  </conditionalFormatting>
  <conditionalFormatting sqref="F186">
    <cfRule type="containsText" dxfId="88" priority="22" operator="containsText" text="NO CUMPLE">
      <formula>NOT(ISERROR(SEARCH("NO CUMPLE",F186)))</formula>
    </cfRule>
    <cfRule type="containsText" dxfId="87" priority="24" stopIfTrue="1" operator="containsText" text="NO HABILITADO">
      <formula>NOT(ISERROR(SEARCH("NO HABILITADO",F186)))</formula>
    </cfRule>
  </conditionalFormatting>
  <conditionalFormatting sqref="F219">
    <cfRule type="containsText" dxfId="86" priority="20" stopIfTrue="1" operator="containsText" text="NO CUMPLE">
      <formula>NOT(ISERROR(SEARCH("NO CUMPLE",F219)))</formula>
    </cfRule>
  </conditionalFormatting>
  <conditionalFormatting sqref="F222">
    <cfRule type="containsText" dxfId="85" priority="19" operator="containsText" text="NO CUMPLE">
      <formula>NOT(ISERROR(SEARCH("NO CUMPLE",F222)))</formula>
    </cfRule>
    <cfRule type="containsText" dxfId="84" priority="21" stopIfTrue="1" operator="containsText" text="NO HABILITADO">
      <formula>NOT(ISERROR(SEARCH("NO HABILITADO",F222)))</formula>
    </cfRule>
  </conditionalFormatting>
  <conditionalFormatting sqref="F255">
    <cfRule type="containsText" dxfId="83" priority="17" stopIfTrue="1" operator="containsText" text="NO CUMPLE">
      <formula>NOT(ISERROR(SEARCH("NO CUMPLE",F255)))</formula>
    </cfRule>
  </conditionalFormatting>
  <conditionalFormatting sqref="F258">
    <cfRule type="containsText" dxfId="82" priority="18" stopIfTrue="1" operator="containsText" text="NO HABILITADO">
      <formula>NOT(ISERROR(SEARCH("NO HABILITADO",F258)))</formula>
    </cfRule>
    <cfRule type="containsText" dxfId="81" priority="16" operator="containsText" text="NO CUMPLE">
      <formula>NOT(ISERROR(SEARCH("NO CUMPLE",F258)))</formula>
    </cfRule>
  </conditionalFormatting>
  <conditionalFormatting sqref="F260">
    <cfRule type="containsText" dxfId="80" priority="15" stopIfTrue="1" operator="containsText" text="NO HABILITADO">
      <formula>NOT(ISERROR(SEARCH("NO HABILITADO",F260)))</formula>
    </cfRule>
    <cfRule type="containsText" dxfId="79" priority="14" operator="containsText" text="NO CUMPLE">
      <formula>NOT(ISERROR(SEARCH("NO CUMPLE",F260)))</formula>
    </cfRule>
  </conditionalFormatting>
  <conditionalFormatting sqref="F266">
    <cfRule type="containsText" dxfId="78" priority="13" stopIfTrue="1" operator="containsText" text="NO CUMPLE">
      <formula>NOT(ISERROR(SEARCH("NO CUMPLE",F266)))</formula>
    </cfRule>
  </conditionalFormatting>
  <conditionalFormatting sqref="F269">
    <cfRule type="containsText" dxfId="77" priority="12" stopIfTrue="1" operator="containsText" text="NO HABILITADO">
      <formula>NOT(ISERROR(SEARCH("NO HABILITADO",F269)))</formula>
    </cfRule>
    <cfRule type="containsText" dxfId="76" priority="11" operator="containsText" text="NO CUMPLE">
      <formula>NOT(ISERROR(SEARCH("NO CUMPLE",F269)))</formula>
    </cfRule>
  </conditionalFormatting>
  <conditionalFormatting sqref="F271">
    <cfRule type="containsText" dxfId="75" priority="10" stopIfTrue="1" operator="containsText" text="NO HABILITADO">
      <formula>NOT(ISERROR(SEARCH("NO HABILITADO",F271)))</formula>
    </cfRule>
    <cfRule type="containsText" dxfId="74" priority="9" operator="containsText" text="NO CUMPLE">
      <formula>NOT(ISERROR(SEARCH("NO CUMPLE",F271)))</formula>
    </cfRule>
  </conditionalFormatting>
  <dataValidations count="3">
    <dataValidation type="whole" allowBlank="1" showInputMessage="1" showErrorMessage="1" sqref="D159 D168 D177 D204 D213 D240 D249 D325 D333" xr:uid="{00000000-0002-0000-0900-000002000000}">
      <formula1>0</formula1>
      <formula2>1E+44</formula2>
    </dataValidation>
    <dataValidation type="date" operator="greaterThan" allowBlank="1" showInputMessage="1" showErrorMessage="1" errorTitle="OJO" error="REVISAR QUE FECHA DE TERMINACIÓN SEA MAYOR QUE LA DE SUSCRIPCIÓN DEL CONTRATO" sqref="D26 D47 D68 D89 D111 D287 D304" xr:uid="{00000000-0002-0000-0900-000001000000}">
      <formula1>D22</formula1>
    </dataValidation>
    <dataValidation allowBlank="1" showInputMessage="1" showErrorMessage="1" errorTitle="FECHA DE CIERRE DEL PROCESO" error="SOLO COLOCAR FECHA_x000a_" sqref="B4:B6" xr:uid="{00000000-0002-0000-0900-000000000000}"/>
  </dataValidations>
  <pageMargins left="0.59" right="0.31496062992125984" top="0.74803149606299213" bottom="0.74803149606299213" header="0.31496062992125984" footer="0.31496062992125984"/>
  <pageSetup scale="8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382"/>
  <sheetViews>
    <sheetView topLeftCell="A335" zoomScaleNormal="100" workbookViewId="0">
      <selection activeCell="G15" sqref="G15"/>
    </sheetView>
  </sheetViews>
  <sheetFormatPr baseColWidth="10" defaultColWidth="40.5" defaultRowHeight="13"/>
  <cols>
    <col min="1" max="1" width="31.83203125" style="20" customWidth="1"/>
    <col min="2" max="2" width="17" style="20" customWidth="1"/>
    <col min="3" max="3" width="18.5" style="20" customWidth="1"/>
    <col min="4" max="4" width="17.6640625" style="20" customWidth="1"/>
    <col min="5" max="5" width="28.5" style="20" customWidth="1"/>
    <col min="6" max="6" width="38.33203125" style="42" customWidth="1"/>
    <col min="7" max="7" width="18.1640625" style="20" customWidth="1"/>
    <col min="8" max="16384" width="40.5" style="20"/>
  </cols>
  <sheetData>
    <row r="1" spans="1:6" ht="15" customHeight="1">
      <c r="A1" s="297" t="s">
        <v>87</v>
      </c>
      <c r="B1" s="297"/>
      <c r="C1" s="297"/>
      <c r="D1" s="297"/>
      <c r="E1" s="297"/>
      <c r="F1" s="297"/>
    </row>
    <row r="2" spans="1:6" ht="28.5" customHeight="1">
      <c r="A2" s="297" t="s">
        <v>88</v>
      </c>
      <c r="B2" s="297"/>
      <c r="C2" s="297"/>
      <c r="D2" s="297"/>
      <c r="E2" s="297"/>
      <c r="F2" s="297"/>
    </row>
    <row r="3" spans="1:6">
      <c r="A3" s="21"/>
      <c r="B3" s="22"/>
      <c r="C3" s="22"/>
      <c r="D3" s="22"/>
      <c r="E3" s="22"/>
      <c r="F3" s="22"/>
    </row>
    <row r="4" spans="1:6">
      <c r="A4" s="23" t="s">
        <v>49</v>
      </c>
      <c r="B4" s="298">
        <v>45631</v>
      </c>
      <c r="C4" s="298"/>
      <c r="D4" s="22"/>
      <c r="E4" s="22"/>
      <c r="F4" s="22"/>
    </row>
    <row r="5" spans="1:6">
      <c r="A5" s="23" t="s">
        <v>64</v>
      </c>
      <c r="B5" s="299">
        <f>SUM(B6/1300000)</f>
        <v>433.26314615384615</v>
      </c>
      <c r="C5" s="299"/>
      <c r="D5" s="22"/>
      <c r="E5" s="22"/>
      <c r="F5" s="22"/>
    </row>
    <row r="6" spans="1:6">
      <c r="A6" s="23" t="s">
        <v>63</v>
      </c>
      <c r="B6" s="300">
        <v>563242090</v>
      </c>
      <c r="C6" s="300"/>
      <c r="D6" s="22"/>
      <c r="E6" s="22"/>
      <c r="F6" s="22"/>
    </row>
    <row r="7" spans="1:6" ht="16">
      <c r="A7" s="24" t="s">
        <v>50</v>
      </c>
      <c r="B7" s="301" t="s">
        <v>526</v>
      </c>
      <c r="C7" s="302"/>
      <c r="D7" s="302"/>
      <c r="E7" s="302"/>
      <c r="F7" s="303"/>
    </row>
    <row r="8" spans="1:6">
      <c r="B8" s="25"/>
      <c r="C8" s="25"/>
      <c r="D8" s="25"/>
      <c r="E8" s="25"/>
      <c r="F8" s="25"/>
    </row>
    <row r="9" spans="1:6">
      <c r="A9" s="24" t="s">
        <v>184</v>
      </c>
      <c r="B9" s="240" t="s">
        <v>449</v>
      </c>
      <c r="C9" s="240"/>
      <c r="D9" s="240"/>
      <c r="E9" s="90">
        <v>0.5</v>
      </c>
      <c r="F9" s="25"/>
    </row>
    <row r="10" spans="1:6">
      <c r="A10" s="24" t="s">
        <v>185</v>
      </c>
      <c r="B10" s="240" t="s">
        <v>450</v>
      </c>
      <c r="C10" s="240"/>
      <c r="D10" s="240"/>
      <c r="E10" s="90">
        <v>0.5</v>
      </c>
      <c r="F10" s="25"/>
    </row>
    <row r="11" spans="1:6">
      <c r="A11" s="24" t="s">
        <v>186</v>
      </c>
      <c r="B11" s="240"/>
      <c r="C11" s="240"/>
      <c r="D11" s="240"/>
      <c r="E11" s="90">
        <v>0</v>
      </c>
      <c r="F11" s="25"/>
    </row>
    <row r="12" spans="1:6">
      <c r="B12" s="25"/>
      <c r="C12" s="25"/>
      <c r="D12" s="25"/>
      <c r="E12" s="25"/>
      <c r="F12" s="25"/>
    </row>
    <row r="13" spans="1:6" ht="16">
      <c r="A13" s="245" t="s">
        <v>89</v>
      </c>
      <c r="B13" s="245"/>
      <c r="C13" s="245"/>
      <c r="D13" s="245"/>
      <c r="E13" s="245"/>
      <c r="F13" s="245"/>
    </row>
    <row r="14" spans="1:6" ht="14">
      <c r="A14" s="212" t="s">
        <v>90</v>
      </c>
      <c r="B14" s="212"/>
      <c r="C14" s="212"/>
      <c r="D14" s="212"/>
      <c r="E14" s="212"/>
      <c r="F14" s="212"/>
    </row>
    <row r="15" spans="1:6">
      <c r="A15" s="27"/>
      <c r="B15" s="27"/>
      <c r="C15" s="27"/>
      <c r="D15" s="27"/>
      <c r="E15" s="27"/>
      <c r="F15" s="21"/>
    </row>
    <row r="16" spans="1:6">
      <c r="A16" s="28" t="s">
        <v>451</v>
      </c>
      <c r="B16" s="294" t="s">
        <v>450</v>
      </c>
      <c r="C16" s="294"/>
      <c r="D16" s="294"/>
      <c r="E16" s="294"/>
      <c r="F16" s="294"/>
    </row>
    <row r="17" spans="1:7" ht="36.75" customHeight="1">
      <c r="A17" s="28" t="s">
        <v>51</v>
      </c>
      <c r="B17" s="241" t="s">
        <v>452</v>
      </c>
      <c r="C17" s="241"/>
      <c r="D17" s="241"/>
      <c r="E17" s="241"/>
      <c r="F17" s="241"/>
    </row>
    <row r="18" spans="1:7" ht="20.25" customHeight="1">
      <c r="A18" s="23" t="s">
        <v>52</v>
      </c>
      <c r="B18" s="234" t="s">
        <v>453</v>
      </c>
      <c r="C18" s="234"/>
      <c r="D18" s="234"/>
      <c r="E18" s="234"/>
      <c r="F18" s="234"/>
    </row>
    <row r="19" spans="1:7">
      <c r="A19" s="28" t="s">
        <v>65</v>
      </c>
      <c r="B19" s="31" t="s">
        <v>53</v>
      </c>
      <c r="C19" s="32" t="s">
        <v>66</v>
      </c>
      <c r="D19" s="32" t="s">
        <v>54</v>
      </c>
      <c r="E19" s="32" t="s">
        <v>67</v>
      </c>
      <c r="F19" s="32" t="s">
        <v>55</v>
      </c>
    </row>
    <row r="20" spans="1:7" ht="12.75" customHeight="1">
      <c r="A20" s="227" t="s">
        <v>56</v>
      </c>
      <c r="B20" s="33">
        <v>80101600</v>
      </c>
      <c r="C20" s="29">
        <v>80101600</v>
      </c>
      <c r="D20" s="29">
        <v>245</v>
      </c>
      <c r="E20" s="235" t="str">
        <f>IF(B21=C21,"Acredita",IF(B20=C20,"Acredita","No acredita"))</f>
        <v>Acredita</v>
      </c>
      <c r="F20" s="304"/>
    </row>
    <row r="21" spans="1:7">
      <c r="A21" s="227"/>
      <c r="B21" s="33">
        <v>81101500</v>
      </c>
      <c r="C21" s="30">
        <v>81101500</v>
      </c>
      <c r="D21" s="30">
        <v>245</v>
      </c>
      <c r="E21" s="236"/>
      <c r="F21" s="305"/>
    </row>
    <row r="22" spans="1:7" ht="14">
      <c r="A22" s="237" t="s">
        <v>57</v>
      </c>
      <c r="B22" s="238"/>
      <c r="C22" s="239"/>
      <c r="D22" s="34">
        <v>41593</v>
      </c>
      <c r="E22" s="35" t="str">
        <f>IF(D22="","No acredita","Acredita")</f>
        <v>Acredita</v>
      </c>
      <c r="F22" s="305"/>
    </row>
    <row r="23" spans="1:7" ht="14">
      <c r="A23" s="237" t="s">
        <v>58</v>
      </c>
      <c r="B23" s="238"/>
      <c r="C23" s="239"/>
      <c r="D23" s="36">
        <v>1551178796</v>
      </c>
      <c r="E23" s="35" t="str">
        <f>IF(D23="","No acredita","Acredita")</f>
        <v>Acredita</v>
      </c>
      <c r="F23" s="305"/>
    </row>
    <row r="24" spans="1:7" ht="14">
      <c r="A24" s="237" t="s">
        <v>59</v>
      </c>
      <c r="B24" s="238"/>
      <c r="C24" s="239"/>
      <c r="D24" s="44">
        <f>IFERROR((D23/(VLOOKUP((YEAR(D26)),[1]SMMLV!$A$9:$C$49,3,0)))*'O7'!D25,"0")</f>
        <v>2102.6745974404821</v>
      </c>
      <c r="E24" s="37" t="str">
        <f>IF(D24="","No acredita","Acredita")</f>
        <v>Acredita</v>
      </c>
      <c r="F24" s="305"/>
    </row>
    <row r="25" spans="1:7" ht="14">
      <c r="A25" s="237" t="s">
        <v>80</v>
      </c>
      <c r="B25" s="238"/>
      <c r="C25" s="239"/>
      <c r="D25" s="45">
        <v>1</v>
      </c>
      <c r="E25" s="35" t="str">
        <f>IF(D25="","No acredita","Acredita")</f>
        <v>Acredita</v>
      </c>
      <c r="F25" s="305"/>
    </row>
    <row r="26" spans="1:7" ht="14">
      <c r="A26" s="237" t="s">
        <v>60</v>
      </c>
      <c r="B26" s="238"/>
      <c r="C26" s="239"/>
      <c r="D26" s="34">
        <v>42793</v>
      </c>
      <c r="E26" s="35" t="str">
        <f>IF(D26="","No acredita","Acredita")</f>
        <v>Acredita</v>
      </c>
      <c r="F26" s="305"/>
      <c r="G26" s="47"/>
    </row>
    <row r="27" spans="1:7" ht="68.25" customHeight="1">
      <c r="A27" s="227" t="s">
        <v>91</v>
      </c>
      <c r="B27" s="227"/>
      <c r="C27" s="227"/>
      <c r="D27" s="38" t="s">
        <v>61</v>
      </c>
      <c r="E27" s="35" t="str">
        <f t="shared" ref="E27:E34" si="0">IF(D27="","No acredita",IF(D27="","",IF(D27="SI","Acredita","No acredita")))</f>
        <v>Acredita</v>
      </c>
      <c r="F27" s="305"/>
    </row>
    <row r="28" spans="1:7" ht="31.5" customHeight="1">
      <c r="A28" s="227" t="s">
        <v>92</v>
      </c>
      <c r="B28" s="227"/>
      <c r="C28" s="227"/>
      <c r="D28" s="38" t="s">
        <v>61</v>
      </c>
      <c r="E28" s="35" t="str">
        <f t="shared" si="0"/>
        <v>Acredita</v>
      </c>
      <c r="F28" s="305"/>
    </row>
    <row r="29" spans="1:7" ht="14">
      <c r="A29" s="227" t="s">
        <v>69</v>
      </c>
      <c r="B29" s="227"/>
      <c r="C29" s="227"/>
      <c r="D29" s="38" t="s">
        <v>61</v>
      </c>
      <c r="E29" s="35" t="str">
        <f t="shared" si="0"/>
        <v>Acredita</v>
      </c>
      <c r="F29" s="305"/>
    </row>
    <row r="30" spans="1:7" ht="14">
      <c r="A30" s="227" t="s">
        <v>103</v>
      </c>
      <c r="B30" s="227"/>
      <c r="C30" s="227"/>
      <c r="D30" s="38" t="s">
        <v>61</v>
      </c>
      <c r="E30" s="35" t="str">
        <f t="shared" si="0"/>
        <v>Acredita</v>
      </c>
      <c r="F30" s="306"/>
    </row>
    <row r="31" spans="1:7" ht="14">
      <c r="A31" s="235" t="s">
        <v>97</v>
      </c>
      <c r="B31" s="288" t="s">
        <v>93</v>
      </c>
      <c r="C31" s="289"/>
      <c r="D31" s="38" t="s">
        <v>61</v>
      </c>
      <c r="E31" s="35" t="str">
        <f t="shared" si="0"/>
        <v>Acredita</v>
      </c>
      <c r="F31" s="307"/>
    </row>
    <row r="32" spans="1:7" ht="14">
      <c r="A32" s="287"/>
      <c r="B32" s="288" t="s">
        <v>94</v>
      </c>
      <c r="C32" s="289"/>
      <c r="D32" s="38" t="s">
        <v>61</v>
      </c>
      <c r="E32" s="35" t="str">
        <f t="shared" si="0"/>
        <v>Acredita</v>
      </c>
      <c r="F32" s="308"/>
    </row>
    <row r="33" spans="1:6" ht="14">
      <c r="A33" s="287"/>
      <c r="B33" s="288" t="s">
        <v>95</v>
      </c>
      <c r="C33" s="289"/>
      <c r="D33" s="38" t="s">
        <v>61</v>
      </c>
      <c r="E33" s="35" t="str">
        <f t="shared" si="0"/>
        <v>Acredita</v>
      </c>
      <c r="F33" s="308"/>
    </row>
    <row r="34" spans="1:6" ht="14">
      <c r="A34" s="236"/>
      <c r="B34" s="288" t="s">
        <v>96</v>
      </c>
      <c r="C34" s="289"/>
      <c r="D34" s="38" t="s">
        <v>61</v>
      </c>
      <c r="E34" s="35" t="str">
        <f t="shared" si="0"/>
        <v>Acredita</v>
      </c>
      <c r="F34" s="309"/>
    </row>
    <row r="35" spans="1:6">
      <c r="A35" s="231" t="s">
        <v>68</v>
      </c>
      <c r="B35" s="231"/>
      <c r="C35" s="231"/>
      <c r="D35" s="231"/>
      <c r="E35" s="232" t="str">
        <f>IF(AND(E20="acredita",E22="acredita",E23="acredita",E24="acredita",E25="acredita",E26="acredita",E27="acredita",E28="acredita",E29="acredita",E30="acredita"),"CUMPLE","NO CUMPLE")</f>
        <v>CUMPLE</v>
      </c>
      <c r="F35" s="233"/>
    </row>
    <row r="36" spans="1:6">
      <c r="A36" s="26"/>
      <c r="B36" s="26"/>
      <c r="C36" s="26"/>
      <c r="D36" s="26"/>
      <c r="E36" s="22"/>
      <c r="F36" s="22"/>
    </row>
    <row r="37" spans="1:6">
      <c r="A37" s="28" t="s">
        <v>454</v>
      </c>
      <c r="B37" s="294" t="s">
        <v>455</v>
      </c>
      <c r="C37" s="294"/>
      <c r="D37" s="294"/>
      <c r="E37" s="294"/>
      <c r="F37" s="294"/>
    </row>
    <row r="38" spans="1:6" ht="50.25" customHeight="1">
      <c r="A38" s="28" t="s">
        <v>51</v>
      </c>
      <c r="B38" s="241" t="s">
        <v>456</v>
      </c>
      <c r="C38" s="241"/>
      <c r="D38" s="241"/>
      <c r="E38" s="241"/>
      <c r="F38" s="241"/>
    </row>
    <row r="39" spans="1:6">
      <c r="A39" s="23" t="s">
        <v>52</v>
      </c>
      <c r="B39" s="234" t="s">
        <v>457</v>
      </c>
      <c r="C39" s="234"/>
      <c r="D39" s="234"/>
      <c r="E39" s="234"/>
      <c r="F39" s="234"/>
    </row>
    <row r="40" spans="1:6">
      <c r="A40" s="28" t="s">
        <v>65</v>
      </c>
      <c r="B40" s="31" t="s">
        <v>53</v>
      </c>
      <c r="C40" s="32" t="s">
        <v>66</v>
      </c>
      <c r="D40" s="32" t="s">
        <v>54</v>
      </c>
      <c r="E40" s="32" t="s">
        <v>67</v>
      </c>
      <c r="F40" s="32" t="s">
        <v>55</v>
      </c>
    </row>
    <row r="41" spans="1:6">
      <c r="A41" s="227" t="s">
        <v>56</v>
      </c>
      <c r="B41" s="33">
        <v>80101600</v>
      </c>
      <c r="C41" s="29">
        <v>80101600</v>
      </c>
      <c r="D41" s="29">
        <v>41</v>
      </c>
      <c r="E41" s="235" t="str">
        <f>IF(B42=C42,"Acredita",IF(B41=C41,"Acredita","No acredita"))</f>
        <v>Acredita</v>
      </c>
      <c r="F41" s="304"/>
    </row>
    <row r="42" spans="1:6">
      <c r="A42" s="227"/>
      <c r="B42" s="33">
        <v>81101500</v>
      </c>
      <c r="C42" s="30">
        <v>81101500</v>
      </c>
      <c r="D42" s="30">
        <v>41</v>
      </c>
      <c r="E42" s="236"/>
      <c r="F42" s="305"/>
    </row>
    <row r="43" spans="1:6" ht="14">
      <c r="A43" s="237" t="s">
        <v>57</v>
      </c>
      <c r="B43" s="238"/>
      <c r="C43" s="239"/>
      <c r="D43" s="34">
        <v>38005</v>
      </c>
      <c r="E43" s="35" t="str">
        <f>IF(D43="","No acredita","Acredita")</f>
        <v>Acredita</v>
      </c>
      <c r="F43" s="305"/>
    </row>
    <row r="44" spans="1:6" ht="14">
      <c r="A44" s="237" t="s">
        <v>58</v>
      </c>
      <c r="B44" s="238"/>
      <c r="C44" s="239"/>
      <c r="D44" s="36">
        <v>165062211</v>
      </c>
      <c r="E44" s="35" t="str">
        <f>IF(D44="","No acredita","Acredita")</f>
        <v>Acredita</v>
      </c>
      <c r="F44" s="305"/>
    </row>
    <row r="45" spans="1:6" ht="14">
      <c r="A45" s="237" t="s">
        <v>59</v>
      </c>
      <c r="B45" s="238"/>
      <c r="C45" s="239"/>
      <c r="D45" s="44">
        <f>IFERROR((D44/(VLOOKUP((YEAR(D47)),[1]SMMLV!$A$9:$C$49,3,0)))*'O7'!D46,"0")</f>
        <v>461.0676284916201</v>
      </c>
      <c r="E45" s="37" t="str">
        <f>IF(D45="","No acredita","Acredita")</f>
        <v>Acredita</v>
      </c>
      <c r="F45" s="305"/>
    </row>
    <row r="46" spans="1:6" ht="14">
      <c r="A46" s="237" t="s">
        <v>80</v>
      </c>
      <c r="B46" s="238"/>
      <c r="C46" s="239"/>
      <c r="D46" s="45">
        <v>1</v>
      </c>
      <c r="E46" s="35" t="str">
        <f>IF(D46="","No acredita","Acredita")</f>
        <v>Acredita</v>
      </c>
      <c r="F46" s="305"/>
    </row>
    <row r="47" spans="1:6" ht="14">
      <c r="A47" s="237" t="s">
        <v>60</v>
      </c>
      <c r="B47" s="238"/>
      <c r="C47" s="239"/>
      <c r="D47" s="34">
        <v>38310</v>
      </c>
      <c r="E47" s="35" t="str">
        <f>IF(D47="","No acredita","Acredita")</f>
        <v>Acredita</v>
      </c>
      <c r="F47" s="305"/>
    </row>
    <row r="48" spans="1:6" ht="72" customHeight="1">
      <c r="A48" s="227" t="s">
        <v>91</v>
      </c>
      <c r="B48" s="227"/>
      <c r="C48" s="227"/>
      <c r="D48" s="38" t="s">
        <v>61</v>
      </c>
      <c r="E48" s="35" t="str">
        <f t="shared" ref="E48:E55" si="1">IF(D48="","No acredita",IF(D48="","",IF(D48="SI","Acredita","No acredita")))</f>
        <v>Acredita</v>
      </c>
      <c r="F48" s="305"/>
    </row>
    <row r="49" spans="1:6" ht="33" customHeight="1">
      <c r="A49" s="227" t="s">
        <v>92</v>
      </c>
      <c r="B49" s="227"/>
      <c r="C49" s="227"/>
      <c r="D49" s="38" t="s">
        <v>61</v>
      </c>
      <c r="E49" s="35" t="str">
        <f t="shared" si="1"/>
        <v>Acredita</v>
      </c>
      <c r="F49" s="305"/>
    </row>
    <row r="50" spans="1:6" ht="14">
      <c r="A50" s="227" t="s">
        <v>69</v>
      </c>
      <c r="B50" s="227"/>
      <c r="C50" s="227"/>
      <c r="D50" s="38" t="s">
        <v>61</v>
      </c>
      <c r="E50" s="35" t="str">
        <f t="shared" si="1"/>
        <v>Acredita</v>
      </c>
      <c r="F50" s="305"/>
    </row>
    <row r="51" spans="1:6" ht="14">
      <c r="A51" s="227" t="s">
        <v>103</v>
      </c>
      <c r="B51" s="227"/>
      <c r="C51" s="227"/>
      <c r="D51" s="38" t="s">
        <v>61</v>
      </c>
      <c r="E51" s="35" t="str">
        <f t="shared" si="1"/>
        <v>Acredita</v>
      </c>
      <c r="F51" s="306"/>
    </row>
    <row r="52" spans="1:6" ht="14">
      <c r="A52" s="235" t="s">
        <v>97</v>
      </c>
      <c r="B52" s="288" t="s">
        <v>93</v>
      </c>
      <c r="C52" s="289"/>
      <c r="D52" s="38" t="s">
        <v>62</v>
      </c>
      <c r="E52" s="35" t="str">
        <f t="shared" si="1"/>
        <v>No acredita</v>
      </c>
      <c r="F52" s="307"/>
    </row>
    <row r="53" spans="1:6" ht="14">
      <c r="A53" s="287"/>
      <c r="B53" s="288" t="s">
        <v>94</v>
      </c>
      <c r="C53" s="289"/>
      <c r="D53" s="38" t="s">
        <v>61</v>
      </c>
      <c r="E53" s="35" t="str">
        <f t="shared" si="1"/>
        <v>Acredita</v>
      </c>
      <c r="F53" s="308"/>
    </row>
    <row r="54" spans="1:6" ht="14">
      <c r="A54" s="287"/>
      <c r="B54" s="288" t="s">
        <v>95</v>
      </c>
      <c r="C54" s="289"/>
      <c r="D54" s="38" t="s">
        <v>61</v>
      </c>
      <c r="E54" s="35" t="str">
        <f t="shared" si="1"/>
        <v>Acredita</v>
      </c>
      <c r="F54" s="308"/>
    </row>
    <row r="55" spans="1:6" ht="14">
      <c r="A55" s="236"/>
      <c r="B55" s="288" t="s">
        <v>96</v>
      </c>
      <c r="C55" s="289"/>
      <c r="D55" s="38" t="s">
        <v>62</v>
      </c>
      <c r="E55" s="35" t="str">
        <f t="shared" si="1"/>
        <v>No acredita</v>
      </c>
      <c r="F55" s="309"/>
    </row>
    <row r="56" spans="1:6">
      <c r="A56" s="231" t="s">
        <v>70</v>
      </c>
      <c r="B56" s="231"/>
      <c r="C56" s="231"/>
      <c r="D56" s="231"/>
      <c r="E56" s="232" t="str">
        <f>IF(AND(E41="acredita",E43="acredita",E44="acredita",E45="acredita",E46="acredita",E47="acredita",E48="acredita",E49="acredita",E50="acredita",E51="acredita"),"CUMPLE","NO CUMPLE")</f>
        <v>CUMPLE</v>
      </c>
      <c r="F56" s="233"/>
    </row>
    <row r="57" spans="1:6">
      <c r="A57" s="26"/>
      <c r="B57" s="26"/>
      <c r="C57" s="26"/>
      <c r="D57" s="26"/>
      <c r="E57" s="22"/>
      <c r="F57" s="22"/>
    </row>
    <row r="58" spans="1:6">
      <c r="A58" s="28" t="s">
        <v>458</v>
      </c>
      <c r="B58" s="294" t="s">
        <v>459</v>
      </c>
      <c r="C58" s="294"/>
      <c r="D58" s="294"/>
      <c r="E58" s="294"/>
      <c r="F58" s="294"/>
    </row>
    <row r="59" spans="1:6" ht="62.25" customHeight="1">
      <c r="A59" s="28" t="s">
        <v>51</v>
      </c>
      <c r="B59" s="241" t="s">
        <v>460</v>
      </c>
      <c r="C59" s="241"/>
      <c r="D59" s="241"/>
      <c r="E59" s="241"/>
      <c r="F59" s="241"/>
    </row>
    <row r="60" spans="1:6">
      <c r="A60" s="23" t="s">
        <v>52</v>
      </c>
      <c r="B60" s="234" t="s">
        <v>461</v>
      </c>
      <c r="C60" s="234"/>
      <c r="D60" s="234"/>
      <c r="E60" s="234"/>
      <c r="F60" s="234"/>
    </row>
    <row r="61" spans="1:6">
      <c r="A61" s="28" t="s">
        <v>65</v>
      </c>
      <c r="B61" s="31" t="s">
        <v>53</v>
      </c>
      <c r="C61" s="32" t="s">
        <v>66</v>
      </c>
      <c r="D61" s="32" t="s">
        <v>54</v>
      </c>
      <c r="E61" s="32" t="s">
        <v>67</v>
      </c>
      <c r="F61" s="32" t="s">
        <v>55</v>
      </c>
    </row>
    <row r="62" spans="1:6" ht="14">
      <c r="A62" s="227" t="s">
        <v>56</v>
      </c>
      <c r="B62" s="33">
        <v>80101600</v>
      </c>
      <c r="C62" s="29">
        <v>80101600</v>
      </c>
      <c r="D62" s="29" t="s">
        <v>462</v>
      </c>
      <c r="E62" s="235" t="str">
        <f>IF(B63=C63,"Acredita",IF(B62=C62,"Acredita","No acredita"))</f>
        <v>Acredita</v>
      </c>
      <c r="F62" s="304" t="s">
        <v>463</v>
      </c>
    </row>
    <row r="63" spans="1:6">
      <c r="A63" s="227"/>
      <c r="B63" s="33">
        <v>81101500</v>
      </c>
      <c r="C63" s="30">
        <v>81101500</v>
      </c>
      <c r="D63" s="30" t="s">
        <v>462</v>
      </c>
      <c r="E63" s="236"/>
      <c r="F63" s="305"/>
    </row>
    <row r="64" spans="1:6" ht="14">
      <c r="A64" s="237" t="s">
        <v>57</v>
      </c>
      <c r="B64" s="238"/>
      <c r="C64" s="239"/>
      <c r="D64" s="34">
        <v>43651</v>
      </c>
      <c r="E64" s="35" t="str">
        <f>IF(D64="","No acredita","Acredita")</f>
        <v>Acredita</v>
      </c>
      <c r="F64" s="305"/>
    </row>
    <row r="65" spans="1:6" ht="14">
      <c r="A65" s="237" t="s">
        <v>58</v>
      </c>
      <c r="B65" s="238"/>
      <c r="C65" s="239"/>
      <c r="D65" s="36">
        <v>241399808</v>
      </c>
      <c r="E65" s="35" t="str">
        <f>IF(D65="","No acredita","Acredita")</f>
        <v>Acredita</v>
      </c>
      <c r="F65" s="305"/>
    </row>
    <row r="66" spans="1:6" ht="14">
      <c r="A66" s="237" t="s">
        <v>59</v>
      </c>
      <c r="B66" s="238"/>
      <c r="C66" s="239"/>
      <c r="D66" s="44">
        <f>IFERROR((D65/(VLOOKUP((YEAR(D68)),[1]SMMLV!$A$9:$C$49,3,0)))*'O7'!D67,"0")</f>
        <v>275.00453746455639</v>
      </c>
      <c r="E66" s="37" t="str">
        <f>IF(D66="","No acredita","Acredita")</f>
        <v>Acredita</v>
      </c>
      <c r="F66" s="305"/>
    </row>
    <row r="67" spans="1:6" ht="14">
      <c r="A67" s="237" t="s">
        <v>80</v>
      </c>
      <c r="B67" s="238"/>
      <c r="C67" s="239"/>
      <c r="D67" s="45">
        <v>1</v>
      </c>
      <c r="E67" s="35" t="str">
        <f>IF(D67="","No acredita","Acredita")</f>
        <v>Acredita</v>
      </c>
      <c r="F67" s="305"/>
    </row>
    <row r="68" spans="1:6" ht="14">
      <c r="A68" s="237" t="s">
        <v>60</v>
      </c>
      <c r="B68" s="238"/>
      <c r="C68" s="239"/>
      <c r="D68" s="34">
        <v>44139</v>
      </c>
      <c r="E68" s="35" t="str">
        <f>IF(D68="","No acredita","Acredita")</f>
        <v>Acredita</v>
      </c>
      <c r="F68" s="305"/>
    </row>
    <row r="69" spans="1:6" ht="65.25" customHeight="1">
      <c r="A69" s="227" t="s">
        <v>91</v>
      </c>
      <c r="B69" s="227"/>
      <c r="C69" s="227"/>
      <c r="D69" s="38" t="s">
        <v>61</v>
      </c>
      <c r="E69" s="35" t="str">
        <f t="shared" ref="E69:E76" si="2">IF(D69="","No acredita",IF(D69="","",IF(D69="SI","Acredita","No acredita")))</f>
        <v>Acredita</v>
      </c>
      <c r="F69" s="305"/>
    </row>
    <row r="70" spans="1:6" ht="28.5" customHeight="1">
      <c r="A70" s="227" t="s">
        <v>92</v>
      </c>
      <c r="B70" s="227"/>
      <c r="C70" s="227"/>
      <c r="D70" s="38" t="s">
        <v>61</v>
      </c>
      <c r="E70" s="35" t="str">
        <f t="shared" si="2"/>
        <v>Acredita</v>
      </c>
      <c r="F70" s="305"/>
    </row>
    <row r="71" spans="1:6" ht="14">
      <c r="A71" s="227" t="s">
        <v>69</v>
      </c>
      <c r="B71" s="227"/>
      <c r="C71" s="227"/>
      <c r="D71" s="38" t="s">
        <v>61</v>
      </c>
      <c r="E71" s="35" t="str">
        <f t="shared" si="2"/>
        <v>Acredita</v>
      </c>
      <c r="F71" s="305"/>
    </row>
    <row r="72" spans="1:6" ht="14">
      <c r="A72" s="227" t="s">
        <v>102</v>
      </c>
      <c r="B72" s="227"/>
      <c r="C72" s="227"/>
      <c r="D72" s="38" t="s">
        <v>61</v>
      </c>
      <c r="E72" s="35" t="str">
        <f t="shared" si="2"/>
        <v>Acredita</v>
      </c>
      <c r="F72" s="306"/>
    </row>
    <row r="73" spans="1:6" ht="14">
      <c r="A73" s="235" t="s">
        <v>97</v>
      </c>
      <c r="B73" s="288" t="s">
        <v>93</v>
      </c>
      <c r="C73" s="289"/>
      <c r="D73" s="38" t="s">
        <v>61</v>
      </c>
      <c r="E73" s="35" t="str">
        <f t="shared" si="2"/>
        <v>Acredita</v>
      </c>
      <c r="F73" s="307"/>
    </row>
    <row r="74" spans="1:6" ht="14">
      <c r="A74" s="287"/>
      <c r="B74" s="288" t="s">
        <v>94</v>
      </c>
      <c r="C74" s="289"/>
      <c r="D74" s="38" t="s">
        <v>61</v>
      </c>
      <c r="E74" s="35" t="str">
        <f t="shared" si="2"/>
        <v>Acredita</v>
      </c>
      <c r="F74" s="308"/>
    </row>
    <row r="75" spans="1:6" ht="14">
      <c r="A75" s="287"/>
      <c r="B75" s="288" t="s">
        <v>95</v>
      </c>
      <c r="C75" s="289"/>
      <c r="D75" s="38" t="s">
        <v>61</v>
      </c>
      <c r="E75" s="35" t="str">
        <f t="shared" si="2"/>
        <v>Acredita</v>
      </c>
      <c r="F75" s="308"/>
    </row>
    <row r="76" spans="1:6" ht="14">
      <c r="A76" s="236"/>
      <c r="B76" s="288" t="s">
        <v>96</v>
      </c>
      <c r="C76" s="289"/>
      <c r="D76" s="38" t="s">
        <v>61</v>
      </c>
      <c r="E76" s="35" t="str">
        <f t="shared" si="2"/>
        <v>Acredita</v>
      </c>
      <c r="F76" s="309"/>
    </row>
    <row r="77" spans="1:6">
      <c r="A77" s="231" t="s">
        <v>71</v>
      </c>
      <c r="B77" s="231"/>
      <c r="C77" s="231"/>
      <c r="D77" s="231"/>
      <c r="E77" s="232" t="str">
        <f>IF(AND(E62="acredita",E64="acredita",E65="acredita",E66="acredita",E67="acredita",E68="acredita",E69="acredita",E70="acredita",E71="acredita",E72="acredita"),"CUMPLE","NO CUMPLE")</f>
        <v>CUMPLE</v>
      </c>
      <c r="F77" s="233"/>
    </row>
    <row r="78" spans="1:6">
      <c r="A78" s="26"/>
      <c r="B78" s="26"/>
      <c r="C78" s="26"/>
      <c r="D78" s="26"/>
      <c r="E78" s="22"/>
      <c r="F78" s="22"/>
    </row>
    <row r="79" spans="1:6">
      <c r="A79" s="28" t="s">
        <v>464</v>
      </c>
      <c r="B79" s="294" t="s">
        <v>465</v>
      </c>
      <c r="C79" s="294"/>
      <c r="D79" s="294"/>
      <c r="E79" s="294"/>
      <c r="F79" s="294"/>
    </row>
    <row r="80" spans="1:6" ht="86.25" customHeight="1">
      <c r="A80" s="28" t="s">
        <v>51</v>
      </c>
      <c r="B80" s="241" t="s">
        <v>466</v>
      </c>
      <c r="C80" s="241"/>
      <c r="D80" s="241"/>
      <c r="E80" s="241"/>
      <c r="F80" s="241"/>
    </row>
    <row r="81" spans="1:6">
      <c r="A81" s="23" t="s">
        <v>52</v>
      </c>
      <c r="B81" s="234" t="s">
        <v>467</v>
      </c>
      <c r="C81" s="234"/>
      <c r="D81" s="234"/>
      <c r="E81" s="234"/>
      <c r="F81" s="234"/>
    </row>
    <row r="82" spans="1:6">
      <c r="A82" s="28" t="s">
        <v>65</v>
      </c>
      <c r="B82" s="31" t="s">
        <v>53</v>
      </c>
      <c r="C82" s="32" t="s">
        <v>66</v>
      </c>
      <c r="D82" s="32" t="s">
        <v>54</v>
      </c>
      <c r="E82" s="32" t="s">
        <v>67</v>
      </c>
      <c r="F82" s="32" t="s">
        <v>55</v>
      </c>
    </row>
    <row r="83" spans="1:6">
      <c r="A83" s="227" t="s">
        <v>56</v>
      </c>
      <c r="B83" s="33">
        <v>80101600</v>
      </c>
      <c r="C83" s="29">
        <v>80101600</v>
      </c>
      <c r="D83" s="29">
        <v>50</v>
      </c>
      <c r="E83" s="235" t="str">
        <f>IF(B84=C84,"Acredita",IF(B83=C83,"Acredita","No acredita"))</f>
        <v>Acredita</v>
      </c>
      <c r="F83" s="304"/>
    </row>
    <row r="84" spans="1:6">
      <c r="A84" s="227"/>
      <c r="B84" s="33">
        <v>81101500</v>
      </c>
      <c r="C84" s="30">
        <v>81101500</v>
      </c>
      <c r="D84" s="30">
        <v>50</v>
      </c>
      <c r="E84" s="236"/>
      <c r="F84" s="305"/>
    </row>
    <row r="85" spans="1:6" ht="14">
      <c r="A85" s="237" t="s">
        <v>57</v>
      </c>
      <c r="B85" s="238"/>
      <c r="C85" s="239"/>
      <c r="D85" s="34">
        <v>44224</v>
      </c>
      <c r="E85" s="35" t="str">
        <f>IF(D85="","No acredita","Acredita")</f>
        <v>Acredita</v>
      </c>
      <c r="F85" s="305"/>
    </row>
    <row r="86" spans="1:6" ht="14">
      <c r="A86" s="237" t="s">
        <v>58</v>
      </c>
      <c r="B86" s="238"/>
      <c r="C86" s="239"/>
      <c r="D86" s="36">
        <v>115191904</v>
      </c>
      <c r="E86" s="35" t="str">
        <f>IF(D86="","No acredita","Acredita")</f>
        <v>Acredita</v>
      </c>
      <c r="F86" s="305"/>
    </row>
    <row r="87" spans="1:6" ht="14">
      <c r="A87" s="237" t="s">
        <v>59</v>
      </c>
      <c r="B87" s="238"/>
      <c r="C87" s="239"/>
      <c r="D87" s="44">
        <f>IFERROR((D86/(VLOOKUP((YEAR(D89)),[1]SMMLV!$A$9:$C$49,3,0)))*'O7'!D88,"0")</f>
        <v>126.7898816324464</v>
      </c>
      <c r="E87" s="37" t="str">
        <f>IF(D87="","No acredita","Acredita")</f>
        <v>Acredita</v>
      </c>
      <c r="F87" s="305"/>
    </row>
    <row r="88" spans="1:6" ht="14">
      <c r="A88" s="237" t="s">
        <v>80</v>
      </c>
      <c r="B88" s="238"/>
      <c r="C88" s="239"/>
      <c r="D88" s="45">
        <v>1</v>
      </c>
      <c r="E88" s="35" t="str">
        <f>IF(D88="","No acredita","Acredita")</f>
        <v>Acredita</v>
      </c>
      <c r="F88" s="305"/>
    </row>
    <row r="89" spans="1:6" ht="14">
      <c r="A89" s="237" t="s">
        <v>60</v>
      </c>
      <c r="B89" s="238"/>
      <c r="C89" s="239"/>
      <c r="D89" s="34">
        <v>44435</v>
      </c>
      <c r="E89" s="35" t="str">
        <f>IF(D89="","No acredita","Acredita")</f>
        <v>Acredita</v>
      </c>
      <c r="F89" s="305"/>
    </row>
    <row r="90" spans="1:6" ht="69.75" customHeight="1">
      <c r="A90" s="227" t="s">
        <v>91</v>
      </c>
      <c r="B90" s="227"/>
      <c r="C90" s="227"/>
      <c r="D90" s="38" t="s">
        <v>61</v>
      </c>
      <c r="E90" s="35" t="str">
        <f t="shared" ref="E90:E97" si="3">IF(D90="","No acredita",IF(D90="","",IF(D90="SI","Acredita","No acredita")))</f>
        <v>Acredita</v>
      </c>
      <c r="F90" s="305"/>
    </row>
    <row r="91" spans="1:6" ht="32.25" customHeight="1">
      <c r="A91" s="227" t="s">
        <v>92</v>
      </c>
      <c r="B91" s="227"/>
      <c r="C91" s="227"/>
      <c r="D91" s="38" t="s">
        <v>61</v>
      </c>
      <c r="E91" s="35" t="str">
        <f t="shared" si="3"/>
        <v>Acredita</v>
      </c>
      <c r="F91" s="305"/>
    </row>
    <row r="92" spans="1:6" ht="14">
      <c r="A92" s="227" t="s">
        <v>69</v>
      </c>
      <c r="B92" s="227"/>
      <c r="C92" s="227"/>
      <c r="D92" s="38" t="s">
        <v>61</v>
      </c>
      <c r="E92" s="35" t="str">
        <f t="shared" si="3"/>
        <v>Acredita</v>
      </c>
      <c r="F92" s="305"/>
    </row>
    <row r="93" spans="1:6" ht="14">
      <c r="A93" s="227" t="s">
        <v>102</v>
      </c>
      <c r="B93" s="227"/>
      <c r="C93" s="227"/>
      <c r="D93" s="38" t="s">
        <v>61</v>
      </c>
      <c r="E93" s="35" t="str">
        <f t="shared" si="3"/>
        <v>Acredita</v>
      </c>
      <c r="F93" s="306"/>
    </row>
    <row r="94" spans="1:6" ht="14">
      <c r="A94" s="235" t="s">
        <v>97</v>
      </c>
      <c r="B94" s="288" t="s">
        <v>93</v>
      </c>
      <c r="C94" s="289"/>
      <c r="D94" s="38" t="s">
        <v>61</v>
      </c>
      <c r="E94" s="35" t="str">
        <f t="shared" si="3"/>
        <v>Acredita</v>
      </c>
      <c r="F94" s="307"/>
    </row>
    <row r="95" spans="1:6" ht="14">
      <c r="A95" s="287"/>
      <c r="B95" s="288" t="s">
        <v>94</v>
      </c>
      <c r="C95" s="289"/>
      <c r="D95" s="38" t="s">
        <v>61</v>
      </c>
      <c r="E95" s="35" t="str">
        <f t="shared" si="3"/>
        <v>Acredita</v>
      </c>
      <c r="F95" s="308"/>
    </row>
    <row r="96" spans="1:6" ht="14">
      <c r="A96" s="287"/>
      <c r="B96" s="288" t="s">
        <v>95</v>
      </c>
      <c r="C96" s="289"/>
      <c r="D96" s="38" t="s">
        <v>61</v>
      </c>
      <c r="E96" s="35" t="str">
        <f t="shared" si="3"/>
        <v>Acredita</v>
      </c>
      <c r="F96" s="308"/>
    </row>
    <row r="97" spans="1:6" ht="14">
      <c r="A97" s="236"/>
      <c r="B97" s="288" t="s">
        <v>96</v>
      </c>
      <c r="C97" s="289"/>
      <c r="D97" s="38" t="s">
        <v>61</v>
      </c>
      <c r="E97" s="35" t="str">
        <f t="shared" si="3"/>
        <v>Acredita</v>
      </c>
      <c r="F97" s="309"/>
    </row>
    <row r="98" spans="1:6">
      <c r="A98" s="231" t="s">
        <v>72</v>
      </c>
      <c r="B98" s="231"/>
      <c r="C98" s="231"/>
      <c r="D98" s="231"/>
      <c r="E98" s="232" t="str">
        <f>IF(AND(E83="acredita",E85="acredita",E86="acredita",E87="acredita",E88="acredita",E89="acredita",E90="acredita",E91="acredita",E92="acredita",E93="acredita"),"CUMPLE","NO CUMPLE")</f>
        <v>CUMPLE</v>
      </c>
      <c r="F98" s="233"/>
    </row>
    <row r="99" spans="1:6">
      <c r="A99" s="26"/>
      <c r="B99" s="26"/>
      <c r="C99" s="26"/>
      <c r="D99" s="26"/>
      <c r="E99" s="22"/>
      <c r="F99" s="22"/>
    </row>
    <row r="100" spans="1:6">
      <c r="A100" s="293" t="s">
        <v>98</v>
      </c>
      <c r="B100" s="293"/>
      <c r="C100" s="293"/>
      <c r="D100" s="293"/>
      <c r="E100" s="293"/>
      <c r="F100" s="293"/>
    </row>
    <row r="101" spans="1:6">
      <c r="A101" s="28" t="s">
        <v>468</v>
      </c>
      <c r="B101" s="294" t="s">
        <v>465</v>
      </c>
      <c r="C101" s="294"/>
      <c r="D101" s="294"/>
      <c r="E101" s="294"/>
      <c r="F101" s="294"/>
    </row>
    <row r="102" spans="1:6" ht="27.75" customHeight="1">
      <c r="A102" s="28" t="s">
        <v>51</v>
      </c>
      <c r="B102" s="241" t="s">
        <v>469</v>
      </c>
      <c r="C102" s="241"/>
      <c r="D102" s="241"/>
      <c r="E102" s="241"/>
      <c r="F102" s="241"/>
    </row>
    <row r="103" spans="1:6">
      <c r="A103" s="23" t="s">
        <v>52</v>
      </c>
      <c r="B103" s="234" t="s">
        <v>470</v>
      </c>
      <c r="C103" s="234"/>
      <c r="D103" s="234"/>
      <c r="E103" s="234"/>
      <c r="F103" s="234"/>
    </row>
    <row r="104" spans="1:6">
      <c r="A104" s="28" t="s">
        <v>65</v>
      </c>
      <c r="B104" s="31" t="s">
        <v>53</v>
      </c>
      <c r="C104" s="32" t="s">
        <v>66</v>
      </c>
      <c r="D104" s="32" t="s">
        <v>54</v>
      </c>
      <c r="E104" s="32" t="s">
        <v>67</v>
      </c>
      <c r="F104" s="32" t="s">
        <v>55</v>
      </c>
    </row>
    <row r="105" spans="1:6">
      <c r="A105" s="227" t="s">
        <v>56</v>
      </c>
      <c r="B105" s="33">
        <v>80101600</v>
      </c>
      <c r="C105" s="29">
        <v>80101600</v>
      </c>
      <c r="D105" s="29">
        <v>29</v>
      </c>
      <c r="E105" s="235" t="str">
        <f>IF(B106=C106,"Acredita",IF(B105=C105,"Acredita","No acredita"))</f>
        <v>Acredita</v>
      </c>
      <c r="F105" s="304"/>
    </row>
    <row r="106" spans="1:6">
      <c r="A106" s="227"/>
      <c r="B106" s="33">
        <v>81101500</v>
      </c>
      <c r="C106" s="30">
        <v>81101500</v>
      </c>
      <c r="D106" s="30">
        <v>29</v>
      </c>
      <c r="E106" s="236"/>
      <c r="F106" s="305"/>
    </row>
    <row r="107" spans="1:6" ht="14">
      <c r="A107" s="237" t="s">
        <v>57</v>
      </c>
      <c r="B107" s="238"/>
      <c r="C107" s="239"/>
      <c r="D107" s="34">
        <v>43213</v>
      </c>
      <c r="E107" s="35" t="str">
        <f>IF(D107="","No acredita","Acredita")</f>
        <v>Acredita</v>
      </c>
      <c r="F107" s="305"/>
    </row>
    <row r="108" spans="1:6" ht="14">
      <c r="A108" s="237" t="s">
        <v>58</v>
      </c>
      <c r="B108" s="238"/>
      <c r="C108" s="239"/>
      <c r="D108" s="36">
        <v>1195555396</v>
      </c>
      <c r="E108" s="35" t="str">
        <f>IF(D108="","No acredita","Acredita")</f>
        <v>Acredita</v>
      </c>
      <c r="F108" s="305"/>
    </row>
    <row r="109" spans="1:6" ht="14">
      <c r="A109" s="237" t="s">
        <v>59</v>
      </c>
      <c r="B109" s="238"/>
      <c r="C109" s="239"/>
      <c r="D109" s="44">
        <f>IFERROR((D108/(VLOOKUP((YEAR(D111)),[1]SMMLV!$A$9:$C$49,3,0)))*'O7'!D110,"0")</f>
        <v>721.85261243593891</v>
      </c>
      <c r="E109" s="37" t="str">
        <f>IF(D109="","No acredita","Acredita")</f>
        <v>Acredita</v>
      </c>
      <c r="F109" s="305"/>
    </row>
    <row r="110" spans="1:6" ht="14">
      <c r="A110" s="237" t="s">
        <v>80</v>
      </c>
      <c r="B110" s="238"/>
      <c r="C110" s="239"/>
      <c r="D110" s="45">
        <v>0.5</v>
      </c>
      <c r="E110" s="35" t="str">
        <f>IF(D110="","No acredita","Acredita")</f>
        <v>Acredita</v>
      </c>
      <c r="F110" s="305"/>
    </row>
    <row r="111" spans="1:6" ht="14">
      <c r="A111" s="237" t="s">
        <v>60</v>
      </c>
      <c r="B111" s="238"/>
      <c r="C111" s="239"/>
      <c r="D111" s="34">
        <v>43771</v>
      </c>
      <c r="E111" s="35" t="str">
        <f>IF(D111="","No acredita","Acredita")</f>
        <v>Acredita</v>
      </c>
      <c r="F111" s="305"/>
    </row>
    <row r="112" spans="1:6" ht="68.25" customHeight="1">
      <c r="A112" s="227" t="s">
        <v>91</v>
      </c>
      <c r="B112" s="227"/>
      <c r="C112" s="227"/>
      <c r="D112" s="38" t="s">
        <v>61</v>
      </c>
      <c r="E112" s="35" t="str">
        <f t="shared" ref="E112:E119" si="4">IF(D112="","No acredita",IF(D112="","",IF(D112="SI","Acredita","No acredita")))</f>
        <v>Acredita</v>
      </c>
      <c r="F112" s="305"/>
    </row>
    <row r="113" spans="1:6" ht="27" customHeight="1">
      <c r="A113" s="227" t="s">
        <v>92</v>
      </c>
      <c r="B113" s="227"/>
      <c r="C113" s="227"/>
      <c r="D113" s="38" t="s">
        <v>61</v>
      </c>
      <c r="E113" s="35" t="str">
        <f t="shared" si="4"/>
        <v>Acredita</v>
      </c>
      <c r="F113" s="305"/>
    </row>
    <row r="114" spans="1:6" ht="14">
      <c r="A114" s="227" t="s">
        <v>69</v>
      </c>
      <c r="B114" s="227"/>
      <c r="C114" s="227"/>
      <c r="D114" s="38" t="s">
        <v>61</v>
      </c>
      <c r="E114" s="35" t="str">
        <f t="shared" si="4"/>
        <v>Acredita</v>
      </c>
      <c r="F114" s="305"/>
    </row>
    <row r="115" spans="1:6" ht="14">
      <c r="A115" s="227" t="s">
        <v>102</v>
      </c>
      <c r="B115" s="227"/>
      <c r="C115" s="227"/>
      <c r="D115" s="38" t="s">
        <v>61</v>
      </c>
      <c r="E115" s="35" t="str">
        <f t="shared" si="4"/>
        <v>Acredita</v>
      </c>
      <c r="F115" s="306"/>
    </row>
    <row r="116" spans="1:6" ht="14">
      <c r="A116" s="235" t="s">
        <v>97</v>
      </c>
      <c r="B116" s="288" t="s">
        <v>93</v>
      </c>
      <c r="C116" s="289"/>
      <c r="D116" s="38" t="s">
        <v>62</v>
      </c>
      <c r="E116" s="35" t="str">
        <f t="shared" si="4"/>
        <v>No acredita</v>
      </c>
      <c r="F116" s="307"/>
    </row>
    <row r="117" spans="1:6" ht="14">
      <c r="A117" s="287"/>
      <c r="B117" s="288" t="s">
        <v>94</v>
      </c>
      <c r="C117" s="289"/>
      <c r="D117" s="38" t="s">
        <v>61</v>
      </c>
      <c r="E117" s="35" t="str">
        <f t="shared" si="4"/>
        <v>Acredita</v>
      </c>
      <c r="F117" s="308"/>
    </row>
    <row r="118" spans="1:6" ht="14">
      <c r="A118" s="287"/>
      <c r="B118" s="288" t="s">
        <v>95</v>
      </c>
      <c r="C118" s="289"/>
      <c r="D118" s="38" t="s">
        <v>61</v>
      </c>
      <c r="E118" s="35" t="str">
        <f t="shared" si="4"/>
        <v>Acredita</v>
      </c>
      <c r="F118" s="308"/>
    </row>
    <row r="119" spans="1:6" ht="14">
      <c r="A119" s="236"/>
      <c r="B119" s="288" t="s">
        <v>96</v>
      </c>
      <c r="C119" s="289"/>
      <c r="D119" s="38" t="s">
        <v>61</v>
      </c>
      <c r="E119" s="35" t="str">
        <f t="shared" si="4"/>
        <v>Acredita</v>
      </c>
      <c r="F119" s="309"/>
    </row>
    <row r="120" spans="1:6">
      <c r="A120" s="231" t="s">
        <v>73</v>
      </c>
      <c r="B120" s="231"/>
      <c r="C120" s="231"/>
      <c r="D120" s="231"/>
      <c r="E120" s="232" t="str">
        <f>IF(AND(E105="acredita",E107="acredita",E108="acredita",E109="acredita",E110="acredita",E111="acredita",E112="acredita",E113="acredita",E114="acredita",E115="acredita"),"CUMPLE","NO CUMPLE")</f>
        <v>CUMPLE</v>
      </c>
      <c r="F120" s="233"/>
    </row>
    <row r="121" spans="1:6">
      <c r="A121" s="26"/>
      <c r="B121" s="26"/>
      <c r="C121" s="26"/>
      <c r="D121" s="26"/>
      <c r="E121" s="22"/>
      <c r="F121" s="22"/>
    </row>
    <row r="122" spans="1:6">
      <c r="A122" s="227" t="s">
        <v>101</v>
      </c>
      <c r="B122" s="227"/>
      <c r="C122" s="227"/>
      <c r="D122" s="227"/>
      <c r="E122" s="227"/>
      <c r="F122" s="46" t="s">
        <v>61</v>
      </c>
    </row>
    <row r="123" spans="1:6">
      <c r="A123" s="227"/>
      <c r="B123" s="227"/>
      <c r="C123" s="227"/>
      <c r="D123" s="227"/>
      <c r="E123" s="227"/>
      <c r="F123" s="43" t="str">
        <f>IF(F122="SI","CUMPLE","NO CUMPLE")</f>
        <v>CUMPLE</v>
      </c>
    </row>
    <row r="124" spans="1:6" ht="31.5" customHeight="1">
      <c r="A124" s="227" t="s">
        <v>86</v>
      </c>
      <c r="B124" s="227"/>
      <c r="C124" s="227"/>
      <c r="D124" s="227"/>
      <c r="E124" s="227"/>
      <c r="F124" s="227"/>
    </row>
    <row r="125" spans="1:6">
      <c r="A125" s="26"/>
      <c r="B125" s="26"/>
      <c r="C125" s="26"/>
      <c r="D125" s="26"/>
      <c r="E125" s="22"/>
      <c r="F125" s="22"/>
    </row>
    <row r="126" spans="1:6">
      <c r="A126" s="227" t="s">
        <v>99</v>
      </c>
      <c r="B126" s="227"/>
      <c r="C126" s="227"/>
      <c r="D126" s="227"/>
      <c r="E126" s="227"/>
      <c r="F126" s="46">
        <f>SUM(D24+D45+D66+D87+D109)</f>
        <v>3687.3892574650436</v>
      </c>
    </row>
    <row r="127" spans="1:6">
      <c r="A127" s="227"/>
      <c r="B127" s="227"/>
      <c r="C127" s="227"/>
      <c r="D127" s="227"/>
      <c r="E127" s="227"/>
      <c r="F127" s="43" t="str">
        <f>IF(F126&gt;=433.26,"CUMPLE","NO CUMPLE")</f>
        <v>CUMPLE</v>
      </c>
    </row>
    <row r="128" spans="1:6" ht="33" customHeight="1">
      <c r="A128" s="227" t="s">
        <v>86</v>
      </c>
      <c r="B128" s="227"/>
      <c r="C128" s="227"/>
      <c r="D128" s="227"/>
      <c r="E128" s="227"/>
      <c r="F128" s="227"/>
    </row>
    <row r="129" spans="1:6">
      <c r="A129" s="41"/>
      <c r="B129" s="41"/>
      <c r="C129" s="41"/>
      <c r="D129" s="41"/>
      <c r="E129" s="41"/>
      <c r="F129" s="22"/>
    </row>
    <row r="130" spans="1:6">
      <c r="A130" s="227" t="s">
        <v>100</v>
      </c>
      <c r="B130" s="227"/>
      <c r="C130" s="227"/>
      <c r="D130" s="227"/>
      <c r="E130" s="227"/>
      <c r="F130" s="46" t="s">
        <v>61</v>
      </c>
    </row>
    <row r="131" spans="1:6" ht="27" customHeight="1">
      <c r="A131" s="227"/>
      <c r="B131" s="227"/>
      <c r="C131" s="227"/>
      <c r="D131" s="227"/>
      <c r="E131" s="227"/>
      <c r="F131" s="43" t="str">
        <f>IF(F130="SI","CUMPLE","NO CUMPLE")</f>
        <v>CUMPLE</v>
      </c>
    </row>
    <row r="132" spans="1:6" ht="29.25" customHeight="1">
      <c r="A132" s="227" t="s">
        <v>84</v>
      </c>
      <c r="B132" s="227"/>
      <c r="C132" s="227"/>
      <c r="D132" s="227"/>
      <c r="E132" s="227"/>
      <c r="F132" s="227"/>
    </row>
    <row r="133" spans="1:6">
      <c r="A133" s="39"/>
      <c r="B133" s="39"/>
      <c r="C133" s="39"/>
      <c r="D133" s="39"/>
      <c r="E133" s="39"/>
      <c r="F133" s="40"/>
    </row>
    <row r="134" spans="1:6">
      <c r="A134" s="227" t="s">
        <v>74</v>
      </c>
      <c r="B134" s="227"/>
      <c r="C134" s="227"/>
      <c r="D134" s="227"/>
      <c r="E134" s="227"/>
      <c r="F134" s="46" t="s">
        <v>61</v>
      </c>
    </row>
    <row r="135" spans="1:6">
      <c r="A135" s="227"/>
      <c r="B135" s="227"/>
      <c r="C135" s="227"/>
      <c r="D135" s="227"/>
      <c r="E135" s="227"/>
      <c r="F135" s="43" t="str">
        <f>IF(F134="SI","CUMPLE","NO CUMPLE")</f>
        <v>CUMPLE</v>
      </c>
    </row>
    <row r="136" spans="1:6" ht="27.75" customHeight="1">
      <c r="A136" s="227" t="s">
        <v>84</v>
      </c>
      <c r="B136" s="227"/>
      <c r="C136" s="227"/>
      <c r="D136" s="227"/>
      <c r="E136" s="227"/>
      <c r="F136" s="227"/>
    </row>
    <row r="137" spans="1:6">
      <c r="A137" s="39"/>
      <c r="B137" s="39"/>
      <c r="C137" s="39"/>
      <c r="D137" s="39"/>
      <c r="E137" s="39"/>
      <c r="F137" s="40"/>
    </row>
    <row r="138" spans="1:6" ht="14">
      <c r="A138" s="284" t="s">
        <v>90</v>
      </c>
      <c r="B138" s="285"/>
      <c r="C138" s="285"/>
      <c r="D138" s="285"/>
      <c r="E138" s="286"/>
      <c r="F138" s="74" t="str">
        <f>IF(AND(F123="cumple",F127="cumple",F131="cumple",F135="cumple"),"CUMPLE","NO CUMPLE")</f>
        <v>CUMPLE</v>
      </c>
    </row>
    <row r="139" spans="1:6">
      <c r="A139" s="39"/>
      <c r="B139" s="39"/>
      <c r="C139" s="39"/>
      <c r="D139" s="39"/>
      <c r="E139" s="39"/>
      <c r="F139" s="40"/>
    </row>
    <row r="140" spans="1:6">
      <c r="A140" s="39"/>
      <c r="B140" s="39"/>
      <c r="C140" s="39"/>
      <c r="D140" s="39"/>
      <c r="E140" s="39"/>
      <c r="F140" s="40"/>
    </row>
    <row r="141" spans="1:6">
      <c r="A141" s="39"/>
      <c r="B141" s="39"/>
      <c r="C141" s="39"/>
      <c r="D141" s="39"/>
      <c r="E141" s="39"/>
      <c r="F141" s="40"/>
    </row>
    <row r="142" spans="1:6">
      <c r="A142" s="39"/>
      <c r="B142" s="39"/>
      <c r="C142" s="39"/>
      <c r="D142" s="39"/>
      <c r="E142" s="39"/>
      <c r="F142" s="40"/>
    </row>
    <row r="143" spans="1:6">
      <c r="A143" s="39"/>
      <c r="B143" s="39"/>
      <c r="C143" s="39"/>
      <c r="D143" s="39"/>
      <c r="E143" s="39"/>
      <c r="F143" s="40"/>
    </row>
    <row r="144" spans="1:6">
      <c r="A144" s="39"/>
      <c r="B144" s="39"/>
      <c r="C144" s="39"/>
      <c r="D144" s="39"/>
      <c r="E144" s="39"/>
      <c r="F144" s="40"/>
    </row>
    <row r="145" spans="1:7">
      <c r="A145" s="39"/>
      <c r="B145" s="39"/>
      <c r="C145" s="39"/>
      <c r="D145" s="39"/>
      <c r="E145" s="39"/>
      <c r="F145" s="40"/>
    </row>
    <row r="146" spans="1:7">
      <c r="A146" s="39"/>
      <c r="B146" s="39"/>
      <c r="C146" s="39"/>
      <c r="D146" s="39"/>
      <c r="E146" s="39"/>
      <c r="F146" s="40"/>
    </row>
    <row r="147" spans="1:7" ht="14">
      <c r="A147" s="212" t="s">
        <v>114</v>
      </c>
      <c r="B147" s="212"/>
      <c r="C147" s="212"/>
      <c r="D147" s="212"/>
      <c r="E147" s="212"/>
      <c r="F147" s="212"/>
    </row>
    <row r="148" spans="1:7">
      <c r="A148" s="39"/>
      <c r="B148" s="39"/>
      <c r="C148" s="39"/>
      <c r="D148" s="39"/>
      <c r="E148" s="39"/>
      <c r="F148" s="40"/>
    </row>
    <row r="149" spans="1:7">
      <c r="A149" s="262" t="s">
        <v>138</v>
      </c>
      <c r="B149" s="262"/>
      <c r="C149" s="262"/>
      <c r="D149" s="262"/>
      <c r="E149" s="262"/>
      <c r="F149" s="262"/>
    </row>
    <row r="150" spans="1:7">
      <c r="A150" s="281" t="s">
        <v>104</v>
      </c>
      <c r="B150" s="282"/>
      <c r="C150" s="283"/>
      <c r="D150" s="266" t="s">
        <v>471</v>
      </c>
      <c r="E150" s="267"/>
      <c r="F150" s="268"/>
    </row>
    <row r="151" spans="1:7" ht="69" customHeight="1">
      <c r="A151" s="73" t="s">
        <v>105</v>
      </c>
      <c r="B151" s="280" t="s">
        <v>124</v>
      </c>
      <c r="C151" s="280"/>
      <c r="D151" s="52" t="s">
        <v>115</v>
      </c>
      <c r="E151" s="52" t="str">
        <f>IF(D151="","NO CUMPLE","CUMPLE")</f>
        <v>CUMPLE</v>
      </c>
      <c r="F151" s="53"/>
    </row>
    <row r="152" spans="1:7" ht="14">
      <c r="A152" s="73" t="s">
        <v>106</v>
      </c>
      <c r="B152" s="280" t="s">
        <v>133</v>
      </c>
      <c r="C152" s="280"/>
      <c r="D152" s="54" t="s">
        <v>61</v>
      </c>
      <c r="E152" s="55" t="str">
        <f>IF(D152="SI","CUMPLE","NO CUMPLE")</f>
        <v>CUMPLE</v>
      </c>
      <c r="F152" s="53" t="s">
        <v>472</v>
      </c>
    </row>
    <row r="153" spans="1:7" ht="14">
      <c r="A153" s="73" t="s">
        <v>107</v>
      </c>
      <c r="B153" s="280" t="s">
        <v>108</v>
      </c>
      <c r="C153" s="280"/>
      <c r="D153" s="63" t="s">
        <v>473</v>
      </c>
      <c r="E153" s="55" t="str">
        <f>IF(D153="","NO CUMPLE","CUMPLE")</f>
        <v>CUMPLE</v>
      </c>
      <c r="F153" s="53"/>
    </row>
    <row r="154" spans="1:7" ht="14">
      <c r="A154" s="275" t="s">
        <v>109</v>
      </c>
      <c r="B154" s="276"/>
      <c r="C154" s="277"/>
      <c r="D154" s="56">
        <v>45604</v>
      </c>
      <c r="E154" s="55" t="str">
        <f>IF(($B$4-D154)&gt;183,"NO CUMPLE","CUMPLE")</f>
        <v>CUMPLE</v>
      </c>
      <c r="F154" s="53"/>
    </row>
    <row r="155" spans="1:7" ht="14">
      <c r="A155" s="278" t="s">
        <v>107</v>
      </c>
      <c r="B155" s="280" t="s">
        <v>132</v>
      </c>
      <c r="C155" s="280"/>
      <c r="D155" s="54">
        <v>29635</v>
      </c>
      <c r="E155" s="55" t="str">
        <f>IF(D155="","NO CUMPLE","CUMPLE")</f>
        <v>CUMPLE</v>
      </c>
      <c r="F155" s="53"/>
      <c r="G155" s="50"/>
    </row>
    <row r="156" spans="1:7" ht="14">
      <c r="A156" s="279"/>
      <c r="B156" s="280" t="s">
        <v>121</v>
      </c>
      <c r="C156" s="280"/>
      <c r="D156" s="61">
        <f>IF(D155&gt;0,(($B$4-D155)/365))</f>
        <v>43.824657534246576</v>
      </c>
      <c r="E156" s="62" t="str">
        <f>IF(D155="","NO CUMPLE",IF(D156&gt;=10,"CUMPLE","NO CUMPLE"))</f>
        <v>CUMPLE</v>
      </c>
      <c r="F156" s="53"/>
      <c r="G156" s="50"/>
    </row>
    <row r="157" spans="1:7" ht="14">
      <c r="A157" s="275" t="s">
        <v>125</v>
      </c>
      <c r="B157" s="276"/>
      <c r="C157" s="277"/>
      <c r="D157" s="54" t="s">
        <v>61</v>
      </c>
      <c r="E157" s="55" t="str">
        <f>IF(D157="SI","CUMPLE","NO CUMPLE")</f>
        <v>CUMPLE</v>
      </c>
      <c r="F157" s="53"/>
      <c r="G157" s="50"/>
    </row>
    <row r="158" spans="1:7" ht="14">
      <c r="A158" s="275" t="s">
        <v>126</v>
      </c>
      <c r="B158" s="276"/>
      <c r="C158" s="277"/>
      <c r="D158" s="54" t="s">
        <v>61</v>
      </c>
      <c r="E158" s="55" t="str">
        <f t="shared" ref="E158:E159" si="5">IF(D158="SI","CUMPLE","NO CUMPLE")</f>
        <v>CUMPLE</v>
      </c>
      <c r="F158" s="53"/>
      <c r="G158" s="50"/>
    </row>
    <row r="159" spans="1:7" ht="14">
      <c r="A159" s="275" t="s">
        <v>127</v>
      </c>
      <c r="B159" s="276"/>
      <c r="C159" s="277"/>
      <c r="D159" s="54" t="s">
        <v>61</v>
      </c>
      <c r="E159" s="55" t="str">
        <f t="shared" si="5"/>
        <v>CUMPLE</v>
      </c>
      <c r="F159" s="53"/>
      <c r="G159" s="50"/>
    </row>
    <row r="160" spans="1:7">
      <c r="A160" s="64"/>
      <c r="B160" s="65"/>
      <c r="C160" s="65"/>
      <c r="D160" s="66"/>
      <c r="E160" s="67"/>
      <c r="F160" s="68"/>
      <c r="G160" s="50"/>
    </row>
    <row r="161" spans="1:7" ht="146.25" customHeight="1">
      <c r="A161" s="269" t="s">
        <v>474</v>
      </c>
      <c r="B161" s="270"/>
      <c r="C161" s="59" t="s">
        <v>122</v>
      </c>
      <c r="D161" s="54" t="s">
        <v>61</v>
      </c>
      <c r="E161" s="55" t="str">
        <f>IF(D161="SI","CUMPLE","NO CUMPLE")</f>
        <v>CUMPLE</v>
      </c>
      <c r="F161" s="53"/>
    </row>
    <row r="162" spans="1:7" ht="42">
      <c r="A162" s="271"/>
      <c r="B162" s="272"/>
      <c r="C162" s="59" t="s">
        <v>123</v>
      </c>
      <c r="D162" s="54" t="s">
        <v>61</v>
      </c>
      <c r="E162" s="55" t="str">
        <f>IF(D162="SI","CUMPLE","NO CUMPLE")</f>
        <v>CUMPLE</v>
      </c>
      <c r="F162" s="53"/>
    </row>
    <row r="163" spans="1:7" ht="14">
      <c r="A163" s="271"/>
      <c r="B163" s="272"/>
      <c r="C163" s="59" t="s">
        <v>128</v>
      </c>
      <c r="D163" s="56" t="s">
        <v>552</v>
      </c>
      <c r="E163" s="55" t="str">
        <f>IF(D163="","NO CUMPLE","CUMPLE")</f>
        <v>CUMPLE</v>
      </c>
      <c r="F163" s="53" t="s">
        <v>553</v>
      </c>
    </row>
    <row r="164" spans="1:7" ht="14">
      <c r="A164" s="271"/>
      <c r="B164" s="272"/>
      <c r="C164" s="59" t="s">
        <v>129</v>
      </c>
      <c r="D164" s="56" t="s">
        <v>130</v>
      </c>
      <c r="E164" s="55" t="str">
        <f>IF(D164="Director Interventoria","CUMPLE","NO CUMPLE")</f>
        <v>CUMPLE</v>
      </c>
      <c r="F164" s="53"/>
    </row>
    <row r="165" spans="1:7" ht="14">
      <c r="A165" s="271"/>
      <c r="B165" s="272"/>
      <c r="C165" s="60" t="s">
        <v>110</v>
      </c>
      <c r="D165" s="58">
        <v>1195555696</v>
      </c>
      <c r="E165" s="55" t="str">
        <f>IF(D165="","NO CUMPLE","CUMPLE")</f>
        <v>CUMPLE</v>
      </c>
      <c r="F165" s="53"/>
    </row>
    <row r="166" spans="1:7" ht="14">
      <c r="A166" s="271"/>
      <c r="B166" s="272"/>
      <c r="C166" s="60" t="s">
        <v>111</v>
      </c>
      <c r="D166" s="57">
        <v>43213</v>
      </c>
      <c r="E166" s="55" t="str">
        <f>IF(D166="","NO CUMPLE","CUMPLE")</f>
        <v>CUMPLE</v>
      </c>
      <c r="F166" s="53"/>
    </row>
    <row r="167" spans="1:7" ht="14">
      <c r="A167" s="271"/>
      <c r="B167" s="272"/>
      <c r="C167" s="60" t="s">
        <v>112</v>
      </c>
      <c r="D167" s="57">
        <v>43771</v>
      </c>
      <c r="E167" s="55" t="str">
        <f t="shared" ref="E167" si="6">IF(D167="","NO CUMPLE","CUMPLE")</f>
        <v>CUMPLE</v>
      </c>
      <c r="F167" s="53"/>
      <c r="G167" s="51"/>
    </row>
    <row r="168" spans="1:7">
      <c r="A168" s="273"/>
      <c r="B168" s="274"/>
      <c r="C168" s="60" t="s">
        <v>113</v>
      </c>
      <c r="D168" s="61">
        <f>IFERROR((D165/(VLOOKUP((YEAR(D167)),[1]SMMLV!$A$9:$C$49,3,0))),"0")</f>
        <v>1443.7055871399659</v>
      </c>
      <c r="E168" s="62"/>
      <c r="F168" s="53"/>
    </row>
    <row r="169" spans="1:7" ht="15">
      <c r="A169" s="69"/>
      <c r="B169" s="69"/>
      <c r="C169" s="69"/>
      <c r="D169" s="69"/>
      <c r="E169" s="69"/>
      <c r="F169" s="69"/>
    </row>
    <row r="170" spans="1:7" ht="154">
      <c r="A170" s="269" t="s">
        <v>475</v>
      </c>
      <c r="B170" s="270"/>
      <c r="C170" s="59" t="s">
        <v>122</v>
      </c>
      <c r="D170" s="54" t="s">
        <v>61</v>
      </c>
      <c r="E170" s="55" t="str">
        <f>IF(D170="SI","CUMPLE","NO CUMPLE")</f>
        <v>CUMPLE</v>
      </c>
      <c r="F170" s="53"/>
    </row>
    <row r="171" spans="1:7" ht="42">
      <c r="A171" s="271"/>
      <c r="B171" s="272"/>
      <c r="C171" s="59" t="s">
        <v>123</v>
      </c>
      <c r="D171" s="54" t="s">
        <v>61</v>
      </c>
      <c r="E171" s="55" t="str">
        <f>IF(D171="SI","CUMPLE","NO CUMPLE")</f>
        <v>CUMPLE</v>
      </c>
      <c r="F171" s="53"/>
    </row>
    <row r="172" spans="1:7" ht="28">
      <c r="A172" s="271"/>
      <c r="B172" s="272"/>
      <c r="C172" s="59" t="s">
        <v>128</v>
      </c>
      <c r="D172" s="56" t="s">
        <v>554</v>
      </c>
      <c r="E172" s="55" t="str">
        <f>IF(D172="","NO CUMPLE","CUMPLE")</f>
        <v>CUMPLE</v>
      </c>
      <c r="F172" s="53" t="s">
        <v>555</v>
      </c>
    </row>
    <row r="173" spans="1:7" ht="14">
      <c r="A173" s="271"/>
      <c r="B173" s="272"/>
      <c r="C173" s="59" t="s">
        <v>129</v>
      </c>
      <c r="D173" s="56" t="s">
        <v>130</v>
      </c>
      <c r="E173" s="55" t="str">
        <f>IF(D173="Director Interventoria","CUMPLE","NO CUMPLE")</f>
        <v>CUMPLE</v>
      </c>
      <c r="F173" s="53"/>
    </row>
    <row r="174" spans="1:7" ht="14">
      <c r="A174" s="271"/>
      <c r="B174" s="272"/>
      <c r="C174" s="60" t="s">
        <v>110</v>
      </c>
      <c r="D174" s="58">
        <v>56975214</v>
      </c>
      <c r="E174" s="55" t="str">
        <f>IF(D174="","NO CUMPLE","CUMPLE")</f>
        <v>CUMPLE</v>
      </c>
      <c r="F174" s="53"/>
    </row>
    <row r="175" spans="1:7" ht="14">
      <c r="A175" s="271"/>
      <c r="B175" s="272"/>
      <c r="C175" s="60" t="s">
        <v>111</v>
      </c>
      <c r="D175" s="57">
        <v>40821</v>
      </c>
      <c r="E175" s="55" t="str">
        <f>IF(D175="","NO CUMPLE","CUMPLE")</f>
        <v>CUMPLE</v>
      </c>
      <c r="F175" s="53"/>
    </row>
    <row r="176" spans="1:7" ht="14">
      <c r="A176" s="271"/>
      <c r="B176" s="272"/>
      <c r="C176" s="60" t="s">
        <v>112</v>
      </c>
      <c r="D176" s="57">
        <v>41258</v>
      </c>
      <c r="E176" s="55" t="str">
        <f t="shared" ref="E176" si="7">IF(D176="","NO CUMPLE","CUMPLE")</f>
        <v>CUMPLE</v>
      </c>
      <c r="F176" s="53"/>
    </row>
    <row r="177" spans="1:6">
      <c r="A177" s="273"/>
      <c r="B177" s="274"/>
      <c r="C177" s="60" t="s">
        <v>113</v>
      </c>
      <c r="D177" s="61">
        <f>IFERROR((D174/(VLOOKUP((YEAR(D176)),[1]SMMLV!$A$9:$C$49,3,0))),"0")</f>
        <v>100.53858125992589</v>
      </c>
      <c r="E177" s="62"/>
      <c r="F177" s="53"/>
    </row>
    <row r="178" spans="1:6" ht="15" hidden="1">
      <c r="A178" s="69"/>
      <c r="B178" s="69"/>
      <c r="C178" s="69"/>
      <c r="D178" s="69"/>
      <c r="E178" s="69"/>
      <c r="F178" s="69"/>
    </row>
    <row r="179" spans="1:6" ht="154" hidden="1">
      <c r="A179" s="269" t="s">
        <v>432</v>
      </c>
      <c r="B179" s="270"/>
      <c r="C179" s="59" t="s">
        <v>122</v>
      </c>
      <c r="D179" s="54"/>
      <c r="E179" s="55" t="str">
        <f>IF(D179="SI","CUMPLE","NO CUMPLE")</f>
        <v>NO CUMPLE</v>
      </c>
      <c r="F179" s="53"/>
    </row>
    <row r="180" spans="1:6" ht="42" hidden="1">
      <c r="A180" s="271"/>
      <c r="B180" s="272"/>
      <c r="C180" s="59" t="s">
        <v>123</v>
      </c>
      <c r="D180" s="54"/>
      <c r="E180" s="55" t="str">
        <f>IF(D180="SI","CUMPLE","NO CUMPLE")</f>
        <v>NO CUMPLE</v>
      </c>
      <c r="F180" s="53"/>
    </row>
    <row r="181" spans="1:6" ht="14" hidden="1">
      <c r="A181" s="271"/>
      <c r="B181" s="272"/>
      <c r="C181" s="59" t="s">
        <v>128</v>
      </c>
      <c r="D181" s="56"/>
      <c r="E181" s="55" t="str">
        <f>IF(D181="","NO CUMPLE","CUMPLE")</f>
        <v>NO CUMPLE</v>
      </c>
      <c r="F181" s="53"/>
    </row>
    <row r="182" spans="1:6" ht="14" hidden="1">
      <c r="A182" s="271"/>
      <c r="B182" s="272"/>
      <c r="C182" s="59" t="s">
        <v>129</v>
      </c>
      <c r="D182" s="56"/>
      <c r="E182" s="55" t="str">
        <f>IF(D182="Director Interventoria","CUMPLE","NO CUMPLE")</f>
        <v>NO CUMPLE</v>
      </c>
      <c r="F182" s="53"/>
    </row>
    <row r="183" spans="1:6" ht="14" hidden="1">
      <c r="A183" s="271"/>
      <c r="B183" s="272"/>
      <c r="C183" s="60" t="s">
        <v>110</v>
      </c>
      <c r="D183" s="58"/>
      <c r="E183" s="55" t="str">
        <f>IF(D183="","NO CUMPLE","CUMPLE")</f>
        <v>NO CUMPLE</v>
      </c>
      <c r="F183" s="53"/>
    </row>
    <row r="184" spans="1:6" ht="14" hidden="1">
      <c r="A184" s="271"/>
      <c r="B184" s="272"/>
      <c r="C184" s="60" t="s">
        <v>111</v>
      </c>
      <c r="D184" s="57"/>
      <c r="E184" s="55" t="str">
        <f>IF(D184="","NO CUMPLE","CUMPLE")</f>
        <v>NO CUMPLE</v>
      </c>
      <c r="F184" s="53"/>
    </row>
    <row r="185" spans="1:6" ht="14" hidden="1">
      <c r="A185" s="271"/>
      <c r="B185" s="272"/>
      <c r="C185" s="60" t="s">
        <v>112</v>
      </c>
      <c r="D185" s="57"/>
      <c r="E185" s="55" t="str">
        <f t="shared" ref="E185" si="8">IF(D185="","NO CUMPLE","CUMPLE")</f>
        <v>NO CUMPLE</v>
      </c>
      <c r="F185" s="53"/>
    </row>
    <row r="186" spans="1:6" hidden="1">
      <c r="A186" s="273"/>
      <c r="B186" s="274"/>
      <c r="C186" s="60" t="s">
        <v>113</v>
      </c>
      <c r="D186" s="61" t="str">
        <f>IFERROR((D183/(VLOOKUP((YEAR(D185)),[1]SMMLV!$A$9:$C$49,3,0))),"0")</f>
        <v>0</v>
      </c>
      <c r="E186" s="62"/>
      <c r="F186" s="53"/>
    </row>
    <row r="187" spans="1:6" ht="15">
      <c r="A187" s="69"/>
      <c r="B187" s="69"/>
      <c r="C187" s="69"/>
      <c r="D187" s="69"/>
      <c r="E187" s="69"/>
      <c r="F187" s="69"/>
    </row>
    <row r="188" spans="1:6">
      <c r="A188" s="227" t="s">
        <v>203</v>
      </c>
      <c r="B188" s="227"/>
      <c r="C188" s="227"/>
      <c r="D188" s="227"/>
      <c r="E188" s="227"/>
      <c r="F188" s="71">
        <f>SUM(D168+D177+D186)</f>
        <v>1544.2441683998918</v>
      </c>
    </row>
    <row r="189" spans="1:6">
      <c r="A189" s="227"/>
      <c r="B189" s="227"/>
      <c r="C189" s="227"/>
      <c r="D189" s="227"/>
      <c r="E189" s="227"/>
      <c r="F189" s="43" t="str">
        <f>IF(F188&gt;=433.26,"CUMPLE","NO CUMPLE")</f>
        <v>CUMPLE</v>
      </c>
    </row>
    <row r="190" spans="1:6" ht="33" customHeight="1">
      <c r="A190" s="227" t="s">
        <v>84</v>
      </c>
      <c r="B190" s="227"/>
      <c r="C190" s="227"/>
      <c r="D190" s="227"/>
      <c r="E190" s="227"/>
      <c r="F190" s="227"/>
    </row>
    <row r="191" spans="1:6">
      <c r="A191" s="39"/>
      <c r="B191" s="39"/>
      <c r="C191" s="39"/>
      <c r="D191" s="39"/>
      <c r="E191" s="39"/>
      <c r="F191" s="40"/>
    </row>
    <row r="192" spans="1:6">
      <c r="A192" s="246" t="s">
        <v>138</v>
      </c>
      <c r="B192" s="247"/>
      <c r="C192" s="247"/>
      <c r="D192" s="247"/>
      <c r="E192" s="248"/>
      <c r="F192" s="70" t="str">
        <f>IF(AND(E151="cumple",E152="cumple",E153="cumple",E154="cumple",E155="cumple",E156="cumple",E157="cumple",E158="cumple",E159="cumple",F189="cumple"),"CUMPLE","NO CUMPLE")</f>
        <v>CUMPLE</v>
      </c>
    </row>
    <row r="193" spans="1:6" ht="15">
      <c r="A193" s="69"/>
      <c r="B193" s="69"/>
      <c r="C193" s="69"/>
      <c r="D193" s="69"/>
      <c r="E193" s="69"/>
      <c r="F193" s="69"/>
    </row>
    <row r="194" spans="1:6">
      <c r="A194" s="262" t="s">
        <v>137</v>
      </c>
      <c r="B194" s="262"/>
      <c r="C194" s="262"/>
      <c r="D194" s="262"/>
      <c r="E194" s="262"/>
      <c r="F194" s="262"/>
    </row>
    <row r="195" spans="1:6">
      <c r="A195" s="263" t="s">
        <v>104</v>
      </c>
      <c r="B195" s="264"/>
      <c r="C195" s="265"/>
      <c r="D195" s="266" t="s">
        <v>476</v>
      </c>
      <c r="E195" s="267"/>
      <c r="F195" s="268"/>
    </row>
    <row r="196" spans="1:6" ht="14">
      <c r="A196" s="99" t="s">
        <v>105</v>
      </c>
      <c r="B196" s="256" t="s">
        <v>124</v>
      </c>
      <c r="C196" s="256"/>
      <c r="D196" s="52" t="s">
        <v>115</v>
      </c>
      <c r="E196" s="52" t="str">
        <f>IF(D196="","NO CUMPLE","CUMPLE")</f>
        <v>CUMPLE</v>
      </c>
      <c r="F196" s="53"/>
    </row>
    <row r="197" spans="1:6" ht="14">
      <c r="A197" s="99" t="s">
        <v>106</v>
      </c>
      <c r="B197" s="256" t="s">
        <v>133</v>
      </c>
      <c r="C197" s="256"/>
      <c r="D197" s="54" t="s">
        <v>61</v>
      </c>
      <c r="E197" s="55" t="str">
        <f>IF(D197="SI","CUMPLE","NO CUMPLE")</f>
        <v>CUMPLE</v>
      </c>
      <c r="F197" s="53"/>
    </row>
    <row r="198" spans="1:6" ht="14">
      <c r="A198" s="99" t="s">
        <v>107</v>
      </c>
      <c r="B198" s="256" t="s">
        <v>108</v>
      </c>
      <c r="C198" s="256"/>
      <c r="D198" s="63" t="s">
        <v>477</v>
      </c>
      <c r="E198" s="55" t="str">
        <f>IF(D198="","NO CUMPLE","CUMPLE")</f>
        <v>CUMPLE</v>
      </c>
      <c r="F198" s="53"/>
    </row>
    <row r="199" spans="1:6" ht="14">
      <c r="A199" s="253" t="s">
        <v>109</v>
      </c>
      <c r="B199" s="254"/>
      <c r="C199" s="255"/>
      <c r="D199" s="56">
        <v>45622</v>
      </c>
      <c r="E199" s="55" t="str">
        <f>IF(($B$4-D199)&gt;183,"NO CUMPLE","CUMPLE")</f>
        <v>CUMPLE</v>
      </c>
      <c r="F199" s="53"/>
    </row>
    <row r="200" spans="1:6" ht="14">
      <c r="A200" s="257" t="s">
        <v>107</v>
      </c>
      <c r="B200" s="256" t="s">
        <v>132</v>
      </c>
      <c r="C200" s="256"/>
      <c r="D200" s="54">
        <v>34837</v>
      </c>
      <c r="E200" s="55" t="str">
        <f>IF(D200="","NO CUMPLE","CUMPLE")</f>
        <v>CUMPLE</v>
      </c>
      <c r="F200" s="53"/>
    </row>
    <row r="201" spans="1:6" ht="14">
      <c r="A201" s="258"/>
      <c r="B201" s="256" t="s">
        <v>269</v>
      </c>
      <c r="C201" s="256"/>
      <c r="D201" s="100">
        <f>IF(D200&gt;0,(($B$4-D200)/365))</f>
        <v>29.572602739726026</v>
      </c>
      <c r="E201" s="101" t="str">
        <f>IF(D200="","NO CUMPLE",IF(D201&gt;=6,"CUMPLE","NO CUMPLE"))</f>
        <v>CUMPLE</v>
      </c>
      <c r="F201" s="53"/>
    </row>
    <row r="202" spans="1:6" ht="14">
      <c r="A202" s="253" t="s">
        <v>125</v>
      </c>
      <c r="B202" s="254"/>
      <c r="C202" s="255"/>
      <c r="D202" s="54" t="s">
        <v>61</v>
      </c>
      <c r="E202" s="55" t="str">
        <f t="shared" ref="E202:E204" si="9">IF(D202="SI","CUMPLE","NO CUMPLE")</f>
        <v>CUMPLE</v>
      </c>
      <c r="F202" s="53"/>
    </row>
    <row r="203" spans="1:6" ht="14">
      <c r="A203" s="253" t="s">
        <v>126</v>
      </c>
      <c r="B203" s="254"/>
      <c r="C203" s="255"/>
      <c r="D203" s="54" t="s">
        <v>61</v>
      </c>
      <c r="E203" s="55" t="str">
        <f t="shared" si="9"/>
        <v>CUMPLE</v>
      </c>
      <c r="F203" s="53"/>
    </row>
    <row r="204" spans="1:6" ht="14">
      <c r="A204" s="253" t="s">
        <v>127</v>
      </c>
      <c r="B204" s="254"/>
      <c r="C204" s="255"/>
      <c r="D204" s="54" t="s">
        <v>61</v>
      </c>
      <c r="E204" s="55" t="str">
        <f t="shared" si="9"/>
        <v>CUMPLE</v>
      </c>
      <c r="F204" s="53"/>
    </row>
    <row r="205" spans="1:6">
      <c r="A205" s="64"/>
      <c r="B205" s="65"/>
      <c r="C205" s="65"/>
      <c r="D205" s="66"/>
      <c r="E205" s="67"/>
      <c r="F205" s="68"/>
    </row>
    <row r="206" spans="1:6" ht="154">
      <c r="A206" s="269" t="s">
        <v>474</v>
      </c>
      <c r="B206" s="270"/>
      <c r="C206" s="102" t="s">
        <v>122</v>
      </c>
      <c r="D206" s="54" t="s">
        <v>61</v>
      </c>
      <c r="E206" s="55" t="str">
        <f>IF(D206="SI","CUMPLE","NO CUMPLE")</f>
        <v>CUMPLE</v>
      </c>
      <c r="F206" s="53"/>
    </row>
    <row r="207" spans="1:6" ht="42">
      <c r="A207" s="271"/>
      <c r="B207" s="272"/>
      <c r="C207" s="102" t="s">
        <v>123</v>
      </c>
      <c r="D207" s="54" t="s">
        <v>61</v>
      </c>
      <c r="E207" s="55" t="str">
        <f>IF(D207="SI","CUMPLE","NO CUMPLE")</f>
        <v>CUMPLE</v>
      </c>
      <c r="F207" s="53"/>
    </row>
    <row r="208" spans="1:6" ht="14">
      <c r="A208" s="271"/>
      <c r="B208" s="272"/>
      <c r="C208" s="102" t="s">
        <v>128</v>
      </c>
      <c r="D208" s="56" t="s">
        <v>552</v>
      </c>
      <c r="E208" s="55" t="str">
        <f>IF(D208="","NO CUMPLE","CUMPLE")</f>
        <v>CUMPLE</v>
      </c>
      <c r="F208" s="53"/>
    </row>
    <row r="209" spans="1:6" ht="28">
      <c r="A209" s="271"/>
      <c r="B209" s="272"/>
      <c r="C209" s="102" t="s">
        <v>129</v>
      </c>
      <c r="D209" s="56" t="s">
        <v>204</v>
      </c>
      <c r="E209" s="55" t="str">
        <f>IF(D209="Residente Interventoría","CUMPLE","NO CUMPLE")</f>
        <v>CUMPLE</v>
      </c>
      <c r="F209" s="53"/>
    </row>
    <row r="210" spans="1:6" ht="14">
      <c r="A210" s="271"/>
      <c r="B210" s="272"/>
      <c r="C210" s="103" t="s">
        <v>110</v>
      </c>
      <c r="D210" s="58">
        <v>1195555696</v>
      </c>
      <c r="E210" s="55" t="str">
        <f>IF(D210="","NO CUMPLE","CUMPLE")</f>
        <v>CUMPLE</v>
      </c>
      <c r="F210" s="53"/>
    </row>
    <row r="211" spans="1:6" ht="14">
      <c r="A211" s="271"/>
      <c r="B211" s="272"/>
      <c r="C211" s="103" t="s">
        <v>111</v>
      </c>
      <c r="D211" s="57">
        <v>43213</v>
      </c>
      <c r="E211" s="55" t="str">
        <f>IF(D211="","NO CUMPLE","CUMPLE")</f>
        <v>CUMPLE</v>
      </c>
      <c r="F211" s="53"/>
    </row>
    <row r="212" spans="1:6" ht="14">
      <c r="A212" s="271"/>
      <c r="B212" s="272"/>
      <c r="C212" s="103" t="s">
        <v>112</v>
      </c>
      <c r="D212" s="57">
        <v>43771</v>
      </c>
      <c r="E212" s="55" t="str">
        <f t="shared" ref="E212" si="10">IF(D212="","NO CUMPLE","CUMPLE")</f>
        <v>CUMPLE</v>
      </c>
      <c r="F212" s="53"/>
    </row>
    <row r="213" spans="1:6">
      <c r="A213" s="273"/>
      <c r="B213" s="274"/>
      <c r="C213" s="103" t="s">
        <v>113</v>
      </c>
      <c r="D213" s="100">
        <f>IFERROR((D210/(VLOOKUP((YEAR(D212)),[1]SMMLV!$A$9:$C$49,3,0))),"0")</f>
        <v>1443.7055871399659</v>
      </c>
      <c r="E213" s="101"/>
      <c r="F213" s="53"/>
    </row>
    <row r="214" spans="1:6" ht="15">
      <c r="A214" s="69"/>
      <c r="B214" s="69"/>
      <c r="C214" s="69"/>
      <c r="D214" s="69"/>
      <c r="E214" s="69"/>
      <c r="F214" s="69"/>
    </row>
    <row r="215" spans="1:6" ht="154">
      <c r="A215" s="269" t="s">
        <v>478</v>
      </c>
      <c r="B215" s="270"/>
      <c r="C215" s="102" t="s">
        <v>122</v>
      </c>
      <c r="D215" s="54" t="s">
        <v>61</v>
      </c>
      <c r="E215" s="55" t="str">
        <f>IF(D215="SI","CUMPLE","NO CUMPLE")</f>
        <v>CUMPLE</v>
      </c>
      <c r="F215" s="53"/>
    </row>
    <row r="216" spans="1:6" ht="42">
      <c r="A216" s="271"/>
      <c r="B216" s="272"/>
      <c r="C216" s="102" t="s">
        <v>123</v>
      </c>
      <c r="D216" s="54" t="s">
        <v>61</v>
      </c>
      <c r="E216" s="55" t="str">
        <f>IF(D216="SI","CUMPLE","NO CUMPLE")</f>
        <v>CUMPLE</v>
      </c>
      <c r="F216" s="53"/>
    </row>
    <row r="217" spans="1:6" ht="56">
      <c r="A217" s="271"/>
      <c r="B217" s="272"/>
      <c r="C217" s="102" t="s">
        <v>128</v>
      </c>
      <c r="D217" s="56" t="s">
        <v>556</v>
      </c>
      <c r="E217" s="55" t="str">
        <f>IF(D217="","NO CUMPLE","CUMPLE")</f>
        <v>CUMPLE</v>
      </c>
      <c r="F217" s="53"/>
    </row>
    <row r="218" spans="1:6" ht="28">
      <c r="A218" s="271"/>
      <c r="B218" s="272"/>
      <c r="C218" s="102" t="s">
        <v>129</v>
      </c>
      <c r="D218" s="56" t="s">
        <v>204</v>
      </c>
      <c r="E218" s="55" t="str">
        <f>IF(D218="Residente Interventoría","CUMPLE","NO CUMPLE")</f>
        <v>CUMPLE</v>
      </c>
      <c r="F218" s="53"/>
    </row>
    <row r="219" spans="1:6" ht="14">
      <c r="A219" s="271"/>
      <c r="B219" s="272"/>
      <c r="C219" s="103" t="s">
        <v>110</v>
      </c>
      <c r="D219" s="58">
        <v>94015680</v>
      </c>
      <c r="E219" s="55" t="str">
        <f>IF(D219="","NO CUMPLE","CUMPLE")</f>
        <v>CUMPLE</v>
      </c>
      <c r="F219" s="53"/>
    </row>
    <row r="220" spans="1:6" ht="14">
      <c r="A220" s="271"/>
      <c r="B220" s="272"/>
      <c r="C220" s="103" t="s">
        <v>111</v>
      </c>
      <c r="D220" s="57">
        <v>42087</v>
      </c>
      <c r="E220" s="55" t="str">
        <f>IF(D220="","NO CUMPLE","CUMPLE")</f>
        <v>CUMPLE</v>
      </c>
      <c r="F220" s="53"/>
    </row>
    <row r="221" spans="1:6" ht="14">
      <c r="A221" s="271"/>
      <c r="B221" s="272"/>
      <c r="C221" s="103" t="s">
        <v>112</v>
      </c>
      <c r="D221" s="57">
        <v>42758</v>
      </c>
      <c r="E221" s="55" t="str">
        <f t="shared" ref="E221" si="11">IF(D221="","NO CUMPLE","CUMPLE")</f>
        <v>CUMPLE</v>
      </c>
      <c r="F221" s="53"/>
    </row>
    <row r="222" spans="1:6">
      <c r="A222" s="273"/>
      <c r="B222" s="274"/>
      <c r="C222" s="103" t="s">
        <v>113</v>
      </c>
      <c r="D222" s="100">
        <f>IFERROR((D219/(VLOOKUP((YEAR(D221)),[1]SMMLV!$A$9:$C$49,3,0))),"0")</f>
        <v>127.44139012656615</v>
      </c>
      <c r="E222" s="101"/>
      <c r="F222" s="53"/>
    </row>
    <row r="223" spans="1:6" ht="15">
      <c r="A223" s="69"/>
      <c r="B223" s="69"/>
      <c r="C223" s="69"/>
      <c r="D223" s="69"/>
      <c r="E223" s="69"/>
      <c r="F223" s="69"/>
    </row>
    <row r="224" spans="1:6">
      <c r="A224" s="227" t="s">
        <v>202</v>
      </c>
      <c r="B224" s="227"/>
      <c r="C224" s="227"/>
      <c r="D224" s="227"/>
      <c r="E224" s="227"/>
      <c r="F224" s="71">
        <f>D213+D222</f>
        <v>1571.1469772665321</v>
      </c>
    </row>
    <row r="225" spans="1:6">
      <c r="A225" s="227"/>
      <c r="B225" s="227"/>
      <c r="C225" s="227"/>
      <c r="D225" s="227"/>
      <c r="E225" s="227"/>
      <c r="F225" s="43" t="str">
        <f>IF(F224&gt;=216.63,"CUMPLE","NO CUMPLE")</f>
        <v>CUMPLE</v>
      </c>
    </row>
    <row r="226" spans="1:6" ht="27" customHeight="1">
      <c r="A226" s="227" t="s">
        <v>84</v>
      </c>
      <c r="B226" s="227"/>
      <c r="C226" s="227"/>
      <c r="D226" s="227"/>
      <c r="E226" s="227"/>
      <c r="F226" s="227"/>
    </row>
    <row r="227" spans="1:6">
      <c r="A227" s="39"/>
      <c r="B227" s="39"/>
      <c r="C227" s="39"/>
      <c r="D227" s="39"/>
      <c r="E227" s="39"/>
      <c r="F227" s="40"/>
    </row>
    <row r="228" spans="1:6">
      <c r="A228" s="259" t="s">
        <v>135</v>
      </c>
      <c r="B228" s="260"/>
      <c r="C228" s="260"/>
      <c r="D228" s="260"/>
      <c r="E228" s="261"/>
      <c r="F228" s="43" t="str">
        <f>IF(AND(E196="cumple",E197="cumple",E198="cumple",E199="cumple",E200="cumple",E201="cumple",E202="cumple",E203="cumple",E204="cumple",F225="cumple"),"CUMPLE","NO CUMPLE")</f>
        <v>CUMPLE</v>
      </c>
    </row>
    <row r="229" spans="1:6">
      <c r="A229" s="39"/>
      <c r="B229" s="39"/>
      <c r="C229" s="39"/>
      <c r="D229" s="39"/>
      <c r="E229" s="39"/>
      <c r="F229" s="40"/>
    </row>
    <row r="230" spans="1:6">
      <c r="A230" s="262" t="s">
        <v>136</v>
      </c>
      <c r="B230" s="262"/>
      <c r="C230" s="262"/>
      <c r="D230" s="262"/>
      <c r="E230" s="262"/>
      <c r="F230" s="262"/>
    </row>
    <row r="231" spans="1:6">
      <c r="A231" s="263" t="s">
        <v>104</v>
      </c>
      <c r="B231" s="264"/>
      <c r="C231" s="265"/>
      <c r="D231" s="266" t="s">
        <v>479</v>
      </c>
      <c r="E231" s="267"/>
      <c r="F231" s="268"/>
    </row>
    <row r="232" spans="1:6" ht="14">
      <c r="A232" s="99" t="s">
        <v>105</v>
      </c>
      <c r="B232" s="256" t="s">
        <v>124</v>
      </c>
      <c r="C232" s="256"/>
      <c r="D232" s="52" t="s">
        <v>115</v>
      </c>
      <c r="E232" s="52" t="str">
        <f>IF(D232="","NO CUMPLE","CUMPLE")</f>
        <v>CUMPLE</v>
      </c>
      <c r="F232" s="53"/>
    </row>
    <row r="233" spans="1:6" ht="14">
      <c r="A233" s="99" t="s">
        <v>106</v>
      </c>
      <c r="B233" s="256" t="s">
        <v>133</v>
      </c>
      <c r="C233" s="256"/>
      <c r="D233" s="54" t="s">
        <v>61</v>
      </c>
      <c r="E233" s="55" t="str">
        <f>IF(D233="SI","CUMPLE","NO CUMPLE")</f>
        <v>CUMPLE</v>
      </c>
      <c r="F233" s="53"/>
    </row>
    <row r="234" spans="1:6" ht="14">
      <c r="A234" s="99" t="s">
        <v>107</v>
      </c>
      <c r="B234" s="256" t="s">
        <v>108</v>
      </c>
      <c r="C234" s="256"/>
      <c r="D234" s="63" t="s">
        <v>480</v>
      </c>
      <c r="E234" s="55" t="str">
        <f>IF(D234="","NO CUMPLE","CUMPLE")</f>
        <v>CUMPLE</v>
      </c>
      <c r="F234" s="53"/>
    </row>
    <row r="235" spans="1:6" ht="14">
      <c r="A235" s="253" t="s">
        <v>109</v>
      </c>
      <c r="B235" s="254"/>
      <c r="C235" s="255"/>
      <c r="D235" s="56">
        <v>45630</v>
      </c>
      <c r="E235" s="55" t="str">
        <f>IF(($B$4-D235)&gt;183,"NO CUMPLE","CUMPLE")</f>
        <v>CUMPLE</v>
      </c>
      <c r="F235" s="53"/>
    </row>
    <row r="236" spans="1:6" ht="14">
      <c r="A236" s="257" t="s">
        <v>107</v>
      </c>
      <c r="B236" s="256" t="s">
        <v>132</v>
      </c>
      <c r="C236" s="256"/>
      <c r="D236" s="54">
        <v>37882</v>
      </c>
      <c r="E236" s="55" t="str">
        <f>IF(D236="","NO CUMPLE","CUMPLE")</f>
        <v>CUMPLE</v>
      </c>
      <c r="F236" s="53"/>
    </row>
    <row r="237" spans="1:6" ht="14">
      <c r="A237" s="258"/>
      <c r="B237" s="256" t="s">
        <v>269</v>
      </c>
      <c r="C237" s="256"/>
      <c r="D237" s="100">
        <f>IF(D236&gt;0,(($B$4-D236)/365))</f>
        <v>21.230136986301371</v>
      </c>
      <c r="E237" s="101" t="str">
        <f>IF(D236="","NO CUMPLE",IF(D237&gt;=6,"CUMPLE","NO CUMPLE"))</f>
        <v>CUMPLE</v>
      </c>
      <c r="F237" s="53"/>
    </row>
    <row r="238" spans="1:6" ht="14">
      <c r="A238" s="253" t="s">
        <v>125</v>
      </c>
      <c r="B238" s="254"/>
      <c r="C238" s="255"/>
      <c r="D238" s="54" t="s">
        <v>61</v>
      </c>
      <c r="E238" s="55" t="str">
        <f t="shared" ref="E238:E240" si="12">IF(D238="SI","CUMPLE","NO CUMPLE")</f>
        <v>CUMPLE</v>
      </c>
      <c r="F238" s="53"/>
    </row>
    <row r="239" spans="1:6" ht="14">
      <c r="A239" s="253" t="s">
        <v>126</v>
      </c>
      <c r="B239" s="254"/>
      <c r="C239" s="255"/>
      <c r="D239" s="54" t="s">
        <v>61</v>
      </c>
      <c r="E239" s="55" t="str">
        <f t="shared" si="12"/>
        <v>CUMPLE</v>
      </c>
      <c r="F239" s="53"/>
    </row>
    <row r="240" spans="1:6" ht="14">
      <c r="A240" s="253" t="s">
        <v>127</v>
      </c>
      <c r="B240" s="254"/>
      <c r="C240" s="255"/>
      <c r="D240" s="54" t="s">
        <v>61</v>
      </c>
      <c r="E240" s="55" t="str">
        <f t="shared" si="12"/>
        <v>CUMPLE</v>
      </c>
      <c r="F240" s="53"/>
    </row>
    <row r="241" spans="1:6">
      <c r="A241" s="64"/>
      <c r="B241" s="65"/>
      <c r="C241" s="65"/>
      <c r="D241" s="66"/>
      <c r="E241" s="67"/>
      <c r="F241" s="68"/>
    </row>
    <row r="242" spans="1:6" ht="154">
      <c r="A242" s="269" t="s">
        <v>481</v>
      </c>
      <c r="B242" s="270"/>
      <c r="C242" s="102" t="s">
        <v>122</v>
      </c>
      <c r="D242" s="54" t="s">
        <v>61</v>
      </c>
      <c r="E242" s="55" t="str">
        <f>IF(D242="SI","CUMPLE","NO CUMPLE")</f>
        <v>CUMPLE</v>
      </c>
      <c r="F242" s="53"/>
    </row>
    <row r="243" spans="1:6" ht="42">
      <c r="A243" s="271"/>
      <c r="B243" s="272"/>
      <c r="C243" s="102" t="s">
        <v>123</v>
      </c>
      <c r="D243" s="54" t="s">
        <v>61</v>
      </c>
      <c r="E243" s="55" t="str">
        <f>IF(D243="SI","CUMPLE","NO CUMPLE")</f>
        <v>CUMPLE</v>
      </c>
      <c r="F243" s="53"/>
    </row>
    <row r="244" spans="1:6" ht="28">
      <c r="A244" s="271"/>
      <c r="B244" s="272"/>
      <c r="C244" s="102" t="s">
        <v>128</v>
      </c>
      <c r="D244" s="56" t="s">
        <v>557</v>
      </c>
      <c r="E244" s="55" t="str">
        <f>IF(D244="","NO CUMPLE","CUMPLE")</f>
        <v>CUMPLE</v>
      </c>
      <c r="F244" s="53" t="s">
        <v>558</v>
      </c>
    </row>
    <row r="245" spans="1:6" ht="28">
      <c r="A245" s="271"/>
      <c r="B245" s="272"/>
      <c r="C245" s="102" t="s">
        <v>129</v>
      </c>
      <c r="D245" s="56" t="s">
        <v>204</v>
      </c>
      <c r="E245" s="55" t="str">
        <f>IF(D245="Residente Interventoría","CUMPLE","NO CUMPLE")</f>
        <v>CUMPLE</v>
      </c>
      <c r="F245" s="53"/>
    </row>
    <row r="246" spans="1:6" ht="14">
      <c r="A246" s="271"/>
      <c r="B246" s="272"/>
      <c r="C246" s="103" t="s">
        <v>110</v>
      </c>
      <c r="D246" s="58">
        <v>241399808</v>
      </c>
      <c r="E246" s="55" t="str">
        <f>IF(D246="","NO CUMPLE","CUMPLE")</f>
        <v>CUMPLE</v>
      </c>
      <c r="F246" s="53"/>
    </row>
    <row r="247" spans="1:6" ht="14">
      <c r="A247" s="271"/>
      <c r="B247" s="272"/>
      <c r="C247" s="103" t="s">
        <v>111</v>
      </c>
      <c r="D247" s="57">
        <v>43621</v>
      </c>
      <c r="E247" s="55" t="str">
        <f>IF(D247="","NO CUMPLE","CUMPLE")</f>
        <v>CUMPLE</v>
      </c>
      <c r="F247" s="53"/>
    </row>
    <row r="248" spans="1:6" ht="14">
      <c r="A248" s="271"/>
      <c r="B248" s="272"/>
      <c r="C248" s="103" t="s">
        <v>112</v>
      </c>
      <c r="D248" s="57">
        <v>44139</v>
      </c>
      <c r="E248" s="55" t="str">
        <f t="shared" ref="E248" si="13">IF(D248="","NO CUMPLE","CUMPLE")</f>
        <v>CUMPLE</v>
      </c>
      <c r="F248" s="53"/>
    </row>
    <row r="249" spans="1:6">
      <c r="A249" s="273"/>
      <c r="B249" s="274"/>
      <c r="C249" s="103" t="s">
        <v>113</v>
      </c>
      <c r="D249" s="100">
        <f>IFERROR((D246/(VLOOKUP((YEAR(D248)),[1]SMMLV!$A$9:$C$49,3,0))),"0")</f>
        <v>275.00453746455639</v>
      </c>
      <c r="E249" s="101"/>
      <c r="F249" s="53"/>
    </row>
    <row r="250" spans="1:6" ht="15">
      <c r="A250" s="69"/>
      <c r="B250" s="69"/>
      <c r="C250" s="69"/>
      <c r="D250" s="69"/>
      <c r="E250" s="69"/>
      <c r="F250" s="69"/>
    </row>
    <row r="251" spans="1:6" ht="154">
      <c r="A251" s="269" t="s">
        <v>482</v>
      </c>
      <c r="B251" s="270"/>
      <c r="C251" s="102" t="s">
        <v>122</v>
      </c>
      <c r="D251" s="54" t="s">
        <v>61</v>
      </c>
      <c r="E251" s="55" t="str">
        <f>IF(D251="SI","CUMPLE","NO CUMPLE")</f>
        <v>CUMPLE</v>
      </c>
      <c r="F251" s="53"/>
    </row>
    <row r="252" spans="1:6" ht="42">
      <c r="A252" s="271"/>
      <c r="B252" s="272"/>
      <c r="C252" s="102" t="s">
        <v>123</v>
      </c>
      <c r="D252" s="54" t="s">
        <v>61</v>
      </c>
      <c r="E252" s="55" t="str">
        <f>IF(D252="SI","CUMPLE","NO CUMPLE")</f>
        <v>CUMPLE</v>
      </c>
      <c r="F252" s="53"/>
    </row>
    <row r="253" spans="1:6" ht="40.5" customHeight="1">
      <c r="A253" s="271"/>
      <c r="B253" s="272"/>
      <c r="C253" s="102" t="s">
        <v>128</v>
      </c>
      <c r="D253" s="56" t="s">
        <v>559</v>
      </c>
      <c r="E253" s="55" t="str">
        <f>IF(D253="","NO CUMPLE","CUMPLE")</f>
        <v>CUMPLE</v>
      </c>
      <c r="F253" s="53" t="s">
        <v>560</v>
      </c>
    </row>
    <row r="254" spans="1:6" ht="28">
      <c r="A254" s="271"/>
      <c r="B254" s="272"/>
      <c r="C254" s="102" t="s">
        <v>129</v>
      </c>
      <c r="D254" s="56" t="s">
        <v>204</v>
      </c>
      <c r="E254" s="55" t="str">
        <f>IF(D254="Residente Interventoría","CUMPLE","NO CUMPLE")</f>
        <v>CUMPLE</v>
      </c>
      <c r="F254" s="53"/>
    </row>
    <row r="255" spans="1:6" ht="14">
      <c r="A255" s="271"/>
      <c r="B255" s="272"/>
      <c r="C255" s="103" t="s">
        <v>110</v>
      </c>
      <c r="D255" s="58">
        <v>115191904</v>
      </c>
      <c r="E255" s="55" t="str">
        <f>IF(D255="","NO CUMPLE","CUMPLE")</f>
        <v>CUMPLE</v>
      </c>
      <c r="F255" s="53"/>
    </row>
    <row r="256" spans="1:6" ht="14">
      <c r="A256" s="271"/>
      <c r="B256" s="272"/>
      <c r="C256" s="103" t="s">
        <v>111</v>
      </c>
      <c r="D256" s="57">
        <v>44224</v>
      </c>
      <c r="E256" s="55" t="str">
        <f>IF(D256="","NO CUMPLE","CUMPLE")</f>
        <v>CUMPLE</v>
      </c>
      <c r="F256" s="53"/>
    </row>
    <row r="257" spans="1:6" ht="14">
      <c r="A257" s="271"/>
      <c r="B257" s="272"/>
      <c r="C257" s="103" t="s">
        <v>112</v>
      </c>
      <c r="D257" s="57">
        <v>44436</v>
      </c>
      <c r="E257" s="55" t="str">
        <f t="shared" ref="E257" si="14">IF(D257="","NO CUMPLE","CUMPLE")</f>
        <v>CUMPLE</v>
      </c>
      <c r="F257" s="53"/>
    </row>
    <row r="258" spans="1:6">
      <c r="A258" s="273"/>
      <c r="B258" s="274"/>
      <c r="C258" s="103" t="s">
        <v>113</v>
      </c>
      <c r="D258" s="100">
        <f>IFERROR((D255/(VLOOKUP((YEAR(D257)),[1]SMMLV!$A$9:$C$49,3,0))),"0")</f>
        <v>126.7898816324464</v>
      </c>
      <c r="E258" s="101"/>
      <c r="F258" s="53"/>
    </row>
    <row r="259" spans="1:6" ht="15">
      <c r="A259" s="69"/>
      <c r="B259" s="69"/>
      <c r="C259" s="69"/>
      <c r="D259" s="69"/>
      <c r="E259" s="69"/>
      <c r="F259" s="69"/>
    </row>
    <row r="260" spans="1:6">
      <c r="A260" s="227" t="s">
        <v>202</v>
      </c>
      <c r="B260" s="227"/>
      <c r="C260" s="227"/>
      <c r="D260" s="227"/>
      <c r="E260" s="227"/>
      <c r="F260" s="71">
        <f>D249+D258</f>
        <v>401.79441909700279</v>
      </c>
    </row>
    <row r="261" spans="1:6">
      <c r="A261" s="227"/>
      <c r="B261" s="227"/>
      <c r="C261" s="227"/>
      <c r="D261" s="227"/>
      <c r="E261" s="227"/>
      <c r="F261" s="43" t="str">
        <f>IF(F260&gt;=216.63,"CUMPLE","NO CUMPLE")</f>
        <v>CUMPLE</v>
      </c>
    </row>
    <row r="262" spans="1:6" ht="27.75" customHeight="1">
      <c r="A262" s="227" t="s">
        <v>84</v>
      </c>
      <c r="B262" s="227"/>
      <c r="C262" s="227"/>
      <c r="D262" s="227"/>
      <c r="E262" s="227"/>
      <c r="F262" s="227"/>
    </row>
    <row r="263" spans="1:6">
      <c r="A263" s="39"/>
      <c r="B263" s="39"/>
      <c r="C263" s="39"/>
      <c r="D263" s="39"/>
      <c r="E263" s="39"/>
      <c r="F263" s="40"/>
    </row>
    <row r="264" spans="1:6">
      <c r="A264" s="246" t="s">
        <v>134</v>
      </c>
      <c r="B264" s="247"/>
      <c r="C264" s="247"/>
      <c r="D264" s="247"/>
      <c r="E264" s="248"/>
      <c r="F264" s="70" t="str">
        <f>IF(AND(E232="cumple",E233="cumple",E234="cumple",E235="cumple",E236="cumple",E237="cumple",E238="cumple",E239="cumple",E240="cumple",F261="cumple"),"CUMPLE","NO CUMPLE")</f>
        <v>CUMPLE</v>
      </c>
    </row>
    <row r="265" spans="1:6">
      <c r="A265" s="39"/>
      <c r="B265" s="39"/>
      <c r="C265" s="39"/>
      <c r="D265" s="39"/>
      <c r="E265" s="39"/>
      <c r="F265" s="40"/>
    </row>
    <row r="266" spans="1:6" ht="30.75" customHeight="1">
      <c r="A266" s="249" t="s">
        <v>114</v>
      </c>
      <c r="B266" s="250"/>
      <c r="C266" s="250"/>
      <c r="D266" s="250"/>
      <c r="E266" s="251"/>
      <c r="F266" s="104" t="str">
        <f>IF(AND(F192="CUMPLE",F228="CUMPLE",F264="CUMPLE"),"CUMPLE","NO CUMPLE")</f>
        <v>CUMPLE</v>
      </c>
    </row>
    <row r="267" spans="1:6">
      <c r="A267" s="39"/>
      <c r="B267" s="39"/>
      <c r="C267" s="39"/>
      <c r="D267" s="39"/>
      <c r="E267" s="39"/>
      <c r="F267" s="40"/>
    </row>
    <row r="268" spans="1:6">
      <c r="A268" s="39"/>
      <c r="B268" s="39"/>
      <c r="C268" s="39"/>
      <c r="D268" s="39"/>
      <c r="E268" s="39"/>
      <c r="F268" s="40"/>
    </row>
    <row r="269" spans="1:6" ht="14">
      <c r="A269" s="252" t="s">
        <v>139</v>
      </c>
      <c r="B269" s="252"/>
      <c r="C269" s="252"/>
      <c r="D269" s="252"/>
      <c r="E269" s="252"/>
      <c r="F269" s="252"/>
    </row>
    <row r="270" spans="1:6">
      <c r="A270" s="39"/>
      <c r="B270" s="39"/>
      <c r="C270" s="39"/>
      <c r="D270" s="39"/>
      <c r="E270" s="39"/>
      <c r="F270" s="40"/>
    </row>
    <row r="271" spans="1:6">
      <c r="A271" s="227" t="s">
        <v>140</v>
      </c>
      <c r="B271" s="227"/>
      <c r="C271" s="227"/>
      <c r="D271" s="227"/>
      <c r="E271" s="227"/>
      <c r="F271" s="46" t="s">
        <v>61</v>
      </c>
    </row>
    <row r="272" spans="1:6">
      <c r="A272" s="227"/>
      <c r="B272" s="227"/>
      <c r="C272" s="227"/>
      <c r="D272" s="227"/>
      <c r="E272" s="227"/>
      <c r="F272" s="43" t="str">
        <f>IF(F271="SI","CUMPLE","NO CUMPLE")</f>
        <v>CUMPLE</v>
      </c>
    </row>
    <row r="273" spans="1:6" ht="33.75" customHeight="1">
      <c r="A273" s="227" t="s">
        <v>86</v>
      </c>
      <c r="B273" s="227"/>
      <c r="C273" s="227"/>
      <c r="D273" s="227"/>
      <c r="E273" s="227"/>
      <c r="F273" s="227"/>
    </row>
    <row r="274" spans="1:6">
      <c r="A274" s="39"/>
      <c r="B274" s="39"/>
      <c r="C274" s="39"/>
      <c r="D274" s="39"/>
      <c r="E274" s="39"/>
      <c r="F274" s="40"/>
    </row>
    <row r="275" spans="1:6" ht="14">
      <c r="A275" s="249" t="s">
        <v>139</v>
      </c>
      <c r="B275" s="250"/>
      <c r="C275" s="250"/>
      <c r="D275" s="250"/>
      <c r="E275" s="251"/>
      <c r="F275" s="104" t="str">
        <f>IF((F272="CUMPLE"),"CUMPLE","NO CUMPLE")</f>
        <v>CUMPLE</v>
      </c>
    </row>
    <row r="276" spans="1:6">
      <c r="A276" s="39"/>
      <c r="B276" s="39"/>
      <c r="C276" s="39"/>
      <c r="D276" s="39"/>
      <c r="E276" s="39"/>
      <c r="F276" s="40"/>
    </row>
    <row r="277" spans="1:6" ht="16">
      <c r="A277" s="242" t="s">
        <v>89</v>
      </c>
      <c r="B277" s="243"/>
      <c r="C277" s="243"/>
      <c r="D277" s="243"/>
      <c r="E277" s="244"/>
      <c r="F277" s="105" t="str">
        <f>IF(AND(F138="CUMPLE",F266="CUMPLE",F275="CUMPLE"),"HABILITADO","NO HABILITADO")</f>
        <v>HABILITADO</v>
      </c>
    </row>
    <row r="278" spans="1:6">
      <c r="A278" s="39"/>
      <c r="B278" s="39"/>
      <c r="C278" s="39"/>
      <c r="D278" s="39"/>
      <c r="E278" s="39"/>
      <c r="F278" s="40"/>
    </row>
    <row r="279" spans="1:6">
      <c r="A279" s="39"/>
      <c r="B279" s="39"/>
      <c r="C279" s="39"/>
      <c r="D279" s="39"/>
      <c r="E279" s="39"/>
      <c r="F279" s="40"/>
    </row>
    <row r="280" spans="1:6" ht="16">
      <c r="A280" s="245" t="s">
        <v>141</v>
      </c>
      <c r="B280" s="245"/>
      <c r="C280" s="245"/>
      <c r="D280" s="245"/>
      <c r="E280" s="245"/>
      <c r="F280" s="245"/>
    </row>
    <row r="281" spans="1:6" ht="14">
      <c r="A281" s="212" t="s">
        <v>142</v>
      </c>
      <c r="B281" s="212"/>
      <c r="C281" s="212"/>
      <c r="D281" s="212"/>
      <c r="E281" s="212"/>
      <c r="F281" s="212"/>
    </row>
    <row r="282" spans="1:6">
      <c r="A282" s="27"/>
      <c r="B282" s="27"/>
      <c r="C282" s="27"/>
      <c r="D282" s="27"/>
      <c r="E282" s="27"/>
      <c r="F282" s="21"/>
    </row>
    <row r="283" spans="1:6">
      <c r="A283" s="28" t="s">
        <v>483</v>
      </c>
      <c r="B283" s="294" t="s">
        <v>455</v>
      </c>
      <c r="C283" s="294"/>
      <c r="D283" s="294"/>
      <c r="E283" s="294"/>
      <c r="F283" s="294"/>
    </row>
    <row r="284" spans="1:6" ht="51.75" customHeight="1">
      <c r="A284" s="28" t="s">
        <v>51</v>
      </c>
      <c r="B284" s="241" t="s">
        <v>484</v>
      </c>
      <c r="C284" s="241"/>
      <c r="D284" s="241"/>
      <c r="E284" s="241"/>
      <c r="F284" s="241"/>
    </row>
    <row r="285" spans="1:6">
      <c r="A285" s="23" t="s">
        <v>52</v>
      </c>
      <c r="B285" s="234" t="s">
        <v>457</v>
      </c>
      <c r="C285" s="234"/>
      <c r="D285" s="234"/>
      <c r="E285" s="234"/>
      <c r="F285" s="234"/>
    </row>
    <row r="286" spans="1:6">
      <c r="A286" s="28" t="s">
        <v>65</v>
      </c>
      <c r="B286" s="31" t="s">
        <v>53</v>
      </c>
      <c r="C286" s="32" t="s">
        <v>66</v>
      </c>
      <c r="D286" s="32" t="s">
        <v>54</v>
      </c>
      <c r="E286" s="32" t="s">
        <v>67</v>
      </c>
      <c r="F286" s="32" t="s">
        <v>55</v>
      </c>
    </row>
    <row r="287" spans="1:6">
      <c r="A287" s="227" t="s">
        <v>56</v>
      </c>
      <c r="B287" s="33">
        <v>80101600</v>
      </c>
      <c r="C287" s="29">
        <v>80101600</v>
      </c>
      <c r="D287" s="29">
        <v>42</v>
      </c>
      <c r="E287" s="235" t="str">
        <f>IF(B288=C288,"Acredita",IF(B287=C287,"Acredita","No acredita"))</f>
        <v>Acredita</v>
      </c>
      <c r="F287" s="304"/>
    </row>
    <row r="288" spans="1:6">
      <c r="A288" s="227"/>
      <c r="B288" s="33">
        <v>81101500</v>
      </c>
      <c r="C288" s="30">
        <v>81101500</v>
      </c>
      <c r="D288" s="30">
        <v>42</v>
      </c>
      <c r="E288" s="236"/>
      <c r="F288" s="305"/>
    </row>
    <row r="289" spans="1:6" ht="14">
      <c r="A289" s="237" t="s">
        <v>57</v>
      </c>
      <c r="B289" s="238"/>
      <c r="C289" s="239"/>
      <c r="D289" s="34">
        <v>38119</v>
      </c>
      <c r="E289" s="35" t="str">
        <f>IF(D289="","No acredita","Acredita")</f>
        <v>Acredita</v>
      </c>
      <c r="F289" s="305"/>
    </row>
    <row r="290" spans="1:6" ht="14">
      <c r="A290" s="237" t="s">
        <v>58</v>
      </c>
      <c r="B290" s="238"/>
      <c r="C290" s="239"/>
      <c r="D290" s="36">
        <v>289026635</v>
      </c>
      <c r="E290" s="35" t="str">
        <f>IF(D290="","No acredita","Acredita")</f>
        <v>Acredita</v>
      </c>
      <c r="F290" s="305"/>
    </row>
    <row r="291" spans="1:6" ht="14">
      <c r="A291" s="237" t="s">
        <v>59</v>
      </c>
      <c r="B291" s="238"/>
      <c r="C291" s="239"/>
      <c r="D291" s="89">
        <f>IFERROR((D290/(VLOOKUP((YEAR(D293)),[1]SMMLV!$A$9:$C$49,3,0)))*'O7'!D292,"0")</f>
        <v>757.60585845347316</v>
      </c>
      <c r="E291" s="37" t="str">
        <f>IF(D291="","No acredita","Acredita")</f>
        <v>Acredita</v>
      </c>
      <c r="F291" s="305"/>
    </row>
    <row r="292" spans="1:6" ht="14">
      <c r="A292" s="237" t="s">
        <v>80</v>
      </c>
      <c r="B292" s="238"/>
      <c r="C292" s="239"/>
      <c r="D292" s="45">
        <v>1</v>
      </c>
      <c r="E292" s="35" t="str">
        <f>IF(D292="","No acredita","Acredita")</f>
        <v>Acredita</v>
      </c>
      <c r="F292" s="305"/>
    </row>
    <row r="293" spans="1:6" ht="14">
      <c r="A293" s="237" t="s">
        <v>60</v>
      </c>
      <c r="B293" s="238"/>
      <c r="C293" s="239"/>
      <c r="D293" s="34">
        <v>38364</v>
      </c>
      <c r="E293" s="35" t="str">
        <f>IF(D293="","No acredita","Acredita")</f>
        <v>Acredita</v>
      </c>
      <c r="F293" s="305"/>
    </row>
    <row r="294" spans="1:6" ht="62.25" customHeight="1">
      <c r="A294" s="227" t="s">
        <v>91</v>
      </c>
      <c r="B294" s="227"/>
      <c r="C294" s="227"/>
      <c r="D294" s="38" t="s">
        <v>61</v>
      </c>
      <c r="E294" s="35" t="str">
        <f t="shared" ref="E294:E297" si="15">IF(D294="","No acredita",IF(D294="","",IF(D294="SI","Acredita","No acredita")))</f>
        <v>Acredita</v>
      </c>
      <c r="F294" s="305"/>
    </row>
    <row r="295" spans="1:6" ht="30" customHeight="1">
      <c r="A295" s="227" t="s">
        <v>92</v>
      </c>
      <c r="B295" s="227"/>
      <c r="C295" s="227"/>
      <c r="D295" s="38" t="s">
        <v>61</v>
      </c>
      <c r="E295" s="35" t="str">
        <f t="shared" si="15"/>
        <v>Acredita</v>
      </c>
      <c r="F295" s="305"/>
    </row>
    <row r="296" spans="1:6" ht="14">
      <c r="A296" s="227" t="s">
        <v>69</v>
      </c>
      <c r="B296" s="227"/>
      <c r="C296" s="227"/>
      <c r="D296" s="38" t="s">
        <v>61</v>
      </c>
      <c r="E296" s="35" t="str">
        <f t="shared" si="15"/>
        <v>Acredita</v>
      </c>
      <c r="F296" s="305"/>
    </row>
    <row r="297" spans="1:6" ht="14">
      <c r="A297" s="227" t="s">
        <v>103</v>
      </c>
      <c r="B297" s="227"/>
      <c r="C297" s="227"/>
      <c r="D297" s="38" t="s">
        <v>61</v>
      </c>
      <c r="E297" s="35" t="str">
        <f t="shared" si="15"/>
        <v>Acredita</v>
      </c>
      <c r="F297" s="306"/>
    </row>
    <row r="298" spans="1:6">
      <c r="A298" s="231" t="s">
        <v>143</v>
      </c>
      <c r="B298" s="231"/>
      <c r="C298" s="231"/>
      <c r="D298" s="231"/>
      <c r="E298" s="232" t="str">
        <f>IF(AND(E287="acredita",E289="acredita",E290="acredita",E291="acredita",E292="acredita",E293="acredita",E294="acredita",E295="acredita",E296="acredita",E297="acredita"),"CUMPLE","NO CUMPLE")</f>
        <v>CUMPLE</v>
      </c>
      <c r="F298" s="233"/>
    </row>
    <row r="299" spans="1:6">
      <c r="A299" s="26"/>
      <c r="B299" s="26"/>
      <c r="C299" s="26"/>
      <c r="D299" s="26"/>
      <c r="E299" s="22"/>
      <c r="F299" s="22"/>
    </row>
    <row r="300" spans="1:6">
      <c r="A300" s="28" t="s">
        <v>485</v>
      </c>
      <c r="B300" s="294" t="s">
        <v>486</v>
      </c>
      <c r="C300" s="294"/>
      <c r="D300" s="294"/>
      <c r="E300" s="294"/>
      <c r="F300" s="294"/>
    </row>
    <row r="301" spans="1:6" ht="69.75" customHeight="1">
      <c r="A301" s="28" t="s">
        <v>51</v>
      </c>
      <c r="B301" s="241" t="s">
        <v>487</v>
      </c>
      <c r="C301" s="241"/>
      <c r="D301" s="241"/>
      <c r="E301" s="241"/>
      <c r="F301" s="241"/>
    </row>
    <row r="302" spans="1:6">
      <c r="A302" s="23" t="s">
        <v>52</v>
      </c>
      <c r="B302" s="234"/>
      <c r="C302" s="234"/>
      <c r="D302" s="234"/>
      <c r="E302" s="234"/>
      <c r="F302" s="234"/>
    </row>
    <row r="303" spans="1:6">
      <c r="A303" s="28" t="s">
        <v>65</v>
      </c>
      <c r="B303" s="31" t="s">
        <v>53</v>
      </c>
      <c r="C303" s="32" t="s">
        <v>66</v>
      </c>
      <c r="D303" s="32" t="s">
        <v>54</v>
      </c>
      <c r="E303" s="32" t="s">
        <v>67</v>
      </c>
      <c r="F303" s="32" t="s">
        <v>55</v>
      </c>
    </row>
    <row r="304" spans="1:6">
      <c r="A304" s="227" t="s">
        <v>56</v>
      </c>
      <c r="B304" s="33">
        <v>80101600</v>
      </c>
      <c r="C304" s="29">
        <v>80101600</v>
      </c>
      <c r="D304" s="29">
        <v>120</v>
      </c>
      <c r="E304" s="235" t="str">
        <f>IF(B305=C305,"Acredita",IF(B304=C304,"Acredita","No acredita"))</f>
        <v>Acredita</v>
      </c>
      <c r="F304" s="304"/>
    </row>
    <row r="305" spans="1:6">
      <c r="A305" s="227"/>
      <c r="B305" s="33">
        <v>81101500</v>
      </c>
      <c r="C305" s="30">
        <v>81101500</v>
      </c>
      <c r="D305" s="30">
        <v>120</v>
      </c>
      <c r="E305" s="236"/>
      <c r="F305" s="305"/>
    </row>
    <row r="306" spans="1:6" ht="14">
      <c r="A306" s="237" t="s">
        <v>57</v>
      </c>
      <c r="B306" s="238"/>
      <c r="C306" s="239"/>
      <c r="D306" s="34">
        <v>38930</v>
      </c>
      <c r="E306" s="35" t="str">
        <f>IF(D306="","No acredita","Acredita")</f>
        <v>Acredita</v>
      </c>
      <c r="F306" s="305"/>
    </row>
    <row r="307" spans="1:6" ht="14">
      <c r="A307" s="237" t="s">
        <v>58</v>
      </c>
      <c r="B307" s="238"/>
      <c r="C307" s="239"/>
      <c r="D307" s="36">
        <v>636012763</v>
      </c>
      <c r="E307" s="35" t="str">
        <f>IF(D307="","No acredita","Acredita")</f>
        <v>Acredita</v>
      </c>
      <c r="F307" s="305"/>
    </row>
    <row r="308" spans="1:6" ht="14">
      <c r="A308" s="237" t="s">
        <v>59</v>
      </c>
      <c r="B308" s="238"/>
      <c r="C308" s="239"/>
      <c r="D308" s="44">
        <f>IFERROR((D307/(VLOOKUP((YEAR(D310)),[1]SMMLV!$A$9:$C$49,3,0)))*'O7'!D309,"0")</f>
        <v>689.07124918743227</v>
      </c>
      <c r="E308" s="37" t="str">
        <f>IF(D308="","No acredita","Acredita")</f>
        <v>Acredita</v>
      </c>
      <c r="F308" s="305"/>
    </row>
    <row r="309" spans="1:6" ht="14">
      <c r="A309" s="237" t="s">
        <v>80</v>
      </c>
      <c r="B309" s="238"/>
      <c r="C309" s="239"/>
      <c r="D309" s="45">
        <v>0.5</v>
      </c>
      <c r="E309" s="35" t="str">
        <f>IF(D309="","No acredita","Acredita")</f>
        <v>Acredita</v>
      </c>
      <c r="F309" s="305"/>
    </row>
    <row r="310" spans="1:6" ht="14">
      <c r="A310" s="237" t="s">
        <v>60</v>
      </c>
      <c r="B310" s="238"/>
      <c r="C310" s="239"/>
      <c r="D310" s="34">
        <v>39582</v>
      </c>
      <c r="E310" s="35" t="str">
        <f>IF(D310="","No acredita","Acredita")</f>
        <v>Acredita</v>
      </c>
      <c r="F310" s="305"/>
    </row>
    <row r="311" spans="1:6" ht="70.5" customHeight="1">
      <c r="A311" s="227" t="s">
        <v>91</v>
      </c>
      <c r="B311" s="227"/>
      <c r="C311" s="227"/>
      <c r="D311" s="38" t="s">
        <v>61</v>
      </c>
      <c r="E311" s="35" t="str">
        <f t="shared" ref="E311:E314" si="16">IF(D311="","No acredita",IF(D311="","",IF(D311="SI","Acredita","No acredita")))</f>
        <v>Acredita</v>
      </c>
      <c r="F311" s="305"/>
    </row>
    <row r="312" spans="1:6" ht="30" customHeight="1">
      <c r="A312" s="227" t="s">
        <v>92</v>
      </c>
      <c r="B312" s="227"/>
      <c r="C312" s="227"/>
      <c r="D312" s="38" t="s">
        <v>61</v>
      </c>
      <c r="E312" s="35" t="str">
        <f t="shared" si="16"/>
        <v>Acredita</v>
      </c>
      <c r="F312" s="305"/>
    </row>
    <row r="313" spans="1:6" ht="14">
      <c r="A313" s="227" t="s">
        <v>69</v>
      </c>
      <c r="B313" s="227"/>
      <c r="C313" s="227"/>
      <c r="D313" s="38" t="s">
        <v>61</v>
      </c>
      <c r="E313" s="35" t="str">
        <f t="shared" si="16"/>
        <v>Acredita</v>
      </c>
      <c r="F313" s="305"/>
    </row>
    <row r="314" spans="1:6" ht="14">
      <c r="A314" s="227" t="s">
        <v>103</v>
      </c>
      <c r="B314" s="227"/>
      <c r="C314" s="227"/>
      <c r="D314" s="38" t="s">
        <v>61</v>
      </c>
      <c r="E314" s="35" t="str">
        <f t="shared" si="16"/>
        <v>Acredita</v>
      </c>
      <c r="F314" s="306"/>
    </row>
    <row r="315" spans="1:6">
      <c r="A315" s="231" t="s">
        <v>144</v>
      </c>
      <c r="B315" s="231"/>
      <c r="C315" s="231"/>
      <c r="D315" s="231"/>
      <c r="E315" s="232" t="str">
        <f>IF(AND(E304="acredita",E306="acredita",E307="acredita",E308="acredita",E309="acredita",E310="acredita",E311="acredita",E312="acredita",E313="acredita",E314="acredita"),"CUMPLE","NO CUMPLE")</f>
        <v>CUMPLE</v>
      </c>
      <c r="F315" s="233"/>
    </row>
    <row r="317" spans="1:6">
      <c r="A317" s="226" t="s">
        <v>145</v>
      </c>
      <c r="B317" s="226"/>
      <c r="C317" s="226"/>
      <c r="D317" s="226"/>
      <c r="E317" s="226"/>
      <c r="F317" s="77">
        <f>D291+D308</f>
        <v>1446.6771076409054</v>
      </c>
    </row>
    <row r="319" spans="1:6">
      <c r="A319" s="228" t="s">
        <v>146</v>
      </c>
      <c r="B319" s="229"/>
      <c r="C319" s="35">
        <v>40</v>
      </c>
      <c r="D319" s="208" t="str">
        <f>IF(F317&gt;433.26,"40",IF(F317&gt;216.63,"30",IF(F317&gt;108.32,"20",IF(F317&gt;43.33,"10","0"))))</f>
        <v>40</v>
      </c>
      <c r="E319" s="230" t="s">
        <v>151</v>
      </c>
      <c r="F319" s="230"/>
    </row>
    <row r="320" spans="1:6" ht="12.75" customHeight="1">
      <c r="A320" s="228" t="s">
        <v>147</v>
      </c>
      <c r="B320" s="229"/>
      <c r="C320" s="35">
        <v>30</v>
      </c>
      <c r="D320" s="209"/>
      <c r="E320" s="230"/>
      <c r="F320" s="230"/>
    </row>
    <row r="321" spans="1:7" ht="12.75" customHeight="1">
      <c r="A321" s="228" t="s">
        <v>148</v>
      </c>
      <c r="B321" s="229"/>
      <c r="C321" s="35">
        <v>20</v>
      </c>
      <c r="D321" s="209"/>
      <c r="E321" s="230"/>
      <c r="F321" s="230"/>
    </row>
    <row r="322" spans="1:7" ht="12.75" customHeight="1">
      <c r="A322" s="228" t="s">
        <v>149</v>
      </c>
      <c r="B322" s="229"/>
      <c r="C322" s="35">
        <v>10</v>
      </c>
      <c r="D322" s="209"/>
      <c r="E322" s="230"/>
      <c r="F322" s="230"/>
      <c r="G322" s="75"/>
    </row>
    <row r="323" spans="1:7">
      <c r="A323" s="228" t="s">
        <v>150</v>
      </c>
      <c r="B323" s="229"/>
      <c r="C323" s="35">
        <v>0</v>
      </c>
      <c r="D323" s="210"/>
      <c r="E323" s="230"/>
      <c r="F323" s="230"/>
      <c r="G323" s="76"/>
    </row>
    <row r="324" spans="1:7">
      <c r="G324" s="76"/>
    </row>
    <row r="325" spans="1:7" ht="14">
      <c r="A325" s="212" t="s">
        <v>152</v>
      </c>
      <c r="B325" s="212"/>
      <c r="C325" s="212"/>
      <c r="D325" s="212"/>
      <c r="E325" s="212"/>
      <c r="F325" s="212"/>
      <c r="G325" s="76"/>
    </row>
    <row r="327" spans="1:7" ht="154">
      <c r="A327" s="269" t="s">
        <v>488</v>
      </c>
      <c r="B327" s="270"/>
      <c r="C327" s="102" t="s">
        <v>122</v>
      </c>
      <c r="D327" s="54" t="s">
        <v>61</v>
      </c>
      <c r="E327" s="55" t="str">
        <f>IF(D327="SI","CUMPLE","NO CUMPLE")</f>
        <v>CUMPLE</v>
      </c>
      <c r="F327" s="53"/>
    </row>
    <row r="328" spans="1:7" ht="42">
      <c r="A328" s="271"/>
      <c r="B328" s="272"/>
      <c r="C328" s="102" t="s">
        <v>123</v>
      </c>
      <c r="D328" s="54" t="s">
        <v>61</v>
      </c>
      <c r="E328" s="55" t="str">
        <f>IF(D328="SI","CUMPLE","NO CUMPLE")</f>
        <v>CUMPLE</v>
      </c>
      <c r="F328" s="53"/>
    </row>
    <row r="329" spans="1:7" ht="14">
      <c r="A329" s="271"/>
      <c r="B329" s="272"/>
      <c r="C329" s="102" t="s">
        <v>128</v>
      </c>
      <c r="D329" s="56"/>
      <c r="E329" s="55" t="str">
        <f>IF(D329="","NO CUMPLE","CUMPLE")</f>
        <v>NO CUMPLE</v>
      </c>
      <c r="F329" s="53"/>
    </row>
    <row r="330" spans="1:7" ht="14">
      <c r="A330" s="271"/>
      <c r="B330" s="272"/>
      <c r="C330" s="102" t="s">
        <v>129</v>
      </c>
      <c r="D330" s="56" t="s">
        <v>130</v>
      </c>
      <c r="E330" s="55" t="str">
        <f>IF(D330="Director Interventoria","CUMPLE","NO CUMPLE")</f>
        <v>CUMPLE</v>
      </c>
      <c r="F330" s="53"/>
    </row>
    <row r="331" spans="1:7" ht="14">
      <c r="A331" s="271"/>
      <c r="B331" s="272"/>
      <c r="C331" s="103" t="s">
        <v>110</v>
      </c>
      <c r="D331" s="58">
        <v>189500000</v>
      </c>
      <c r="E331" s="55" t="str">
        <f>IF(D331="","NO CUMPLE","CUMPLE")</f>
        <v>CUMPLE</v>
      </c>
      <c r="F331" s="53"/>
    </row>
    <row r="332" spans="1:7" ht="14">
      <c r="A332" s="271"/>
      <c r="B332" s="272"/>
      <c r="C332" s="103" t="s">
        <v>111</v>
      </c>
      <c r="D332" s="57">
        <v>33607</v>
      </c>
      <c r="E332" s="55" t="str">
        <f>IF(D332="","NO CUMPLE","CUMPLE")</f>
        <v>CUMPLE</v>
      </c>
      <c r="F332" s="53"/>
      <c r="G332" s="51"/>
    </row>
    <row r="333" spans="1:7" ht="14">
      <c r="A333" s="271"/>
      <c r="B333" s="272"/>
      <c r="C333" s="103" t="s">
        <v>112</v>
      </c>
      <c r="D333" s="57">
        <v>31430</v>
      </c>
      <c r="E333" s="55" t="str">
        <f t="shared" ref="E333" si="17">IF(D333="","NO CUMPLE","CUMPLE")</f>
        <v>CUMPLE</v>
      </c>
      <c r="F333" s="53"/>
    </row>
    <row r="334" spans="1:7">
      <c r="A334" s="273"/>
      <c r="B334" s="274"/>
      <c r="C334" s="103" t="s">
        <v>113</v>
      </c>
      <c r="D334" s="100">
        <f>IFERROR((D331/(VLOOKUP((YEAR(D333)),[1]SMMLV!$A$9:$C$49,3,0))),"0")</f>
        <v>11272.381178989946</v>
      </c>
      <c r="E334" s="101"/>
      <c r="F334" s="53"/>
    </row>
    <row r="335" spans="1:7" ht="154">
      <c r="A335" s="269" t="s">
        <v>489</v>
      </c>
      <c r="B335" s="270"/>
      <c r="C335" s="102" t="s">
        <v>122</v>
      </c>
      <c r="D335" s="54" t="s">
        <v>61</v>
      </c>
      <c r="E335" s="55" t="str">
        <f>IF(D335="SI","CUMPLE","NO CUMPLE")</f>
        <v>CUMPLE</v>
      </c>
      <c r="F335" s="53"/>
    </row>
    <row r="336" spans="1:7" ht="42">
      <c r="A336" s="271"/>
      <c r="B336" s="272"/>
      <c r="C336" s="102" t="s">
        <v>123</v>
      </c>
      <c r="D336" s="54" t="s">
        <v>61</v>
      </c>
      <c r="E336" s="55" t="str">
        <f>IF(D336="SI","CUMPLE","NO CUMPLE")</f>
        <v>CUMPLE</v>
      </c>
      <c r="F336" s="53"/>
    </row>
    <row r="337" spans="1:6" ht="28">
      <c r="A337" s="271"/>
      <c r="B337" s="272"/>
      <c r="C337" s="102" t="s">
        <v>128</v>
      </c>
      <c r="D337" s="56" t="s">
        <v>461</v>
      </c>
      <c r="E337" s="55" t="str">
        <f>IF(D337="","NO CUMPLE","CUMPLE")</f>
        <v>CUMPLE</v>
      </c>
      <c r="F337" s="53"/>
    </row>
    <row r="338" spans="1:6" ht="14">
      <c r="A338" s="271"/>
      <c r="B338" s="272"/>
      <c r="C338" s="102" t="s">
        <v>129</v>
      </c>
      <c r="D338" s="56" t="s">
        <v>130</v>
      </c>
      <c r="E338" s="55" t="str">
        <f>IF(D338="Director Interventoria","CUMPLE","NO CUMPLE")</f>
        <v>CUMPLE</v>
      </c>
      <c r="F338" s="53"/>
    </row>
    <row r="339" spans="1:6" ht="14">
      <c r="A339" s="271"/>
      <c r="B339" s="272"/>
      <c r="C339" s="103" t="s">
        <v>110</v>
      </c>
      <c r="D339" s="58">
        <v>241399808</v>
      </c>
      <c r="E339" s="55" t="str">
        <f>IF(D339="","NO CUMPLE","CUMPLE")</f>
        <v>CUMPLE</v>
      </c>
      <c r="F339" s="53"/>
    </row>
    <row r="340" spans="1:6" ht="14">
      <c r="A340" s="271"/>
      <c r="B340" s="272"/>
      <c r="C340" s="103" t="s">
        <v>111</v>
      </c>
      <c r="D340" s="57">
        <v>43621</v>
      </c>
      <c r="E340" s="55" t="str">
        <f>IF(D340="","NO CUMPLE","CUMPLE")</f>
        <v>CUMPLE</v>
      </c>
      <c r="F340" s="53"/>
    </row>
    <row r="341" spans="1:6" ht="14">
      <c r="A341" s="271"/>
      <c r="B341" s="272"/>
      <c r="C341" s="103" t="s">
        <v>112</v>
      </c>
      <c r="D341" s="57">
        <v>44139</v>
      </c>
      <c r="E341" s="55" t="str">
        <f t="shared" ref="E341" si="18">IF(D341="","NO CUMPLE","CUMPLE")</f>
        <v>CUMPLE</v>
      </c>
      <c r="F341" s="53"/>
    </row>
    <row r="342" spans="1:6">
      <c r="A342" s="273"/>
      <c r="B342" s="274"/>
      <c r="C342" s="103" t="s">
        <v>113</v>
      </c>
      <c r="D342" s="100">
        <f>IFERROR((D339/(VLOOKUP((YEAR(D341)),[1]SMMLV!$A$9:$C$49,3,0))),"0")</f>
        <v>275.00453746455639</v>
      </c>
      <c r="E342" s="101"/>
      <c r="F342" s="53"/>
    </row>
    <row r="343" spans="1:6">
      <c r="A343" s="226" t="s">
        <v>155</v>
      </c>
      <c r="B343" s="226"/>
      <c r="C343" s="226"/>
      <c r="D343" s="226"/>
      <c r="E343" s="226"/>
      <c r="F343" s="77">
        <f>D334+D342</f>
        <v>11547.385716454502</v>
      </c>
    </row>
    <row r="345" spans="1:6">
      <c r="A345" s="227" t="s">
        <v>153</v>
      </c>
      <c r="B345" s="227"/>
      <c r="C345" s="227"/>
      <c r="D345" s="35">
        <v>30</v>
      </c>
      <c r="E345" s="208" t="str">
        <f>IF(F343&gt;=346.608,"30","0")</f>
        <v>30</v>
      </c>
      <c r="F345" s="313" t="s">
        <v>151</v>
      </c>
    </row>
    <row r="346" spans="1:6">
      <c r="A346" s="227" t="s">
        <v>154</v>
      </c>
      <c r="B346" s="227"/>
      <c r="C346" s="227"/>
      <c r="D346" s="35">
        <v>0</v>
      </c>
      <c r="E346" s="210"/>
      <c r="F346" s="314"/>
    </row>
    <row r="348" spans="1:6" ht="14">
      <c r="A348" s="212" t="s">
        <v>156</v>
      </c>
      <c r="B348" s="212"/>
      <c r="C348" s="212"/>
      <c r="D348" s="212"/>
      <c r="E348" s="212"/>
      <c r="F348" s="212"/>
    </row>
    <row r="349" spans="1:6" ht="14">
      <c r="A349" s="198" t="s">
        <v>157</v>
      </c>
      <c r="B349" s="198"/>
      <c r="C349" s="198"/>
      <c r="D349" s="78" t="s">
        <v>160</v>
      </c>
      <c r="E349" s="208" t="str">
        <f>IF(D349="X","18,92",IF(D350="X","10",IF(D351="X","0","0")))</f>
        <v>18,92</v>
      </c>
      <c r="F349" s="313" t="s">
        <v>151</v>
      </c>
    </row>
    <row r="350" spans="1:6">
      <c r="A350" s="198" t="s">
        <v>158</v>
      </c>
      <c r="B350" s="198"/>
      <c r="C350" s="198"/>
      <c r="D350" s="78"/>
      <c r="E350" s="209"/>
      <c r="F350" s="318"/>
    </row>
    <row r="351" spans="1:6">
      <c r="A351" s="199" t="s">
        <v>159</v>
      </c>
      <c r="B351" s="199"/>
      <c r="C351" s="199"/>
      <c r="D351" s="78"/>
      <c r="E351" s="210"/>
      <c r="F351" s="314"/>
    </row>
    <row r="353" spans="1:6" ht="14">
      <c r="A353" s="212" t="s">
        <v>161</v>
      </c>
      <c r="B353" s="212"/>
      <c r="C353" s="212"/>
      <c r="D353" s="212"/>
      <c r="E353" s="212"/>
      <c r="F353" s="212"/>
    </row>
    <row r="354" spans="1:6" ht="53.25" customHeight="1">
      <c r="A354" s="198" t="s">
        <v>162</v>
      </c>
      <c r="B354" s="198"/>
      <c r="C354" s="198"/>
      <c r="D354" s="78" t="s">
        <v>160</v>
      </c>
      <c r="E354" s="208" t="str">
        <f>IF(D354="X","10",IF(D355="X","5",IF(D356="X","0","0")))</f>
        <v>10</v>
      </c>
      <c r="F354" s="313" t="s">
        <v>151</v>
      </c>
    </row>
    <row r="355" spans="1:6" ht="31.5" customHeight="1">
      <c r="A355" s="198" t="s">
        <v>163</v>
      </c>
      <c r="B355" s="198"/>
      <c r="C355" s="198"/>
      <c r="D355" s="78"/>
      <c r="E355" s="209"/>
      <c r="F355" s="318"/>
    </row>
    <row r="356" spans="1:6" ht="39.75" customHeight="1">
      <c r="A356" s="198" t="s">
        <v>164</v>
      </c>
      <c r="B356" s="198"/>
      <c r="C356" s="198"/>
      <c r="D356" s="78"/>
      <c r="E356" s="210"/>
      <c r="F356" s="314"/>
    </row>
    <row r="358" spans="1:6" ht="14">
      <c r="A358" s="212" t="s">
        <v>165</v>
      </c>
      <c r="B358" s="212"/>
      <c r="C358" s="212"/>
      <c r="D358" s="212"/>
      <c r="E358" s="212"/>
      <c r="F358" s="212"/>
    </row>
    <row r="359" spans="1:6" ht="12.75" customHeight="1">
      <c r="A359" s="207" t="s">
        <v>166</v>
      </c>
      <c r="B359" s="207"/>
      <c r="C359" s="79" t="s">
        <v>61</v>
      </c>
      <c r="D359" s="78" t="str">
        <f>IF(C359="NO","No Cumple",IF(C359="","","Cumple"))</f>
        <v>Cumple</v>
      </c>
      <c r="E359" s="208" t="str">
        <f>IF(AND(D359="cumple",D360="cumple",D361="cumple",D362="cumple"),"1","0")</f>
        <v>1</v>
      </c>
      <c r="F359" s="230" t="s">
        <v>151</v>
      </c>
    </row>
    <row r="360" spans="1:6" ht="12.75" customHeight="1">
      <c r="A360" s="207" t="s">
        <v>167</v>
      </c>
      <c r="B360" s="207"/>
      <c r="C360" s="79" t="s">
        <v>61</v>
      </c>
      <c r="D360" s="78" t="str">
        <f t="shared" ref="D360" si="19">IF(C360="NO","No Cumple",IF(C360="","","Cumple"))</f>
        <v>Cumple</v>
      </c>
      <c r="E360" s="209"/>
      <c r="F360" s="230"/>
    </row>
    <row r="361" spans="1:6" ht="14">
      <c r="A361" s="207" t="s">
        <v>168</v>
      </c>
      <c r="B361" s="207"/>
      <c r="C361" s="80">
        <v>45604</v>
      </c>
      <c r="D361" s="78" t="str">
        <f>IF(C361="","",IF($B$4-C361&gt;183,"No Cumple","Cumple"))</f>
        <v>Cumple</v>
      </c>
      <c r="E361" s="209"/>
      <c r="F361" s="230"/>
    </row>
    <row r="362" spans="1:6">
      <c r="A362" s="207" t="s">
        <v>169</v>
      </c>
      <c r="B362" s="207"/>
      <c r="C362" s="85">
        <f>D66+D87+D109</f>
        <v>1123.6470315329416</v>
      </c>
      <c r="D362" s="81" t="str">
        <f>IF(C362="","",IF(C362&lt;$B$5*40%,"No Cumple","Cumple"))</f>
        <v>Cumple</v>
      </c>
      <c r="E362" s="210"/>
      <c r="F362" s="230"/>
    </row>
    <row r="364" spans="1:6" ht="14">
      <c r="A364" s="212" t="s">
        <v>170</v>
      </c>
      <c r="B364" s="212"/>
      <c r="C364" s="212"/>
      <c r="D364" s="212"/>
      <c r="E364" s="212"/>
      <c r="F364" s="212"/>
    </row>
    <row r="365" spans="1:6" ht="14">
      <c r="A365" s="83"/>
      <c r="B365" s="83"/>
      <c r="C365" s="83"/>
      <c r="D365" s="83"/>
      <c r="E365" s="83"/>
      <c r="F365" s="83"/>
    </row>
    <row r="366" spans="1:6" ht="14">
      <c r="A366" s="204" t="s">
        <v>172</v>
      </c>
      <c r="B366" s="205"/>
      <c r="C366" s="205"/>
      <c r="D366" s="205"/>
      <c r="E366" s="205"/>
      <c r="F366" s="206"/>
    </row>
    <row r="367" spans="1:6" ht="14">
      <c r="A367" s="207" t="s">
        <v>171</v>
      </c>
      <c r="B367" s="207"/>
      <c r="C367" s="79" t="s">
        <v>61</v>
      </c>
      <c r="D367" s="78" t="str">
        <f>IF(C367="NO","No Cumple",IF(C367="","","Cumple"))</f>
        <v>Cumple</v>
      </c>
      <c r="E367" s="208" t="str">
        <f>IF(AND(D367="cumple",D368="cumple",D369="cumple",D370="cumple"),"0,08","0")</f>
        <v>0,08</v>
      </c>
      <c r="F367" s="230" t="s">
        <v>151</v>
      </c>
    </row>
    <row r="368" spans="1:6" ht="14">
      <c r="A368" s="207" t="s">
        <v>174</v>
      </c>
      <c r="B368" s="207"/>
      <c r="C368" s="84" t="s">
        <v>61</v>
      </c>
      <c r="D368" s="78" t="str">
        <f>IF(C368&gt;=50%,"Cumple",IF(C368="",""," No Cumple"))</f>
        <v>Cumple</v>
      </c>
      <c r="E368" s="209"/>
      <c r="F368" s="230"/>
    </row>
    <row r="369" spans="1:7" ht="14">
      <c r="A369" s="207" t="s">
        <v>173</v>
      </c>
      <c r="B369" s="207"/>
      <c r="C369" s="79" t="s">
        <v>61</v>
      </c>
      <c r="D369" s="78" t="str">
        <f>IF(C369="NO","No Cumple",IF(C369="","","Cumple"))</f>
        <v>Cumple</v>
      </c>
      <c r="E369" s="209"/>
      <c r="F369" s="230"/>
    </row>
    <row r="370" spans="1:7" ht="14">
      <c r="A370" s="207" t="s">
        <v>183</v>
      </c>
      <c r="B370" s="207"/>
      <c r="C370" s="88">
        <v>0.5</v>
      </c>
      <c r="D370" s="78" t="str">
        <f>IF(C370&lt;10%,"No Cumple","Cumple")</f>
        <v>Cumple</v>
      </c>
      <c r="E370" s="210"/>
      <c r="F370" s="230"/>
    </row>
    <row r="372" spans="1:7" ht="14">
      <c r="A372" s="204" t="s">
        <v>175</v>
      </c>
      <c r="B372" s="205"/>
      <c r="C372" s="205"/>
      <c r="D372" s="205"/>
      <c r="E372" s="205"/>
      <c r="F372" s="206"/>
    </row>
    <row r="373" spans="1:7" ht="14">
      <c r="A373" s="207" t="s">
        <v>171</v>
      </c>
      <c r="B373" s="207"/>
      <c r="C373" s="79"/>
      <c r="D373" s="78" t="str">
        <f>IF(C373="NO","No Cumple",IF(C373="","","Cumple"))</f>
        <v/>
      </c>
      <c r="E373" s="208" t="str">
        <f>IF(AND(D373="cumple",D374="cumple",D375="cumple",D376="cumple",D377="cumple"),"0,08","0")</f>
        <v>0</v>
      </c>
      <c r="F373" s="230" t="s">
        <v>151</v>
      </c>
    </row>
    <row r="374" spans="1:7" ht="14">
      <c r="A374" s="207" t="s">
        <v>176</v>
      </c>
      <c r="B374" s="207"/>
      <c r="C374" s="79"/>
      <c r="D374" s="78" t="str">
        <f t="shared" ref="D374:D376" si="20">IF(C374="NO","No Cumple",IF(C374="","","Cumple"))</f>
        <v/>
      </c>
      <c r="E374" s="209"/>
      <c r="F374" s="230"/>
    </row>
    <row r="375" spans="1:7" ht="27.75" customHeight="1">
      <c r="A375" s="207" t="s">
        <v>177</v>
      </c>
      <c r="B375" s="207"/>
      <c r="C375" s="79"/>
      <c r="D375" s="78" t="str">
        <f t="shared" si="20"/>
        <v/>
      </c>
      <c r="E375" s="209"/>
      <c r="F375" s="230"/>
    </row>
    <row r="376" spans="1:7" ht="14">
      <c r="A376" s="207" t="s">
        <v>178</v>
      </c>
      <c r="B376" s="207"/>
      <c r="C376" s="79"/>
      <c r="D376" s="78" t="str">
        <f t="shared" si="20"/>
        <v/>
      </c>
      <c r="E376" s="209"/>
      <c r="F376" s="230"/>
    </row>
    <row r="377" spans="1:7" ht="14">
      <c r="A377" s="207" t="s">
        <v>182</v>
      </c>
      <c r="B377" s="207"/>
      <c r="C377" s="88">
        <v>0</v>
      </c>
      <c r="D377" s="78" t="str">
        <f>IF(C377&lt;10%,"No Cumple","Cumple")</f>
        <v>No Cumple</v>
      </c>
      <c r="E377" s="210"/>
      <c r="F377" s="230"/>
      <c r="G377" s="95"/>
    </row>
    <row r="379" spans="1:7" ht="31.5" customHeight="1">
      <c r="A379" s="198" t="s">
        <v>180</v>
      </c>
      <c r="B379" s="198"/>
      <c r="C379" s="198"/>
      <c r="D379" s="198"/>
      <c r="E379" s="86"/>
      <c r="F379" s="30"/>
    </row>
    <row r="380" spans="1:7">
      <c r="A380" s="199" t="s">
        <v>181</v>
      </c>
      <c r="B380" s="199"/>
      <c r="C380" s="199"/>
      <c r="D380" s="199"/>
      <c r="E380" s="86"/>
      <c r="F380" s="30"/>
    </row>
    <row r="382" spans="1:7" ht="33" customHeight="1">
      <c r="B382" s="200" t="s">
        <v>179</v>
      </c>
      <c r="C382" s="200"/>
      <c r="D382" s="200"/>
      <c r="E382" s="87">
        <f>SUM(D319+E345+E349+E354+E359+E367+E373-E379-E380)</f>
        <v>100</v>
      </c>
    </row>
  </sheetData>
  <sheetProtection algorithmName="SHA-512" hashValue="qYBv5FGZAe7jxpjdzNZ4xlV4UBnIwylxSGiO7VZSfjZp9Gsq311KtOHHwztYvspPPyB8h0Q3uius5VB0VLcbLQ==" saltValue="ZbPqfV5ORitbh4R3WQvcAA==" spinCount="100000" sheet="1" objects="1" scenarios="1" selectLockedCells="1" selectUnlockedCells="1"/>
  <mergeCells count="288">
    <mergeCell ref="A379:D379"/>
    <mergeCell ref="A380:D380"/>
    <mergeCell ref="B382:D382"/>
    <mergeCell ref="A372:F372"/>
    <mergeCell ref="A373:B373"/>
    <mergeCell ref="E373:E377"/>
    <mergeCell ref="F373:F377"/>
    <mergeCell ref="A374:B374"/>
    <mergeCell ref="A375:B375"/>
    <mergeCell ref="A376:B376"/>
    <mergeCell ref="A377:B377"/>
    <mergeCell ref="A364:F364"/>
    <mergeCell ref="A366:F366"/>
    <mergeCell ref="A367:B367"/>
    <mergeCell ref="E367:E370"/>
    <mergeCell ref="F367:F370"/>
    <mergeCell ref="A368:B368"/>
    <mergeCell ref="A369:B369"/>
    <mergeCell ref="A370:B370"/>
    <mergeCell ref="A358:F358"/>
    <mergeCell ref="A359:B359"/>
    <mergeCell ref="E359:E362"/>
    <mergeCell ref="F359:F362"/>
    <mergeCell ref="A360:B360"/>
    <mergeCell ref="A361:B361"/>
    <mergeCell ref="A362:B362"/>
    <mergeCell ref="A353:F353"/>
    <mergeCell ref="A354:C354"/>
    <mergeCell ref="E354:E356"/>
    <mergeCell ref="F354:F356"/>
    <mergeCell ref="A355:C355"/>
    <mergeCell ref="A356:C356"/>
    <mergeCell ref="A348:F348"/>
    <mergeCell ref="A349:C349"/>
    <mergeCell ref="E349:E351"/>
    <mergeCell ref="F349:F351"/>
    <mergeCell ref="A350:C350"/>
    <mergeCell ref="A351:C351"/>
    <mergeCell ref="A325:F325"/>
    <mergeCell ref="A327:B334"/>
    <mergeCell ref="A335:B342"/>
    <mergeCell ref="A343:E343"/>
    <mergeCell ref="A345:C345"/>
    <mergeCell ref="E345:E346"/>
    <mergeCell ref="F345:F346"/>
    <mergeCell ref="A346:C346"/>
    <mergeCell ref="A319:B319"/>
    <mergeCell ref="D319:D323"/>
    <mergeCell ref="E319:F323"/>
    <mergeCell ref="A320:B320"/>
    <mergeCell ref="A321:B321"/>
    <mergeCell ref="A322:B322"/>
    <mergeCell ref="A323:B323"/>
    <mergeCell ref="A312:C312"/>
    <mergeCell ref="A313:C313"/>
    <mergeCell ref="A314:C314"/>
    <mergeCell ref="A315:D315"/>
    <mergeCell ref="E315:F315"/>
    <mergeCell ref="A317:E317"/>
    <mergeCell ref="B302:F302"/>
    <mergeCell ref="A304:A305"/>
    <mergeCell ref="E304:E305"/>
    <mergeCell ref="F304:F314"/>
    <mergeCell ref="A306:C306"/>
    <mergeCell ref="A307:C307"/>
    <mergeCell ref="A308:C308"/>
    <mergeCell ref="A309:C309"/>
    <mergeCell ref="A310:C310"/>
    <mergeCell ref="A311:C311"/>
    <mergeCell ref="A296:C296"/>
    <mergeCell ref="A297:C297"/>
    <mergeCell ref="A298:D298"/>
    <mergeCell ref="E298:F298"/>
    <mergeCell ref="B300:F300"/>
    <mergeCell ref="B301:F301"/>
    <mergeCell ref="A287:A288"/>
    <mergeCell ref="E287:E288"/>
    <mergeCell ref="F287:F297"/>
    <mergeCell ref="A289:C289"/>
    <mergeCell ref="A290:C290"/>
    <mergeCell ref="A291:C291"/>
    <mergeCell ref="A292:C292"/>
    <mergeCell ref="A293:C293"/>
    <mergeCell ref="A294:C294"/>
    <mergeCell ref="A295:C295"/>
    <mergeCell ref="A277:E277"/>
    <mergeCell ref="A280:F280"/>
    <mergeCell ref="A281:F281"/>
    <mergeCell ref="B283:F283"/>
    <mergeCell ref="B284:F284"/>
    <mergeCell ref="B285:F285"/>
    <mergeCell ref="A264:E264"/>
    <mergeCell ref="A266:E266"/>
    <mergeCell ref="A269:F269"/>
    <mergeCell ref="A271:E272"/>
    <mergeCell ref="A273:F273"/>
    <mergeCell ref="A275:E275"/>
    <mergeCell ref="A239:C239"/>
    <mergeCell ref="A240:C240"/>
    <mergeCell ref="A242:B249"/>
    <mergeCell ref="A251:B258"/>
    <mergeCell ref="A260:E261"/>
    <mergeCell ref="A262:F262"/>
    <mergeCell ref="B234:C234"/>
    <mergeCell ref="A235:C235"/>
    <mergeCell ref="A236:A237"/>
    <mergeCell ref="B236:C236"/>
    <mergeCell ref="B237:C237"/>
    <mergeCell ref="A238:C238"/>
    <mergeCell ref="A228:E228"/>
    <mergeCell ref="A230:F230"/>
    <mergeCell ref="A231:C231"/>
    <mergeCell ref="D231:F231"/>
    <mergeCell ref="B232:C232"/>
    <mergeCell ref="B233:C233"/>
    <mergeCell ref="A203:C203"/>
    <mergeCell ref="A204:C204"/>
    <mergeCell ref="A206:B213"/>
    <mergeCell ref="A215:B222"/>
    <mergeCell ref="A224:E225"/>
    <mergeCell ref="A226:F226"/>
    <mergeCell ref="B198:C198"/>
    <mergeCell ref="A199:C199"/>
    <mergeCell ref="A200:A201"/>
    <mergeCell ref="B200:C200"/>
    <mergeCell ref="B201:C201"/>
    <mergeCell ref="A202:C202"/>
    <mergeCell ref="A192:E192"/>
    <mergeCell ref="A194:F194"/>
    <mergeCell ref="A195:C195"/>
    <mergeCell ref="D195:F195"/>
    <mergeCell ref="B196:C196"/>
    <mergeCell ref="B197:C197"/>
    <mergeCell ref="A159:C159"/>
    <mergeCell ref="A161:B168"/>
    <mergeCell ref="A170:B177"/>
    <mergeCell ref="A179:B186"/>
    <mergeCell ref="A188:E189"/>
    <mergeCell ref="A190:F190"/>
    <mergeCell ref="A154:C154"/>
    <mergeCell ref="A155:A156"/>
    <mergeCell ref="B155:C155"/>
    <mergeCell ref="B156:C156"/>
    <mergeCell ref="A157:C157"/>
    <mergeCell ref="A158:C158"/>
    <mergeCell ref="A149:F149"/>
    <mergeCell ref="A150:C150"/>
    <mergeCell ref="D150:F150"/>
    <mergeCell ref="B151:C151"/>
    <mergeCell ref="B152:C152"/>
    <mergeCell ref="B153:C153"/>
    <mergeCell ref="A130:E131"/>
    <mergeCell ref="A132:F132"/>
    <mergeCell ref="A134:E135"/>
    <mergeCell ref="A136:F136"/>
    <mergeCell ref="A138:E138"/>
    <mergeCell ref="A147:F147"/>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F94:F97"/>
    <mergeCell ref="B95:C95"/>
    <mergeCell ref="B96:C96"/>
    <mergeCell ref="B97:C97"/>
    <mergeCell ref="A98:D98"/>
    <mergeCell ref="E98:F98"/>
    <mergeCell ref="A89:C89"/>
    <mergeCell ref="A90:C90"/>
    <mergeCell ref="A91:C91"/>
    <mergeCell ref="A92:C92"/>
    <mergeCell ref="A93:C93"/>
    <mergeCell ref="A94:A97"/>
    <mergeCell ref="B94:C94"/>
    <mergeCell ref="B79:F79"/>
    <mergeCell ref="B80:F80"/>
    <mergeCell ref="B81:F81"/>
    <mergeCell ref="A83:A84"/>
    <mergeCell ref="E83:E84"/>
    <mergeCell ref="F83:F93"/>
    <mergeCell ref="A85:C85"/>
    <mergeCell ref="A86:C86"/>
    <mergeCell ref="A87:C87"/>
    <mergeCell ref="A88:C88"/>
    <mergeCell ref="F73:F76"/>
    <mergeCell ref="B74:C74"/>
    <mergeCell ref="B75:C75"/>
    <mergeCell ref="B76:C76"/>
    <mergeCell ref="A77:D77"/>
    <mergeCell ref="E77:F77"/>
    <mergeCell ref="A68:C68"/>
    <mergeCell ref="A69:C69"/>
    <mergeCell ref="A70:C70"/>
    <mergeCell ref="A71:C71"/>
    <mergeCell ref="A72:C72"/>
    <mergeCell ref="A73:A76"/>
    <mergeCell ref="B73:C73"/>
    <mergeCell ref="B58:F58"/>
    <mergeCell ref="B59:F59"/>
    <mergeCell ref="B60:F60"/>
    <mergeCell ref="A62:A63"/>
    <mergeCell ref="E62:E63"/>
    <mergeCell ref="F62:F72"/>
    <mergeCell ref="A64:C64"/>
    <mergeCell ref="A65:C65"/>
    <mergeCell ref="A66:C66"/>
    <mergeCell ref="A67:C67"/>
    <mergeCell ref="F52:F55"/>
    <mergeCell ref="B53:C53"/>
    <mergeCell ref="B54:C54"/>
    <mergeCell ref="B55:C55"/>
    <mergeCell ref="A56:D56"/>
    <mergeCell ref="E56:F56"/>
    <mergeCell ref="A47:C47"/>
    <mergeCell ref="A48:C48"/>
    <mergeCell ref="A49:C49"/>
    <mergeCell ref="A50:C50"/>
    <mergeCell ref="A51:C51"/>
    <mergeCell ref="A52:A55"/>
    <mergeCell ref="B52:C52"/>
    <mergeCell ref="B37:F37"/>
    <mergeCell ref="B38:F38"/>
    <mergeCell ref="B39:F39"/>
    <mergeCell ref="A41:A42"/>
    <mergeCell ref="E41:E42"/>
    <mergeCell ref="F41:F51"/>
    <mergeCell ref="A43:C43"/>
    <mergeCell ref="A44:C44"/>
    <mergeCell ref="A45:C45"/>
    <mergeCell ref="A46:C46"/>
    <mergeCell ref="F31:F34"/>
    <mergeCell ref="B32:C32"/>
    <mergeCell ref="B33:C33"/>
    <mergeCell ref="B34:C34"/>
    <mergeCell ref="A35:D35"/>
    <mergeCell ref="E35:F35"/>
    <mergeCell ref="A27:C27"/>
    <mergeCell ref="A28:C28"/>
    <mergeCell ref="A29:C29"/>
    <mergeCell ref="A30:C30"/>
    <mergeCell ref="A31:A34"/>
    <mergeCell ref="B31:C31"/>
    <mergeCell ref="B17:F17"/>
    <mergeCell ref="B18:F18"/>
    <mergeCell ref="A20:A21"/>
    <mergeCell ref="E20:E21"/>
    <mergeCell ref="F20:F30"/>
    <mergeCell ref="A22:C22"/>
    <mergeCell ref="A23:C23"/>
    <mergeCell ref="A24:C24"/>
    <mergeCell ref="A25:C25"/>
    <mergeCell ref="A26:C26"/>
    <mergeCell ref="B9:D9"/>
    <mergeCell ref="B10:D10"/>
    <mergeCell ref="B11:D11"/>
    <mergeCell ref="A13:F13"/>
    <mergeCell ref="A14:F14"/>
    <mergeCell ref="B16:F16"/>
    <mergeCell ref="A1:F1"/>
    <mergeCell ref="A2:F2"/>
    <mergeCell ref="B4:C4"/>
    <mergeCell ref="B5:C5"/>
    <mergeCell ref="B6:C6"/>
    <mergeCell ref="B7:F7"/>
  </mergeCells>
  <conditionalFormatting sqref="E151:E168">
    <cfRule type="expression" dxfId="73" priority="26">
      <formula>"NO CUMPLE"</formula>
    </cfRule>
  </conditionalFormatting>
  <conditionalFormatting sqref="E170:E177">
    <cfRule type="expression" dxfId="72" priority="5">
      <formula>"NO CUMPLE"</formula>
    </cfRule>
  </conditionalFormatting>
  <conditionalFormatting sqref="E179:E186">
    <cfRule type="expression" dxfId="71" priority="4">
      <formula>"NO CUMPLE"</formula>
    </cfRule>
  </conditionalFormatting>
  <conditionalFormatting sqref="E196:E213">
    <cfRule type="expression" dxfId="70" priority="19">
      <formula>"NO CUMPLE"</formula>
    </cfRule>
  </conditionalFormatting>
  <conditionalFormatting sqref="E215:E222">
    <cfRule type="expression" dxfId="69" priority="3">
      <formula>"NO CUMPLE"</formula>
    </cfRule>
  </conditionalFormatting>
  <conditionalFormatting sqref="E232:E249">
    <cfRule type="expression" dxfId="68" priority="2">
      <formula>"NO CUMPLE"</formula>
    </cfRule>
  </conditionalFormatting>
  <conditionalFormatting sqref="E251:E258">
    <cfRule type="expression" dxfId="67" priority="1">
      <formula>"NO CUMPLE"</formula>
    </cfRule>
  </conditionalFormatting>
  <conditionalFormatting sqref="E327:E342">
    <cfRule type="expression" dxfId="66" priority="6">
      <formula>"NO CUMPLE"</formula>
    </cfRule>
  </conditionalFormatting>
  <conditionalFormatting sqref="E35:F35">
    <cfRule type="containsText" dxfId="65" priority="37" stopIfTrue="1" operator="containsText" text="NO CUMPLE">
      <formula>NOT(ISERROR(SEARCH("NO CUMPLE",E35)))</formula>
    </cfRule>
  </conditionalFormatting>
  <conditionalFormatting sqref="E56:F56">
    <cfRule type="containsText" dxfId="64" priority="33" stopIfTrue="1" operator="containsText" text="NO CUMPLE">
      <formula>NOT(ISERROR(SEARCH("NO CUMPLE",E56)))</formula>
    </cfRule>
  </conditionalFormatting>
  <conditionalFormatting sqref="E77:F77">
    <cfRule type="containsText" dxfId="63" priority="32" stopIfTrue="1" operator="containsText" text="NO CUMPLE">
      <formula>NOT(ISERROR(SEARCH("NO CUMPLE",E77)))</formula>
    </cfRule>
  </conditionalFormatting>
  <conditionalFormatting sqref="E98:F98">
    <cfRule type="containsText" dxfId="62" priority="31" stopIfTrue="1" operator="containsText" text="NO CUMPLE">
      <formula>NOT(ISERROR(SEARCH("NO CUMPLE",E98)))</formula>
    </cfRule>
  </conditionalFormatting>
  <conditionalFormatting sqref="E120:F120">
    <cfRule type="containsText" dxfId="61" priority="30" stopIfTrue="1" operator="containsText" text="NO CUMPLE">
      <formula>NOT(ISERROR(SEARCH("NO CUMPLE",E120)))</formula>
    </cfRule>
  </conditionalFormatting>
  <conditionalFormatting sqref="E298:F298">
    <cfRule type="containsText" dxfId="60" priority="8" stopIfTrue="1" operator="containsText" text="NO CUMPLE">
      <formula>NOT(ISERROR(SEARCH("NO CUMPLE",E298)))</formula>
    </cfRule>
  </conditionalFormatting>
  <conditionalFormatting sqref="E315:F315">
    <cfRule type="containsText" dxfId="59" priority="7" stopIfTrue="1" operator="containsText" text="NO CUMPLE">
      <formula>NOT(ISERROR(SEARCH("NO CUMPLE",E315)))</formula>
    </cfRule>
  </conditionalFormatting>
  <conditionalFormatting sqref="F123">
    <cfRule type="containsText" dxfId="58" priority="28" stopIfTrue="1" operator="containsText" text="NO CUMPLE">
      <formula>NOT(ISERROR(SEARCH("NO CUMPLE",F123)))</formula>
    </cfRule>
  </conditionalFormatting>
  <conditionalFormatting sqref="F127 F129">
    <cfRule type="containsText" dxfId="57" priority="36" stopIfTrue="1" operator="containsText" text="NO CUMPLE">
      <formula>NOT(ISERROR(SEARCH("NO CUMPLE",F127)))</formula>
    </cfRule>
  </conditionalFormatting>
  <conditionalFormatting sqref="F131">
    <cfRule type="containsText" dxfId="56" priority="35" stopIfTrue="1" operator="containsText" text="NO CUMPLE">
      <formula>NOT(ISERROR(SEARCH("NO CUMPLE",F131)))</formula>
    </cfRule>
  </conditionalFormatting>
  <conditionalFormatting sqref="F135">
    <cfRule type="containsText" dxfId="55" priority="34" stopIfTrue="1" operator="containsText" text="NO CUMPLE">
      <formula>NOT(ISERROR(SEARCH("NO CUMPLE",F135)))</formula>
    </cfRule>
  </conditionalFormatting>
  <conditionalFormatting sqref="F138">
    <cfRule type="containsText" dxfId="54" priority="27" operator="containsText" text="NO CUMPLE">
      <formula>NOT(ISERROR(SEARCH("NO CUMPLE",F138)))</formula>
    </cfRule>
    <cfRule type="containsText" dxfId="53" priority="29" stopIfTrue="1" operator="containsText" text="NO HABILITADO">
      <formula>NOT(ISERROR(SEARCH("NO HABILITADO",F138)))</formula>
    </cfRule>
  </conditionalFormatting>
  <conditionalFormatting sqref="F189">
    <cfRule type="containsText" dxfId="52" priority="24" stopIfTrue="1" operator="containsText" text="NO CUMPLE">
      <formula>NOT(ISERROR(SEARCH("NO CUMPLE",F189)))</formula>
    </cfRule>
  </conditionalFormatting>
  <conditionalFormatting sqref="F192">
    <cfRule type="containsText" dxfId="51" priority="25" stopIfTrue="1" operator="containsText" text="NO HABILITADO">
      <formula>NOT(ISERROR(SEARCH("NO HABILITADO",F192)))</formula>
    </cfRule>
    <cfRule type="containsText" dxfId="50" priority="23" operator="containsText" text="NO CUMPLE">
      <formula>NOT(ISERROR(SEARCH("NO CUMPLE",F192)))</formula>
    </cfRule>
  </conditionalFormatting>
  <conditionalFormatting sqref="F225">
    <cfRule type="containsText" dxfId="49" priority="21" stopIfTrue="1" operator="containsText" text="NO CUMPLE">
      <formula>NOT(ISERROR(SEARCH("NO CUMPLE",F225)))</formula>
    </cfRule>
  </conditionalFormatting>
  <conditionalFormatting sqref="F228">
    <cfRule type="containsText" dxfId="48" priority="20" operator="containsText" text="NO CUMPLE">
      <formula>NOT(ISERROR(SEARCH("NO CUMPLE",F228)))</formula>
    </cfRule>
    <cfRule type="containsText" dxfId="47" priority="22" stopIfTrue="1" operator="containsText" text="NO HABILITADO">
      <formula>NOT(ISERROR(SEARCH("NO HABILITADO",F228)))</formula>
    </cfRule>
  </conditionalFormatting>
  <conditionalFormatting sqref="F261">
    <cfRule type="containsText" dxfId="46" priority="17" stopIfTrue="1" operator="containsText" text="NO CUMPLE">
      <formula>NOT(ISERROR(SEARCH("NO CUMPLE",F261)))</formula>
    </cfRule>
  </conditionalFormatting>
  <conditionalFormatting sqref="F264">
    <cfRule type="containsText" dxfId="45" priority="16" operator="containsText" text="NO CUMPLE">
      <formula>NOT(ISERROR(SEARCH("NO CUMPLE",F264)))</formula>
    </cfRule>
    <cfRule type="containsText" dxfId="44" priority="18" stopIfTrue="1" operator="containsText" text="NO HABILITADO">
      <formula>NOT(ISERROR(SEARCH("NO HABILITADO",F264)))</formula>
    </cfRule>
  </conditionalFormatting>
  <conditionalFormatting sqref="F266">
    <cfRule type="containsText" dxfId="43" priority="15" stopIfTrue="1" operator="containsText" text="NO HABILITADO">
      <formula>NOT(ISERROR(SEARCH("NO HABILITADO",F266)))</formula>
    </cfRule>
    <cfRule type="containsText" dxfId="42" priority="14" operator="containsText" text="NO CUMPLE">
      <formula>NOT(ISERROR(SEARCH("NO CUMPLE",F266)))</formula>
    </cfRule>
  </conditionalFormatting>
  <conditionalFormatting sqref="F272">
    <cfRule type="containsText" dxfId="41" priority="13" stopIfTrue="1" operator="containsText" text="NO CUMPLE">
      <formula>NOT(ISERROR(SEARCH("NO CUMPLE",F272)))</formula>
    </cfRule>
  </conditionalFormatting>
  <conditionalFormatting sqref="F275">
    <cfRule type="containsText" dxfId="40" priority="12" stopIfTrue="1" operator="containsText" text="NO HABILITADO">
      <formula>NOT(ISERROR(SEARCH("NO HABILITADO",F275)))</formula>
    </cfRule>
    <cfRule type="containsText" dxfId="39" priority="11" operator="containsText" text="NO CUMPLE">
      <formula>NOT(ISERROR(SEARCH("NO CUMPLE",F275)))</formula>
    </cfRule>
  </conditionalFormatting>
  <conditionalFormatting sqref="F277">
    <cfRule type="containsText" dxfId="38" priority="10" stopIfTrue="1" operator="containsText" text="NO HABILITADO">
      <formula>NOT(ISERROR(SEARCH("NO HABILITADO",F277)))</formula>
    </cfRule>
    <cfRule type="containsText" dxfId="37" priority="9" operator="containsText" text="NO CUMPLE">
      <formula>NOT(ISERROR(SEARCH("NO CUMPLE",F277)))</formula>
    </cfRule>
  </conditionalFormatting>
  <dataValidations disablePrompts="1" count="3">
    <dataValidation type="whole" allowBlank="1" showInputMessage="1" showErrorMessage="1" sqref="D165 D174 D183 D210 D219 D246 D255 D331 D339" xr:uid="{00000000-0002-0000-0A00-000000000000}">
      <formula1>0</formula1>
      <formula2>1E+44</formula2>
    </dataValidation>
    <dataValidation type="date" operator="greaterThan" allowBlank="1" showInputMessage="1" showErrorMessage="1" errorTitle="OJO" error="REVISAR QUE FECHA DE TERMINACIÓN SEA MAYOR QUE LA DE SUSCRIPCIÓN DEL CONTRATO" sqref="D26 D47 D68 D89 D111 D293 D310" xr:uid="{00000000-0002-0000-0A00-000001000000}">
      <formula1>D22</formula1>
    </dataValidation>
    <dataValidation allowBlank="1" showInputMessage="1" showErrorMessage="1" errorTitle="FECHA DE CIERRE DEL PROCESO" error="SOLO COLOCAR FECHA_x000a_" sqref="B4:B6" xr:uid="{00000000-0002-0000-0A00-000002000000}"/>
  </dataValidations>
  <pageMargins left="0.59" right="0.31496062992125984" top="0.74803149606299213" bottom="0.74803149606299213" header="0.31496062992125984" footer="0.31496062992125984"/>
  <pageSetup scale="8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402"/>
  <sheetViews>
    <sheetView topLeftCell="A256" zoomScaleNormal="100" workbookViewId="0">
      <selection activeCell="H405" sqref="H405"/>
    </sheetView>
  </sheetViews>
  <sheetFormatPr baseColWidth="10" defaultColWidth="40.5" defaultRowHeight="13"/>
  <cols>
    <col min="1" max="1" width="31.83203125" style="20" customWidth="1"/>
    <col min="2" max="2" width="17" style="20" customWidth="1"/>
    <col min="3" max="3" width="18.5" style="20" customWidth="1"/>
    <col min="4" max="4" width="14.1640625" style="20" customWidth="1"/>
    <col min="5" max="5" width="28.5" style="20" customWidth="1"/>
    <col min="6" max="6" width="38.33203125" style="42" customWidth="1"/>
    <col min="7" max="7" width="18.1640625" style="20" customWidth="1"/>
    <col min="8" max="16384" width="40.5" style="20"/>
  </cols>
  <sheetData>
    <row r="1" spans="1:6" ht="15" customHeight="1">
      <c r="A1" s="297" t="s">
        <v>87</v>
      </c>
      <c r="B1" s="297"/>
      <c r="C1" s="297"/>
      <c r="D1" s="297"/>
      <c r="E1" s="297"/>
      <c r="F1" s="297"/>
    </row>
    <row r="2" spans="1:6" ht="28.5" customHeight="1">
      <c r="A2" s="297" t="s">
        <v>88</v>
      </c>
      <c r="B2" s="297"/>
      <c r="C2" s="297"/>
      <c r="D2" s="297"/>
      <c r="E2" s="297"/>
      <c r="F2" s="297"/>
    </row>
    <row r="3" spans="1:6">
      <c r="A3" s="21"/>
      <c r="B3" s="22"/>
      <c r="C3" s="22"/>
      <c r="D3" s="22"/>
      <c r="E3" s="22"/>
      <c r="F3" s="22"/>
    </row>
    <row r="4" spans="1:6">
      <c r="A4" s="23" t="s">
        <v>49</v>
      </c>
      <c r="B4" s="298">
        <v>45631</v>
      </c>
      <c r="C4" s="298"/>
      <c r="D4" s="22"/>
      <c r="E4" s="22"/>
      <c r="F4" s="22"/>
    </row>
    <row r="5" spans="1:6">
      <c r="A5" s="23" t="s">
        <v>64</v>
      </c>
      <c r="B5" s="299">
        <f>SUM(B6/1300000)</f>
        <v>433.26314615384615</v>
      </c>
      <c r="C5" s="299"/>
      <c r="D5" s="22"/>
      <c r="E5" s="22"/>
      <c r="F5" s="22"/>
    </row>
    <row r="6" spans="1:6">
      <c r="A6" s="23" t="s">
        <v>63</v>
      </c>
      <c r="B6" s="300">
        <v>563242090</v>
      </c>
      <c r="C6" s="300"/>
      <c r="D6" s="22"/>
      <c r="E6" s="22"/>
      <c r="F6" s="22"/>
    </row>
    <row r="7" spans="1:6" ht="17.25" customHeight="1">
      <c r="A7" s="24" t="s">
        <v>50</v>
      </c>
      <c r="B7" s="301" t="s">
        <v>490</v>
      </c>
      <c r="C7" s="302"/>
      <c r="D7" s="302"/>
      <c r="E7" s="302"/>
      <c r="F7" s="303"/>
    </row>
    <row r="8" spans="1:6">
      <c r="B8" s="25"/>
      <c r="C8" s="25"/>
      <c r="D8" s="25"/>
      <c r="E8" s="25"/>
      <c r="F8" s="25"/>
    </row>
    <row r="9" spans="1:6">
      <c r="A9" s="24" t="s">
        <v>184</v>
      </c>
      <c r="B9" s="240" t="s">
        <v>490</v>
      </c>
      <c r="C9" s="240"/>
      <c r="D9" s="240"/>
      <c r="E9" s="90">
        <v>1</v>
      </c>
      <c r="F9" s="25"/>
    </row>
    <row r="10" spans="1:6">
      <c r="A10" s="24" t="s">
        <v>185</v>
      </c>
      <c r="B10" s="240"/>
      <c r="C10" s="240"/>
      <c r="D10" s="240"/>
      <c r="E10" s="90">
        <v>0</v>
      </c>
      <c r="F10" s="25"/>
    </row>
    <row r="11" spans="1:6">
      <c r="A11" s="24" t="s">
        <v>186</v>
      </c>
      <c r="B11" s="240"/>
      <c r="C11" s="240"/>
      <c r="D11" s="240"/>
      <c r="E11" s="90">
        <v>0</v>
      </c>
      <c r="F11" s="25"/>
    </row>
    <row r="12" spans="1:6">
      <c r="B12" s="25"/>
      <c r="C12" s="25"/>
      <c r="D12" s="25"/>
      <c r="E12" s="25"/>
      <c r="F12" s="25"/>
    </row>
    <row r="13" spans="1:6" ht="16">
      <c r="A13" s="245" t="s">
        <v>89</v>
      </c>
      <c r="B13" s="245"/>
      <c r="C13" s="245"/>
      <c r="D13" s="245"/>
      <c r="E13" s="245"/>
      <c r="F13" s="245"/>
    </row>
    <row r="14" spans="1:6" ht="14">
      <c r="A14" s="212" t="s">
        <v>90</v>
      </c>
      <c r="B14" s="212"/>
      <c r="C14" s="212"/>
      <c r="D14" s="212"/>
      <c r="E14" s="212"/>
      <c r="F14" s="212"/>
    </row>
    <row r="15" spans="1:6">
      <c r="A15" s="27"/>
      <c r="B15" s="27"/>
      <c r="C15" s="27"/>
      <c r="D15" s="27"/>
      <c r="E15" s="27"/>
      <c r="F15" s="21"/>
    </row>
    <row r="16" spans="1:6">
      <c r="A16" s="28" t="s">
        <v>491</v>
      </c>
      <c r="B16" s="294" t="s">
        <v>492</v>
      </c>
      <c r="C16" s="294"/>
      <c r="D16" s="294"/>
      <c r="E16" s="294"/>
      <c r="F16" s="294"/>
    </row>
    <row r="17" spans="1:7" ht="36.75" customHeight="1">
      <c r="A17" s="28" t="s">
        <v>51</v>
      </c>
      <c r="B17" s="241" t="s">
        <v>493</v>
      </c>
      <c r="C17" s="241"/>
      <c r="D17" s="241"/>
      <c r="E17" s="241"/>
      <c r="F17" s="241"/>
    </row>
    <row r="18" spans="1:7" ht="20.25" customHeight="1">
      <c r="A18" s="23" t="s">
        <v>52</v>
      </c>
      <c r="B18" s="234" t="s">
        <v>494</v>
      </c>
      <c r="C18" s="234"/>
      <c r="D18" s="234"/>
      <c r="E18" s="234"/>
      <c r="F18" s="234"/>
    </row>
    <row r="19" spans="1:7">
      <c r="A19" s="28" t="s">
        <v>65</v>
      </c>
      <c r="B19" s="31" t="s">
        <v>53</v>
      </c>
      <c r="C19" s="32" t="s">
        <v>66</v>
      </c>
      <c r="D19" s="32" t="s">
        <v>54</v>
      </c>
      <c r="E19" s="32" t="s">
        <v>67</v>
      </c>
      <c r="F19" s="32" t="s">
        <v>55</v>
      </c>
    </row>
    <row r="20" spans="1:7" ht="12.75" customHeight="1">
      <c r="A20" s="227" t="s">
        <v>56</v>
      </c>
      <c r="B20" s="33">
        <v>80101600</v>
      </c>
      <c r="C20" s="29">
        <v>80101600</v>
      </c>
      <c r="D20" s="29">
        <v>5</v>
      </c>
      <c r="E20" s="235" t="str">
        <f>IF(B21=C21,"Acredita",IF(B20=C20,"Acredita","No acredita"))</f>
        <v>Acredita</v>
      </c>
      <c r="F20" s="304"/>
    </row>
    <row r="21" spans="1:7">
      <c r="A21" s="227"/>
      <c r="B21" s="33">
        <v>81101500</v>
      </c>
      <c r="C21" s="30">
        <v>81101500</v>
      </c>
      <c r="D21" s="30">
        <v>5</v>
      </c>
      <c r="E21" s="236"/>
      <c r="F21" s="305"/>
    </row>
    <row r="22" spans="1:7" ht="14">
      <c r="A22" s="237" t="s">
        <v>57</v>
      </c>
      <c r="B22" s="238"/>
      <c r="C22" s="239"/>
      <c r="D22" s="34">
        <v>40025</v>
      </c>
      <c r="E22" s="35" t="str">
        <f>IF(D22="","No acredita","Acredita")</f>
        <v>Acredita</v>
      </c>
      <c r="F22" s="305"/>
    </row>
    <row r="23" spans="1:7" ht="14">
      <c r="A23" s="237" t="s">
        <v>58</v>
      </c>
      <c r="B23" s="238"/>
      <c r="C23" s="239"/>
      <c r="D23" s="36">
        <v>124782087</v>
      </c>
      <c r="E23" s="35" t="str">
        <f>IF(D23="","No acredita","Acredita")</f>
        <v>Acredita</v>
      </c>
      <c r="F23" s="305"/>
    </row>
    <row r="24" spans="1:7" ht="14">
      <c r="A24" s="237" t="s">
        <v>59</v>
      </c>
      <c r="B24" s="238"/>
      <c r="C24" s="239"/>
      <c r="D24" s="44">
        <f>IFERROR((D23/(VLOOKUP((YEAR(D26)),[1]SMMLV!$A$9:$C$49,3,0)))*'O8'!D25,"0")</f>
        <v>242.29531456310679</v>
      </c>
      <c r="E24" s="37" t="str">
        <f>IF(D24="","No acredita","Acredita")</f>
        <v>Acredita</v>
      </c>
      <c r="F24" s="305"/>
    </row>
    <row r="25" spans="1:7" ht="14">
      <c r="A25" s="237" t="s">
        <v>80</v>
      </c>
      <c r="B25" s="238"/>
      <c r="C25" s="239"/>
      <c r="D25" s="45">
        <v>1</v>
      </c>
      <c r="E25" s="35" t="str">
        <f>IF(D25="","No acredita","Acredita")</f>
        <v>Acredita</v>
      </c>
      <c r="F25" s="305"/>
    </row>
    <row r="26" spans="1:7" ht="14">
      <c r="A26" s="237" t="s">
        <v>60</v>
      </c>
      <c r="B26" s="238"/>
      <c r="C26" s="239"/>
      <c r="D26" s="34">
        <v>40515</v>
      </c>
      <c r="E26" s="35" t="str">
        <f>IF(D26="","No acredita","Acredita")</f>
        <v>Acredita</v>
      </c>
      <c r="F26" s="305"/>
      <c r="G26" s="47"/>
    </row>
    <row r="27" spans="1:7" ht="68.25" customHeight="1">
      <c r="A27" s="227" t="s">
        <v>91</v>
      </c>
      <c r="B27" s="227"/>
      <c r="C27" s="227"/>
      <c r="D27" s="38" t="s">
        <v>61</v>
      </c>
      <c r="E27" s="35" t="str">
        <f t="shared" ref="E27:E34" si="0">IF(D27="","No acredita",IF(D27="","",IF(D27="SI","Acredita","No acredita")))</f>
        <v>Acredita</v>
      </c>
      <c r="F27" s="305"/>
    </row>
    <row r="28" spans="1:7" ht="31.5" customHeight="1">
      <c r="A28" s="227" t="s">
        <v>92</v>
      </c>
      <c r="B28" s="227"/>
      <c r="C28" s="227"/>
      <c r="D28" s="38" t="s">
        <v>61</v>
      </c>
      <c r="E28" s="35" t="str">
        <f t="shared" si="0"/>
        <v>Acredita</v>
      </c>
      <c r="F28" s="305"/>
    </row>
    <row r="29" spans="1:7" ht="14">
      <c r="A29" s="227" t="s">
        <v>69</v>
      </c>
      <c r="B29" s="227"/>
      <c r="C29" s="227"/>
      <c r="D29" s="38" t="s">
        <v>61</v>
      </c>
      <c r="E29" s="35" t="str">
        <f t="shared" si="0"/>
        <v>Acredita</v>
      </c>
      <c r="F29" s="305"/>
    </row>
    <row r="30" spans="1:7" ht="14">
      <c r="A30" s="227" t="s">
        <v>103</v>
      </c>
      <c r="B30" s="227"/>
      <c r="C30" s="227"/>
      <c r="D30" s="38" t="s">
        <v>61</v>
      </c>
      <c r="E30" s="35" t="str">
        <f t="shared" si="0"/>
        <v>Acredita</v>
      </c>
      <c r="F30" s="306"/>
    </row>
    <row r="31" spans="1:7" ht="14">
      <c r="A31" s="235" t="s">
        <v>97</v>
      </c>
      <c r="B31" s="288" t="s">
        <v>93</v>
      </c>
      <c r="C31" s="289"/>
      <c r="D31" s="38" t="s">
        <v>62</v>
      </c>
      <c r="E31" s="35" t="str">
        <f t="shared" si="0"/>
        <v>No acredita</v>
      </c>
      <c r="F31" s="307"/>
    </row>
    <row r="32" spans="1:7" ht="14">
      <c r="A32" s="287"/>
      <c r="B32" s="288" t="s">
        <v>94</v>
      </c>
      <c r="C32" s="289"/>
      <c r="D32" s="38" t="s">
        <v>61</v>
      </c>
      <c r="E32" s="35" t="str">
        <f t="shared" si="0"/>
        <v>Acredita</v>
      </c>
      <c r="F32" s="308"/>
    </row>
    <row r="33" spans="1:6" ht="14">
      <c r="A33" s="287"/>
      <c r="B33" s="288" t="s">
        <v>95</v>
      </c>
      <c r="C33" s="289"/>
      <c r="D33" s="38" t="s">
        <v>61</v>
      </c>
      <c r="E33" s="35" t="str">
        <f t="shared" si="0"/>
        <v>Acredita</v>
      </c>
      <c r="F33" s="308"/>
    </row>
    <row r="34" spans="1:6" ht="14">
      <c r="A34" s="236"/>
      <c r="B34" s="288" t="s">
        <v>96</v>
      </c>
      <c r="C34" s="289"/>
      <c r="D34" s="38" t="s">
        <v>62</v>
      </c>
      <c r="E34" s="35" t="str">
        <f t="shared" si="0"/>
        <v>No acredita</v>
      </c>
      <c r="F34" s="309"/>
    </row>
    <row r="35" spans="1:6">
      <c r="A35" s="231" t="s">
        <v>68</v>
      </c>
      <c r="B35" s="231"/>
      <c r="C35" s="231"/>
      <c r="D35" s="231"/>
      <c r="E35" s="232" t="str">
        <f>IF(AND(E20="acredita",E22="acredita",E23="acredita",E24="acredita",E25="acredita",E26="acredita",E27="acredita",E28="acredita",E29="acredita",E30="acredita"),"CUMPLE","NO CUMPLE")</f>
        <v>CUMPLE</v>
      </c>
      <c r="F35" s="233"/>
    </row>
    <row r="36" spans="1:6">
      <c r="A36" s="26"/>
      <c r="B36" s="26"/>
      <c r="C36" s="26"/>
      <c r="D36" s="26"/>
      <c r="E36" s="22"/>
      <c r="F36" s="22"/>
    </row>
    <row r="37" spans="1:6">
      <c r="A37" s="28" t="s">
        <v>495</v>
      </c>
      <c r="B37" s="294" t="s">
        <v>496</v>
      </c>
      <c r="C37" s="294"/>
      <c r="D37" s="294"/>
      <c r="E37" s="294"/>
      <c r="F37" s="294"/>
    </row>
    <row r="38" spans="1:6" ht="38.25" customHeight="1">
      <c r="A38" s="28" t="s">
        <v>51</v>
      </c>
      <c r="B38" s="241" t="s">
        <v>497</v>
      </c>
      <c r="C38" s="241"/>
      <c r="D38" s="241"/>
      <c r="E38" s="241"/>
      <c r="F38" s="241"/>
    </row>
    <row r="39" spans="1:6">
      <c r="A39" s="23" t="s">
        <v>52</v>
      </c>
      <c r="B39" s="234" t="s">
        <v>498</v>
      </c>
      <c r="C39" s="234"/>
      <c r="D39" s="234"/>
      <c r="E39" s="234"/>
      <c r="F39" s="234"/>
    </row>
    <row r="40" spans="1:6">
      <c r="A40" s="28" t="s">
        <v>65</v>
      </c>
      <c r="B40" s="31" t="s">
        <v>53</v>
      </c>
      <c r="C40" s="32" t="s">
        <v>66</v>
      </c>
      <c r="D40" s="32" t="s">
        <v>54</v>
      </c>
      <c r="E40" s="32" t="s">
        <v>67</v>
      </c>
      <c r="F40" s="32" t="s">
        <v>55</v>
      </c>
    </row>
    <row r="41" spans="1:6">
      <c r="A41" s="227" t="s">
        <v>56</v>
      </c>
      <c r="B41" s="33">
        <v>80101600</v>
      </c>
      <c r="C41" s="29">
        <v>80101600</v>
      </c>
      <c r="D41" s="29">
        <v>132</v>
      </c>
      <c r="E41" s="235" t="str">
        <f>IF(B42=C42,"Acredita",IF(B41=C41,"Acredita","No acredita"))</f>
        <v>Acredita</v>
      </c>
      <c r="F41" s="304"/>
    </row>
    <row r="42" spans="1:6">
      <c r="A42" s="227"/>
      <c r="B42" s="33">
        <v>81101500</v>
      </c>
      <c r="C42" s="30">
        <v>81101500</v>
      </c>
      <c r="D42" s="30">
        <v>132</v>
      </c>
      <c r="E42" s="236"/>
      <c r="F42" s="305"/>
    </row>
    <row r="43" spans="1:6" ht="14">
      <c r="A43" s="237" t="s">
        <v>57</v>
      </c>
      <c r="B43" s="238"/>
      <c r="C43" s="239"/>
      <c r="D43" s="34">
        <v>42143</v>
      </c>
      <c r="E43" s="35" t="str">
        <f>IF(D43="","No acredita","Acredita")</f>
        <v>Acredita</v>
      </c>
      <c r="F43" s="305"/>
    </row>
    <row r="44" spans="1:6" ht="14">
      <c r="A44" s="237" t="s">
        <v>58</v>
      </c>
      <c r="B44" s="238"/>
      <c r="C44" s="239"/>
      <c r="D44" s="36">
        <v>154902143</v>
      </c>
      <c r="E44" s="35" t="str">
        <f>IF(D44="","No acredita","Acredita")</f>
        <v>Acredita</v>
      </c>
      <c r="F44" s="305"/>
    </row>
    <row r="45" spans="1:6" ht="14">
      <c r="A45" s="237" t="s">
        <v>59</v>
      </c>
      <c r="B45" s="238"/>
      <c r="C45" s="239"/>
      <c r="D45" s="44">
        <f>IFERROR((D44/(VLOOKUP((YEAR(D47)),[1]SMMLV!$A$9:$C$49,3,0)))*'O8'!D46,"0")</f>
        <v>202.20598690269853</v>
      </c>
      <c r="E45" s="37" t="str">
        <f>IF(D45="","No acredita","Acredita")</f>
        <v>Acredita</v>
      </c>
      <c r="F45" s="305"/>
    </row>
    <row r="46" spans="1:6" ht="14">
      <c r="A46" s="237" t="s">
        <v>80</v>
      </c>
      <c r="B46" s="238"/>
      <c r="C46" s="239"/>
      <c r="D46" s="45">
        <v>0.9</v>
      </c>
      <c r="E46" s="35" t="str">
        <f>IF(D46="","No acredita","Acredita")</f>
        <v>Acredita</v>
      </c>
      <c r="F46" s="305"/>
    </row>
    <row r="47" spans="1:6" ht="14">
      <c r="A47" s="237" t="s">
        <v>60</v>
      </c>
      <c r="B47" s="238"/>
      <c r="C47" s="239"/>
      <c r="D47" s="34">
        <v>42468</v>
      </c>
      <c r="E47" s="35" t="str">
        <f>IF(D47="","No acredita","Acredita")</f>
        <v>Acredita</v>
      </c>
      <c r="F47" s="305"/>
    </row>
    <row r="48" spans="1:6" ht="72" customHeight="1">
      <c r="A48" s="227" t="s">
        <v>91</v>
      </c>
      <c r="B48" s="227"/>
      <c r="C48" s="227"/>
      <c r="D48" s="38" t="s">
        <v>61</v>
      </c>
      <c r="E48" s="35" t="str">
        <f t="shared" ref="E48:E55" si="1">IF(D48="","No acredita",IF(D48="","",IF(D48="SI","Acredita","No acredita")))</f>
        <v>Acredita</v>
      </c>
      <c r="F48" s="305"/>
    </row>
    <row r="49" spans="1:6" ht="33" customHeight="1">
      <c r="A49" s="227" t="s">
        <v>92</v>
      </c>
      <c r="B49" s="227"/>
      <c r="C49" s="227"/>
      <c r="D49" s="38" t="s">
        <v>61</v>
      </c>
      <c r="E49" s="35" t="str">
        <f t="shared" si="1"/>
        <v>Acredita</v>
      </c>
      <c r="F49" s="305"/>
    </row>
    <row r="50" spans="1:6" ht="14">
      <c r="A50" s="227" t="s">
        <v>69</v>
      </c>
      <c r="B50" s="227"/>
      <c r="C50" s="227"/>
      <c r="D50" s="38" t="s">
        <v>61</v>
      </c>
      <c r="E50" s="35" t="str">
        <f t="shared" si="1"/>
        <v>Acredita</v>
      </c>
      <c r="F50" s="305"/>
    </row>
    <row r="51" spans="1:6" ht="14">
      <c r="A51" s="227" t="s">
        <v>103</v>
      </c>
      <c r="B51" s="227"/>
      <c r="C51" s="227"/>
      <c r="D51" s="38" t="s">
        <v>61</v>
      </c>
      <c r="E51" s="35" t="str">
        <f t="shared" si="1"/>
        <v>Acredita</v>
      </c>
      <c r="F51" s="306"/>
    </row>
    <row r="52" spans="1:6" ht="14">
      <c r="A52" s="235" t="s">
        <v>97</v>
      </c>
      <c r="B52" s="288" t="s">
        <v>93</v>
      </c>
      <c r="C52" s="289"/>
      <c r="D52" s="38" t="s">
        <v>62</v>
      </c>
      <c r="E52" s="35" t="str">
        <f t="shared" si="1"/>
        <v>No acredita</v>
      </c>
      <c r="F52" s="307"/>
    </row>
    <row r="53" spans="1:6" ht="14">
      <c r="A53" s="287"/>
      <c r="B53" s="288" t="s">
        <v>94</v>
      </c>
      <c r="C53" s="289"/>
      <c r="D53" s="38" t="s">
        <v>61</v>
      </c>
      <c r="E53" s="35" t="str">
        <f t="shared" si="1"/>
        <v>Acredita</v>
      </c>
      <c r="F53" s="308"/>
    </row>
    <row r="54" spans="1:6" ht="14">
      <c r="A54" s="287"/>
      <c r="B54" s="288" t="s">
        <v>95</v>
      </c>
      <c r="C54" s="289"/>
      <c r="D54" s="38" t="s">
        <v>61</v>
      </c>
      <c r="E54" s="35" t="str">
        <f t="shared" si="1"/>
        <v>Acredita</v>
      </c>
      <c r="F54" s="308"/>
    </row>
    <row r="55" spans="1:6" ht="14">
      <c r="A55" s="236"/>
      <c r="B55" s="288" t="s">
        <v>96</v>
      </c>
      <c r="C55" s="289"/>
      <c r="D55" s="38" t="s">
        <v>62</v>
      </c>
      <c r="E55" s="35" t="str">
        <f t="shared" si="1"/>
        <v>No acredita</v>
      </c>
      <c r="F55" s="309"/>
    </row>
    <row r="56" spans="1:6">
      <c r="A56" s="231" t="s">
        <v>70</v>
      </c>
      <c r="B56" s="231"/>
      <c r="C56" s="231"/>
      <c r="D56" s="231"/>
      <c r="E56" s="232" t="str">
        <f>IF(AND(E41="acredita",E43="acredita",E44="acredita",E45="acredita",E46="acredita",E47="acredita",E48="acredita",E49="acredita",E50="acredita",E51="acredita"),"CUMPLE","NO CUMPLE")</f>
        <v>CUMPLE</v>
      </c>
      <c r="F56" s="233"/>
    </row>
    <row r="57" spans="1:6">
      <c r="A57" s="26"/>
      <c r="B57" s="26"/>
      <c r="C57" s="26"/>
      <c r="D57" s="26"/>
      <c r="E57" s="22"/>
      <c r="F57" s="22"/>
    </row>
    <row r="58" spans="1:6">
      <c r="A58" s="28" t="s">
        <v>499</v>
      </c>
      <c r="B58" s="294" t="s">
        <v>500</v>
      </c>
      <c r="C58" s="294"/>
      <c r="D58" s="294"/>
      <c r="E58" s="294"/>
      <c r="F58" s="294"/>
    </row>
    <row r="59" spans="1:6" ht="42.75" customHeight="1">
      <c r="A59" s="28" t="s">
        <v>51</v>
      </c>
      <c r="B59" s="241" t="s">
        <v>501</v>
      </c>
      <c r="C59" s="241"/>
      <c r="D59" s="241"/>
      <c r="E59" s="241"/>
      <c r="F59" s="241"/>
    </row>
    <row r="60" spans="1:6">
      <c r="A60" s="23" t="s">
        <v>52</v>
      </c>
      <c r="B60" s="234" t="s">
        <v>233</v>
      </c>
      <c r="C60" s="234"/>
      <c r="D60" s="234"/>
      <c r="E60" s="234"/>
      <c r="F60" s="234"/>
    </row>
    <row r="61" spans="1:6">
      <c r="A61" s="28" t="s">
        <v>65</v>
      </c>
      <c r="B61" s="31" t="s">
        <v>53</v>
      </c>
      <c r="C61" s="32" t="s">
        <v>66</v>
      </c>
      <c r="D61" s="32" t="s">
        <v>54</v>
      </c>
      <c r="E61" s="32" t="s">
        <v>67</v>
      </c>
      <c r="F61" s="32" t="s">
        <v>55</v>
      </c>
    </row>
    <row r="62" spans="1:6">
      <c r="A62" s="227" t="s">
        <v>56</v>
      </c>
      <c r="B62" s="33">
        <v>80101600</v>
      </c>
      <c r="C62" s="29">
        <v>80101600</v>
      </c>
      <c r="D62" s="29">
        <v>203</v>
      </c>
      <c r="E62" s="235" t="str">
        <f>IF(B63=C63,"Acredita",IF(B62=C62,"Acredita","No acredita"))</f>
        <v>Acredita</v>
      </c>
      <c r="F62" s="304"/>
    </row>
    <row r="63" spans="1:6">
      <c r="A63" s="227"/>
      <c r="B63" s="33">
        <v>81101500</v>
      </c>
      <c r="C63" s="30">
        <v>81101500</v>
      </c>
      <c r="D63" s="30">
        <v>203</v>
      </c>
      <c r="E63" s="236"/>
      <c r="F63" s="305"/>
    </row>
    <row r="64" spans="1:6" ht="14">
      <c r="A64" s="237" t="s">
        <v>57</v>
      </c>
      <c r="B64" s="238"/>
      <c r="C64" s="239"/>
      <c r="D64" s="34">
        <v>44068</v>
      </c>
      <c r="E64" s="35" t="str">
        <f>IF(D64="","No acredita","Acredita")</f>
        <v>Acredita</v>
      </c>
      <c r="F64" s="305"/>
    </row>
    <row r="65" spans="1:6" ht="14">
      <c r="A65" s="237" t="s">
        <v>58</v>
      </c>
      <c r="B65" s="238"/>
      <c r="C65" s="239"/>
      <c r="D65" s="36">
        <v>270701210</v>
      </c>
      <c r="E65" s="35" t="str">
        <f>IF(D65="","No acredita","Acredita")</f>
        <v>Acredita</v>
      </c>
      <c r="F65" s="305"/>
    </row>
    <row r="66" spans="1:6" ht="14">
      <c r="A66" s="237" t="s">
        <v>59</v>
      </c>
      <c r="B66" s="238"/>
      <c r="C66" s="239"/>
      <c r="D66" s="44">
        <f>IFERROR((D65/(VLOOKUP((YEAR(D68)),[1]SMMLV!$A$9:$C$49,3,0)))*'O8'!D67,"0")</f>
        <v>297.95648115739118</v>
      </c>
      <c r="E66" s="37" t="str">
        <f>IF(D66="","No acredita","Acredita")</f>
        <v>Acredita</v>
      </c>
      <c r="F66" s="305"/>
    </row>
    <row r="67" spans="1:6" ht="14">
      <c r="A67" s="237" t="s">
        <v>80</v>
      </c>
      <c r="B67" s="238"/>
      <c r="C67" s="239"/>
      <c r="D67" s="45">
        <v>1</v>
      </c>
      <c r="E67" s="35" t="str">
        <f>IF(D67="","No acredita","Acredita")</f>
        <v>Acredita</v>
      </c>
      <c r="F67" s="305"/>
    </row>
    <row r="68" spans="1:6" ht="14">
      <c r="A68" s="237" t="s">
        <v>60</v>
      </c>
      <c r="B68" s="238"/>
      <c r="C68" s="239"/>
      <c r="D68" s="34">
        <v>44379</v>
      </c>
      <c r="E68" s="35" t="str">
        <f>IF(D68="","No acredita","Acredita")</f>
        <v>Acredita</v>
      </c>
      <c r="F68" s="305"/>
    </row>
    <row r="69" spans="1:6" ht="65.25" customHeight="1">
      <c r="A69" s="227" t="s">
        <v>91</v>
      </c>
      <c r="B69" s="227"/>
      <c r="C69" s="227"/>
      <c r="D69" s="38" t="s">
        <v>61</v>
      </c>
      <c r="E69" s="35" t="str">
        <f t="shared" ref="E69:E76" si="2">IF(D69="","No acredita",IF(D69="","",IF(D69="SI","Acredita","No acredita")))</f>
        <v>Acredita</v>
      </c>
      <c r="F69" s="305"/>
    </row>
    <row r="70" spans="1:6" ht="28.5" customHeight="1">
      <c r="A70" s="227" t="s">
        <v>92</v>
      </c>
      <c r="B70" s="227"/>
      <c r="C70" s="227"/>
      <c r="D70" s="38" t="s">
        <v>61</v>
      </c>
      <c r="E70" s="35" t="str">
        <f t="shared" si="2"/>
        <v>Acredita</v>
      </c>
      <c r="F70" s="305"/>
    </row>
    <row r="71" spans="1:6" ht="14">
      <c r="A71" s="227" t="s">
        <v>69</v>
      </c>
      <c r="B71" s="227"/>
      <c r="C71" s="227"/>
      <c r="D71" s="38" t="s">
        <v>61</v>
      </c>
      <c r="E71" s="35" t="str">
        <f t="shared" si="2"/>
        <v>Acredita</v>
      </c>
      <c r="F71" s="305"/>
    </row>
    <row r="72" spans="1:6" ht="14">
      <c r="A72" s="227" t="s">
        <v>102</v>
      </c>
      <c r="B72" s="227"/>
      <c r="C72" s="227"/>
      <c r="D72" s="38" t="s">
        <v>61</v>
      </c>
      <c r="E72" s="35" t="str">
        <f t="shared" si="2"/>
        <v>Acredita</v>
      </c>
      <c r="F72" s="306"/>
    </row>
    <row r="73" spans="1:6" ht="14">
      <c r="A73" s="235" t="s">
        <v>97</v>
      </c>
      <c r="B73" s="288" t="s">
        <v>93</v>
      </c>
      <c r="C73" s="289"/>
      <c r="D73" s="38" t="s">
        <v>61</v>
      </c>
      <c r="E73" s="35" t="str">
        <f t="shared" si="2"/>
        <v>Acredita</v>
      </c>
      <c r="F73" s="307"/>
    </row>
    <row r="74" spans="1:6" ht="14">
      <c r="A74" s="287"/>
      <c r="B74" s="288" t="s">
        <v>94</v>
      </c>
      <c r="C74" s="289"/>
      <c r="D74" s="38" t="s">
        <v>61</v>
      </c>
      <c r="E74" s="35" t="str">
        <f t="shared" si="2"/>
        <v>Acredita</v>
      </c>
      <c r="F74" s="308"/>
    </row>
    <row r="75" spans="1:6" ht="14">
      <c r="A75" s="287"/>
      <c r="B75" s="288" t="s">
        <v>95</v>
      </c>
      <c r="C75" s="289"/>
      <c r="D75" s="38" t="s">
        <v>61</v>
      </c>
      <c r="E75" s="35" t="str">
        <f t="shared" si="2"/>
        <v>Acredita</v>
      </c>
      <c r="F75" s="308"/>
    </row>
    <row r="76" spans="1:6" ht="14">
      <c r="A76" s="236"/>
      <c r="B76" s="288" t="s">
        <v>96</v>
      </c>
      <c r="C76" s="289"/>
      <c r="D76" s="38" t="s">
        <v>61</v>
      </c>
      <c r="E76" s="35" t="str">
        <f t="shared" si="2"/>
        <v>Acredita</v>
      </c>
      <c r="F76" s="309"/>
    </row>
    <row r="77" spans="1:6">
      <c r="A77" s="231" t="s">
        <v>71</v>
      </c>
      <c r="B77" s="231"/>
      <c r="C77" s="231"/>
      <c r="D77" s="231"/>
      <c r="E77" s="232" t="str">
        <f>IF(AND(E62="acredita",E64="acredita",E65="acredita",E66="acredita",E67="acredita",E68="acredita",E69="acredita",E70="acredita",E71="acredita",E72="acredita"),"CUMPLE","NO CUMPLE")</f>
        <v>CUMPLE</v>
      </c>
      <c r="F77" s="233"/>
    </row>
    <row r="78" spans="1:6">
      <c r="A78" s="26"/>
      <c r="B78" s="26"/>
      <c r="C78" s="26"/>
      <c r="D78" s="26"/>
      <c r="E78" s="22"/>
      <c r="F78" s="22"/>
    </row>
    <row r="79" spans="1:6" hidden="1">
      <c r="A79" s="28" t="s">
        <v>82</v>
      </c>
      <c r="B79" s="294"/>
      <c r="C79" s="294"/>
      <c r="D79" s="294"/>
      <c r="E79" s="294"/>
      <c r="F79" s="294"/>
    </row>
    <row r="80" spans="1:6" hidden="1">
      <c r="A80" s="28" t="s">
        <v>51</v>
      </c>
      <c r="B80" s="241"/>
      <c r="C80" s="241"/>
      <c r="D80" s="241"/>
      <c r="E80" s="241"/>
      <c r="F80" s="241"/>
    </row>
    <row r="81" spans="1:6" hidden="1">
      <c r="A81" s="23" t="s">
        <v>52</v>
      </c>
      <c r="B81" s="234"/>
      <c r="C81" s="234"/>
      <c r="D81" s="234"/>
      <c r="E81" s="234"/>
      <c r="F81" s="234"/>
    </row>
    <row r="82" spans="1:6" hidden="1">
      <c r="A82" s="28" t="s">
        <v>65</v>
      </c>
      <c r="B82" s="31" t="s">
        <v>53</v>
      </c>
      <c r="C82" s="32" t="s">
        <v>66</v>
      </c>
      <c r="D82" s="32" t="s">
        <v>54</v>
      </c>
      <c r="E82" s="32" t="s">
        <v>67</v>
      </c>
      <c r="F82" s="32" t="s">
        <v>55</v>
      </c>
    </row>
    <row r="83" spans="1:6" hidden="1">
      <c r="A83" s="227" t="s">
        <v>56</v>
      </c>
      <c r="B83" s="33">
        <v>80101600</v>
      </c>
      <c r="C83" s="29"/>
      <c r="D83" s="29"/>
      <c r="E83" s="235" t="str">
        <f>IF(B84=C84,"Acredita",IF(B83=C83,"Acredita","No acredita"))</f>
        <v>No acredita</v>
      </c>
      <c r="F83" s="304"/>
    </row>
    <row r="84" spans="1:6" hidden="1">
      <c r="A84" s="227"/>
      <c r="B84" s="33">
        <v>81101500</v>
      </c>
      <c r="C84" s="30"/>
      <c r="D84" s="30"/>
      <c r="E84" s="236"/>
      <c r="F84" s="305"/>
    </row>
    <row r="85" spans="1:6" ht="14" hidden="1">
      <c r="A85" s="237" t="s">
        <v>57</v>
      </c>
      <c r="B85" s="238"/>
      <c r="C85" s="239"/>
      <c r="D85" s="34"/>
      <c r="E85" s="35" t="str">
        <f>IF(D85="","No acredita","Acredita")</f>
        <v>No acredita</v>
      </c>
      <c r="F85" s="305"/>
    </row>
    <row r="86" spans="1:6" ht="14" hidden="1">
      <c r="A86" s="237" t="s">
        <v>58</v>
      </c>
      <c r="B86" s="238"/>
      <c r="C86" s="239"/>
      <c r="D86" s="36"/>
      <c r="E86" s="35" t="str">
        <f>IF(D86="","No acredita","Acredita")</f>
        <v>No acredita</v>
      </c>
      <c r="F86" s="305"/>
    </row>
    <row r="87" spans="1:6" ht="14" hidden="1">
      <c r="A87" s="237" t="s">
        <v>59</v>
      </c>
      <c r="B87" s="238"/>
      <c r="C87" s="239"/>
      <c r="D87" s="44" t="str">
        <f>IFERROR((D86/(VLOOKUP((YEAR(D89)),[1]SMMLV!$A$9:$C$49,3,0)))*'O8'!D88,"0")</f>
        <v>0</v>
      </c>
      <c r="E87" s="37" t="str">
        <f>IF(D87="","No acredita","Acredita")</f>
        <v>Acredita</v>
      </c>
      <c r="F87" s="305"/>
    </row>
    <row r="88" spans="1:6" ht="14" hidden="1">
      <c r="A88" s="237" t="s">
        <v>80</v>
      </c>
      <c r="B88" s="238"/>
      <c r="C88" s="239"/>
      <c r="D88" s="45"/>
      <c r="E88" s="35" t="str">
        <f>IF(D88="","No acredita","Acredita")</f>
        <v>No acredita</v>
      </c>
      <c r="F88" s="305"/>
    </row>
    <row r="89" spans="1:6" ht="14" hidden="1">
      <c r="A89" s="237" t="s">
        <v>60</v>
      </c>
      <c r="B89" s="238"/>
      <c r="C89" s="239"/>
      <c r="D89" s="34"/>
      <c r="E89" s="35" t="str">
        <f>IF(D89="","No acredita","Acredita")</f>
        <v>No acredita</v>
      </c>
      <c r="F89" s="305"/>
    </row>
    <row r="90" spans="1:6" ht="69.75" hidden="1" customHeight="1">
      <c r="A90" s="227" t="s">
        <v>91</v>
      </c>
      <c r="B90" s="227"/>
      <c r="C90" s="227"/>
      <c r="D90" s="38"/>
      <c r="E90" s="35" t="str">
        <f t="shared" ref="E90:E97" si="3">IF(D90="","No acredita",IF(D90="","",IF(D90="SI","Acredita","No acredita")))</f>
        <v>No acredita</v>
      </c>
      <c r="F90" s="305"/>
    </row>
    <row r="91" spans="1:6" ht="32.25" hidden="1" customHeight="1">
      <c r="A91" s="227" t="s">
        <v>92</v>
      </c>
      <c r="B91" s="227"/>
      <c r="C91" s="227"/>
      <c r="D91" s="38" t="s">
        <v>62</v>
      </c>
      <c r="E91" s="35" t="str">
        <f t="shared" si="3"/>
        <v>No acredita</v>
      </c>
      <c r="F91" s="305"/>
    </row>
    <row r="92" spans="1:6" ht="14" hidden="1">
      <c r="A92" s="227" t="s">
        <v>69</v>
      </c>
      <c r="B92" s="227"/>
      <c r="C92" s="227"/>
      <c r="D92" s="38"/>
      <c r="E92" s="35" t="str">
        <f t="shared" si="3"/>
        <v>No acredita</v>
      </c>
      <c r="F92" s="305"/>
    </row>
    <row r="93" spans="1:6" ht="14" hidden="1">
      <c r="A93" s="227" t="s">
        <v>102</v>
      </c>
      <c r="B93" s="227"/>
      <c r="C93" s="227"/>
      <c r="D93" s="38"/>
      <c r="E93" s="35" t="str">
        <f t="shared" si="3"/>
        <v>No acredita</v>
      </c>
      <c r="F93" s="306"/>
    </row>
    <row r="94" spans="1:6" ht="14" hidden="1">
      <c r="A94" s="235" t="s">
        <v>97</v>
      </c>
      <c r="B94" s="288" t="s">
        <v>93</v>
      </c>
      <c r="C94" s="289"/>
      <c r="D94" s="38"/>
      <c r="E94" s="35" t="str">
        <f t="shared" si="3"/>
        <v>No acredita</v>
      </c>
      <c r="F94" s="307"/>
    </row>
    <row r="95" spans="1:6" ht="14" hidden="1">
      <c r="A95" s="287"/>
      <c r="B95" s="288" t="s">
        <v>94</v>
      </c>
      <c r="C95" s="289"/>
      <c r="D95" s="38"/>
      <c r="E95" s="35" t="str">
        <f t="shared" si="3"/>
        <v>No acredita</v>
      </c>
      <c r="F95" s="308"/>
    </row>
    <row r="96" spans="1:6" ht="14" hidden="1">
      <c r="A96" s="287"/>
      <c r="B96" s="288" t="s">
        <v>95</v>
      </c>
      <c r="C96" s="289"/>
      <c r="D96" s="38"/>
      <c r="E96" s="35" t="str">
        <f t="shared" si="3"/>
        <v>No acredita</v>
      </c>
      <c r="F96" s="308"/>
    </row>
    <row r="97" spans="1:6" ht="14" hidden="1">
      <c r="A97" s="236"/>
      <c r="B97" s="288" t="s">
        <v>96</v>
      </c>
      <c r="C97" s="289"/>
      <c r="D97" s="38"/>
      <c r="E97" s="35" t="str">
        <f t="shared" si="3"/>
        <v>No acredita</v>
      </c>
      <c r="F97" s="309"/>
    </row>
    <row r="98" spans="1:6" hidden="1">
      <c r="A98" s="231" t="s">
        <v>72</v>
      </c>
      <c r="B98" s="231"/>
      <c r="C98" s="231"/>
      <c r="D98" s="231"/>
      <c r="E98" s="232" t="str">
        <f>IF(AND(E83="acredita",E85="acredita",E86="acredita",E87="acredita",E88="acredita",E89="acredita",E90="acredita",E91="acredita",E92="acredita",E93="acredita"),"CUMPLE","NO CUMPLE")</f>
        <v>NO CUMPLE</v>
      </c>
      <c r="F98" s="233"/>
    </row>
    <row r="99" spans="1:6" hidden="1">
      <c r="A99" s="26"/>
      <c r="B99" s="26"/>
      <c r="C99" s="26"/>
      <c r="D99" s="26"/>
      <c r="E99" s="22"/>
      <c r="F99" s="22"/>
    </row>
    <row r="100" spans="1:6">
      <c r="A100" s="293" t="s">
        <v>98</v>
      </c>
      <c r="B100" s="293"/>
      <c r="C100" s="293"/>
      <c r="D100" s="293"/>
      <c r="E100" s="293"/>
      <c r="F100" s="293"/>
    </row>
    <row r="101" spans="1:6" hidden="1">
      <c r="A101" s="28" t="s">
        <v>83</v>
      </c>
      <c r="B101" s="294"/>
      <c r="C101" s="294"/>
      <c r="D101" s="294"/>
      <c r="E101" s="294"/>
      <c r="F101" s="294"/>
    </row>
    <row r="102" spans="1:6" hidden="1">
      <c r="A102" s="28" t="s">
        <v>51</v>
      </c>
      <c r="B102" s="241"/>
      <c r="C102" s="241"/>
      <c r="D102" s="241"/>
      <c r="E102" s="241"/>
      <c r="F102" s="241"/>
    </row>
    <row r="103" spans="1:6" hidden="1">
      <c r="A103" s="23" t="s">
        <v>52</v>
      </c>
      <c r="B103" s="234"/>
      <c r="C103" s="234"/>
      <c r="D103" s="234"/>
      <c r="E103" s="234"/>
      <c r="F103" s="234"/>
    </row>
    <row r="104" spans="1:6" hidden="1">
      <c r="A104" s="28" t="s">
        <v>65</v>
      </c>
      <c r="B104" s="31" t="s">
        <v>53</v>
      </c>
      <c r="C104" s="32" t="s">
        <v>66</v>
      </c>
      <c r="D104" s="32" t="s">
        <v>54</v>
      </c>
      <c r="E104" s="32" t="s">
        <v>67</v>
      </c>
      <c r="F104" s="32" t="s">
        <v>55</v>
      </c>
    </row>
    <row r="105" spans="1:6" hidden="1">
      <c r="A105" s="227" t="s">
        <v>56</v>
      </c>
      <c r="B105" s="33">
        <v>80101600</v>
      </c>
      <c r="C105" s="29"/>
      <c r="D105" s="29"/>
      <c r="E105" s="235" t="str">
        <f>IF(B106=C106,"Acredita",IF(B105=C105,"Acredita","No acredita"))</f>
        <v>No acredita</v>
      </c>
      <c r="F105" s="304"/>
    </row>
    <row r="106" spans="1:6" hidden="1">
      <c r="A106" s="227"/>
      <c r="B106" s="33">
        <v>81101500</v>
      </c>
      <c r="C106" s="30"/>
      <c r="D106" s="30"/>
      <c r="E106" s="236"/>
      <c r="F106" s="305"/>
    </row>
    <row r="107" spans="1:6" ht="14" hidden="1">
      <c r="A107" s="237" t="s">
        <v>57</v>
      </c>
      <c r="B107" s="238"/>
      <c r="C107" s="239"/>
      <c r="D107" s="34"/>
      <c r="E107" s="35" t="str">
        <f>IF(D107="","No acredita","Acredita")</f>
        <v>No acredita</v>
      </c>
      <c r="F107" s="305"/>
    </row>
    <row r="108" spans="1:6" ht="14" hidden="1">
      <c r="A108" s="237" t="s">
        <v>58</v>
      </c>
      <c r="B108" s="238"/>
      <c r="C108" s="239"/>
      <c r="D108" s="36"/>
      <c r="E108" s="35" t="str">
        <f>IF(D108="","No acredita","Acredita")</f>
        <v>No acredita</v>
      </c>
      <c r="F108" s="305"/>
    </row>
    <row r="109" spans="1:6" ht="14" hidden="1">
      <c r="A109" s="237" t="s">
        <v>59</v>
      </c>
      <c r="B109" s="238"/>
      <c r="C109" s="239"/>
      <c r="D109" s="44" t="str">
        <f>IFERROR((D108/(VLOOKUP((YEAR(D111)),[1]SMMLV!$A$9:$C$49,3,0)))*'O8'!D110,"0")</f>
        <v>0</v>
      </c>
      <c r="E109" s="37" t="str">
        <f>IF(D109="","No acredita","Acredita")</f>
        <v>Acredita</v>
      </c>
      <c r="F109" s="305"/>
    </row>
    <row r="110" spans="1:6" ht="14" hidden="1">
      <c r="A110" s="237" t="s">
        <v>80</v>
      </c>
      <c r="B110" s="238"/>
      <c r="C110" s="239"/>
      <c r="D110" s="45"/>
      <c r="E110" s="35" t="str">
        <f>IF(D110="","No acredita","Acredita")</f>
        <v>No acredita</v>
      </c>
      <c r="F110" s="305"/>
    </row>
    <row r="111" spans="1:6" ht="14" hidden="1">
      <c r="A111" s="237" t="s">
        <v>60</v>
      </c>
      <c r="B111" s="238"/>
      <c r="C111" s="239"/>
      <c r="D111" s="34"/>
      <c r="E111" s="35" t="str">
        <f>IF(D111="","No acredita","Acredita")</f>
        <v>No acredita</v>
      </c>
      <c r="F111" s="305"/>
    </row>
    <row r="112" spans="1:6" ht="68.25" hidden="1" customHeight="1">
      <c r="A112" s="227" t="s">
        <v>91</v>
      </c>
      <c r="B112" s="227"/>
      <c r="C112" s="227"/>
      <c r="D112" s="38"/>
      <c r="E112" s="35" t="str">
        <f t="shared" ref="E112:E119" si="4">IF(D112="","No acredita",IF(D112="","",IF(D112="SI","Acredita","No acredita")))</f>
        <v>No acredita</v>
      </c>
      <c r="F112" s="305"/>
    </row>
    <row r="113" spans="1:6" ht="27" hidden="1" customHeight="1">
      <c r="A113" s="227" t="s">
        <v>92</v>
      </c>
      <c r="B113" s="227"/>
      <c r="C113" s="227"/>
      <c r="D113" s="38"/>
      <c r="E113" s="35" t="str">
        <f t="shared" si="4"/>
        <v>No acredita</v>
      </c>
      <c r="F113" s="305"/>
    </row>
    <row r="114" spans="1:6" ht="14" hidden="1">
      <c r="A114" s="227" t="s">
        <v>69</v>
      </c>
      <c r="B114" s="227"/>
      <c r="C114" s="227"/>
      <c r="D114" s="38"/>
      <c r="E114" s="35" t="str">
        <f t="shared" si="4"/>
        <v>No acredita</v>
      </c>
      <c r="F114" s="305"/>
    </row>
    <row r="115" spans="1:6" ht="14" hidden="1">
      <c r="A115" s="227" t="s">
        <v>102</v>
      </c>
      <c r="B115" s="227"/>
      <c r="C115" s="227"/>
      <c r="D115" s="38"/>
      <c r="E115" s="35" t="str">
        <f t="shared" si="4"/>
        <v>No acredita</v>
      </c>
      <c r="F115" s="306"/>
    </row>
    <row r="116" spans="1:6" ht="14" hidden="1">
      <c r="A116" s="235" t="s">
        <v>97</v>
      </c>
      <c r="B116" s="288" t="s">
        <v>93</v>
      </c>
      <c r="C116" s="289"/>
      <c r="D116" s="38"/>
      <c r="E116" s="35" t="str">
        <f t="shared" si="4"/>
        <v>No acredita</v>
      </c>
      <c r="F116" s="307"/>
    </row>
    <row r="117" spans="1:6" ht="14" hidden="1">
      <c r="A117" s="287"/>
      <c r="B117" s="288" t="s">
        <v>94</v>
      </c>
      <c r="C117" s="289"/>
      <c r="D117" s="38"/>
      <c r="E117" s="35" t="str">
        <f t="shared" si="4"/>
        <v>No acredita</v>
      </c>
      <c r="F117" s="308"/>
    </row>
    <row r="118" spans="1:6" ht="14" hidden="1">
      <c r="A118" s="287"/>
      <c r="B118" s="288" t="s">
        <v>95</v>
      </c>
      <c r="C118" s="289"/>
      <c r="D118" s="38"/>
      <c r="E118" s="35" t="str">
        <f t="shared" si="4"/>
        <v>No acredita</v>
      </c>
      <c r="F118" s="308"/>
    </row>
    <row r="119" spans="1:6" ht="14" hidden="1">
      <c r="A119" s="236"/>
      <c r="B119" s="288" t="s">
        <v>96</v>
      </c>
      <c r="C119" s="289"/>
      <c r="D119" s="38"/>
      <c r="E119" s="35" t="str">
        <f t="shared" si="4"/>
        <v>No acredita</v>
      </c>
      <c r="F119" s="309"/>
    </row>
    <row r="120" spans="1:6" hidden="1">
      <c r="A120" s="231" t="s">
        <v>73</v>
      </c>
      <c r="B120" s="231"/>
      <c r="C120" s="231"/>
      <c r="D120" s="231"/>
      <c r="E120" s="232" t="str">
        <f>IF(AND(E105="acredita",E107="acredita",E108="acredita",E109="acredita",E110="acredita",E111="acredita",E112="acredita",E113="acredita",E114="acredita",E115="acredita"),"CUMPLE","NO CUMPLE")</f>
        <v>NO CUMPLE</v>
      </c>
      <c r="F120" s="233"/>
    </row>
    <row r="121" spans="1:6">
      <c r="A121" s="26"/>
      <c r="B121" s="26"/>
      <c r="C121" s="26"/>
      <c r="D121" s="26"/>
      <c r="E121" s="22"/>
      <c r="F121" s="22"/>
    </row>
    <row r="122" spans="1:6">
      <c r="A122" s="227" t="s">
        <v>101</v>
      </c>
      <c r="B122" s="227"/>
      <c r="C122" s="227"/>
      <c r="D122" s="227"/>
      <c r="E122" s="227"/>
      <c r="F122" s="46" t="s">
        <v>61</v>
      </c>
    </row>
    <row r="123" spans="1:6">
      <c r="A123" s="227"/>
      <c r="B123" s="227"/>
      <c r="C123" s="227"/>
      <c r="D123" s="227"/>
      <c r="E123" s="227"/>
      <c r="F123" s="43" t="str">
        <f>IF(F122="SI","CUMPLE","NO CUMPLE")</f>
        <v>CUMPLE</v>
      </c>
    </row>
    <row r="124" spans="1:6" ht="31.5" customHeight="1">
      <c r="A124" s="227" t="s">
        <v>86</v>
      </c>
      <c r="B124" s="227"/>
      <c r="C124" s="227"/>
      <c r="D124" s="227"/>
      <c r="E124" s="227"/>
      <c r="F124" s="227"/>
    </row>
    <row r="125" spans="1:6">
      <c r="A125" s="26"/>
      <c r="B125" s="26"/>
      <c r="C125" s="26"/>
      <c r="D125" s="26"/>
      <c r="E125" s="22"/>
      <c r="F125" s="22"/>
    </row>
    <row r="126" spans="1:6">
      <c r="A126" s="227" t="s">
        <v>99</v>
      </c>
      <c r="B126" s="227"/>
      <c r="C126" s="227"/>
      <c r="D126" s="227"/>
      <c r="E126" s="227"/>
      <c r="F126" s="46">
        <f>SUM(D24+D45+D66+D87+D109)</f>
        <v>742.45778262319652</v>
      </c>
    </row>
    <row r="127" spans="1:6">
      <c r="A127" s="227"/>
      <c r="B127" s="227"/>
      <c r="C127" s="227"/>
      <c r="D127" s="227"/>
      <c r="E127" s="227"/>
      <c r="F127" s="43" t="str">
        <f>IF(F126&gt;=433.26,"CUMPLE","NO CUMPLE")</f>
        <v>CUMPLE</v>
      </c>
    </row>
    <row r="128" spans="1:6" ht="33" customHeight="1">
      <c r="A128" s="227" t="s">
        <v>86</v>
      </c>
      <c r="B128" s="227"/>
      <c r="C128" s="227"/>
      <c r="D128" s="227"/>
      <c r="E128" s="227"/>
      <c r="F128" s="227"/>
    </row>
    <row r="129" spans="1:6">
      <c r="A129" s="41"/>
      <c r="B129" s="41"/>
      <c r="C129" s="41"/>
      <c r="D129" s="41"/>
      <c r="E129" s="41"/>
      <c r="F129" s="22"/>
    </row>
    <row r="130" spans="1:6">
      <c r="A130" s="227" t="s">
        <v>100</v>
      </c>
      <c r="B130" s="227"/>
      <c r="C130" s="227"/>
      <c r="D130" s="227"/>
      <c r="E130" s="227"/>
      <c r="F130" s="46" t="s">
        <v>61</v>
      </c>
    </row>
    <row r="131" spans="1:6" ht="27" customHeight="1">
      <c r="A131" s="227"/>
      <c r="B131" s="227"/>
      <c r="C131" s="227"/>
      <c r="D131" s="227"/>
      <c r="E131" s="227"/>
      <c r="F131" s="43" t="str">
        <f>IF(F130="SI","CUMPLE","NO CUMPLE")</f>
        <v>CUMPLE</v>
      </c>
    </row>
    <row r="132" spans="1:6" ht="29.25" customHeight="1">
      <c r="A132" s="227" t="s">
        <v>84</v>
      </c>
      <c r="B132" s="227"/>
      <c r="C132" s="227"/>
      <c r="D132" s="227"/>
      <c r="E132" s="227"/>
      <c r="F132" s="227"/>
    </row>
    <row r="133" spans="1:6">
      <c r="A133" s="39"/>
      <c r="B133" s="39"/>
      <c r="C133" s="39"/>
      <c r="D133" s="39"/>
      <c r="E133" s="39"/>
      <c r="F133" s="40"/>
    </row>
    <row r="134" spans="1:6">
      <c r="A134" s="227" t="s">
        <v>74</v>
      </c>
      <c r="B134" s="227"/>
      <c r="C134" s="227"/>
      <c r="D134" s="227"/>
      <c r="E134" s="227"/>
      <c r="F134" s="46" t="s">
        <v>61</v>
      </c>
    </row>
    <row r="135" spans="1:6">
      <c r="A135" s="227"/>
      <c r="B135" s="227"/>
      <c r="C135" s="227"/>
      <c r="D135" s="227"/>
      <c r="E135" s="227"/>
      <c r="F135" s="43" t="str">
        <f>IF(F134="SI","CUMPLE","NO CUMPLE")</f>
        <v>CUMPLE</v>
      </c>
    </row>
    <row r="136" spans="1:6" ht="27.75" customHeight="1">
      <c r="A136" s="227" t="s">
        <v>84</v>
      </c>
      <c r="B136" s="227"/>
      <c r="C136" s="227"/>
      <c r="D136" s="227"/>
      <c r="E136" s="227"/>
      <c r="F136" s="227"/>
    </row>
    <row r="137" spans="1:6">
      <c r="A137" s="39"/>
      <c r="B137" s="39"/>
      <c r="C137" s="39"/>
      <c r="D137" s="39"/>
      <c r="E137" s="39"/>
      <c r="F137" s="40"/>
    </row>
    <row r="138" spans="1:6" ht="14">
      <c r="A138" s="284" t="s">
        <v>90</v>
      </c>
      <c r="B138" s="285"/>
      <c r="C138" s="285"/>
      <c r="D138" s="285"/>
      <c r="E138" s="286"/>
      <c r="F138" s="74" t="str">
        <f>IF(AND(F123="cumple",F127="cumple",F131="cumple",F135="cumple"),"CUMPLE","NO CUMPLE")</f>
        <v>CUMPLE</v>
      </c>
    </row>
    <row r="139" spans="1:6">
      <c r="A139" s="39"/>
      <c r="B139" s="39"/>
      <c r="C139" s="39"/>
      <c r="D139" s="39"/>
      <c r="E139" s="39"/>
      <c r="F139" s="40"/>
    </row>
    <row r="140" spans="1:6">
      <c r="A140" s="39"/>
      <c r="B140" s="39"/>
      <c r="C140" s="39"/>
      <c r="D140" s="39"/>
      <c r="E140" s="39"/>
      <c r="F140" s="40"/>
    </row>
    <row r="141" spans="1:6">
      <c r="A141" s="39"/>
      <c r="B141" s="39"/>
      <c r="C141" s="39"/>
      <c r="D141" s="39"/>
      <c r="E141" s="39"/>
      <c r="F141" s="40"/>
    </row>
    <row r="142" spans="1:6">
      <c r="A142" s="39"/>
      <c r="B142" s="39"/>
      <c r="C142" s="39"/>
      <c r="D142" s="39"/>
      <c r="E142" s="39"/>
      <c r="F142" s="40"/>
    </row>
    <row r="143" spans="1:6">
      <c r="A143" s="39"/>
      <c r="B143" s="39"/>
      <c r="C143" s="39"/>
      <c r="D143" s="39"/>
      <c r="E143" s="39"/>
      <c r="F143" s="40"/>
    </row>
    <row r="144" spans="1:6">
      <c r="A144" s="39"/>
      <c r="B144" s="39"/>
      <c r="C144" s="39"/>
      <c r="D144" s="39"/>
      <c r="E144" s="39"/>
      <c r="F144" s="40"/>
    </row>
    <row r="145" spans="1:7">
      <c r="A145" s="39"/>
      <c r="B145" s="39"/>
      <c r="C145" s="39"/>
      <c r="D145" s="39"/>
      <c r="E145" s="39"/>
      <c r="F145" s="40"/>
    </row>
    <row r="146" spans="1:7">
      <c r="A146" s="39"/>
      <c r="B146" s="39"/>
      <c r="C146" s="39"/>
      <c r="D146" s="39"/>
      <c r="E146" s="39"/>
      <c r="F146" s="40"/>
    </row>
    <row r="147" spans="1:7" ht="14">
      <c r="A147" s="212" t="s">
        <v>114</v>
      </c>
      <c r="B147" s="212"/>
      <c r="C147" s="212"/>
      <c r="D147" s="212"/>
      <c r="E147" s="212"/>
      <c r="F147" s="212"/>
    </row>
    <row r="148" spans="1:7">
      <c r="A148" s="39"/>
      <c r="B148" s="39"/>
      <c r="C148" s="39"/>
      <c r="D148" s="39"/>
      <c r="E148" s="39"/>
      <c r="F148" s="40"/>
    </row>
    <row r="149" spans="1:7">
      <c r="A149" s="262" t="s">
        <v>138</v>
      </c>
      <c r="B149" s="262"/>
      <c r="C149" s="262"/>
      <c r="D149" s="262"/>
      <c r="E149" s="262"/>
      <c r="F149" s="262"/>
    </row>
    <row r="150" spans="1:7">
      <c r="A150" s="281" t="s">
        <v>104</v>
      </c>
      <c r="B150" s="282"/>
      <c r="C150" s="283"/>
      <c r="D150" s="266" t="s">
        <v>502</v>
      </c>
      <c r="E150" s="267"/>
      <c r="F150" s="268"/>
    </row>
    <row r="151" spans="1:7" ht="69" customHeight="1">
      <c r="A151" s="73" t="s">
        <v>105</v>
      </c>
      <c r="B151" s="280" t="s">
        <v>124</v>
      </c>
      <c r="C151" s="280"/>
      <c r="D151" s="52" t="s">
        <v>115</v>
      </c>
      <c r="E151" s="52" t="str">
        <f>IF(D151="","NO CUMPLE","CUMPLE")</f>
        <v>CUMPLE</v>
      </c>
      <c r="F151" s="53"/>
    </row>
    <row r="152" spans="1:7" ht="14">
      <c r="A152" s="73" t="s">
        <v>106</v>
      </c>
      <c r="B152" s="280" t="s">
        <v>133</v>
      </c>
      <c r="C152" s="280"/>
      <c r="D152" s="54" t="s">
        <v>61</v>
      </c>
      <c r="E152" s="55" t="str">
        <f>IF(D152="SI","CUMPLE","NO CUMPLE")</f>
        <v>CUMPLE</v>
      </c>
      <c r="F152" s="53" t="s">
        <v>503</v>
      </c>
    </row>
    <row r="153" spans="1:7" ht="14">
      <c r="A153" s="73" t="s">
        <v>107</v>
      </c>
      <c r="B153" s="280" t="s">
        <v>108</v>
      </c>
      <c r="C153" s="280"/>
      <c r="D153" s="63" t="s">
        <v>504</v>
      </c>
      <c r="E153" s="55" t="str">
        <f>IF(D153="","NO CUMPLE","CUMPLE")</f>
        <v>CUMPLE</v>
      </c>
      <c r="F153" s="53"/>
    </row>
    <row r="154" spans="1:7" ht="14">
      <c r="A154" s="275" t="s">
        <v>109</v>
      </c>
      <c r="B154" s="276"/>
      <c r="C154" s="277"/>
      <c r="D154" s="56">
        <v>45630</v>
      </c>
      <c r="E154" s="55" t="str">
        <f>IF(($B$4-D154)&gt;183,"NO CUMPLE","CUMPLE")</f>
        <v>CUMPLE</v>
      </c>
      <c r="F154" s="53"/>
    </row>
    <row r="155" spans="1:7" ht="14">
      <c r="A155" s="278" t="s">
        <v>107</v>
      </c>
      <c r="B155" s="280" t="s">
        <v>132</v>
      </c>
      <c r="C155" s="280"/>
      <c r="D155" s="54">
        <v>38645</v>
      </c>
      <c r="E155" s="55" t="str">
        <f>IF(D155="","NO CUMPLE","CUMPLE")</f>
        <v>CUMPLE</v>
      </c>
      <c r="F155" s="53"/>
      <c r="G155" s="50"/>
    </row>
    <row r="156" spans="1:7" ht="14">
      <c r="A156" s="279"/>
      <c r="B156" s="280" t="s">
        <v>121</v>
      </c>
      <c r="C156" s="280"/>
      <c r="D156" s="61">
        <f>IF(D155&gt;0,(($B$4-D155)/365))</f>
        <v>19.139726027397259</v>
      </c>
      <c r="E156" s="62" t="str">
        <f>IF(D155="","NO CUMPLE",IF(D156&gt;=10,"CUMPLE","NO CUMPLE"))</f>
        <v>CUMPLE</v>
      </c>
      <c r="F156" s="53"/>
      <c r="G156" s="50"/>
    </row>
    <row r="157" spans="1:7" ht="14">
      <c r="A157" s="275" t="s">
        <v>125</v>
      </c>
      <c r="B157" s="276"/>
      <c r="C157" s="277"/>
      <c r="D157" s="54" t="s">
        <v>61</v>
      </c>
      <c r="E157" s="106" t="str">
        <f>IF(D157="SI","CUMPLE","NO CUMPLE")</f>
        <v>CUMPLE</v>
      </c>
      <c r="F157" s="138" t="s">
        <v>586</v>
      </c>
      <c r="G157" s="50"/>
    </row>
    <row r="158" spans="1:7" ht="14">
      <c r="A158" s="275" t="s">
        <v>126</v>
      </c>
      <c r="B158" s="276"/>
      <c r="C158" s="277"/>
      <c r="D158" s="54" t="s">
        <v>61</v>
      </c>
      <c r="E158" s="55" t="str">
        <f t="shared" ref="E158:E159" si="5">IF(D158="SI","CUMPLE","NO CUMPLE")</f>
        <v>CUMPLE</v>
      </c>
      <c r="F158" s="53"/>
      <c r="G158" s="50"/>
    </row>
    <row r="159" spans="1:7" ht="14">
      <c r="A159" s="275" t="s">
        <v>127</v>
      </c>
      <c r="B159" s="276"/>
      <c r="C159" s="277"/>
      <c r="D159" s="54" t="s">
        <v>61</v>
      </c>
      <c r="E159" s="55" t="str">
        <f t="shared" si="5"/>
        <v>CUMPLE</v>
      </c>
      <c r="F159" s="53"/>
      <c r="G159" s="50"/>
    </row>
    <row r="160" spans="1:7">
      <c r="A160" s="64"/>
      <c r="B160" s="65"/>
      <c r="C160" s="65"/>
      <c r="D160" s="66"/>
      <c r="E160" s="67"/>
      <c r="F160" s="68"/>
      <c r="G160" s="50"/>
    </row>
    <row r="161" spans="1:7" ht="146.25" customHeight="1">
      <c r="A161" s="269" t="s">
        <v>505</v>
      </c>
      <c r="B161" s="270"/>
      <c r="C161" s="59" t="s">
        <v>122</v>
      </c>
      <c r="D161" s="54" t="s">
        <v>61</v>
      </c>
      <c r="E161" s="55" t="str">
        <f>IF(D161="SI","CUMPLE","NO CUMPLE")</f>
        <v>CUMPLE</v>
      </c>
      <c r="F161" s="53"/>
    </row>
    <row r="162" spans="1:7" ht="42">
      <c r="A162" s="271"/>
      <c r="B162" s="272"/>
      <c r="C162" s="59" t="s">
        <v>123</v>
      </c>
      <c r="D162" s="54" t="s">
        <v>61</v>
      </c>
      <c r="E162" s="55" t="str">
        <f>IF(D162="SI","CUMPLE","NO CUMPLE")</f>
        <v>CUMPLE</v>
      </c>
      <c r="F162" s="53"/>
    </row>
    <row r="163" spans="1:7" ht="14">
      <c r="A163" s="271"/>
      <c r="B163" s="272"/>
      <c r="C163" s="59" t="s">
        <v>128</v>
      </c>
      <c r="D163" s="56" t="s">
        <v>506</v>
      </c>
      <c r="E163" s="55" t="str">
        <f>IF(D163="","NO CUMPLE","CUMPLE")</f>
        <v>CUMPLE</v>
      </c>
      <c r="F163" s="53"/>
    </row>
    <row r="164" spans="1:7" ht="28">
      <c r="A164" s="271"/>
      <c r="B164" s="272"/>
      <c r="C164" s="59" t="s">
        <v>129</v>
      </c>
      <c r="D164" s="56" t="s">
        <v>130</v>
      </c>
      <c r="E164" s="55" t="str">
        <f>IF(D164="Director Interventoria","CUMPLE","NO CUMPLE")</f>
        <v>CUMPLE</v>
      </c>
      <c r="F164" s="53"/>
    </row>
    <row r="165" spans="1:7" ht="14">
      <c r="A165" s="271"/>
      <c r="B165" s="272"/>
      <c r="C165" s="60" t="s">
        <v>110</v>
      </c>
      <c r="D165" s="58">
        <v>124782087</v>
      </c>
      <c r="E165" s="55" t="str">
        <f>IF(D165="","NO CUMPLE","CUMPLE")</f>
        <v>CUMPLE</v>
      </c>
      <c r="F165" s="53"/>
    </row>
    <row r="166" spans="1:7" ht="14">
      <c r="A166" s="271"/>
      <c r="B166" s="272"/>
      <c r="C166" s="60" t="s">
        <v>111</v>
      </c>
      <c r="D166" s="57">
        <v>40025</v>
      </c>
      <c r="E166" s="55" t="str">
        <f>IF(D166="","NO CUMPLE","CUMPLE")</f>
        <v>CUMPLE</v>
      </c>
      <c r="F166" s="53"/>
    </row>
    <row r="167" spans="1:7" ht="14">
      <c r="A167" s="271"/>
      <c r="B167" s="272"/>
      <c r="C167" s="60" t="s">
        <v>112</v>
      </c>
      <c r="D167" s="57">
        <v>40515</v>
      </c>
      <c r="E167" s="55" t="str">
        <f t="shared" ref="E167" si="6">IF(D167="","NO CUMPLE","CUMPLE")</f>
        <v>CUMPLE</v>
      </c>
      <c r="F167" s="53"/>
      <c r="G167" s="51"/>
    </row>
    <row r="168" spans="1:7">
      <c r="A168" s="273"/>
      <c r="B168" s="274"/>
      <c r="C168" s="60" t="s">
        <v>113</v>
      </c>
      <c r="D168" s="61">
        <f>IFERROR((D165/(VLOOKUP((YEAR(D167)),[1]SMMLV!$A$9:$C$49,3,0))),"0")</f>
        <v>242.29531456310679</v>
      </c>
      <c r="E168" s="62"/>
      <c r="F168" s="53"/>
    </row>
    <row r="169" spans="1:7" ht="15">
      <c r="A169" s="69"/>
      <c r="B169" s="69"/>
      <c r="C169" s="69"/>
      <c r="D169" s="69"/>
      <c r="E169" s="69"/>
      <c r="F169" s="69"/>
    </row>
    <row r="170" spans="1:7" ht="154">
      <c r="A170" s="269" t="s">
        <v>507</v>
      </c>
      <c r="B170" s="270"/>
      <c r="C170" s="59" t="s">
        <v>122</v>
      </c>
      <c r="D170" s="54" t="s">
        <v>61</v>
      </c>
      <c r="E170" s="55" t="str">
        <f>IF(D170="SI","CUMPLE","NO CUMPLE")</f>
        <v>CUMPLE</v>
      </c>
      <c r="F170" s="53"/>
    </row>
    <row r="171" spans="1:7" ht="42">
      <c r="A171" s="271"/>
      <c r="B171" s="272"/>
      <c r="C171" s="59" t="s">
        <v>123</v>
      </c>
      <c r="D171" s="54" t="s">
        <v>61</v>
      </c>
      <c r="E171" s="55" t="str">
        <f>IF(D171="SI","CUMPLE","NO CUMPLE")</f>
        <v>CUMPLE</v>
      </c>
      <c r="F171" s="53"/>
    </row>
    <row r="172" spans="1:7" ht="14">
      <c r="A172" s="271"/>
      <c r="B172" s="272"/>
      <c r="C172" s="59" t="s">
        <v>128</v>
      </c>
      <c r="D172" s="56" t="s">
        <v>506</v>
      </c>
      <c r="E172" s="55" t="str">
        <f>IF(D172="","NO CUMPLE","CUMPLE")</f>
        <v>CUMPLE</v>
      </c>
      <c r="F172" s="53"/>
    </row>
    <row r="173" spans="1:7" ht="28">
      <c r="A173" s="271"/>
      <c r="B173" s="272"/>
      <c r="C173" s="59" t="s">
        <v>129</v>
      </c>
      <c r="D173" s="56" t="s">
        <v>130</v>
      </c>
      <c r="E173" s="55" t="str">
        <f>IF(D173="Director Interventoria","CUMPLE","NO CUMPLE")</f>
        <v>CUMPLE</v>
      </c>
      <c r="F173" s="53"/>
    </row>
    <row r="174" spans="1:7" ht="14">
      <c r="A174" s="271"/>
      <c r="B174" s="272"/>
      <c r="C174" s="60" t="s">
        <v>110</v>
      </c>
      <c r="D174" s="58">
        <v>154902143</v>
      </c>
      <c r="E174" s="55" t="str">
        <f>IF(D174="","NO CUMPLE","CUMPLE")</f>
        <v>CUMPLE</v>
      </c>
      <c r="F174" s="53"/>
    </row>
    <row r="175" spans="1:7" ht="14">
      <c r="A175" s="271"/>
      <c r="B175" s="272"/>
      <c r="C175" s="60" t="s">
        <v>111</v>
      </c>
      <c r="D175" s="120">
        <v>42116</v>
      </c>
      <c r="E175" s="55" t="str">
        <f>IF(D175="","NO CUMPLE","CUMPLE")</f>
        <v>CUMPLE</v>
      </c>
      <c r="F175" s="53"/>
    </row>
    <row r="176" spans="1:7" ht="14">
      <c r="A176" s="271"/>
      <c r="B176" s="272"/>
      <c r="C176" s="60" t="s">
        <v>112</v>
      </c>
      <c r="D176" s="120">
        <v>42707</v>
      </c>
      <c r="E176" s="55" t="str">
        <f t="shared" ref="E176" si="7">IF(D176="","NO CUMPLE","CUMPLE")</f>
        <v>CUMPLE</v>
      </c>
      <c r="F176" s="53"/>
    </row>
    <row r="177" spans="1:6">
      <c r="A177" s="273"/>
      <c r="B177" s="274"/>
      <c r="C177" s="60" t="s">
        <v>113</v>
      </c>
      <c r="D177" s="61">
        <f>IFERROR((D174/(VLOOKUP((YEAR(D176)),[1]SMMLV!$A$9:$C$49,3,0))),"0")</f>
        <v>224.67331878077613</v>
      </c>
      <c r="E177" s="62"/>
      <c r="F177" s="53"/>
    </row>
    <row r="178" spans="1:6" ht="15">
      <c r="A178" s="69"/>
      <c r="B178" s="69"/>
      <c r="C178" s="69"/>
      <c r="D178" s="69"/>
      <c r="E178" s="69"/>
      <c r="F178" s="69"/>
    </row>
    <row r="179" spans="1:6" ht="154">
      <c r="A179" s="269" t="s">
        <v>508</v>
      </c>
      <c r="B179" s="270"/>
      <c r="C179" s="59" t="s">
        <v>122</v>
      </c>
      <c r="D179" s="54" t="s">
        <v>61</v>
      </c>
      <c r="E179" s="55" t="str">
        <f>IF(D179="SI","CUMPLE","NO CUMPLE")</f>
        <v>CUMPLE</v>
      </c>
      <c r="F179" s="53"/>
    </row>
    <row r="180" spans="1:6" ht="42">
      <c r="A180" s="271"/>
      <c r="B180" s="272"/>
      <c r="C180" s="59" t="s">
        <v>123</v>
      </c>
      <c r="D180" s="54" t="s">
        <v>61</v>
      </c>
      <c r="E180" s="55" t="str">
        <f>IF(D180="SI","CUMPLE","NO CUMPLE")</f>
        <v>CUMPLE</v>
      </c>
      <c r="F180" s="53"/>
    </row>
    <row r="181" spans="1:6" ht="14">
      <c r="A181" s="271"/>
      <c r="B181" s="272"/>
      <c r="C181" s="59" t="s">
        <v>128</v>
      </c>
      <c r="D181" s="56" t="s">
        <v>506</v>
      </c>
      <c r="E181" s="55" t="str">
        <f>IF(D181="","NO CUMPLE","CUMPLE")</f>
        <v>CUMPLE</v>
      </c>
      <c r="F181" s="53"/>
    </row>
    <row r="182" spans="1:6" ht="28">
      <c r="A182" s="271"/>
      <c r="B182" s="272"/>
      <c r="C182" s="59" t="s">
        <v>129</v>
      </c>
      <c r="D182" s="56" t="s">
        <v>130</v>
      </c>
      <c r="E182" s="55" t="str">
        <f>IF(D182="Director Interventoria","CUMPLE","NO CUMPLE")</f>
        <v>CUMPLE</v>
      </c>
      <c r="F182" s="53"/>
    </row>
    <row r="183" spans="1:6" ht="14">
      <c r="A183" s="271"/>
      <c r="B183" s="272"/>
      <c r="C183" s="60" t="s">
        <v>110</v>
      </c>
      <c r="D183" s="58">
        <v>270701210</v>
      </c>
      <c r="E183" s="55" t="str">
        <f>IF(D183="","NO CUMPLE","CUMPLE")</f>
        <v>CUMPLE</v>
      </c>
      <c r="F183" s="53"/>
    </row>
    <row r="184" spans="1:6" ht="14">
      <c r="A184" s="271"/>
      <c r="B184" s="272"/>
      <c r="C184" s="60" t="s">
        <v>111</v>
      </c>
      <c r="D184" s="57">
        <v>44068</v>
      </c>
      <c r="E184" s="55" t="str">
        <f>IF(D184="","NO CUMPLE","CUMPLE")</f>
        <v>CUMPLE</v>
      </c>
      <c r="F184" s="53"/>
    </row>
    <row r="185" spans="1:6" ht="14">
      <c r="A185" s="271"/>
      <c r="B185" s="272"/>
      <c r="C185" s="60" t="s">
        <v>112</v>
      </c>
      <c r="D185" s="57">
        <v>44379</v>
      </c>
      <c r="E185" s="55" t="str">
        <f t="shared" ref="E185" si="8">IF(D185="","NO CUMPLE","CUMPLE")</f>
        <v>CUMPLE</v>
      </c>
      <c r="F185" s="53"/>
    </row>
    <row r="186" spans="1:6">
      <c r="A186" s="273"/>
      <c r="B186" s="274"/>
      <c r="C186" s="60" t="s">
        <v>113</v>
      </c>
      <c r="D186" s="61">
        <f>IFERROR((D183/(VLOOKUP((YEAR(D185)),[1]SMMLV!$A$9:$C$49,3,0))),"0")</f>
        <v>297.95648115739118</v>
      </c>
      <c r="E186" s="62"/>
      <c r="F186" s="53"/>
    </row>
    <row r="187" spans="1:6" ht="15">
      <c r="A187" s="69"/>
      <c r="B187" s="69"/>
      <c r="C187" s="69"/>
      <c r="D187" s="69"/>
      <c r="E187" s="69"/>
      <c r="F187" s="69"/>
    </row>
    <row r="188" spans="1:6">
      <c r="A188" s="227" t="s">
        <v>203</v>
      </c>
      <c r="B188" s="227"/>
      <c r="C188" s="227"/>
      <c r="D188" s="227"/>
      <c r="E188" s="227"/>
      <c r="F188" s="71">
        <f>SUM(D168+D177+D186)</f>
        <v>764.92511450127404</v>
      </c>
    </row>
    <row r="189" spans="1:6">
      <c r="A189" s="227"/>
      <c r="B189" s="227"/>
      <c r="C189" s="227"/>
      <c r="D189" s="227"/>
      <c r="E189" s="227"/>
      <c r="F189" s="43" t="str">
        <f>IF(F188&gt;=433.26,"CUMPLE","NO CUMPLE")</f>
        <v>CUMPLE</v>
      </c>
    </row>
    <row r="190" spans="1:6" ht="33" customHeight="1">
      <c r="A190" s="227" t="s">
        <v>84</v>
      </c>
      <c r="B190" s="227"/>
      <c r="C190" s="227"/>
      <c r="D190" s="227"/>
      <c r="E190" s="227"/>
      <c r="F190" s="227"/>
    </row>
    <row r="191" spans="1:6">
      <c r="A191" s="39"/>
      <c r="B191" s="39"/>
      <c r="C191" s="39"/>
      <c r="D191" s="39"/>
      <c r="E191" s="39"/>
      <c r="F191" s="40"/>
    </row>
    <row r="192" spans="1:6">
      <c r="A192" s="246" t="s">
        <v>138</v>
      </c>
      <c r="B192" s="247"/>
      <c r="C192" s="247"/>
      <c r="D192" s="247"/>
      <c r="E192" s="248"/>
      <c r="F192" s="70" t="str">
        <f>IF(AND(E151="cumple",E152="cumple",E153="cumple",E154="cumple",E155="cumple",E156="cumple",E157="cumple",E158="cumple",E159="cumple",F189="cumple"),"CUMPLE","NO CUMPLE")</f>
        <v>CUMPLE</v>
      </c>
    </row>
    <row r="193" spans="1:6" ht="15">
      <c r="A193" s="69"/>
      <c r="B193" s="69"/>
      <c r="C193" s="69"/>
      <c r="D193" s="69"/>
      <c r="E193" s="69"/>
      <c r="F193" s="69"/>
    </row>
    <row r="194" spans="1:6">
      <c r="A194" s="262" t="s">
        <v>137</v>
      </c>
      <c r="B194" s="262"/>
      <c r="C194" s="262"/>
      <c r="D194" s="262"/>
      <c r="E194" s="262"/>
      <c r="F194" s="262"/>
    </row>
    <row r="195" spans="1:6">
      <c r="A195" s="263" t="s">
        <v>104</v>
      </c>
      <c r="B195" s="264"/>
      <c r="C195" s="265"/>
      <c r="D195" s="266" t="s">
        <v>509</v>
      </c>
      <c r="E195" s="267"/>
      <c r="F195" s="268"/>
    </row>
    <row r="196" spans="1:6" ht="14">
      <c r="A196" s="99" t="s">
        <v>105</v>
      </c>
      <c r="B196" s="256" t="s">
        <v>124</v>
      </c>
      <c r="C196" s="256"/>
      <c r="D196" s="52" t="s">
        <v>115</v>
      </c>
      <c r="E196" s="52" t="str">
        <f>IF(D196="","NO CUMPLE","CUMPLE")</f>
        <v>CUMPLE</v>
      </c>
      <c r="F196" s="53"/>
    </row>
    <row r="197" spans="1:6" ht="28">
      <c r="A197" s="99" t="s">
        <v>106</v>
      </c>
      <c r="B197" s="256" t="s">
        <v>133</v>
      </c>
      <c r="C197" s="256"/>
      <c r="D197" s="54" t="s">
        <v>61</v>
      </c>
      <c r="E197" s="55" t="str">
        <f>IF(D197="SI","CUMPLE","NO CUMPLE")</f>
        <v>CUMPLE</v>
      </c>
      <c r="F197" s="53" t="s">
        <v>510</v>
      </c>
    </row>
    <row r="198" spans="1:6" ht="14">
      <c r="A198" s="99" t="s">
        <v>107</v>
      </c>
      <c r="B198" s="256" t="s">
        <v>108</v>
      </c>
      <c r="C198" s="256"/>
      <c r="D198" s="63" t="s">
        <v>511</v>
      </c>
      <c r="E198" s="55" t="str">
        <f>IF(D198="","NO CUMPLE","CUMPLE")</f>
        <v>CUMPLE</v>
      </c>
      <c r="F198" s="53"/>
    </row>
    <row r="199" spans="1:6" ht="14">
      <c r="A199" s="253" t="s">
        <v>109</v>
      </c>
      <c r="B199" s="254"/>
      <c r="C199" s="255"/>
      <c r="D199" s="56">
        <v>45602</v>
      </c>
      <c r="E199" s="55" t="str">
        <f>IF(($B$4-D199)&gt;183,"NO CUMPLE","CUMPLE")</f>
        <v>CUMPLE</v>
      </c>
      <c r="F199" s="53"/>
    </row>
    <row r="200" spans="1:6" ht="14">
      <c r="A200" s="257" t="s">
        <v>107</v>
      </c>
      <c r="B200" s="256" t="s">
        <v>132</v>
      </c>
      <c r="C200" s="256"/>
      <c r="D200" s="54">
        <v>38064</v>
      </c>
      <c r="E200" s="55" t="str">
        <f>IF(D200="","NO CUMPLE","CUMPLE")</f>
        <v>CUMPLE</v>
      </c>
      <c r="F200" s="53"/>
    </row>
    <row r="201" spans="1:6" ht="14">
      <c r="A201" s="258"/>
      <c r="B201" s="256" t="s">
        <v>121</v>
      </c>
      <c r="C201" s="256"/>
      <c r="D201" s="100">
        <f>IF(D200&gt;0,(($B$4-D200)/365))</f>
        <v>20.731506849315068</v>
      </c>
      <c r="E201" s="101" t="str">
        <f>IF(D200="","NO CUMPLE",IF(D201&gt;=10,"CUMPLE","NO CUMPLE"))</f>
        <v>CUMPLE</v>
      </c>
      <c r="F201" s="53"/>
    </row>
    <row r="202" spans="1:6" ht="14">
      <c r="A202" s="253" t="s">
        <v>125</v>
      </c>
      <c r="B202" s="254"/>
      <c r="C202" s="255"/>
      <c r="D202" s="54" t="s">
        <v>61</v>
      </c>
      <c r="E202" s="106" t="str">
        <f t="shared" ref="E202:E204" si="9">IF(D202="SI","CUMPLE","NO CUMPLE")</f>
        <v>CUMPLE</v>
      </c>
      <c r="F202" s="138" t="s">
        <v>586</v>
      </c>
    </row>
    <row r="203" spans="1:6" ht="14">
      <c r="A203" s="253" t="s">
        <v>126</v>
      </c>
      <c r="B203" s="254"/>
      <c r="C203" s="255"/>
      <c r="D203" s="54" t="s">
        <v>61</v>
      </c>
      <c r="E203" s="55" t="str">
        <f t="shared" si="9"/>
        <v>CUMPLE</v>
      </c>
      <c r="F203" s="53"/>
    </row>
    <row r="204" spans="1:6" ht="14">
      <c r="A204" s="253" t="s">
        <v>127</v>
      </c>
      <c r="B204" s="254"/>
      <c r="C204" s="255"/>
      <c r="D204" s="54" t="s">
        <v>61</v>
      </c>
      <c r="E204" s="55" t="str">
        <f t="shared" si="9"/>
        <v>CUMPLE</v>
      </c>
      <c r="F204" s="53"/>
    </row>
    <row r="205" spans="1:6">
      <c r="A205" s="64"/>
      <c r="B205" s="65"/>
      <c r="C205" s="65"/>
      <c r="D205" s="66"/>
      <c r="E205" s="67"/>
      <c r="F205" s="68"/>
    </row>
    <row r="206" spans="1:6" ht="154">
      <c r="A206" s="269" t="s">
        <v>505</v>
      </c>
      <c r="B206" s="270"/>
      <c r="C206" s="102" t="s">
        <v>122</v>
      </c>
      <c r="D206" s="54" t="s">
        <v>61</v>
      </c>
      <c r="E206" s="55" t="str">
        <f>IF(D206="SI","CUMPLE","NO CUMPLE")</f>
        <v>CUMPLE</v>
      </c>
      <c r="F206" s="53"/>
    </row>
    <row r="207" spans="1:6" ht="42">
      <c r="A207" s="271"/>
      <c r="B207" s="272"/>
      <c r="C207" s="102" t="s">
        <v>123</v>
      </c>
      <c r="D207" s="54" t="s">
        <v>61</v>
      </c>
      <c r="E207" s="55" t="str">
        <f>IF(D207="SI","CUMPLE","NO CUMPLE")</f>
        <v>CUMPLE</v>
      </c>
      <c r="F207" s="53"/>
    </row>
    <row r="208" spans="1:6" ht="14">
      <c r="A208" s="271"/>
      <c r="B208" s="272"/>
      <c r="C208" s="102" t="s">
        <v>128</v>
      </c>
      <c r="D208" s="56" t="s">
        <v>506</v>
      </c>
      <c r="E208" s="55" t="str">
        <f>IF(D208="","NO CUMPLE","CUMPLE")</f>
        <v>CUMPLE</v>
      </c>
      <c r="F208" s="53"/>
    </row>
    <row r="209" spans="1:6" ht="28">
      <c r="A209" s="271"/>
      <c r="B209" s="272"/>
      <c r="C209" s="102" t="s">
        <v>129</v>
      </c>
      <c r="D209" s="56" t="s">
        <v>204</v>
      </c>
      <c r="E209" s="55" t="str">
        <f>IF(D209="Residente Interventoría","CUMPLE","NO CUMPLE")</f>
        <v>CUMPLE</v>
      </c>
      <c r="F209" s="53"/>
    </row>
    <row r="210" spans="1:6" ht="14">
      <c r="A210" s="271"/>
      <c r="B210" s="272"/>
      <c r="C210" s="103" t="s">
        <v>110</v>
      </c>
      <c r="D210" s="58">
        <v>124782087</v>
      </c>
      <c r="E210" s="55" t="str">
        <f>IF(D210="","NO CUMPLE","CUMPLE")</f>
        <v>CUMPLE</v>
      </c>
      <c r="F210" s="53"/>
    </row>
    <row r="211" spans="1:6" ht="14">
      <c r="A211" s="271"/>
      <c r="B211" s="272"/>
      <c r="C211" s="103" t="s">
        <v>111</v>
      </c>
      <c r="D211" s="57">
        <v>40025</v>
      </c>
      <c r="E211" s="55" t="str">
        <f>IF(D211="","NO CUMPLE","CUMPLE")</f>
        <v>CUMPLE</v>
      </c>
      <c r="F211" s="53"/>
    </row>
    <row r="212" spans="1:6" ht="14">
      <c r="A212" s="271"/>
      <c r="B212" s="272"/>
      <c r="C212" s="103" t="s">
        <v>112</v>
      </c>
      <c r="D212" s="57">
        <v>40515</v>
      </c>
      <c r="E212" s="55" t="str">
        <f t="shared" ref="E212" si="10">IF(D212="","NO CUMPLE","CUMPLE")</f>
        <v>CUMPLE</v>
      </c>
      <c r="F212" s="53"/>
    </row>
    <row r="213" spans="1:6">
      <c r="A213" s="273"/>
      <c r="B213" s="274"/>
      <c r="C213" s="103" t="s">
        <v>113</v>
      </c>
      <c r="D213" s="100">
        <f>IFERROR((D210/(VLOOKUP((YEAR(D212)),[1]SMMLV!$A$9:$C$49,3,0))),"0")</f>
        <v>242.29531456310679</v>
      </c>
      <c r="E213" s="101"/>
      <c r="F213" s="53"/>
    </row>
    <row r="214" spans="1:6" ht="15">
      <c r="A214" s="69"/>
      <c r="B214" s="69"/>
      <c r="C214" s="69"/>
      <c r="D214" s="69"/>
      <c r="E214" s="69"/>
      <c r="F214" s="69"/>
    </row>
    <row r="215" spans="1:6" ht="154">
      <c r="A215" s="269" t="s">
        <v>512</v>
      </c>
      <c r="B215" s="270"/>
      <c r="C215" s="102" t="s">
        <v>122</v>
      </c>
      <c r="D215" s="54" t="s">
        <v>61</v>
      </c>
      <c r="E215" s="55" t="str">
        <f>IF(D215="SI","CUMPLE","NO CUMPLE")</f>
        <v>CUMPLE</v>
      </c>
      <c r="F215" s="53"/>
    </row>
    <row r="216" spans="1:6" ht="42">
      <c r="A216" s="271"/>
      <c r="B216" s="272"/>
      <c r="C216" s="102" t="s">
        <v>123</v>
      </c>
      <c r="D216" s="54" t="s">
        <v>61</v>
      </c>
      <c r="E216" s="55" t="str">
        <f>IF(D216="SI","CUMPLE","NO CUMPLE")</f>
        <v>CUMPLE</v>
      </c>
      <c r="F216" s="53"/>
    </row>
    <row r="217" spans="1:6" ht="14">
      <c r="A217" s="271"/>
      <c r="B217" s="272"/>
      <c r="C217" s="102" t="s">
        <v>128</v>
      </c>
      <c r="D217" s="56" t="s">
        <v>506</v>
      </c>
      <c r="E217" s="55" t="str">
        <f>IF(D217="","NO CUMPLE","CUMPLE")</f>
        <v>CUMPLE</v>
      </c>
      <c r="F217" s="53"/>
    </row>
    <row r="218" spans="1:6" ht="28">
      <c r="A218" s="271"/>
      <c r="B218" s="272"/>
      <c r="C218" s="102" t="s">
        <v>129</v>
      </c>
      <c r="D218" s="56" t="s">
        <v>204</v>
      </c>
      <c r="E218" s="55" t="str">
        <f>IF(D218="Residente Interventoría","CUMPLE","NO CUMPLE")</f>
        <v>CUMPLE</v>
      </c>
      <c r="F218" s="53"/>
    </row>
    <row r="219" spans="1:6" ht="14">
      <c r="A219" s="271"/>
      <c r="B219" s="272"/>
      <c r="C219" s="103" t="s">
        <v>110</v>
      </c>
      <c r="D219" s="58">
        <v>132386100</v>
      </c>
      <c r="E219" s="55" t="str">
        <f>IF(D219="","NO CUMPLE","CUMPLE")</f>
        <v>CUMPLE</v>
      </c>
      <c r="F219" s="53"/>
    </row>
    <row r="220" spans="1:6" ht="14">
      <c r="A220" s="271"/>
      <c r="B220" s="272"/>
      <c r="C220" s="103" t="s">
        <v>111</v>
      </c>
      <c r="D220" s="57">
        <v>40603</v>
      </c>
      <c r="E220" s="55" t="str">
        <f>IF(D220="","NO CUMPLE","CUMPLE")</f>
        <v>CUMPLE</v>
      </c>
      <c r="F220" s="53"/>
    </row>
    <row r="221" spans="1:6" ht="14">
      <c r="A221" s="271"/>
      <c r="B221" s="272"/>
      <c r="C221" s="103" t="s">
        <v>112</v>
      </c>
      <c r="D221" s="57">
        <v>41129</v>
      </c>
      <c r="E221" s="55" t="str">
        <f t="shared" ref="E221" si="11">IF(D221="","NO CUMPLE","CUMPLE")</f>
        <v>CUMPLE</v>
      </c>
      <c r="F221" s="53"/>
    </row>
    <row r="222" spans="1:6">
      <c r="A222" s="273"/>
      <c r="B222" s="274"/>
      <c r="C222" s="103" t="s">
        <v>113</v>
      </c>
      <c r="D222" s="100">
        <f>IFERROR((D219/(VLOOKUP((YEAR(D221)),[1]SMMLV!$A$9:$C$49,3,0))),"0")</f>
        <v>233.60878771836951</v>
      </c>
      <c r="E222" s="101"/>
      <c r="F222" s="53"/>
    </row>
    <row r="223" spans="1:6" ht="15">
      <c r="A223" s="69"/>
      <c r="B223" s="69"/>
      <c r="C223" s="69"/>
      <c r="D223" s="69"/>
      <c r="E223" s="69"/>
      <c r="F223" s="69"/>
    </row>
    <row r="224" spans="1:6">
      <c r="A224" s="227" t="s">
        <v>202</v>
      </c>
      <c r="B224" s="227"/>
      <c r="C224" s="227"/>
      <c r="D224" s="227"/>
      <c r="E224" s="227"/>
      <c r="F224" s="71">
        <f>D213+D222</f>
        <v>475.9041022814763</v>
      </c>
    </row>
    <row r="225" spans="1:6">
      <c r="A225" s="227"/>
      <c r="B225" s="227"/>
      <c r="C225" s="227"/>
      <c r="D225" s="227"/>
      <c r="E225" s="227"/>
      <c r="F225" s="43" t="str">
        <f>IF(F224&gt;=216.63,"CUMPLE","NO CUMPLE")</f>
        <v>CUMPLE</v>
      </c>
    </row>
    <row r="226" spans="1:6" ht="27" customHeight="1">
      <c r="A226" s="227" t="s">
        <v>84</v>
      </c>
      <c r="B226" s="227"/>
      <c r="C226" s="227"/>
      <c r="D226" s="227"/>
      <c r="E226" s="227"/>
      <c r="F226" s="227"/>
    </row>
    <row r="227" spans="1:6">
      <c r="A227" s="39"/>
      <c r="B227" s="39"/>
      <c r="C227" s="39"/>
      <c r="D227" s="39"/>
      <c r="E227" s="39"/>
      <c r="F227" s="40"/>
    </row>
    <row r="228" spans="1:6">
      <c r="A228" s="259" t="s">
        <v>135</v>
      </c>
      <c r="B228" s="260"/>
      <c r="C228" s="260"/>
      <c r="D228" s="260"/>
      <c r="E228" s="261"/>
      <c r="F228" s="43" t="str">
        <f>IF(AND(E196="cumple",E197="cumple",E198="cumple",E199="cumple",E200="cumple",E201="cumple",E202="cumple",E203="cumple",E204="cumple",F225="cumple"),"CUMPLE","NO CUMPLE")</f>
        <v>CUMPLE</v>
      </c>
    </row>
    <row r="229" spans="1:6">
      <c r="A229" s="39"/>
      <c r="B229" s="39"/>
      <c r="C229" s="39"/>
      <c r="D229" s="39"/>
      <c r="E229" s="39"/>
      <c r="F229" s="40"/>
    </row>
    <row r="230" spans="1:6">
      <c r="A230" s="262" t="s">
        <v>136</v>
      </c>
      <c r="B230" s="262"/>
      <c r="C230" s="262"/>
      <c r="D230" s="262"/>
      <c r="E230" s="262"/>
      <c r="F230" s="262"/>
    </row>
    <row r="231" spans="1:6">
      <c r="A231" s="263" t="s">
        <v>104</v>
      </c>
      <c r="B231" s="264"/>
      <c r="C231" s="265"/>
      <c r="D231" s="266" t="s">
        <v>513</v>
      </c>
      <c r="E231" s="267"/>
      <c r="F231" s="268"/>
    </row>
    <row r="232" spans="1:6" ht="14">
      <c r="A232" s="99" t="s">
        <v>105</v>
      </c>
      <c r="B232" s="256" t="s">
        <v>124</v>
      </c>
      <c r="C232" s="256"/>
      <c r="D232" s="52" t="s">
        <v>115</v>
      </c>
      <c r="E232" s="52" t="str">
        <f>IF(D232="","NO CUMPLE","CUMPLE")</f>
        <v>CUMPLE</v>
      </c>
      <c r="F232" s="53"/>
    </row>
    <row r="233" spans="1:6" ht="14">
      <c r="A233" s="99" t="s">
        <v>106</v>
      </c>
      <c r="B233" s="256" t="s">
        <v>133</v>
      </c>
      <c r="C233" s="256"/>
      <c r="D233" s="54" t="s">
        <v>61</v>
      </c>
      <c r="E233" s="55" t="str">
        <f>IF(D233="SI","CUMPLE","NO CUMPLE")</f>
        <v>CUMPLE</v>
      </c>
      <c r="F233" s="53" t="s">
        <v>503</v>
      </c>
    </row>
    <row r="234" spans="1:6" ht="14">
      <c r="A234" s="99" t="s">
        <v>107</v>
      </c>
      <c r="B234" s="256" t="s">
        <v>108</v>
      </c>
      <c r="C234" s="256"/>
      <c r="D234" s="63" t="s">
        <v>514</v>
      </c>
      <c r="E234" s="55" t="str">
        <f>IF(D234="","NO CUMPLE","CUMPLE")</f>
        <v>CUMPLE</v>
      </c>
      <c r="F234" s="53"/>
    </row>
    <row r="235" spans="1:6" ht="14">
      <c r="A235" s="253" t="s">
        <v>109</v>
      </c>
      <c r="B235" s="254"/>
      <c r="C235" s="255"/>
      <c r="D235" s="56">
        <v>45630</v>
      </c>
      <c r="E235" s="55" t="str">
        <f>IF(($B$4-D235)&gt;183,"NO CUMPLE","CUMPLE")</f>
        <v>CUMPLE</v>
      </c>
      <c r="F235" s="53"/>
    </row>
    <row r="236" spans="1:6" ht="14">
      <c r="A236" s="257" t="s">
        <v>107</v>
      </c>
      <c r="B236" s="256" t="s">
        <v>132</v>
      </c>
      <c r="C236" s="256"/>
      <c r="D236" s="54">
        <v>37944</v>
      </c>
      <c r="E236" s="55" t="str">
        <f>IF(D236="","NO CUMPLE","CUMPLE")</f>
        <v>CUMPLE</v>
      </c>
      <c r="F236" s="53"/>
    </row>
    <row r="237" spans="1:6" ht="14">
      <c r="A237" s="258"/>
      <c r="B237" s="256" t="s">
        <v>121</v>
      </c>
      <c r="C237" s="256"/>
      <c r="D237" s="100">
        <f>IF(D236&gt;0,(($B$4-D236)/365))</f>
        <v>21.06027397260274</v>
      </c>
      <c r="E237" s="101" t="str">
        <f>IF(D236="","NO CUMPLE",IF(D237&gt;=10,"CUMPLE","NO CUMPLE"))</f>
        <v>CUMPLE</v>
      </c>
      <c r="F237" s="53"/>
    </row>
    <row r="238" spans="1:6" ht="14">
      <c r="A238" s="253" t="s">
        <v>125</v>
      </c>
      <c r="B238" s="254"/>
      <c r="C238" s="255"/>
      <c r="D238" s="111" t="s">
        <v>62</v>
      </c>
      <c r="E238" s="112" t="str">
        <f t="shared" ref="E238:E240" si="12">IF(D238="SI","CUMPLE","NO CUMPLE")</f>
        <v>NO CUMPLE</v>
      </c>
      <c r="F238" s="119" t="s">
        <v>587</v>
      </c>
    </row>
    <row r="239" spans="1:6" ht="14">
      <c r="A239" s="253" t="s">
        <v>126</v>
      </c>
      <c r="B239" s="254"/>
      <c r="C239" s="255"/>
      <c r="D239" s="54" t="s">
        <v>61</v>
      </c>
      <c r="E239" s="55" t="str">
        <f t="shared" si="12"/>
        <v>CUMPLE</v>
      </c>
      <c r="F239" s="53"/>
    </row>
    <row r="240" spans="1:6" ht="14">
      <c r="A240" s="253" t="s">
        <v>127</v>
      </c>
      <c r="B240" s="254"/>
      <c r="C240" s="255"/>
      <c r="D240" s="54" t="s">
        <v>61</v>
      </c>
      <c r="E240" s="55" t="str">
        <f t="shared" si="12"/>
        <v>CUMPLE</v>
      </c>
      <c r="F240" s="53"/>
    </row>
    <row r="241" spans="1:6">
      <c r="A241" s="64"/>
      <c r="B241" s="65"/>
      <c r="C241" s="65"/>
      <c r="D241" s="66"/>
      <c r="E241" s="67"/>
      <c r="F241" s="68"/>
    </row>
    <row r="242" spans="1:6" ht="154">
      <c r="A242" s="269" t="s">
        <v>515</v>
      </c>
      <c r="B242" s="270"/>
      <c r="C242" s="102" t="s">
        <v>122</v>
      </c>
      <c r="D242" s="54" t="s">
        <v>61</v>
      </c>
      <c r="E242" s="55" t="str">
        <f>IF(D242="SI","CUMPLE","NO CUMPLE")</f>
        <v>CUMPLE</v>
      </c>
      <c r="F242" s="53"/>
    </row>
    <row r="243" spans="1:6" ht="42">
      <c r="A243" s="271"/>
      <c r="B243" s="272"/>
      <c r="C243" s="102" t="s">
        <v>123</v>
      </c>
      <c r="D243" s="54" t="s">
        <v>61</v>
      </c>
      <c r="E243" s="55" t="str">
        <f>IF(D243="SI","CUMPLE","NO CUMPLE")</f>
        <v>CUMPLE</v>
      </c>
      <c r="F243" s="53"/>
    </row>
    <row r="244" spans="1:6" ht="14">
      <c r="A244" s="271"/>
      <c r="B244" s="272"/>
      <c r="C244" s="102" t="s">
        <v>128</v>
      </c>
      <c r="D244" s="56" t="s">
        <v>506</v>
      </c>
      <c r="E244" s="55" t="str">
        <f>IF(D244="","NO CUMPLE","CUMPLE")</f>
        <v>CUMPLE</v>
      </c>
      <c r="F244" s="53"/>
    </row>
    <row r="245" spans="1:6" ht="28">
      <c r="A245" s="271"/>
      <c r="B245" s="272"/>
      <c r="C245" s="102" t="s">
        <v>129</v>
      </c>
      <c r="D245" s="56" t="s">
        <v>204</v>
      </c>
      <c r="E245" s="55" t="str">
        <f>IF(D245="Residente Interventoría","CUMPLE","NO CUMPLE")</f>
        <v>CUMPLE</v>
      </c>
      <c r="F245" s="53"/>
    </row>
    <row r="246" spans="1:6" ht="14">
      <c r="A246" s="271"/>
      <c r="B246" s="272"/>
      <c r="C246" s="103" t="s">
        <v>110</v>
      </c>
      <c r="D246" s="58">
        <v>271500000</v>
      </c>
      <c r="E246" s="55" t="str">
        <f>IF(D246="","NO CUMPLE","CUMPLE")</f>
        <v>CUMPLE</v>
      </c>
      <c r="F246" s="53"/>
    </row>
    <row r="247" spans="1:6" ht="14">
      <c r="A247" s="271"/>
      <c r="B247" s="272"/>
      <c r="C247" s="103" t="s">
        <v>111</v>
      </c>
      <c r="D247" s="57">
        <v>43192</v>
      </c>
      <c r="E247" s="55" t="str">
        <f>IF(D247="","NO CUMPLE","CUMPLE")</f>
        <v>CUMPLE</v>
      </c>
      <c r="F247" s="53"/>
    </row>
    <row r="248" spans="1:6" ht="14">
      <c r="A248" s="271"/>
      <c r="B248" s="272"/>
      <c r="C248" s="103" t="s">
        <v>112</v>
      </c>
      <c r="D248" s="57">
        <v>43436</v>
      </c>
      <c r="E248" s="55" t="str">
        <f t="shared" ref="E248" si="13">IF(D248="","NO CUMPLE","CUMPLE")</f>
        <v>CUMPLE</v>
      </c>
      <c r="F248" s="53"/>
    </row>
    <row r="249" spans="1:6">
      <c r="A249" s="273"/>
      <c r="B249" s="274"/>
      <c r="C249" s="103" t="s">
        <v>113</v>
      </c>
      <c r="D249" s="100">
        <f>IFERROR((D246/(VLOOKUP((YEAR(D248)),[1]SMMLV!$A$9:$C$49,3,0))),"0")</f>
        <v>347.52355864124047</v>
      </c>
      <c r="E249" s="101"/>
      <c r="F249" s="53"/>
    </row>
    <row r="250" spans="1:6" ht="15">
      <c r="A250" s="69"/>
      <c r="B250" s="69"/>
      <c r="C250" s="69"/>
      <c r="D250" s="69"/>
      <c r="E250" s="69"/>
      <c r="F250" s="69"/>
    </row>
    <row r="251" spans="1:6" ht="154">
      <c r="A251" s="269" t="s">
        <v>516</v>
      </c>
      <c r="B251" s="270"/>
      <c r="C251" s="102" t="s">
        <v>122</v>
      </c>
      <c r="D251" s="54" t="s">
        <v>61</v>
      </c>
      <c r="E251" s="55" t="str">
        <f>IF(D251="SI","CUMPLE","NO CUMPLE")</f>
        <v>CUMPLE</v>
      </c>
      <c r="F251" s="53"/>
    </row>
    <row r="252" spans="1:6" ht="42">
      <c r="A252" s="271"/>
      <c r="B252" s="272"/>
      <c r="C252" s="102" t="s">
        <v>123</v>
      </c>
      <c r="D252" s="54" t="s">
        <v>61</v>
      </c>
      <c r="E252" s="55" t="str">
        <f>IF(D252="SI","CUMPLE","NO CUMPLE")</f>
        <v>CUMPLE</v>
      </c>
      <c r="F252" s="53"/>
    </row>
    <row r="253" spans="1:6" ht="14">
      <c r="A253" s="271"/>
      <c r="B253" s="272"/>
      <c r="C253" s="102" t="s">
        <v>128</v>
      </c>
      <c r="D253" s="56" t="s">
        <v>506</v>
      </c>
      <c r="E253" s="55" t="str">
        <f>IF(D253="","NO CUMPLE","CUMPLE")</f>
        <v>CUMPLE</v>
      </c>
      <c r="F253" s="53"/>
    </row>
    <row r="254" spans="1:6" ht="28">
      <c r="A254" s="271"/>
      <c r="B254" s="272"/>
      <c r="C254" s="102" t="s">
        <v>129</v>
      </c>
      <c r="D254" s="56" t="s">
        <v>204</v>
      </c>
      <c r="E254" s="55" t="str">
        <f>IF(D254="Residente Interventoría","CUMPLE","NO CUMPLE")</f>
        <v>CUMPLE</v>
      </c>
      <c r="F254" s="53"/>
    </row>
    <row r="255" spans="1:6" ht="14">
      <c r="A255" s="271"/>
      <c r="B255" s="272"/>
      <c r="C255" s="103" t="s">
        <v>110</v>
      </c>
      <c r="D255" s="58">
        <v>270701210</v>
      </c>
      <c r="E255" s="55" t="str">
        <f>IF(D255="","NO CUMPLE","CUMPLE")</f>
        <v>CUMPLE</v>
      </c>
      <c r="F255" s="53"/>
    </row>
    <row r="256" spans="1:6" ht="14">
      <c r="A256" s="271"/>
      <c r="B256" s="272"/>
      <c r="C256" s="103" t="s">
        <v>111</v>
      </c>
      <c r="D256" s="57">
        <v>44068</v>
      </c>
      <c r="E256" s="55" t="str">
        <f>IF(D256="","NO CUMPLE","CUMPLE")</f>
        <v>CUMPLE</v>
      </c>
      <c r="F256" s="53"/>
    </row>
    <row r="257" spans="1:6" ht="14">
      <c r="A257" s="271"/>
      <c r="B257" s="272"/>
      <c r="C257" s="103" t="s">
        <v>112</v>
      </c>
      <c r="D257" s="57">
        <v>44379</v>
      </c>
      <c r="E257" s="55" t="str">
        <f t="shared" ref="E257" si="14">IF(D257="","NO CUMPLE","CUMPLE")</f>
        <v>CUMPLE</v>
      </c>
      <c r="F257" s="53"/>
    </row>
    <row r="258" spans="1:6">
      <c r="A258" s="273"/>
      <c r="B258" s="274"/>
      <c r="C258" s="103" t="s">
        <v>113</v>
      </c>
      <c r="D258" s="100">
        <f>IFERROR((D255/(VLOOKUP((YEAR(D257)),[1]SMMLV!$A$9:$C$49,3,0))),"0")</f>
        <v>297.95648115739118</v>
      </c>
      <c r="E258" s="101"/>
      <c r="F258" s="53"/>
    </row>
    <row r="259" spans="1:6" ht="15">
      <c r="A259" s="69"/>
      <c r="B259" s="69"/>
      <c r="C259" s="69"/>
      <c r="D259" s="69"/>
      <c r="E259" s="69"/>
      <c r="F259" s="69"/>
    </row>
    <row r="260" spans="1:6">
      <c r="A260" s="227" t="s">
        <v>202</v>
      </c>
      <c r="B260" s="227"/>
      <c r="C260" s="227"/>
      <c r="D260" s="227"/>
      <c r="E260" s="227"/>
      <c r="F260" s="71">
        <f>D249+D258</f>
        <v>645.48003979863165</v>
      </c>
    </row>
    <row r="261" spans="1:6">
      <c r="A261" s="227"/>
      <c r="B261" s="227"/>
      <c r="C261" s="227"/>
      <c r="D261" s="227"/>
      <c r="E261" s="227"/>
      <c r="F261" s="43" t="str">
        <f>IF(F260&gt;=216.63,"CUMPLE","NO CUMPLE")</f>
        <v>CUMPLE</v>
      </c>
    </row>
    <row r="262" spans="1:6" ht="27.75" customHeight="1">
      <c r="A262" s="227" t="s">
        <v>84</v>
      </c>
      <c r="B262" s="227"/>
      <c r="C262" s="227"/>
      <c r="D262" s="227"/>
      <c r="E262" s="227"/>
      <c r="F262" s="227"/>
    </row>
    <row r="263" spans="1:6">
      <c r="A263" s="39"/>
      <c r="B263" s="39"/>
      <c r="C263" s="39"/>
      <c r="D263" s="39"/>
      <c r="E263" s="39"/>
      <c r="F263" s="40"/>
    </row>
    <row r="264" spans="1:6">
      <c r="A264" s="246" t="s">
        <v>134</v>
      </c>
      <c r="B264" s="247"/>
      <c r="C264" s="247"/>
      <c r="D264" s="247"/>
      <c r="E264" s="248"/>
      <c r="F264" s="70" t="str">
        <f>IF(AND(E232="cumple",E233="cumple",E234="cumple",E235="cumple",E236="cumple",E237="cumple",E238="cumple",E239="cumple",E240="cumple",F261="cumple"),"CUMPLE","NO CUMPLE")</f>
        <v>NO CUMPLE</v>
      </c>
    </row>
    <row r="265" spans="1:6">
      <c r="A265" s="39"/>
      <c r="B265" s="39"/>
      <c r="C265" s="39"/>
      <c r="D265" s="39"/>
      <c r="E265" s="39"/>
      <c r="F265" s="40"/>
    </row>
    <row r="266" spans="1:6" ht="30.75" customHeight="1">
      <c r="A266" s="249" t="s">
        <v>114</v>
      </c>
      <c r="B266" s="250"/>
      <c r="C266" s="250"/>
      <c r="D266" s="250"/>
      <c r="E266" s="251"/>
      <c r="F266" s="104" t="str">
        <f>IF(AND(F192="CUMPLE",F228="CUMPLE",F264="CUMPLE"),"CUMPLE","NO CUMPLE")</f>
        <v>NO CUMPLE</v>
      </c>
    </row>
    <row r="267" spans="1:6">
      <c r="A267" s="39"/>
      <c r="B267" s="39"/>
      <c r="C267" s="39"/>
      <c r="D267" s="39"/>
      <c r="E267" s="39"/>
      <c r="F267" s="40"/>
    </row>
    <row r="268" spans="1:6">
      <c r="A268" s="39"/>
      <c r="B268" s="39"/>
      <c r="C268" s="39"/>
      <c r="D268" s="39"/>
      <c r="E268" s="39"/>
      <c r="F268" s="40"/>
    </row>
    <row r="269" spans="1:6" ht="14">
      <c r="A269" s="252" t="s">
        <v>139</v>
      </c>
      <c r="B269" s="252"/>
      <c r="C269" s="252"/>
      <c r="D269" s="252"/>
      <c r="E269" s="252"/>
      <c r="F269" s="252"/>
    </row>
    <row r="270" spans="1:6">
      <c r="A270" s="39"/>
      <c r="B270" s="39"/>
      <c r="C270" s="39"/>
      <c r="D270" s="39"/>
      <c r="E270" s="39"/>
      <c r="F270" s="40"/>
    </row>
    <row r="271" spans="1:6">
      <c r="A271" s="227" t="s">
        <v>140</v>
      </c>
      <c r="B271" s="227"/>
      <c r="C271" s="227"/>
      <c r="D271" s="227"/>
      <c r="E271" s="227"/>
      <c r="F271" s="46" t="s">
        <v>62</v>
      </c>
    </row>
    <row r="272" spans="1:6">
      <c r="A272" s="227"/>
      <c r="B272" s="227"/>
      <c r="C272" s="227"/>
      <c r="D272" s="227"/>
      <c r="E272" s="227"/>
      <c r="F272" s="43" t="str">
        <f>IF(F271="SI","CUMPLE","NO CUMPLE")</f>
        <v>NO CUMPLE</v>
      </c>
    </row>
    <row r="273" spans="1:6">
      <c r="A273" s="333" t="s">
        <v>588</v>
      </c>
      <c r="B273" s="333"/>
      <c r="C273" s="333"/>
      <c r="D273" s="333"/>
      <c r="E273" s="333"/>
      <c r="F273" s="333"/>
    </row>
    <row r="274" spans="1:6">
      <c r="A274" s="39"/>
      <c r="B274" s="39"/>
      <c r="C274" s="39"/>
      <c r="D274" s="39"/>
      <c r="E274" s="39"/>
      <c r="F274" s="40"/>
    </row>
    <row r="275" spans="1:6" ht="14">
      <c r="A275" s="249" t="s">
        <v>139</v>
      </c>
      <c r="B275" s="250"/>
      <c r="C275" s="250"/>
      <c r="D275" s="250"/>
      <c r="E275" s="251"/>
      <c r="F275" s="104" t="str">
        <f>IF((F272="CUMPLE"),"CUMPLE","NO CUMPLE")</f>
        <v>NO CUMPLE</v>
      </c>
    </row>
    <row r="276" spans="1:6">
      <c r="A276" s="39"/>
      <c r="B276" s="39"/>
      <c r="C276" s="39"/>
      <c r="D276" s="39"/>
      <c r="E276" s="39"/>
      <c r="F276" s="40"/>
    </row>
    <row r="277" spans="1:6" ht="16">
      <c r="A277" s="242" t="s">
        <v>89</v>
      </c>
      <c r="B277" s="243"/>
      <c r="C277" s="243"/>
      <c r="D277" s="243"/>
      <c r="E277" s="244"/>
      <c r="F277" s="105" t="str">
        <f>IF(AND(F138="CUMPLE",F266="CUMPLE",F275="CUMPLE"),"HABILITADO","NO HABILITADO")</f>
        <v>NO HABILITADO</v>
      </c>
    </row>
    <row r="278" spans="1:6" hidden="1">
      <c r="A278" s="39"/>
      <c r="B278" s="39"/>
      <c r="C278" s="39"/>
      <c r="D278" s="39"/>
      <c r="E278" s="39"/>
      <c r="F278" s="40"/>
    </row>
    <row r="279" spans="1:6" hidden="1">
      <c r="A279" s="39"/>
      <c r="B279" s="39"/>
      <c r="C279" s="39"/>
      <c r="D279" s="39"/>
      <c r="E279" s="39"/>
      <c r="F279" s="40"/>
    </row>
    <row r="280" spans="1:6" ht="16" hidden="1">
      <c r="A280" s="245" t="s">
        <v>141</v>
      </c>
      <c r="B280" s="245"/>
      <c r="C280" s="245"/>
      <c r="D280" s="245"/>
      <c r="E280" s="245"/>
      <c r="F280" s="245"/>
    </row>
    <row r="281" spans="1:6" ht="14" hidden="1">
      <c r="A281" s="212" t="s">
        <v>142</v>
      </c>
      <c r="B281" s="212"/>
      <c r="C281" s="212"/>
      <c r="D281" s="212"/>
      <c r="E281" s="212"/>
      <c r="F281" s="212"/>
    </row>
    <row r="282" spans="1:6" hidden="1">
      <c r="A282" s="27"/>
      <c r="B282" s="27"/>
      <c r="C282" s="27"/>
      <c r="D282" s="27"/>
      <c r="E282" s="27"/>
      <c r="F282" s="21"/>
    </row>
    <row r="283" spans="1:6" hidden="1">
      <c r="A283" s="28" t="s">
        <v>517</v>
      </c>
      <c r="B283" s="294" t="s">
        <v>500</v>
      </c>
      <c r="C283" s="294"/>
      <c r="D283" s="294"/>
      <c r="E283" s="294"/>
      <c r="F283" s="294"/>
    </row>
    <row r="284" spans="1:6" ht="26.25" hidden="1" customHeight="1">
      <c r="A284" s="28" t="s">
        <v>51</v>
      </c>
      <c r="B284" s="241" t="s">
        <v>518</v>
      </c>
      <c r="C284" s="241"/>
      <c r="D284" s="241"/>
      <c r="E284" s="241"/>
      <c r="F284" s="241"/>
    </row>
    <row r="285" spans="1:6" hidden="1">
      <c r="A285" s="23" t="s">
        <v>52</v>
      </c>
      <c r="B285" s="234" t="s">
        <v>494</v>
      </c>
      <c r="C285" s="234"/>
      <c r="D285" s="234"/>
      <c r="E285" s="234"/>
      <c r="F285" s="234"/>
    </row>
    <row r="286" spans="1:6" hidden="1">
      <c r="A286" s="28" t="s">
        <v>65</v>
      </c>
      <c r="B286" s="31" t="s">
        <v>53</v>
      </c>
      <c r="C286" s="32" t="s">
        <v>66</v>
      </c>
      <c r="D286" s="32" t="s">
        <v>54</v>
      </c>
      <c r="E286" s="32" t="s">
        <v>67</v>
      </c>
      <c r="F286" s="32" t="s">
        <v>55</v>
      </c>
    </row>
    <row r="287" spans="1:6" hidden="1">
      <c r="A287" s="227" t="s">
        <v>56</v>
      </c>
      <c r="B287" s="33">
        <v>80101600</v>
      </c>
      <c r="C287" s="29">
        <v>80101600</v>
      </c>
      <c r="D287" s="29">
        <v>22</v>
      </c>
      <c r="E287" s="235" t="str">
        <f>IF(B288=C288,"Acredita",IF(B287=C287,"Acredita","No acredita"))</f>
        <v>Acredita</v>
      </c>
      <c r="F287" s="304"/>
    </row>
    <row r="288" spans="1:6" hidden="1">
      <c r="A288" s="227"/>
      <c r="B288" s="33">
        <v>81101500</v>
      </c>
      <c r="C288" s="30">
        <v>81101500</v>
      </c>
      <c r="D288" s="30">
        <v>22</v>
      </c>
      <c r="E288" s="236"/>
      <c r="F288" s="305"/>
    </row>
    <row r="289" spans="1:6" ht="14" hidden="1">
      <c r="A289" s="237" t="s">
        <v>57</v>
      </c>
      <c r="B289" s="238"/>
      <c r="C289" s="239"/>
      <c r="D289" s="34">
        <v>40603</v>
      </c>
      <c r="E289" s="35" t="str">
        <f>IF(D289="","No acredita","Acredita")</f>
        <v>Acredita</v>
      </c>
      <c r="F289" s="305"/>
    </row>
    <row r="290" spans="1:6" ht="14" hidden="1">
      <c r="A290" s="237" t="s">
        <v>58</v>
      </c>
      <c r="B290" s="238"/>
      <c r="C290" s="239"/>
      <c r="D290" s="36">
        <v>132386100</v>
      </c>
      <c r="E290" s="35" t="str">
        <f>IF(D290="","No acredita","Acredita")</f>
        <v>Acredita</v>
      </c>
      <c r="F290" s="305"/>
    </row>
    <row r="291" spans="1:6" ht="14" hidden="1">
      <c r="A291" s="237" t="s">
        <v>59</v>
      </c>
      <c r="B291" s="238"/>
      <c r="C291" s="239"/>
      <c r="D291" s="89">
        <f>IFERROR((D290/(VLOOKUP((YEAR(D293)),[1]SMMLV!$A$9:$C$49,3,0)))*'O8'!D292,"0")</f>
        <v>233.60878771836951</v>
      </c>
      <c r="E291" s="37" t="str">
        <f>IF(D291="","No acredita","Acredita")</f>
        <v>Acredita</v>
      </c>
      <c r="F291" s="305"/>
    </row>
    <row r="292" spans="1:6" ht="14" hidden="1">
      <c r="A292" s="237" t="s">
        <v>80</v>
      </c>
      <c r="B292" s="238"/>
      <c r="C292" s="239"/>
      <c r="D292" s="45">
        <v>1</v>
      </c>
      <c r="E292" s="35" t="str">
        <f>IF(D292="","No acredita","Acredita")</f>
        <v>Acredita</v>
      </c>
      <c r="F292" s="305"/>
    </row>
    <row r="293" spans="1:6" ht="14" hidden="1">
      <c r="A293" s="237" t="s">
        <v>60</v>
      </c>
      <c r="B293" s="238"/>
      <c r="C293" s="239"/>
      <c r="D293" s="34">
        <v>41129</v>
      </c>
      <c r="E293" s="35" t="str">
        <f>IF(D293="","No acredita","Acredita")</f>
        <v>Acredita</v>
      </c>
      <c r="F293" s="305"/>
    </row>
    <row r="294" spans="1:6" ht="62.25" hidden="1" customHeight="1">
      <c r="A294" s="227" t="s">
        <v>91</v>
      </c>
      <c r="B294" s="227"/>
      <c r="C294" s="227"/>
      <c r="D294" s="38" t="s">
        <v>61</v>
      </c>
      <c r="E294" s="35" t="str">
        <f t="shared" ref="E294:E297" si="15">IF(D294="","No acredita",IF(D294="","",IF(D294="SI","Acredita","No acredita")))</f>
        <v>Acredita</v>
      </c>
      <c r="F294" s="305"/>
    </row>
    <row r="295" spans="1:6" ht="30" hidden="1" customHeight="1">
      <c r="A295" s="227" t="s">
        <v>92</v>
      </c>
      <c r="B295" s="227"/>
      <c r="C295" s="227"/>
      <c r="D295" s="38" t="s">
        <v>61</v>
      </c>
      <c r="E295" s="35" t="str">
        <f t="shared" si="15"/>
        <v>Acredita</v>
      </c>
      <c r="F295" s="305"/>
    </row>
    <row r="296" spans="1:6" ht="14" hidden="1">
      <c r="A296" s="227" t="s">
        <v>69</v>
      </c>
      <c r="B296" s="227"/>
      <c r="C296" s="227"/>
      <c r="D296" s="38" t="s">
        <v>61</v>
      </c>
      <c r="E296" s="35" t="str">
        <f t="shared" si="15"/>
        <v>Acredita</v>
      </c>
      <c r="F296" s="305"/>
    </row>
    <row r="297" spans="1:6" ht="14" hidden="1">
      <c r="A297" s="227" t="s">
        <v>103</v>
      </c>
      <c r="B297" s="227"/>
      <c r="C297" s="227"/>
      <c r="D297" s="38" t="s">
        <v>61</v>
      </c>
      <c r="E297" s="35" t="str">
        <f t="shared" si="15"/>
        <v>Acredita</v>
      </c>
      <c r="F297" s="306"/>
    </row>
    <row r="298" spans="1:6" hidden="1">
      <c r="A298" s="231" t="s">
        <v>143</v>
      </c>
      <c r="B298" s="231"/>
      <c r="C298" s="231"/>
      <c r="D298" s="231"/>
      <c r="E298" s="232" t="str">
        <f>IF(AND(E287="acredita",E289="acredita",E290="acredita",E291="acredita",E292="acredita",E293="acredita",E294="acredita",E295="acredita",E296="acredita",E297="acredita"),"CUMPLE","NO CUMPLE")</f>
        <v>CUMPLE</v>
      </c>
      <c r="F298" s="233"/>
    </row>
    <row r="299" spans="1:6" hidden="1">
      <c r="A299" s="26"/>
      <c r="B299" s="26"/>
      <c r="C299" s="26"/>
      <c r="D299" s="26"/>
      <c r="E299" s="22"/>
      <c r="F299" s="22"/>
    </row>
    <row r="300" spans="1:6" hidden="1">
      <c r="A300" s="28" t="s">
        <v>519</v>
      </c>
      <c r="B300" s="294" t="s">
        <v>520</v>
      </c>
      <c r="C300" s="294"/>
      <c r="D300" s="294"/>
      <c r="E300" s="294"/>
      <c r="F300" s="294"/>
    </row>
    <row r="301" spans="1:6" ht="27.75" hidden="1" customHeight="1">
      <c r="A301" s="28" t="s">
        <v>51</v>
      </c>
      <c r="B301" s="241" t="s">
        <v>521</v>
      </c>
      <c r="C301" s="241"/>
      <c r="D301" s="241"/>
      <c r="E301" s="241"/>
      <c r="F301" s="241"/>
    </row>
    <row r="302" spans="1:6" hidden="1">
      <c r="A302" s="23" t="s">
        <v>52</v>
      </c>
      <c r="B302" s="234" t="s">
        <v>522</v>
      </c>
      <c r="C302" s="234"/>
      <c r="D302" s="234"/>
      <c r="E302" s="234"/>
      <c r="F302" s="234"/>
    </row>
    <row r="303" spans="1:6" hidden="1">
      <c r="A303" s="28" t="s">
        <v>65</v>
      </c>
      <c r="B303" s="31" t="s">
        <v>53</v>
      </c>
      <c r="C303" s="32" t="s">
        <v>66</v>
      </c>
      <c r="D303" s="32" t="s">
        <v>54</v>
      </c>
      <c r="E303" s="32" t="s">
        <v>67</v>
      </c>
      <c r="F303" s="32" t="s">
        <v>55</v>
      </c>
    </row>
    <row r="304" spans="1:6" hidden="1">
      <c r="A304" s="227" t="s">
        <v>56</v>
      </c>
      <c r="B304" s="33">
        <v>80101600</v>
      </c>
      <c r="C304" s="29">
        <v>80101600</v>
      </c>
      <c r="D304" s="29">
        <v>134</v>
      </c>
      <c r="E304" s="235" t="str">
        <f>IF(B305=C305,"Acredita",IF(B304=C304,"Acredita","No acredita"))</f>
        <v>Acredita</v>
      </c>
      <c r="F304" s="304"/>
    </row>
    <row r="305" spans="1:6" hidden="1">
      <c r="A305" s="227"/>
      <c r="B305" s="33">
        <v>81101500</v>
      </c>
      <c r="C305" s="30">
        <v>81101500</v>
      </c>
      <c r="D305" s="30">
        <v>134</v>
      </c>
      <c r="E305" s="236"/>
      <c r="F305" s="305"/>
    </row>
    <row r="306" spans="1:6" ht="14" hidden="1">
      <c r="A306" s="237" t="s">
        <v>57</v>
      </c>
      <c r="B306" s="238"/>
      <c r="C306" s="239"/>
      <c r="D306" s="34">
        <v>41751</v>
      </c>
      <c r="E306" s="35" t="str">
        <f>IF(D306="","No acredita","Acredita")</f>
        <v>Acredita</v>
      </c>
      <c r="F306" s="305"/>
    </row>
    <row r="307" spans="1:6" ht="14" hidden="1">
      <c r="A307" s="237" t="s">
        <v>58</v>
      </c>
      <c r="B307" s="238"/>
      <c r="C307" s="239"/>
      <c r="D307" s="36">
        <v>152980000</v>
      </c>
      <c r="E307" s="35" t="str">
        <f>IF(D307="","No acredita","Acredita")</f>
        <v>Acredita</v>
      </c>
      <c r="F307" s="305"/>
    </row>
    <row r="308" spans="1:6" ht="14" hidden="1">
      <c r="A308" s="237" t="s">
        <v>59</v>
      </c>
      <c r="B308" s="238"/>
      <c r="C308" s="239"/>
      <c r="D308" s="44">
        <f>IFERROR((D307/(VLOOKUP((YEAR(D310)),[1]SMMLV!$A$9:$C$49,3,0)))*'O8'!D309,"0")</f>
        <v>237.41755257235974</v>
      </c>
      <c r="E308" s="37" t="str">
        <f>IF(D308="","No acredita","Acredita")</f>
        <v>Acredita</v>
      </c>
      <c r="F308" s="305"/>
    </row>
    <row r="309" spans="1:6" ht="14" hidden="1">
      <c r="A309" s="237" t="s">
        <v>80</v>
      </c>
      <c r="B309" s="238"/>
      <c r="C309" s="239"/>
      <c r="D309" s="45">
        <v>1</v>
      </c>
      <c r="E309" s="35" t="str">
        <f>IF(D309="","No acredita","Acredita")</f>
        <v>Acredita</v>
      </c>
      <c r="F309" s="305"/>
    </row>
    <row r="310" spans="1:6" ht="14" hidden="1">
      <c r="A310" s="237" t="s">
        <v>60</v>
      </c>
      <c r="B310" s="238"/>
      <c r="C310" s="239"/>
      <c r="D310" s="34">
        <v>42231</v>
      </c>
      <c r="E310" s="35" t="str">
        <f>IF(D310="","No acredita","Acredita")</f>
        <v>Acredita</v>
      </c>
      <c r="F310" s="305"/>
    </row>
    <row r="311" spans="1:6" ht="70.5" hidden="1" customHeight="1">
      <c r="A311" s="227" t="s">
        <v>91</v>
      </c>
      <c r="B311" s="227"/>
      <c r="C311" s="227"/>
      <c r="D311" s="38" t="s">
        <v>61</v>
      </c>
      <c r="E311" s="35" t="str">
        <f t="shared" ref="E311:E314" si="16">IF(D311="","No acredita",IF(D311="","",IF(D311="SI","Acredita","No acredita")))</f>
        <v>Acredita</v>
      </c>
      <c r="F311" s="305"/>
    </row>
    <row r="312" spans="1:6" ht="30" hidden="1" customHeight="1">
      <c r="A312" s="227" t="s">
        <v>92</v>
      </c>
      <c r="B312" s="227"/>
      <c r="C312" s="227"/>
      <c r="D312" s="38" t="s">
        <v>61</v>
      </c>
      <c r="E312" s="35" t="str">
        <f t="shared" si="16"/>
        <v>Acredita</v>
      </c>
      <c r="F312" s="305"/>
    </row>
    <row r="313" spans="1:6" ht="14" hidden="1">
      <c r="A313" s="227" t="s">
        <v>69</v>
      </c>
      <c r="B313" s="227"/>
      <c r="C313" s="227"/>
      <c r="D313" s="38" t="s">
        <v>61</v>
      </c>
      <c r="E313" s="35" t="str">
        <f t="shared" si="16"/>
        <v>Acredita</v>
      </c>
      <c r="F313" s="305"/>
    </row>
    <row r="314" spans="1:6" ht="14" hidden="1">
      <c r="A314" s="227" t="s">
        <v>103</v>
      </c>
      <c r="B314" s="227"/>
      <c r="C314" s="227"/>
      <c r="D314" s="38" t="s">
        <v>61</v>
      </c>
      <c r="E314" s="35" t="str">
        <f t="shared" si="16"/>
        <v>Acredita</v>
      </c>
      <c r="F314" s="306"/>
    </row>
    <row r="315" spans="1:6" hidden="1">
      <c r="A315" s="231" t="s">
        <v>144</v>
      </c>
      <c r="B315" s="231"/>
      <c r="C315" s="231"/>
      <c r="D315" s="231"/>
      <c r="E315" s="232" t="str">
        <f>IF(AND(E304="acredita",E306="acredita",E307="acredita",E308="acredita",E309="acredita",E310="acredita",E311="acredita",E312="acredita",E313="acredita",E314="acredita"),"CUMPLE","NO CUMPLE")</f>
        <v>CUMPLE</v>
      </c>
      <c r="F315" s="233"/>
    </row>
    <row r="316" spans="1:6" hidden="1"/>
    <row r="317" spans="1:6" hidden="1">
      <c r="A317" s="226" t="s">
        <v>145</v>
      </c>
      <c r="B317" s="226"/>
      <c r="C317" s="226"/>
      <c r="D317" s="226"/>
      <c r="E317" s="226"/>
      <c r="F317" s="77">
        <f>D291+D308</f>
        <v>471.02634029072925</v>
      </c>
    </row>
    <row r="318" spans="1:6" hidden="1"/>
    <row r="319" spans="1:6" hidden="1">
      <c r="A319" s="228" t="s">
        <v>146</v>
      </c>
      <c r="B319" s="229"/>
      <c r="C319" s="35">
        <v>40</v>
      </c>
      <c r="D319" s="208" t="str">
        <f>IF(F317&gt;433.26,"40",IF(F317&gt;216.63,"30",IF(F317&gt;108.32,"20",IF(F317&gt;43.33,"10","0"))))</f>
        <v>40</v>
      </c>
      <c r="E319" s="230" t="s">
        <v>151</v>
      </c>
      <c r="F319" s="230"/>
    </row>
    <row r="320" spans="1:6" ht="12.75" hidden="1" customHeight="1">
      <c r="A320" s="228" t="s">
        <v>147</v>
      </c>
      <c r="B320" s="229"/>
      <c r="C320" s="35">
        <v>30</v>
      </c>
      <c r="D320" s="209"/>
      <c r="E320" s="230"/>
      <c r="F320" s="230"/>
    </row>
    <row r="321" spans="1:7" ht="12.75" hidden="1" customHeight="1">
      <c r="A321" s="228" t="s">
        <v>148</v>
      </c>
      <c r="B321" s="229"/>
      <c r="C321" s="35">
        <v>20</v>
      </c>
      <c r="D321" s="209"/>
      <c r="E321" s="230"/>
      <c r="F321" s="230"/>
    </row>
    <row r="322" spans="1:7" ht="12.75" hidden="1" customHeight="1">
      <c r="A322" s="228" t="s">
        <v>149</v>
      </c>
      <c r="B322" s="229"/>
      <c r="C322" s="35">
        <v>10</v>
      </c>
      <c r="D322" s="209"/>
      <c r="E322" s="230"/>
      <c r="F322" s="230"/>
      <c r="G322" s="75"/>
    </row>
    <row r="323" spans="1:7" hidden="1">
      <c r="A323" s="228" t="s">
        <v>150</v>
      </c>
      <c r="B323" s="229"/>
      <c r="C323" s="35">
        <v>0</v>
      </c>
      <c r="D323" s="210"/>
      <c r="E323" s="230"/>
      <c r="F323" s="230"/>
      <c r="G323" s="76"/>
    </row>
    <row r="324" spans="1:7" hidden="1">
      <c r="G324" s="76"/>
    </row>
    <row r="325" spans="1:7" ht="14" hidden="1">
      <c r="A325" s="212" t="s">
        <v>152</v>
      </c>
      <c r="B325" s="212"/>
      <c r="C325" s="212"/>
      <c r="D325" s="212"/>
      <c r="E325" s="212"/>
      <c r="F325" s="212"/>
      <c r="G325" s="76"/>
    </row>
    <row r="326" spans="1:7" hidden="1"/>
    <row r="327" spans="1:7" ht="154" hidden="1">
      <c r="A327" s="269" t="s">
        <v>523</v>
      </c>
      <c r="B327" s="270"/>
      <c r="C327" s="102" t="s">
        <v>122</v>
      </c>
      <c r="D327" s="54" t="s">
        <v>61</v>
      </c>
      <c r="E327" s="55" t="str">
        <f>IF(D327="SI","CUMPLE","NO CUMPLE")</f>
        <v>CUMPLE</v>
      </c>
      <c r="F327" s="53"/>
    </row>
    <row r="328" spans="1:7" ht="42" hidden="1">
      <c r="A328" s="271"/>
      <c r="B328" s="272"/>
      <c r="C328" s="102" t="s">
        <v>123</v>
      </c>
      <c r="D328" s="54" t="s">
        <v>61</v>
      </c>
      <c r="E328" s="55" t="str">
        <f>IF(D328="SI","CUMPLE","NO CUMPLE")</f>
        <v>CUMPLE</v>
      </c>
      <c r="F328" s="53"/>
    </row>
    <row r="329" spans="1:7" ht="14" hidden="1">
      <c r="A329" s="271"/>
      <c r="B329" s="272"/>
      <c r="C329" s="102" t="s">
        <v>128</v>
      </c>
      <c r="D329" s="56" t="s">
        <v>506</v>
      </c>
      <c r="E329" s="55" t="str">
        <f>IF(D329="","NO CUMPLE","CUMPLE")</f>
        <v>CUMPLE</v>
      </c>
      <c r="F329" s="53"/>
    </row>
    <row r="330" spans="1:7" ht="28" hidden="1">
      <c r="A330" s="271"/>
      <c r="B330" s="272"/>
      <c r="C330" s="102" t="s">
        <v>129</v>
      </c>
      <c r="D330" s="56" t="s">
        <v>130</v>
      </c>
      <c r="E330" s="55" t="str">
        <f>IF(D330="Director Interventoria","CUMPLE","NO CUMPLE")</f>
        <v>CUMPLE</v>
      </c>
      <c r="F330" s="53"/>
    </row>
    <row r="331" spans="1:7" ht="14" hidden="1">
      <c r="A331" s="271"/>
      <c r="B331" s="272"/>
      <c r="C331" s="103" t="s">
        <v>110</v>
      </c>
      <c r="D331" s="58">
        <v>132386100</v>
      </c>
      <c r="E331" s="55" t="str">
        <f>IF(D331="","NO CUMPLE","CUMPLE")</f>
        <v>CUMPLE</v>
      </c>
      <c r="F331" s="53"/>
    </row>
    <row r="332" spans="1:7" ht="14" hidden="1">
      <c r="A332" s="271"/>
      <c r="B332" s="272"/>
      <c r="C332" s="103" t="s">
        <v>111</v>
      </c>
      <c r="D332" s="57">
        <v>40603</v>
      </c>
      <c r="E332" s="55" t="str">
        <f>IF(D332="","NO CUMPLE","CUMPLE")</f>
        <v>CUMPLE</v>
      </c>
      <c r="F332" s="53"/>
      <c r="G332" s="51"/>
    </row>
    <row r="333" spans="1:7" ht="14" hidden="1">
      <c r="A333" s="271"/>
      <c r="B333" s="272"/>
      <c r="C333" s="103" t="s">
        <v>112</v>
      </c>
      <c r="D333" s="57">
        <v>41129</v>
      </c>
      <c r="E333" s="55" t="str">
        <f t="shared" ref="E333" si="17">IF(D333="","NO CUMPLE","CUMPLE")</f>
        <v>CUMPLE</v>
      </c>
      <c r="F333" s="53"/>
    </row>
    <row r="334" spans="1:7" hidden="1">
      <c r="A334" s="273"/>
      <c r="B334" s="274"/>
      <c r="C334" s="103" t="s">
        <v>113</v>
      </c>
      <c r="D334" s="100">
        <f>IFERROR((D331/(VLOOKUP((YEAR(D333)),[1]SMMLV!$A$9:$C$49,3,0))),"0")</f>
        <v>233.60878771836951</v>
      </c>
      <c r="E334" s="101"/>
      <c r="F334" s="53"/>
    </row>
    <row r="335" spans="1:7" ht="154" hidden="1">
      <c r="A335" s="269" t="s">
        <v>524</v>
      </c>
      <c r="B335" s="270"/>
      <c r="C335" s="102" t="s">
        <v>122</v>
      </c>
      <c r="D335" s="54" t="s">
        <v>61</v>
      </c>
      <c r="E335" s="55" t="str">
        <f>IF(D335="SI","CUMPLE","NO CUMPLE")</f>
        <v>CUMPLE</v>
      </c>
      <c r="F335" s="53"/>
    </row>
    <row r="336" spans="1:7" ht="42" hidden="1">
      <c r="A336" s="271"/>
      <c r="B336" s="272"/>
      <c r="C336" s="102" t="s">
        <v>123</v>
      </c>
      <c r="D336" s="54" t="s">
        <v>61</v>
      </c>
      <c r="E336" s="55" t="str">
        <f>IF(D336="SI","CUMPLE","NO CUMPLE")</f>
        <v>CUMPLE</v>
      </c>
      <c r="F336" s="53"/>
    </row>
    <row r="337" spans="1:6" ht="14" hidden="1">
      <c r="A337" s="271"/>
      <c r="B337" s="272"/>
      <c r="C337" s="102" t="s">
        <v>128</v>
      </c>
      <c r="D337" s="56" t="s">
        <v>506</v>
      </c>
      <c r="E337" s="55" t="str">
        <f>IF(D337="","NO CUMPLE","CUMPLE")</f>
        <v>CUMPLE</v>
      </c>
      <c r="F337" s="53"/>
    </row>
    <row r="338" spans="1:6" ht="28" hidden="1">
      <c r="A338" s="271"/>
      <c r="B338" s="272"/>
      <c r="C338" s="102" t="s">
        <v>129</v>
      </c>
      <c r="D338" s="56" t="s">
        <v>130</v>
      </c>
      <c r="E338" s="55" t="str">
        <f>IF(D338="Director Interventoria","CUMPLE","NO CUMPLE")</f>
        <v>CUMPLE</v>
      </c>
      <c r="F338" s="53"/>
    </row>
    <row r="339" spans="1:6" ht="14" hidden="1">
      <c r="A339" s="271"/>
      <c r="B339" s="272"/>
      <c r="C339" s="103" t="s">
        <v>110</v>
      </c>
      <c r="D339" s="58">
        <v>271500000</v>
      </c>
      <c r="E339" s="55" t="str">
        <f>IF(D339="","NO CUMPLE","CUMPLE")</f>
        <v>CUMPLE</v>
      </c>
      <c r="F339" s="53"/>
    </row>
    <row r="340" spans="1:6" ht="14" hidden="1">
      <c r="A340" s="271"/>
      <c r="B340" s="272"/>
      <c r="C340" s="103" t="s">
        <v>111</v>
      </c>
      <c r="D340" s="57">
        <v>43192</v>
      </c>
      <c r="E340" s="55" t="str">
        <f>IF(D340="","NO CUMPLE","CUMPLE")</f>
        <v>CUMPLE</v>
      </c>
      <c r="F340" s="53"/>
    </row>
    <row r="341" spans="1:6" ht="14" hidden="1">
      <c r="A341" s="271"/>
      <c r="B341" s="272"/>
      <c r="C341" s="103" t="s">
        <v>112</v>
      </c>
      <c r="D341" s="57">
        <v>43436</v>
      </c>
      <c r="E341" s="55" t="str">
        <f t="shared" ref="E341" si="18">IF(D341="","NO CUMPLE","CUMPLE")</f>
        <v>CUMPLE</v>
      </c>
      <c r="F341" s="53"/>
    </row>
    <row r="342" spans="1:6" hidden="1">
      <c r="A342" s="273"/>
      <c r="B342" s="274"/>
      <c r="C342" s="103" t="s">
        <v>113</v>
      </c>
      <c r="D342" s="100">
        <f>IFERROR((D339/(VLOOKUP((YEAR(D341)),[1]SMMLV!$A$9:$C$49,3,0))),"0")</f>
        <v>347.52355864124047</v>
      </c>
      <c r="E342" s="101"/>
      <c r="F342" s="53"/>
    </row>
    <row r="343" spans="1:6" hidden="1">
      <c r="A343" s="226" t="s">
        <v>155</v>
      </c>
      <c r="B343" s="226"/>
      <c r="C343" s="226"/>
      <c r="D343" s="226"/>
      <c r="E343" s="226"/>
      <c r="F343" s="77">
        <f>D334+D342</f>
        <v>581.13234635960998</v>
      </c>
    </row>
    <row r="344" spans="1:6" hidden="1"/>
    <row r="345" spans="1:6" hidden="1">
      <c r="A345" s="227" t="s">
        <v>153</v>
      </c>
      <c r="B345" s="227"/>
      <c r="C345" s="227"/>
      <c r="D345" s="35">
        <v>30</v>
      </c>
      <c r="E345" s="208" t="str">
        <f>IF(F343&gt;=346.608,"30","0")</f>
        <v>30</v>
      </c>
      <c r="F345" s="313" t="s">
        <v>151</v>
      </c>
    </row>
    <row r="346" spans="1:6" hidden="1">
      <c r="A346" s="227" t="s">
        <v>154</v>
      </c>
      <c r="B346" s="227"/>
      <c r="C346" s="227"/>
      <c r="D346" s="35">
        <v>0</v>
      </c>
      <c r="E346" s="210"/>
      <c r="F346" s="314"/>
    </row>
    <row r="347" spans="1:6" hidden="1"/>
    <row r="348" spans="1:6" ht="14" hidden="1">
      <c r="A348" s="212" t="s">
        <v>156</v>
      </c>
      <c r="B348" s="212"/>
      <c r="C348" s="212"/>
      <c r="D348" s="212"/>
      <c r="E348" s="212"/>
      <c r="F348" s="212"/>
    </row>
    <row r="349" spans="1:6" ht="14" hidden="1">
      <c r="A349" s="198" t="s">
        <v>157</v>
      </c>
      <c r="B349" s="198"/>
      <c r="C349" s="198"/>
      <c r="D349" s="78" t="s">
        <v>160</v>
      </c>
      <c r="E349" s="208" t="str">
        <f>IF(D349="X","18,92",IF(D350="X","10",IF(D351="X","0","0")))</f>
        <v>18,92</v>
      </c>
      <c r="F349" s="313" t="s">
        <v>151</v>
      </c>
    </row>
    <row r="350" spans="1:6" hidden="1">
      <c r="A350" s="198" t="s">
        <v>158</v>
      </c>
      <c r="B350" s="198"/>
      <c r="C350" s="198"/>
      <c r="D350" s="78"/>
      <c r="E350" s="209"/>
      <c r="F350" s="318"/>
    </row>
    <row r="351" spans="1:6" hidden="1">
      <c r="A351" s="199" t="s">
        <v>159</v>
      </c>
      <c r="B351" s="199"/>
      <c r="C351" s="199"/>
      <c r="D351" s="78"/>
      <c r="E351" s="210"/>
      <c r="F351" s="314"/>
    </row>
    <row r="352" spans="1:6" hidden="1"/>
    <row r="353" spans="1:6" ht="14" hidden="1">
      <c r="A353" s="212" t="s">
        <v>161</v>
      </c>
      <c r="B353" s="212"/>
      <c r="C353" s="212"/>
      <c r="D353" s="212"/>
      <c r="E353" s="212"/>
      <c r="F353" s="212"/>
    </row>
    <row r="354" spans="1:6" ht="53.25" hidden="1" customHeight="1">
      <c r="A354" s="198" t="s">
        <v>162</v>
      </c>
      <c r="B354" s="198"/>
      <c r="C354" s="198"/>
      <c r="D354" s="78" t="s">
        <v>160</v>
      </c>
      <c r="E354" s="208" t="str">
        <f>IF(D354="X","10",IF(D355="X","5",IF(D356="X","0","0")))</f>
        <v>10</v>
      </c>
      <c r="F354" s="313" t="s">
        <v>151</v>
      </c>
    </row>
    <row r="355" spans="1:6" ht="31.5" hidden="1" customHeight="1">
      <c r="A355" s="198" t="s">
        <v>163</v>
      </c>
      <c r="B355" s="198"/>
      <c r="C355" s="198"/>
      <c r="D355" s="78"/>
      <c r="E355" s="209"/>
      <c r="F355" s="318"/>
    </row>
    <row r="356" spans="1:6" ht="39.75" hidden="1" customHeight="1">
      <c r="A356" s="198" t="s">
        <v>164</v>
      </c>
      <c r="B356" s="198"/>
      <c r="C356" s="198"/>
      <c r="D356" s="78"/>
      <c r="E356" s="210"/>
      <c r="F356" s="314"/>
    </row>
    <row r="357" spans="1:6" hidden="1"/>
    <row r="358" spans="1:6" ht="14" hidden="1">
      <c r="A358" s="212" t="s">
        <v>165</v>
      </c>
      <c r="B358" s="212"/>
      <c r="C358" s="212"/>
      <c r="D358" s="212"/>
      <c r="E358" s="212"/>
      <c r="F358" s="212"/>
    </row>
    <row r="359" spans="1:6" ht="12.75" hidden="1" customHeight="1">
      <c r="A359" s="207" t="s">
        <v>166</v>
      </c>
      <c r="B359" s="207"/>
      <c r="C359" s="79" t="s">
        <v>61</v>
      </c>
      <c r="D359" s="78" t="str">
        <f>IF(C359="NO","No Cumple",IF(C359="","","Cumple"))</f>
        <v>Cumple</v>
      </c>
      <c r="E359" s="208" t="str">
        <f>IF(AND(D359="cumple",D360="cumple",D361="cumple",D362="cumple"),"1","0")</f>
        <v>1</v>
      </c>
      <c r="F359" s="230" t="s">
        <v>151</v>
      </c>
    </row>
    <row r="360" spans="1:6" ht="12.75" hidden="1" customHeight="1">
      <c r="A360" s="207" t="s">
        <v>167</v>
      </c>
      <c r="B360" s="207"/>
      <c r="C360" s="79" t="s">
        <v>61</v>
      </c>
      <c r="D360" s="78" t="str">
        <f t="shared" ref="D360" si="19">IF(C360="NO","No Cumple",IF(C360="","","Cumple"))</f>
        <v>Cumple</v>
      </c>
      <c r="E360" s="209"/>
      <c r="F360" s="230"/>
    </row>
    <row r="361" spans="1:6" ht="14" hidden="1">
      <c r="A361" s="207" t="s">
        <v>168</v>
      </c>
      <c r="B361" s="207"/>
      <c r="C361" s="80">
        <v>45537</v>
      </c>
      <c r="D361" s="78" t="str">
        <f>IF(C361="","",IF($B$4-C361&gt;183,"No Cumple","Cumple"))</f>
        <v>Cumple</v>
      </c>
      <c r="E361" s="209"/>
      <c r="F361" s="230"/>
    </row>
    <row r="362" spans="1:6" hidden="1">
      <c r="A362" s="207" t="s">
        <v>169</v>
      </c>
      <c r="B362" s="207"/>
      <c r="C362" s="85">
        <f>D24+D45+D66</f>
        <v>742.45778262319652</v>
      </c>
      <c r="D362" s="81" t="str">
        <f>IF(C362="","",IF(C362&lt;$B$5*40%,"No Cumple","Cumple"))</f>
        <v>Cumple</v>
      </c>
      <c r="E362" s="210"/>
      <c r="F362" s="230"/>
    </row>
    <row r="363" spans="1:6" hidden="1"/>
    <row r="364" spans="1:6" ht="14" hidden="1">
      <c r="A364" s="212" t="s">
        <v>170</v>
      </c>
      <c r="B364" s="212"/>
      <c r="C364" s="212"/>
      <c r="D364" s="212"/>
      <c r="E364" s="212"/>
      <c r="F364" s="212"/>
    </row>
    <row r="365" spans="1:6" ht="14" hidden="1">
      <c r="A365" s="83"/>
      <c r="B365" s="83"/>
      <c r="C365" s="83"/>
      <c r="D365" s="83"/>
      <c r="E365" s="83"/>
      <c r="F365" s="83"/>
    </row>
    <row r="366" spans="1:6" ht="14" hidden="1">
      <c r="A366" s="204" t="s">
        <v>172</v>
      </c>
      <c r="B366" s="205"/>
      <c r="C366" s="205"/>
      <c r="D366" s="205"/>
      <c r="E366" s="205"/>
      <c r="F366" s="206"/>
    </row>
    <row r="367" spans="1:6" ht="35" hidden="1" customHeight="1">
      <c r="A367" s="207" t="s">
        <v>171</v>
      </c>
      <c r="B367" s="207"/>
      <c r="C367" s="79" t="s">
        <v>61</v>
      </c>
      <c r="D367" s="78" t="str">
        <f>IF(C367="NO","No Cumple",IF(C367="","","Cumple"))</f>
        <v>Cumple</v>
      </c>
      <c r="E367" s="208" t="str">
        <f>IF(AND(D367="cumple",D368="cumple",D369="cumple",D370="cumple"),"0,08","0")</f>
        <v>0</v>
      </c>
      <c r="F367" s="319" t="s">
        <v>525</v>
      </c>
    </row>
    <row r="368" spans="1:6" ht="35" hidden="1" customHeight="1">
      <c r="A368" s="207" t="s">
        <v>174</v>
      </c>
      <c r="B368" s="207"/>
      <c r="C368" s="84" t="s">
        <v>61</v>
      </c>
      <c r="D368" s="78" t="str">
        <f>IF(C368&gt;=50%,"Cumple",IF(C368="",""," No Cumple"))</f>
        <v>Cumple</v>
      </c>
      <c r="E368" s="209"/>
      <c r="F368" s="319"/>
    </row>
    <row r="369" spans="1:7" ht="35" hidden="1" customHeight="1">
      <c r="A369" s="207" t="s">
        <v>173</v>
      </c>
      <c r="B369" s="207"/>
      <c r="C369" s="79" t="s">
        <v>62</v>
      </c>
      <c r="D369" s="78" t="str">
        <f>IF(C369="NO","No Cumple",IF(C369="","","Cumple"))</f>
        <v>No Cumple</v>
      </c>
      <c r="E369" s="209"/>
      <c r="F369" s="319"/>
    </row>
    <row r="370" spans="1:7" ht="35" hidden="1" customHeight="1">
      <c r="A370" s="207" t="s">
        <v>183</v>
      </c>
      <c r="B370" s="207"/>
      <c r="C370" s="88">
        <v>1</v>
      </c>
      <c r="D370" s="78" t="str">
        <f>IF(C370&lt;10%,"No Cumple","Cumple")</f>
        <v>Cumple</v>
      </c>
      <c r="E370" s="210"/>
      <c r="F370" s="319"/>
    </row>
    <row r="371" spans="1:7" hidden="1"/>
    <row r="372" spans="1:7" ht="14" hidden="1">
      <c r="A372" s="204" t="s">
        <v>175</v>
      </c>
      <c r="B372" s="205"/>
      <c r="C372" s="205"/>
      <c r="D372" s="205"/>
      <c r="E372" s="205"/>
      <c r="F372" s="206"/>
    </row>
    <row r="373" spans="1:7" ht="14" hidden="1">
      <c r="A373" s="207" t="s">
        <v>171</v>
      </c>
      <c r="B373" s="207"/>
      <c r="C373" s="79"/>
      <c r="D373" s="78" t="str">
        <f>IF(C373="NO","No Cumple",IF(C373="","","Cumple"))</f>
        <v/>
      </c>
      <c r="E373" s="208" t="str">
        <f>IF(AND(D373="cumple",D374="cumple",D375="cumple",D376="cumple",D377="cumple"),"0,08","0")</f>
        <v>0</v>
      </c>
      <c r="F373" s="230" t="s">
        <v>151</v>
      </c>
    </row>
    <row r="374" spans="1:7" ht="14" hidden="1">
      <c r="A374" s="207" t="s">
        <v>176</v>
      </c>
      <c r="B374" s="207"/>
      <c r="C374" s="79"/>
      <c r="D374" s="78" t="str">
        <f t="shared" ref="D374:D376" si="20">IF(C374="NO","No Cumple",IF(C374="","","Cumple"))</f>
        <v/>
      </c>
      <c r="E374" s="209"/>
      <c r="F374" s="230"/>
    </row>
    <row r="375" spans="1:7" ht="27.75" hidden="1" customHeight="1">
      <c r="A375" s="207" t="s">
        <v>177</v>
      </c>
      <c r="B375" s="207"/>
      <c r="C375" s="79"/>
      <c r="D375" s="78" t="str">
        <f t="shared" si="20"/>
        <v/>
      </c>
      <c r="E375" s="209"/>
      <c r="F375" s="230"/>
    </row>
    <row r="376" spans="1:7" ht="14" hidden="1">
      <c r="A376" s="207" t="s">
        <v>178</v>
      </c>
      <c r="B376" s="207"/>
      <c r="C376" s="79"/>
      <c r="D376" s="78" t="str">
        <f t="shared" si="20"/>
        <v/>
      </c>
      <c r="E376" s="209"/>
      <c r="F376" s="230"/>
    </row>
    <row r="377" spans="1:7" ht="14" hidden="1">
      <c r="A377" s="207" t="s">
        <v>182</v>
      </c>
      <c r="B377" s="207"/>
      <c r="C377" s="88">
        <v>0</v>
      </c>
      <c r="D377" s="78" t="str">
        <f>IF(C377&lt;10%,"No Cumple","Cumple")</f>
        <v>No Cumple</v>
      </c>
      <c r="E377" s="210"/>
      <c r="F377" s="230"/>
      <c r="G377" s="95"/>
    </row>
    <row r="378" spans="1:7" hidden="1"/>
    <row r="379" spans="1:7" ht="31.5" hidden="1" customHeight="1">
      <c r="A379" s="198" t="s">
        <v>180</v>
      </c>
      <c r="B379" s="198"/>
      <c r="C379" s="198"/>
      <c r="D379" s="198"/>
      <c r="E379" s="86"/>
      <c r="F379" s="30"/>
    </row>
    <row r="380" spans="1:7" hidden="1">
      <c r="A380" s="199" t="s">
        <v>181</v>
      </c>
      <c r="B380" s="199"/>
      <c r="C380" s="199"/>
      <c r="D380" s="199"/>
      <c r="E380" s="86"/>
      <c r="F380" s="30"/>
    </row>
    <row r="381" spans="1:7" hidden="1"/>
    <row r="382" spans="1:7" ht="33" hidden="1" customHeight="1">
      <c r="B382" s="200" t="s">
        <v>179</v>
      </c>
      <c r="C382" s="200"/>
      <c r="D382" s="200"/>
      <c r="E382" s="87">
        <f>SUM(D319+E345+E349+E354+E359+E367+E373-E379-E380)</f>
        <v>99.92</v>
      </c>
    </row>
    <row r="383" spans="1:7" hidden="1"/>
    <row r="384" spans="1:7"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sheetData>
  <sheetProtection algorithmName="SHA-512" hashValue="LOB8gs5QO/bPQmjgW7jFXrFNReCjSmXCurRd1kvoUrXMmBLx6NIwlwmQ0evEhAWoOTDGhjJ6vBjjOOyQODlaSQ==" saltValue="TKWmsxn0/HmjeOtOwgnkxA==" spinCount="100000" sheet="1" objects="1" scenarios="1" selectLockedCells="1" selectUnlockedCells="1"/>
  <mergeCells count="288">
    <mergeCell ref="A379:D379"/>
    <mergeCell ref="A380:D380"/>
    <mergeCell ref="B382:D382"/>
    <mergeCell ref="A372:F372"/>
    <mergeCell ref="A373:B373"/>
    <mergeCell ref="E373:E377"/>
    <mergeCell ref="F373:F377"/>
    <mergeCell ref="A374:B374"/>
    <mergeCell ref="A375:B375"/>
    <mergeCell ref="A376:B376"/>
    <mergeCell ref="A377:B377"/>
    <mergeCell ref="A364:F364"/>
    <mergeCell ref="A366:F366"/>
    <mergeCell ref="A367:B367"/>
    <mergeCell ref="E367:E370"/>
    <mergeCell ref="F367:F370"/>
    <mergeCell ref="A368:B368"/>
    <mergeCell ref="A369:B369"/>
    <mergeCell ref="A370:B370"/>
    <mergeCell ref="A358:F358"/>
    <mergeCell ref="A359:B359"/>
    <mergeCell ref="E359:E362"/>
    <mergeCell ref="F359:F362"/>
    <mergeCell ref="A360:B360"/>
    <mergeCell ref="A361:B361"/>
    <mergeCell ref="A362:B362"/>
    <mergeCell ref="A353:F353"/>
    <mergeCell ref="A354:C354"/>
    <mergeCell ref="E354:E356"/>
    <mergeCell ref="F354:F356"/>
    <mergeCell ref="A355:C355"/>
    <mergeCell ref="A356:C356"/>
    <mergeCell ref="A348:F348"/>
    <mergeCell ref="A349:C349"/>
    <mergeCell ref="E349:E351"/>
    <mergeCell ref="F349:F351"/>
    <mergeCell ref="A350:C350"/>
    <mergeCell ref="A351:C351"/>
    <mergeCell ref="A325:F325"/>
    <mergeCell ref="A327:B334"/>
    <mergeCell ref="A335:B342"/>
    <mergeCell ref="A343:E343"/>
    <mergeCell ref="A345:C345"/>
    <mergeCell ref="E345:E346"/>
    <mergeCell ref="F345:F346"/>
    <mergeCell ref="A346:C346"/>
    <mergeCell ref="A319:B319"/>
    <mergeCell ref="D319:D323"/>
    <mergeCell ref="E319:F323"/>
    <mergeCell ref="A320:B320"/>
    <mergeCell ref="A321:B321"/>
    <mergeCell ref="A322:B322"/>
    <mergeCell ref="A323:B323"/>
    <mergeCell ref="A312:C312"/>
    <mergeCell ref="A313:C313"/>
    <mergeCell ref="A314:C314"/>
    <mergeCell ref="A315:D315"/>
    <mergeCell ref="E315:F315"/>
    <mergeCell ref="A317:E317"/>
    <mergeCell ref="B302:F302"/>
    <mergeCell ref="A304:A305"/>
    <mergeCell ref="E304:E305"/>
    <mergeCell ref="F304:F314"/>
    <mergeCell ref="A306:C306"/>
    <mergeCell ref="A307:C307"/>
    <mergeCell ref="A308:C308"/>
    <mergeCell ref="A309:C309"/>
    <mergeCell ref="A310:C310"/>
    <mergeCell ref="A311:C311"/>
    <mergeCell ref="A296:C296"/>
    <mergeCell ref="A297:C297"/>
    <mergeCell ref="A298:D298"/>
    <mergeCell ref="E298:F298"/>
    <mergeCell ref="B300:F300"/>
    <mergeCell ref="B301:F301"/>
    <mergeCell ref="A287:A288"/>
    <mergeCell ref="E287:E288"/>
    <mergeCell ref="F287:F297"/>
    <mergeCell ref="A289:C289"/>
    <mergeCell ref="A290:C290"/>
    <mergeCell ref="A291:C291"/>
    <mergeCell ref="A292:C292"/>
    <mergeCell ref="A293:C293"/>
    <mergeCell ref="A294:C294"/>
    <mergeCell ref="A295:C295"/>
    <mergeCell ref="A277:E277"/>
    <mergeCell ref="A280:F280"/>
    <mergeCell ref="A281:F281"/>
    <mergeCell ref="B283:F283"/>
    <mergeCell ref="B284:F284"/>
    <mergeCell ref="B285:F285"/>
    <mergeCell ref="A264:E264"/>
    <mergeCell ref="A266:E266"/>
    <mergeCell ref="A269:F269"/>
    <mergeCell ref="A271:E272"/>
    <mergeCell ref="A273:F273"/>
    <mergeCell ref="A275:E275"/>
    <mergeCell ref="A239:C239"/>
    <mergeCell ref="A240:C240"/>
    <mergeCell ref="A242:B249"/>
    <mergeCell ref="A251:B258"/>
    <mergeCell ref="A260:E261"/>
    <mergeCell ref="A262:F262"/>
    <mergeCell ref="B234:C234"/>
    <mergeCell ref="A235:C235"/>
    <mergeCell ref="A236:A237"/>
    <mergeCell ref="B236:C236"/>
    <mergeCell ref="B237:C237"/>
    <mergeCell ref="A238:C238"/>
    <mergeCell ref="A228:E228"/>
    <mergeCell ref="A230:F230"/>
    <mergeCell ref="A231:C231"/>
    <mergeCell ref="D231:F231"/>
    <mergeCell ref="B232:C232"/>
    <mergeCell ref="B233:C233"/>
    <mergeCell ref="A203:C203"/>
    <mergeCell ref="A204:C204"/>
    <mergeCell ref="A206:B213"/>
    <mergeCell ref="A215:B222"/>
    <mergeCell ref="A224:E225"/>
    <mergeCell ref="A226:F226"/>
    <mergeCell ref="B198:C198"/>
    <mergeCell ref="A199:C199"/>
    <mergeCell ref="A200:A201"/>
    <mergeCell ref="B200:C200"/>
    <mergeCell ref="B201:C201"/>
    <mergeCell ref="A202:C202"/>
    <mergeCell ref="A192:E192"/>
    <mergeCell ref="A194:F194"/>
    <mergeCell ref="A195:C195"/>
    <mergeCell ref="D195:F195"/>
    <mergeCell ref="B196:C196"/>
    <mergeCell ref="B197:C197"/>
    <mergeCell ref="A159:C159"/>
    <mergeCell ref="A161:B168"/>
    <mergeCell ref="A170:B177"/>
    <mergeCell ref="A179:B186"/>
    <mergeCell ref="A188:E189"/>
    <mergeCell ref="A190:F190"/>
    <mergeCell ref="A154:C154"/>
    <mergeCell ref="A155:A156"/>
    <mergeCell ref="B155:C155"/>
    <mergeCell ref="B156:C156"/>
    <mergeCell ref="A157:C157"/>
    <mergeCell ref="A158:C158"/>
    <mergeCell ref="A149:F149"/>
    <mergeCell ref="A150:C150"/>
    <mergeCell ref="D150:F150"/>
    <mergeCell ref="B151:C151"/>
    <mergeCell ref="B152:C152"/>
    <mergeCell ref="B153:C153"/>
    <mergeCell ref="A130:E131"/>
    <mergeCell ref="A132:F132"/>
    <mergeCell ref="A134:E135"/>
    <mergeCell ref="A136:F136"/>
    <mergeCell ref="A138:E138"/>
    <mergeCell ref="A147:F147"/>
    <mergeCell ref="A120:D120"/>
    <mergeCell ref="E120:F120"/>
    <mergeCell ref="A122:E123"/>
    <mergeCell ref="A124:F124"/>
    <mergeCell ref="A126:E127"/>
    <mergeCell ref="A128:F128"/>
    <mergeCell ref="A116:A119"/>
    <mergeCell ref="B116:C116"/>
    <mergeCell ref="F116:F119"/>
    <mergeCell ref="B117:C117"/>
    <mergeCell ref="B118:C118"/>
    <mergeCell ref="B119:C119"/>
    <mergeCell ref="A110:C110"/>
    <mergeCell ref="A111:C111"/>
    <mergeCell ref="A112:C112"/>
    <mergeCell ref="A113:C113"/>
    <mergeCell ref="A114:C114"/>
    <mergeCell ref="A115:C115"/>
    <mergeCell ref="A100:F100"/>
    <mergeCell ref="B101:F101"/>
    <mergeCell ref="B102:F102"/>
    <mergeCell ref="B103:F103"/>
    <mergeCell ref="A105:A106"/>
    <mergeCell ref="E105:E106"/>
    <mergeCell ref="F105:F115"/>
    <mergeCell ref="A107:C107"/>
    <mergeCell ref="A108:C108"/>
    <mergeCell ref="A109:C109"/>
    <mergeCell ref="F94:F97"/>
    <mergeCell ref="B95:C95"/>
    <mergeCell ref="B96:C96"/>
    <mergeCell ref="B97:C97"/>
    <mergeCell ref="A98:D98"/>
    <mergeCell ref="E98:F98"/>
    <mergeCell ref="A89:C89"/>
    <mergeCell ref="A90:C90"/>
    <mergeCell ref="A91:C91"/>
    <mergeCell ref="A92:C92"/>
    <mergeCell ref="A93:C93"/>
    <mergeCell ref="A94:A97"/>
    <mergeCell ref="B94:C94"/>
    <mergeCell ref="B79:F79"/>
    <mergeCell ref="B80:F80"/>
    <mergeCell ref="B81:F81"/>
    <mergeCell ref="A83:A84"/>
    <mergeCell ref="E83:E84"/>
    <mergeCell ref="F83:F93"/>
    <mergeCell ref="A85:C85"/>
    <mergeCell ref="A86:C86"/>
    <mergeCell ref="A87:C87"/>
    <mergeCell ref="A88:C88"/>
    <mergeCell ref="F73:F76"/>
    <mergeCell ref="B74:C74"/>
    <mergeCell ref="B75:C75"/>
    <mergeCell ref="B76:C76"/>
    <mergeCell ref="A77:D77"/>
    <mergeCell ref="E77:F77"/>
    <mergeCell ref="A68:C68"/>
    <mergeCell ref="A69:C69"/>
    <mergeCell ref="A70:C70"/>
    <mergeCell ref="A71:C71"/>
    <mergeCell ref="A72:C72"/>
    <mergeCell ref="A73:A76"/>
    <mergeCell ref="B73:C73"/>
    <mergeCell ref="B58:F58"/>
    <mergeCell ref="B59:F59"/>
    <mergeCell ref="B60:F60"/>
    <mergeCell ref="A62:A63"/>
    <mergeCell ref="E62:E63"/>
    <mergeCell ref="F62:F72"/>
    <mergeCell ref="A64:C64"/>
    <mergeCell ref="A65:C65"/>
    <mergeCell ref="A66:C66"/>
    <mergeCell ref="A67:C67"/>
    <mergeCell ref="F52:F55"/>
    <mergeCell ref="B53:C53"/>
    <mergeCell ref="B54:C54"/>
    <mergeCell ref="B55:C55"/>
    <mergeCell ref="A56:D56"/>
    <mergeCell ref="E56:F56"/>
    <mergeCell ref="A47:C47"/>
    <mergeCell ref="A48:C48"/>
    <mergeCell ref="A49:C49"/>
    <mergeCell ref="A50:C50"/>
    <mergeCell ref="A51:C51"/>
    <mergeCell ref="A52:A55"/>
    <mergeCell ref="B52:C52"/>
    <mergeCell ref="B37:F37"/>
    <mergeCell ref="B38:F38"/>
    <mergeCell ref="B39:F39"/>
    <mergeCell ref="A41:A42"/>
    <mergeCell ref="E41:E42"/>
    <mergeCell ref="F41:F51"/>
    <mergeCell ref="A43:C43"/>
    <mergeCell ref="A44:C44"/>
    <mergeCell ref="A45:C45"/>
    <mergeCell ref="A46:C46"/>
    <mergeCell ref="F31:F34"/>
    <mergeCell ref="B32:C32"/>
    <mergeCell ref="B33:C33"/>
    <mergeCell ref="B34:C34"/>
    <mergeCell ref="A35:D35"/>
    <mergeCell ref="E35:F35"/>
    <mergeCell ref="A27:C27"/>
    <mergeCell ref="A28:C28"/>
    <mergeCell ref="A29:C29"/>
    <mergeCell ref="A30:C30"/>
    <mergeCell ref="A31:A34"/>
    <mergeCell ref="B31:C31"/>
    <mergeCell ref="B17:F17"/>
    <mergeCell ref="B18:F18"/>
    <mergeCell ref="A20:A21"/>
    <mergeCell ref="E20:E21"/>
    <mergeCell ref="F20:F30"/>
    <mergeCell ref="A22:C22"/>
    <mergeCell ref="A23:C23"/>
    <mergeCell ref="A24:C24"/>
    <mergeCell ref="A25:C25"/>
    <mergeCell ref="A26:C26"/>
    <mergeCell ref="B9:D9"/>
    <mergeCell ref="B10:D10"/>
    <mergeCell ref="B11:D11"/>
    <mergeCell ref="A13:F13"/>
    <mergeCell ref="A14:F14"/>
    <mergeCell ref="B16:F16"/>
    <mergeCell ref="A1:F1"/>
    <mergeCell ref="A2:F2"/>
    <mergeCell ref="B4:C4"/>
    <mergeCell ref="B5:C5"/>
    <mergeCell ref="B6:C6"/>
    <mergeCell ref="B7:F7"/>
  </mergeCells>
  <conditionalFormatting sqref="E151:E168">
    <cfRule type="expression" dxfId="36" priority="26">
      <formula>"NO CUMPLE"</formula>
    </cfRule>
  </conditionalFormatting>
  <conditionalFormatting sqref="E170:E177">
    <cfRule type="expression" dxfId="35" priority="5">
      <formula>"NO CUMPLE"</formula>
    </cfRule>
  </conditionalFormatting>
  <conditionalFormatting sqref="E179:E186">
    <cfRule type="expression" dxfId="34" priority="4">
      <formula>"NO CUMPLE"</formula>
    </cfRule>
  </conditionalFormatting>
  <conditionalFormatting sqref="E196:E213">
    <cfRule type="expression" dxfId="33" priority="19">
      <formula>"NO CUMPLE"</formula>
    </cfRule>
  </conditionalFormatting>
  <conditionalFormatting sqref="E215:E222">
    <cfRule type="expression" dxfId="32" priority="3">
      <formula>"NO CUMPLE"</formula>
    </cfRule>
  </conditionalFormatting>
  <conditionalFormatting sqref="E232:E249">
    <cfRule type="expression" dxfId="31" priority="2">
      <formula>"NO CUMPLE"</formula>
    </cfRule>
  </conditionalFormatting>
  <conditionalFormatting sqref="E251:E258">
    <cfRule type="expression" dxfId="30" priority="1">
      <formula>"NO CUMPLE"</formula>
    </cfRule>
  </conditionalFormatting>
  <conditionalFormatting sqref="E327:E342">
    <cfRule type="expression" dxfId="29" priority="6">
      <formula>"NO CUMPLE"</formula>
    </cfRule>
  </conditionalFormatting>
  <conditionalFormatting sqref="E35:F35">
    <cfRule type="containsText" dxfId="28" priority="37" stopIfTrue="1" operator="containsText" text="NO CUMPLE">
      <formula>NOT(ISERROR(SEARCH("NO CUMPLE",E35)))</formula>
    </cfRule>
  </conditionalFormatting>
  <conditionalFormatting sqref="E56:F56">
    <cfRule type="containsText" dxfId="27" priority="33" stopIfTrue="1" operator="containsText" text="NO CUMPLE">
      <formula>NOT(ISERROR(SEARCH("NO CUMPLE",E56)))</formula>
    </cfRule>
  </conditionalFormatting>
  <conditionalFormatting sqref="E77:F77">
    <cfRule type="containsText" dxfId="26" priority="32" stopIfTrue="1" operator="containsText" text="NO CUMPLE">
      <formula>NOT(ISERROR(SEARCH("NO CUMPLE",E77)))</formula>
    </cfRule>
  </conditionalFormatting>
  <conditionalFormatting sqref="E98:F98">
    <cfRule type="containsText" dxfId="25" priority="31" stopIfTrue="1" operator="containsText" text="NO CUMPLE">
      <formula>NOT(ISERROR(SEARCH("NO CUMPLE",E98)))</formula>
    </cfRule>
  </conditionalFormatting>
  <conditionalFormatting sqref="E120:F120">
    <cfRule type="containsText" dxfId="24" priority="30" stopIfTrue="1" operator="containsText" text="NO CUMPLE">
      <formula>NOT(ISERROR(SEARCH("NO CUMPLE",E120)))</formula>
    </cfRule>
  </conditionalFormatting>
  <conditionalFormatting sqref="E298:F298">
    <cfRule type="containsText" dxfId="23" priority="8" stopIfTrue="1" operator="containsText" text="NO CUMPLE">
      <formula>NOT(ISERROR(SEARCH("NO CUMPLE",E298)))</formula>
    </cfRule>
  </conditionalFormatting>
  <conditionalFormatting sqref="E315:F315">
    <cfRule type="containsText" dxfId="22" priority="7" stopIfTrue="1" operator="containsText" text="NO CUMPLE">
      <formula>NOT(ISERROR(SEARCH("NO CUMPLE",E315)))</formula>
    </cfRule>
  </conditionalFormatting>
  <conditionalFormatting sqref="F123">
    <cfRule type="containsText" dxfId="21" priority="28" stopIfTrue="1" operator="containsText" text="NO CUMPLE">
      <formula>NOT(ISERROR(SEARCH("NO CUMPLE",F123)))</formula>
    </cfRule>
  </conditionalFormatting>
  <conditionalFormatting sqref="F127 F129">
    <cfRule type="containsText" dxfId="20" priority="36" stopIfTrue="1" operator="containsText" text="NO CUMPLE">
      <formula>NOT(ISERROR(SEARCH("NO CUMPLE",F127)))</formula>
    </cfRule>
  </conditionalFormatting>
  <conditionalFormatting sqref="F131">
    <cfRule type="containsText" dxfId="19" priority="35" stopIfTrue="1" operator="containsText" text="NO CUMPLE">
      <formula>NOT(ISERROR(SEARCH("NO CUMPLE",F131)))</formula>
    </cfRule>
  </conditionalFormatting>
  <conditionalFormatting sqref="F135">
    <cfRule type="containsText" dxfId="18" priority="34" stopIfTrue="1" operator="containsText" text="NO CUMPLE">
      <formula>NOT(ISERROR(SEARCH("NO CUMPLE",F135)))</formula>
    </cfRule>
  </conditionalFormatting>
  <conditionalFormatting sqref="F138">
    <cfRule type="containsText" dxfId="17" priority="27" operator="containsText" text="NO CUMPLE">
      <formula>NOT(ISERROR(SEARCH("NO CUMPLE",F138)))</formula>
    </cfRule>
    <cfRule type="containsText" dxfId="16" priority="29" stopIfTrue="1" operator="containsText" text="NO HABILITADO">
      <formula>NOT(ISERROR(SEARCH("NO HABILITADO",F138)))</formula>
    </cfRule>
  </conditionalFormatting>
  <conditionalFormatting sqref="F189">
    <cfRule type="containsText" dxfId="15" priority="24" stopIfTrue="1" operator="containsText" text="NO CUMPLE">
      <formula>NOT(ISERROR(SEARCH("NO CUMPLE",F189)))</formula>
    </cfRule>
  </conditionalFormatting>
  <conditionalFormatting sqref="F192">
    <cfRule type="containsText" dxfId="14" priority="25" stopIfTrue="1" operator="containsText" text="NO HABILITADO">
      <formula>NOT(ISERROR(SEARCH("NO HABILITADO",F192)))</formula>
    </cfRule>
    <cfRule type="containsText" dxfId="13" priority="23" operator="containsText" text="NO CUMPLE">
      <formula>NOT(ISERROR(SEARCH("NO CUMPLE",F192)))</formula>
    </cfRule>
  </conditionalFormatting>
  <conditionalFormatting sqref="F225">
    <cfRule type="containsText" dxfId="12" priority="21" stopIfTrue="1" operator="containsText" text="NO CUMPLE">
      <formula>NOT(ISERROR(SEARCH("NO CUMPLE",F225)))</formula>
    </cfRule>
  </conditionalFormatting>
  <conditionalFormatting sqref="F228">
    <cfRule type="containsText" dxfId="11" priority="20" operator="containsText" text="NO CUMPLE">
      <formula>NOT(ISERROR(SEARCH("NO CUMPLE",F228)))</formula>
    </cfRule>
    <cfRule type="containsText" dxfId="10" priority="22" stopIfTrue="1" operator="containsText" text="NO HABILITADO">
      <formula>NOT(ISERROR(SEARCH("NO HABILITADO",F228)))</formula>
    </cfRule>
  </conditionalFormatting>
  <conditionalFormatting sqref="F261">
    <cfRule type="containsText" dxfId="9" priority="17" stopIfTrue="1" operator="containsText" text="NO CUMPLE">
      <formula>NOT(ISERROR(SEARCH("NO CUMPLE",F261)))</formula>
    </cfRule>
  </conditionalFormatting>
  <conditionalFormatting sqref="F264">
    <cfRule type="containsText" dxfId="8" priority="16" operator="containsText" text="NO CUMPLE">
      <formula>NOT(ISERROR(SEARCH("NO CUMPLE",F264)))</formula>
    </cfRule>
    <cfRule type="containsText" dxfId="7" priority="18" stopIfTrue="1" operator="containsText" text="NO HABILITADO">
      <formula>NOT(ISERROR(SEARCH("NO HABILITADO",F264)))</formula>
    </cfRule>
  </conditionalFormatting>
  <conditionalFormatting sqref="F266">
    <cfRule type="containsText" dxfId="6" priority="15" stopIfTrue="1" operator="containsText" text="NO HABILITADO">
      <formula>NOT(ISERROR(SEARCH("NO HABILITADO",F266)))</formula>
    </cfRule>
    <cfRule type="containsText" dxfId="5" priority="14" operator="containsText" text="NO CUMPLE">
      <formula>NOT(ISERROR(SEARCH("NO CUMPLE",F266)))</formula>
    </cfRule>
  </conditionalFormatting>
  <conditionalFormatting sqref="F272">
    <cfRule type="containsText" dxfId="4" priority="13" stopIfTrue="1" operator="containsText" text="NO CUMPLE">
      <formula>NOT(ISERROR(SEARCH("NO CUMPLE",F272)))</formula>
    </cfRule>
  </conditionalFormatting>
  <conditionalFormatting sqref="F275">
    <cfRule type="containsText" dxfId="3" priority="12" stopIfTrue="1" operator="containsText" text="NO HABILITADO">
      <formula>NOT(ISERROR(SEARCH("NO HABILITADO",F275)))</formula>
    </cfRule>
    <cfRule type="containsText" dxfId="2" priority="11" operator="containsText" text="NO CUMPLE">
      <formula>NOT(ISERROR(SEARCH("NO CUMPLE",F275)))</formula>
    </cfRule>
  </conditionalFormatting>
  <conditionalFormatting sqref="F277">
    <cfRule type="containsText" dxfId="1" priority="10" stopIfTrue="1" operator="containsText" text="NO HABILITADO">
      <formula>NOT(ISERROR(SEARCH("NO HABILITADO",F277)))</formula>
    </cfRule>
    <cfRule type="containsText" dxfId="0" priority="9" operator="containsText" text="NO CUMPLE">
      <formula>NOT(ISERROR(SEARCH("NO CUMPLE",F277)))</formula>
    </cfRule>
  </conditionalFormatting>
  <dataValidations disablePrompts="1" count="3">
    <dataValidation allowBlank="1" showInputMessage="1" showErrorMessage="1" errorTitle="FECHA DE CIERRE DEL PROCESO" error="SOLO COLOCAR FECHA_x000a_" sqref="B4:B6" xr:uid="{00000000-0002-0000-0B00-000000000000}"/>
    <dataValidation type="date" operator="greaterThan" allowBlank="1" showInputMessage="1" showErrorMessage="1" errorTitle="OJO" error="REVISAR QUE FECHA DE TERMINACIÓN SEA MAYOR QUE LA DE SUSCRIPCIÓN DEL CONTRATO" sqref="D26 D47 D68 D89 D111 D293 D310" xr:uid="{00000000-0002-0000-0B00-000001000000}">
      <formula1>D22</formula1>
    </dataValidation>
    <dataValidation type="whole" allowBlank="1" showInputMessage="1" showErrorMessage="1" sqref="D165 D174 D183 D210 D219 D246 D255 D331 D339" xr:uid="{00000000-0002-0000-0B00-000002000000}">
      <formula1>0</formula1>
      <formula2>1E+44</formula2>
    </dataValidation>
  </dataValidations>
  <pageMargins left="0.59" right="0.31496062992125984" top="0.74803149606299213" bottom="0.74803149606299213" header="0.31496062992125984" footer="0.31496062992125984"/>
  <pageSetup scale="8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2D72E-0D48-45F4-9946-B384650415B0}">
  <dimension ref="A4:H16"/>
  <sheetViews>
    <sheetView workbookViewId="0">
      <selection activeCell="C20" sqref="C20"/>
    </sheetView>
  </sheetViews>
  <sheetFormatPr baseColWidth="10" defaultColWidth="11.5" defaultRowHeight="15"/>
  <cols>
    <col min="1" max="1" width="8.1640625" style="19" customWidth="1"/>
    <col min="2" max="2" width="44.6640625" style="48" customWidth="1"/>
    <col min="3" max="3" width="45.5" style="49" customWidth="1"/>
    <col min="4" max="4" width="12.5" style="72" customWidth="1"/>
    <col min="5" max="5" width="10.33203125" style="49" customWidth="1"/>
    <col min="6" max="6" width="9.83203125" style="48" customWidth="1"/>
    <col min="7" max="7" width="11.5" style="146"/>
    <col min="8" max="16384" width="11.5" style="48"/>
  </cols>
  <sheetData>
    <row r="4" spans="1:8">
      <c r="A4" s="338" t="s">
        <v>75</v>
      </c>
      <c r="B4" s="338"/>
      <c r="C4" s="337" t="s">
        <v>570</v>
      </c>
      <c r="D4" s="337" t="s">
        <v>569</v>
      </c>
      <c r="E4" s="337" t="s">
        <v>571</v>
      </c>
      <c r="F4" s="337"/>
      <c r="G4" s="334" t="s">
        <v>577</v>
      </c>
    </row>
    <row r="5" spans="1:8" ht="16">
      <c r="A5" s="338"/>
      <c r="B5" s="338"/>
      <c r="C5" s="337"/>
      <c r="D5" s="337"/>
      <c r="E5" s="96" t="s">
        <v>113</v>
      </c>
      <c r="F5" s="149" t="s">
        <v>572</v>
      </c>
      <c r="G5" s="334"/>
    </row>
    <row r="6" spans="1:8" hidden="1">
      <c r="A6" s="141">
        <v>1</v>
      </c>
      <c r="B6" s="141" t="str">
        <f>'O1'!B7</f>
        <v>R&amp;M CONSTRUCCIONES E INTERVENTORIAS SAS</v>
      </c>
      <c r="C6" s="150" t="str">
        <f>B6</f>
        <v>R&amp;M CONSTRUCCIONES E INTERVENTORIAS SAS</v>
      </c>
      <c r="D6" s="144">
        <v>1</v>
      </c>
      <c r="E6" s="145">
        <f>'O1'!D24+'O1'!D45</f>
        <v>1248.8377135381866</v>
      </c>
      <c r="F6" s="143">
        <f>E6</f>
        <v>1248.8377135381866</v>
      </c>
      <c r="G6" s="148">
        <f>SUM(E6/F6)</f>
        <v>1</v>
      </c>
    </row>
    <row r="7" spans="1:8" ht="16">
      <c r="A7" s="335">
        <v>2</v>
      </c>
      <c r="B7" s="335" t="str">
        <f>'O2'!B7</f>
        <v>CONSORCIO TRANSFORMAR AGENCIAS</v>
      </c>
      <c r="C7" s="155" t="str">
        <f>'O2'!B9</f>
        <v>JET INGENIERIA S.A.S  NIT 802.024.876 - 8</v>
      </c>
      <c r="D7" s="156">
        <v>0.8</v>
      </c>
      <c r="E7" s="157">
        <f>'O2'!D24+'O2'!D45</f>
        <v>83.554164824318292</v>
      </c>
      <c r="F7" s="336">
        <f>SUM(E7:E8)</f>
        <v>3493.9140416264154</v>
      </c>
      <c r="G7" s="158">
        <f>E7/F7</f>
        <v>2.3914201617113589E-2</v>
      </c>
    </row>
    <row r="8" spans="1:8" ht="30.75" customHeight="1">
      <c r="A8" s="335"/>
      <c r="B8" s="335"/>
      <c r="C8" s="155" t="str">
        <f>'O2'!B10</f>
        <v>OEVA ORGANIZACION EMPRESARIAL VELASQUEZ ARDILA S.A.S - 901.568.643 - 2</v>
      </c>
      <c r="D8" s="156">
        <v>0.2</v>
      </c>
      <c r="E8" s="157">
        <f>'O2'!D66</f>
        <v>3410.359876802097</v>
      </c>
      <c r="F8" s="335"/>
      <c r="G8" s="158">
        <f>E8/F7</f>
        <v>0.97608579838288634</v>
      </c>
      <c r="H8" s="147"/>
    </row>
    <row r="9" spans="1:8" ht="16">
      <c r="A9" s="335">
        <v>3</v>
      </c>
      <c r="B9" s="335" t="str">
        <f>'O3'!B7</f>
        <v>CONSORCIO CICA-GEAGOR</v>
      </c>
      <c r="C9" s="155" t="str">
        <f>'O3'!B9</f>
        <v>CICA INGENIERIA E INTERVENTORIA S.A.S. BIC</v>
      </c>
      <c r="D9" s="156">
        <f>'O3'!E9</f>
        <v>0.5</v>
      </c>
      <c r="E9" s="157">
        <f>'O3'!D45+('O3'!D87*50%)</f>
        <v>1118.081830682223</v>
      </c>
      <c r="F9" s="336">
        <f>SUM(E9:E10)</f>
        <v>1800.9380569245307</v>
      </c>
      <c r="G9" s="158">
        <f>E9/F9</f>
        <v>0.62083302997748624</v>
      </c>
    </row>
    <row r="10" spans="1:8" ht="16">
      <c r="A10" s="335"/>
      <c r="B10" s="335"/>
      <c r="C10" s="155" t="str">
        <f>'O3'!B10</f>
        <v>GEAGOR SAS BIC</v>
      </c>
      <c r="D10" s="156">
        <f>'O3'!E10</f>
        <v>0.5</v>
      </c>
      <c r="E10" s="157">
        <f>'O3'!D24+('O3'!D87*50%)</f>
        <v>682.85622624230768</v>
      </c>
      <c r="F10" s="336"/>
      <c r="G10" s="158">
        <f>E10/F9</f>
        <v>0.37916697002251376</v>
      </c>
    </row>
    <row r="11" spans="1:8" ht="16" hidden="1">
      <c r="A11" s="141">
        <v>4</v>
      </c>
      <c r="B11" s="152" t="str">
        <f>'O4'!B7</f>
        <v>LOGIA 3 ASOCIADOS S.A.S - BIC</v>
      </c>
      <c r="C11" s="142" t="str">
        <f>B11</f>
        <v>LOGIA 3 ASOCIADOS S.A.S - BIC</v>
      </c>
      <c r="D11" s="144">
        <v>1</v>
      </c>
      <c r="E11" s="153">
        <f>'O4'!F126</f>
        <v>802.48446212201588</v>
      </c>
      <c r="F11" s="154">
        <f>E11</f>
        <v>802.48446212201588</v>
      </c>
      <c r="G11" s="148">
        <v>1</v>
      </c>
    </row>
    <row r="12" spans="1:8" ht="16">
      <c r="A12" s="141">
        <v>5</v>
      </c>
      <c r="B12" s="152" t="str">
        <f>'O5'!B7</f>
        <v>TOTALL INC SAS BIC</v>
      </c>
      <c r="C12" s="142" t="str">
        <f t="shared" ref="C12" si="0">B12</f>
        <v>TOTALL INC SAS BIC</v>
      </c>
      <c r="D12" s="144">
        <v>1</v>
      </c>
      <c r="E12" s="153">
        <f>'O5'!F126</f>
        <v>1398.9979016195314</v>
      </c>
      <c r="F12" s="154">
        <f t="shared" ref="F12" si="1">E12</f>
        <v>1398.9979016195314</v>
      </c>
      <c r="G12" s="148">
        <v>1</v>
      </c>
    </row>
    <row r="13" spans="1:8" ht="16">
      <c r="A13" s="141">
        <v>6</v>
      </c>
      <c r="B13" s="152" t="str">
        <f>'O6'!B7</f>
        <v>JVM INGENIERIA SAS BIC</v>
      </c>
      <c r="C13" s="142" t="str">
        <f>B13</f>
        <v>JVM INGENIERIA SAS BIC</v>
      </c>
      <c r="D13" s="144">
        <v>1</v>
      </c>
      <c r="E13" s="153">
        <f>'O6'!F126</f>
        <v>1834.3811543310358</v>
      </c>
      <c r="F13" s="154">
        <f>E13</f>
        <v>1834.3811543310358</v>
      </c>
      <c r="G13" s="148">
        <v>1</v>
      </c>
    </row>
    <row r="14" spans="1:8" ht="16">
      <c r="A14" s="339">
        <v>7</v>
      </c>
      <c r="B14" s="341" t="str">
        <f>'O7'!B7</f>
        <v>CONSORCIO EQUIPAMIENTO BIO2C</v>
      </c>
      <c r="C14" s="155" t="str">
        <f>'O7'!B9</f>
        <v>CONSULTORES, DESARROLLO Y AMBIENTE SAS BIC</v>
      </c>
      <c r="D14" s="156">
        <f>'O7'!E9</f>
        <v>0.5</v>
      </c>
      <c r="E14" s="157">
        <f>'O7'!D66+'O7'!D87+'O7'!D109</f>
        <v>1123.6470315329416</v>
      </c>
      <c r="F14" s="343">
        <f>SUM(E14:E15)</f>
        <v>3687.3892574650436</v>
      </c>
      <c r="G14" s="158">
        <f>E14/F14</f>
        <v>0.30472699058233177</v>
      </c>
    </row>
    <row r="15" spans="1:8" ht="16">
      <c r="A15" s="340"/>
      <c r="B15" s="342"/>
      <c r="C15" s="155" t="str">
        <f>'O7'!B10</f>
        <v>2C INGENIEROS SA</v>
      </c>
      <c r="D15" s="156">
        <f>'O7'!E10</f>
        <v>0.5</v>
      </c>
      <c r="E15" s="157">
        <f>'O7'!D24+'O7'!D45</f>
        <v>2563.742225932102</v>
      </c>
      <c r="F15" s="340"/>
      <c r="G15" s="158">
        <f>E15/F14</f>
        <v>0.69527300941766823</v>
      </c>
      <c r="H15" s="147"/>
    </row>
    <row r="16" spans="1:8" ht="16" hidden="1">
      <c r="A16" s="141">
        <v>8</v>
      </c>
      <c r="B16" s="152" t="str">
        <f>'O8'!B7</f>
        <v>CEYCO INGENIERIA SAS</v>
      </c>
      <c r="C16" s="142" t="str">
        <f>B16</f>
        <v>CEYCO INGENIERIA SAS</v>
      </c>
      <c r="D16" s="144">
        <v>1</v>
      </c>
      <c r="E16" s="153">
        <f>'O8'!F126</f>
        <v>742.45778262319652</v>
      </c>
      <c r="F16" s="154">
        <f>E16</f>
        <v>742.45778262319652</v>
      </c>
      <c r="G16" s="148">
        <v>1</v>
      </c>
    </row>
  </sheetData>
  <sheetProtection algorithmName="SHA-512" hashValue="TjmEsTbA0vrjsg5vsgdtppg52JP5PDAOVEwvroydJKyZgaC49tAYsFNdK9zBuz19qt1/AupcescJsxf5rd5pig==" saltValue="h1v9WRTu3CVRVknJ2UyheQ==" spinCount="100000" sheet="1" objects="1" scenarios="1" selectLockedCells="1" selectUnlockedCells="1"/>
  <mergeCells count="14">
    <mergeCell ref="A14:A15"/>
    <mergeCell ref="B14:B15"/>
    <mergeCell ref="F14:F15"/>
    <mergeCell ref="A9:A10"/>
    <mergeCell ref="B9:B10"/>
    <mergeCell ref="F9:F10"/>
    <mergeCell ref="G4:G5"/>
    <mergeCell ref="B7:B8"/>
    <mergeCell ref="F7:F8"/>
    <mergeCell ref="A7:A8"/>
    <mergeCell ref="E4:F4"/>
    <mergeCell ref="D4:D5"/>
    <mergeCell ref="C4:C5"/>
    <mergeCell ref="A4:B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D94C80E548374288A84D3FA08C468A" ma:contentTypeVersion="2" ma:contentTypeDescription="Crear nuevo documento." ma:contentTypeScope="" ma:versionID="1f53d9e7a1a79aa7d606a3c11a22d014">
  <xsd:schema xmlns:xsd="http://www.w3.org/2001/XMLSchema" xmlns:xs="http://www.w3.org/2001/XMLSchema" xmlns:p="http://schemas.microsoft.com/office/2006/metadata/properties" xmlns:ns2="fece7cf1-1e07-4beb-bf9a-67130645ae85" targetNamespace="http://schemas.microsoft.com/office/2006/metadata/properties" ma:root="true" ma:fieldsID="a0aa0c9233e9ad41db857d0c9222b1bd" ns2:_="">
    <xsd:import namespace="fece7cf1-1e07-4beb-bf9a-67130645ae85"/>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ce7cf1-1e07-4beb-bf9a-67130645ae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507C26-2FAD-47B4-A249-DA3DF8FA6E4A}">
  <ds:schemaRefs>
    <ds:schemaRef ds:uri="http://schemas.microsoft.com/sharepoint/v3/contenttype/forms"/>
  </ds:schemaRefs>
</ds:datastoreItem>
</file>

<file path=customXml/itemProps2.xml><?xml version="1.0" encoding="utf-8"?>
<ds:datastoreItem xmlns:ds="http://schemas.openxmlformats.org/officeDocument/2006/customXml" ds:itemID="{7C755FB1-825C-436D-9925-311CDB43E283}">
  <ds:schemaRefs>
    <ds:schemaRef ds:uri="fece7cf1-1e07-4beb-bf9a-67130645ae85"/>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39174851-D496-486A-A28A-01237AF2CF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ce7cf1-1e07-4beb-bf9a-67130645ae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Ref</vt:lpstr>
      <vt:lpstr>SMMLV</vt:lpstr>
      <vt:lpstr>CONSOLIDADO</vt:lpstr>
      <vt:lpstr>PONDERABLE</vt:lpstr>
      <vt:lpstr>O1</vt:lpstr>
      <vt:lpstr>O2</vt:lpstr>
      <vt:lpstr>O3</vt:lpstr>
      <vt:lpstr>O4</vt:lpstr>
      <vt:lpstr>O5</vt:lpstr>
      <vt:lpstr>O6</vt:lpstr>
      <vt:lpstr>O7</vt:lpstr>
      <vt:lpstr>O8</vt:lpstr>
      <vt:lpstr>Desempate</vt:lpstr>
      <vt:lpstr>'O1'!Área_de_impresión</vt:lpstr>
      <vt:lpstr>'O2'!Área_de_impresión</vt:lpstr>
      <vt:lpstr>'O3'!Área_de_impresión</vt:lpstr>
      <vt:lpstr>'O4'!Área_de_impresión</vt:lpstr>
      <vt:lpstr>'O5'!Área_de_impresión</vt:lpstr>
      <vt:lpstr>'O6'!Área_de_impresión</vt:lpstr>
      <vt:lpstr>'O7'!Área_de_impresión</vt:lpstr>
      <vt:lpstr>'O8'!Área_de_impresión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Diaz López</dc:creator>
  <cp:keywords/>
  <dc:description/>
  <cp:lastModifiedBy>Carlos Andres Monroy Rodriguez</cp:lastModifiedBy>
  <cp:revision/>
  <cp:lastPrinted>2024-12-06T19:33:32Z</cp:lastPrinted>
  <dcterms:created xsi:type="dcterms:W3CDTF">2016-06-30T15:40:00Z</dcterms:created>
  <dcterms:modified xsi:type="dcterms:W3CDTF">2024-12-21T03:56:03Z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0x010100EFD94C80E548374288A84D3FA08C468A</vt:lpwstr>
  </property>
</Properties>
</file>