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codeName="EsteLibro"/>
  <mc:AlternateContent xmlns:mc="http://schemas.openxmlformats.org/markup-compatibility/2006">
    <mc:Choice Requires="x15">
      <x15ac:absPath xmlns:x15ac="http://schemas.microsoft.com/office/spreadsheetml/2010/11/ac" url="C:\Users\rperez\Desktop\"/>
    </mc:Choice>
  </mc:AlternateContent>
  <xr:revisionPtr revIDLastSave="0" documentId="13_ncr:1_{450655E4-8004-48B2-8F19-49F68804EBCF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AnticipoM1">POA!$D$2</definedName>
    <definedName name="AnticipoM2">POA!#REF!</definedName>
    <definedName name="AnticipoM3">POA!#REF!</definedName>
    <definedName name="AnticipoM4">POA!#REF!</definedName>
    <definedName name="_xlnm.Print_Area" localSheetId="2">'Cap Finan y Organiz'!$B$1:$AD$9</definedName>
    <definedName name="SALACTUAL">POA!$F$2</definedName>
    <definedName name="Z_7043DB3C_32B3_43B5_9ACE_4B1C78863594_.wvu.PrintArea" localSheetId="2" hidden="1">'Cap Finan y Organiz'!$B$1:$AD$9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6" l="1"/>
  <c r="I2" i="6"/>
  <c r="D10" i="4"/>
  <c r="V7" i="4"/>
  <c r="M12" i="4"/>
  <c r="L12" i="4"/>
  <c r="H12" i="4"/>
  <c r="G12" i="4"/>
  <c r="F12" i="4"/>
  <c r="J12" i="4" s="1"/>
  <c r="E12" i="4"/>
  <c r="I12" i="4" s="1"/>
  <c r="J11" i="4"/>
  <c r="I11" i="4"/>
  <c r="K11" i="4" l="1"/>
  <c r="K12" i="4"/>
  <c r="R20" i="4"/>
  <c r="Q20" i="4"/>
  <c r="O20" i="4"/>
  <c r="M20" i="4"/>
  <c r="L20" i="4"/>
  <c r="H20" i="4"/>
  <c r="K20" i="4" s="1"/>
  <c r="G20" i="4"/>
  <c r="F20" i="4"/>
  <c r="E20" i="4"/>
  <c r="R19" i="4"/>
  <c r="Q19" i="4"/>
  <c r="O19" i="4"/>
  <c r="M19" i="4"/>
  <c r="L19" i="4"/>
  <c r="H19" i="4"/>
  <c r="G19" i="4"/>
  <c r="F19" i="4"/>
  <c r="AE19" i="4" s="1"/>
  <c r="AF19" i="4" s="1"/>
  <c r="E19" i="4"/>
  <c r="I19" i="4" s="1"/>
  <c r="R18" i="4"/>
  <c r="Q18" i="4"/>
  <c r="O18" i="4"/>
  <c r="M18" i="4"/>
  <c r="L18" i="4"/>
  <c r="H18" i="4"/>
  <c r="G18" i="4"/>
  <c r="F18" i="4"/>
  <c r="E18" i="4"/>
  <c r="I18" i="4" s="1"/>
  <c r="R17" i="4"/>
  <c r="Q17" i="4"/>
  <c r="O17" i="4"/>
  <c r="M17" i="4"/>
  <c r="L17" i="4"/>
  <c r="H17" i="4"/>
  <c r="G17" i="4"/>
  <c r="F17" i="4"/>
  <c r="AE17" i="4" s="1"/>
  <c r="AF17" i="4" s="1"/>
  <c r="E17" i="4"/>
  <c r="R16" i="4"/>
  <c r="Q16" i="4"/>
  <c r="O16" i="4"/>
  <c r="M16" i="4"/>
  <c r="L16" i="4"/>
  <c r="H16" i="4"/>
  <c r="G16" i="4"/>
  <c r="F16" i="4"/>
  <c r="AE16" i="4" s="1"/>
  <c r="AF16" i="4" s="1"/>
  <c r="E16" i="4"/>
  <c r="R15" i="4"/>
  <c r="Q15" i="4"/>
  <c r="O15" i="4"/>
  <c r="M15" i="4"/>
  <c r="L15" i="4"/>
  <c r="H15" i="4"/>
  <c r="G15" i="4"/>
  <c r="F15" i="4"/>
  <c r="AE15" i="4" s="1"/>
  <c r="AF15" i="4" s="1"/>
  <c r="E15" i="4"/>
  <c r="R14" i="4"/>
  <c r="Q14" i="4"/>
  <c r="O14" i="4"/>
  <c r="M14" i="4"/>
  <c r="L14" i="4"/>
  <c r="H14" i="4"/>
  <c r="G14" i="4"/>
  <c r="F14" i="4"/>
  <c r="E14" i="4"/>
  <c r="R13" i="4"/>
  <c r="Q13" i="4"/>
  <c r="O13" i="4"/>
  <c r="M13" i="4"/>
  <c r="L13" i="4"/>
  <c r="H13" i="4"/>
  <c r="G13" i="4"/>
  <c r="F13" i="4"/>
  <c r="AE13" i="4" s="1"/>
  <c r="AF13" i="4" s="1"/>
  <c r="E13" i="4"/>
  <c r="R12" i="4"/>
  <c r="Q12" i="4"/>
  <c r="O12" i="4"/>
  <c r="R11" i="4"/>
  <c r="Q11" i="4"/>
  <c r="O11" i="4"/>
  <c r="AE11" i="4"/>
  <c r="AF11" i="4" s="1"/>
  <c r="AA10" i="4"/>
  <c r="R10" i="4"/>
  <c r="O10" i="4"/>
  <c r="I15" i="4" l="1"/>
  <c r="K16" i="4"/>
  <c r="I14" i="4"/>
  <c r="M10" i="4"/>
  <c r="I13" i="4"/>
  <c r="K14" i="4"/>
  <c r="I17" i="4"/>
  <c r="K18" i="4"/>
  <c r="I16" i="4"/>
  <c r="I20" i="4"/>
  <c r="E10" i="4"/>
  <c r="L10" i="4"/>
  <c r="F10" i="4"/>
  <c r="Q10" i="4"/>
  <c r="H10" i="4"/>
  <c r="AE12" i="4"/>
  <c r="AF12" i="4" s="1"/>
  <c r="J14" i="4"/>
  <c r="AE14" i="4"/>
  <c r="AF14" i="4" s="1"/>
  <c r="J18" i="4"/>
  <c r="G10" i="4"/>
  <c r="J16" i="4"/>
  <c r="AE18" i="4"/>
  <c r="AF18" i="4" s="1"/>
  <c r="J20" i="4"/>
  <c r="AE20" i="4"/>
  <c r="AF20" i="4" s="1"/>
  <c r="J13" i="4"/>
  <c r="J15" i="4"/>
  <c r="J17" i="4"/>
  <c r="J19" i="4"/>
  <c r="K13" i="4"/>
  <c r="K15" i="4"/>
  <c r="K17" i="4"/>
  <c r="K19" i="4"/>
  <c r="I10" i="4" l="1"/>
  <c r="S10" i="4" s="1"/>
  <c r="T20" i="4" s="1"/>
  <c r="W10" i="4"/>
  <c r="X15" i="4" s="1"/>
  <c r="AI10" i="4"/>
  <c r="AJ11" i="4" s="1"/>
  <c r="T13" i="4"/>
  <c r="AB10" i="4"/>
  <c r="AC18" i="4" s="1"/>
  <c r="T10" i="4"/>
  <c r="Y10" i="4"/>
  <c r="Z19" i="4" s="1"/>
  <c r="T18" i="4"/>
  <c r="T17" i="4"/>
  <c r="T14" i="4"/>
  <c r="T11" i="4"/>
  <c r="T19" i="4"/>
  <c r="T16" i="4"/>
  <c r="T12" i="4"/>
  <c r="K10" i="4"/>
  <c r="AG10" i="4" s="1"/>
  <c r="J10" i="4"/>
  <c r="U10" i="4" s="1"/>
  <c r="X18" i="4" l="1"/>
  <c r="X14" i="4"/>
  <c r="AJ10" i="4"/>
  <c r="AJ16" i="4"/>
  <c r="AJ12" i="4"/>
  <c r="Z10" i="4"/>
  <c r="AJ15" i="4"/>
  <c r="AJ13" i="4"/>
  <c r="AJ14" i="4"/>
  <c r="X16" i="4"/>
  <c r="X10" i="4"/>
  <c r="Z11" i="4"/>
  <c r="Z16" i="4"/>
  <c r="X11" i="4"/>
  <c r="X12" i="4"/>
  <c r="X17" i="4"/>
  <c r="Z15" i="4"/>
  <c r="AJ17" i="4"/>
  <c r="X13" i="4"/>
  <c r="X19" i="4"/>
  <c r="X20" i="4"/>
  <c r="Z14" i="4"/>
  <c r="AC19" i="4"/>
  <c r="Z20" i="4"/>
  <c r="AJ18" i="4"/>
  <c r="AJ19" i="4"/>
  <c r="AJ20" i="4"/>
  <c r="Z18" i="4"/>
  <c r="AC17" i="4"/>
  <c r="AC14" i="4"/>
  <c r="AC11" i="4"/>
  <c r="AC16" i="4"/>
  <c r="AC10" i="4"/>
  <c r="AC15" i="4"/>
  <c r="AC12" i="4"/>
  <c r="AC20" i="4"/>
  <c r="Z17" i="4"/>
  <c r="Z13" i="4"/>
  <c r="Z12" i="4"/>
  <c r="AC13" i="4"/>
  <c r="V20" i="4"/>
  <c r="V18" i="4"/>
  <c r="V16" i="4"/>
  <c r="V14" i="4"/>
  <c r="V12" i="4"/>
  <c r="V10" i="4"/>
  <c r="V19" i="4"/>
  <c r="V17" i="4"/>
  <c r="V15" i="4"/>
  <c r="V13" i="4"/>
  <c r="V11" i="4"/>
  <c r="AH20" i="4"/>
  <c r="AH18" i="4"/>
  <c r="AH16" i="4"/>
  <c r="AH14" i="4"/>
  <c r="AH12" i="4"/>
  <c r="AH10" i="4"/>
  <c r="AH19" i="4"/>
  <c r="AH17" i="4"/>
  <c r="AH15" i="4"/>
  <c r="AH13" i="4"/>
  <c r="AH11" i="4"/>
  <c r="AD19" i="4" l="1"/>
  <c r="AD18" i="4"/>
  <c r="AD17" i="4"/>
  <c r="AD14" i="4"/>
  <c r="AD10" i="4"/>
  <c r="AD11" i="4"/>
  <c r="AD16" i="4"/>
  <c r="AD13" i="4"/>
  <c r="AD12" i="4"/>
  <c r="AD20" i="4"/>
  <c r="AD15" i="4"/>
  <c r="B20" i="4" l="1"/>
  <c r="B19" i="4"/>
  <c r="B18" i="4"/>
  <c r="B17" i="4"/>
  <c r="B16" i="4"/>
  <c r="B15" i="4"/>
  <c r="B11" i="4"/>
  <c r="B12" i="4" l="1"/>
  <c r="B13" i="4" l="1"/>
  <c r="B14" i="4" l="1"/>
  <c r="AK18" i="4"/>
  <c r="AK19" i="4" l="1"/>
  <c r="AK13" i="4"/>
  <c r="AK12" i="4"/>
  <c r="AK17" i="4"/>
  <c r="AK11" i="4"/>
  <c r="AK10" i="4"/>
  <c r="AK16" i="4"/>
  <c r="AK20" i="4"/>
  <c r="AK15" i="4"/>
  <c r="AK14" i="4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/>
  <c r="V11" i="1"/>
  <c r="W11" i="1"/>
  <c r="H12" i="1"/>
  <c r="T12" i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M17" i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/>
  <c r="K20" i="1"/>
  <c r="U20" i="1" s="1"/>
  <c r="R20" i="1"/>
  <c r="V20" i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/>
  <c r="V24" i="1"/>
  <c r="W24" i="1"/>
  <c r="H25" i="1"/>
  <c r="T25" i="1" s="1"/>
  <c r="K25" i="1"/>
  <c r="U25" i="1" s="1"/>
  <c r="M25" i="1"/>
  <c r="V25" i="1"/>
  <c r="W25" i="1"/>
  <c r="H26" i="1"/>
  <c r="K26" i="1"/>
  <c r="M26" i="1" s="1"/>
  <c r="R26" i="1"/>
  <c r="V26" i="1"/>
  <c r="T26" i="1"/>
  <c r="W26" i="1"/>
  <c r="H28" i="1"/>
  <c r="K28" i="1"/>
  <c r="U28" i="1" s="1"/>
  <c r="T28" i="1"/>
  <c r="V28" i="1"/>
  <c r="W28" i="1"/>
  <c r="H29" i="1"/>
  <c r="T29" i="1" s="1"/>
  <c r="K29" i="1"/>
  <c r="M29" i="1" s="1"/>
  <c r="V29" i="1"/>
  <c r="W29" i="1"/>
  <c r="H30" i="1"/>
  <c r="T30" i="1"/>
  <c r="K30" i="1"/>
  <c r="U30" i="1" s="1"/>
  <c r="V30" i="1"/>
  <c r="W30" i="1"/>
  <c r="G31" i="1"/>
  <c r="H31" i="1" s="1"/>
  <c r="T31" i="1" s="1"/>
  <c r="K31" i="1"/>
  <c r="M31" i="1"/>
  <c r="V31" i="1"/>
  <c r="W31" i="1"/>
  <c r="U31" i="1"/>
  <c r="U24" i="1"/>
  <c r="U11" i="1"/>
  <c r="M30" i="1" l="1"/>
  <c r="M20" i="1"/>
  <c r="M14" i="1"/>
  <c r="U23" i="1"/>
  <c r="U18" i="1"/>
  <c r="L8" i="1"/>
  <c r="M19" i="1"/>
  <c r="U12" i="1"/>
  <c r="U21" i="1"/>
  <c r="U16" i="1"/>
  <c r="U10" i="1"/>
  <c r="U9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<sst xmlns="http://schemas.openxmlformats.org/spreadsheetml/2006/main" count="230" uniqueCount="207">
  <si>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</si>
  <si>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</si>
  <si>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</si>
  <si>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</si>
  <si>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</si>
  <si>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</si>
  <si>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</si>
  <si>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</si>
  <si>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</si>
  <si>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</si>
  <si>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</si>
  <si>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</si>
  <si>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</si>
  <si>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</si>
  <si>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</si>
  <si>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</si>
  <si>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</si>
  <si>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</si>
  <si>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</si>
  <si>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</si>
  <si>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</si>
  <si>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</si>
  <si>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</si>
  <si>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</si>
  <si>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</si>
  <si>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</si>
  <si>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</si>
  <si>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</si>
  <si>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</si>
  <si>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</si>
  <si>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</si>
  <si>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</si>
  <si>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</si>
  <si>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</si>
  <si>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</si>
  <si>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</si>
  <si>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</si>
  <si>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</si>
  <si>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</si>
  <si>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</si>
  <si>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</si>
  <si>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</si>
  <si>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</si>
  <si>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</si>
  <si>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</si>
  <si>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</si>
  <si>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</si>
  <si>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</si>
  <si>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</si>
  <si>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</si>
  <si>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</si>
  <si>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</si>
  <si>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</si>
  <si>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</si>
  <si>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</si>
  <si>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</si>
  <si>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</si>
  <si>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</si>
  <si>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</si>
  <si>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</si>
  <si>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</si>
  <si>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</si>
  <si>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</si>
  <si>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</si>
  <si>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</si>
  <si>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</si>
  <si>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</si>
  <si>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</si>
  <si>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</si>
  <si>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</si>
  <si>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</si>
  <si>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</si>
  <si>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</si>
  <si>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</si>
  <si>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</si>
  <si>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</si>
  <si>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</si>
  <si>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</si>
  <si>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</si>
  <si>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</si>
  <si>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</si>
  <si>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</si>
  <si>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</si>
  <si>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</si>
  <si>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</si>
  <si>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</si>
  <si>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</si>
  <si>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</si>
  <si>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</si>
  <si>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</si>
  <si>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</si>
  <si>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</si>
  <si>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</si>
  <si>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</si>
  <si>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</si>
  <si>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</si>
  <si>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</si>
  <si>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</si>
  <si>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</si>
  <si>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</si>
  <si>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</si>
  <si>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</si>
  <si>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</si>
  <si>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</si>
  <si>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</si>
  <si>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</si>
  <si>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</si>
  <si>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</si>
  <si>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</si>
  <si>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</si>
  <si>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</si>
  <si>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</si>
  <si>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</si>
  <si>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</si>
  <si>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</si>
  <si>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</si>
  <si>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</si>
  <si>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</si>
  <si>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</si>
  <si>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</si>
  <si>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</si>
  <si>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</si>
  <si>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</si>
  <si>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</si>
  <si>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</si>
  <si>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</si>
  <si>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</si>
  <si>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</si>
  <si>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</si>
  <si>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</si>
  <si>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</si>
  <si>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</si>
  <si>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</si>
  <si>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</si>
  <si>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</si>
  <si>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</si>
  <si>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</si>
  <si>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</si>
  <si>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</si>
  <si>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</si>
  <si>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</si>
  <si>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</si>
  <si>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</si>
  <si>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</si>
  <si>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</si>
  <si>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</si>
  <si>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</si>
  <si>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</si>
  <si>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</si>
  <si>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</si>
  <si>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</si>
  <si>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</si>
  <si>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</si>
  <si>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</si>
  <si>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</si>
  <si>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</si>
  <si>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</si>
  <si>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</si>
  <si>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</si>
  <si>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</si>
  <si>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</si>
  <si>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</si>
  <si>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</si>
  <si>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</si>
  <si>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</si>
  <si>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</si>
  <si>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</si>
  <si>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</si>
  <si>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</si>
  <si>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</si>
  <si>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</si>
  <si>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</si>
  <si>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</si>
  <si>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</si>
  <si>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</si>
  <si>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</si>
  <si>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</si>
  <si>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</si>
  <si>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</si>
  <si>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</si>
  <si>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</si>
  <si>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</si>
  <si>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</si>
  <si>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</si>
  <si>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</si>
  <si>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</si>
  <si>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</si>
  <si>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</si>
  <si>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</si>
  <si>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</si>
  <si>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</si>
  <si>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</si>
  <si>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</si>
  <si>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PATRIMONIO ROE
(Activo Total - Pasivo Total)</t>
  </si>
  <si>
    <t/>
  </si>
  <si>
    <t>PLAZO (N)</t>
  </si>
  <si>
    <t>Capital de Trabajo Demandado</t>
  </si>
  <si>
    <t>SMMLV 2019</t>
  </si>
  <si>
    <t>% Requerido CAPITAL DE TRABAJO</t>
  </si>
  <si>
    <t>Fórmula: Liquidez=AC/PC&gt;=1,5</t>
  </si>
  <si>
    <t>Fórmula: Endeudamiento = Pas.T/Act.Tot. &lt;= 0,50</t>
  </si>
  <si>
    <t>Fórmula: Razón Cobertura Intereses = UO/GI &gt;= 1,5</t>
  </si>
  <si>
    <t>Fórmula: CT=AC-PC&gt;=(PO*0,60)</t>
  </si>
  <si>
    <t>Fórmula: P=AT-PT &gt;= (50%*PO)</t>
  </si>
  <si>
    <t>Fórmula:                        ROE=UO/Pat.ROE&gt;=6,0</t>
  </si>
  <si>
    <t>Fórmula:                        ROE=UO/Act.Tot.&gt;=4,0</t>
  </si>
  <si>
    <t>IVESUR COLOMBIA S.A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</si>
</sst>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 * #,##0.0000_ ;_ * \-#,##0.0000_ ;_ * &quot;-&quot;??_ ;_ @_ "/>
    <numFmt numFmtId="174" formatCode="_ * #,##0.0_ ;_ * \-#,##0.0_ ;_ * &quot;-&quot;??_ ;_ @_ "/>
    <numFmt numFmtId="175" formatCode="#,##0.000"/>
  </numFmts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8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223">
    <xf numFmtId="0" fontId="0" fillId="0" borderId="0" xfId="0"/>
    <xf numFmtId="0" fontId="5" fillId="0" borderId="1" xfId="0" applyFont="1" applyBorder="1"/>
    <xf numFmtId="0" fontId="5" fillId="0" borderId="2" xfId="0" applyFont="1" applyBorder="1" applyAlignment="1">
      <alignment horizontal="left" vertical="center"/>
    </xf>
    <xf numFmtId="0" fontId="5" fillId="0" borderId="3" xfId="0" applyFont="1" applyBorder="1"/>
    <xf numFmtId="0" fontId="5" fillId="0" borderId="4" xfId="0" applyFont="1" applyBorder="1"/>
    <xf numFmtId="9" fontId="5" fillId="0" borderId="4" xfId="6" applyFont="1" applyFill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4" fillId="0" borderId="1" xfId="0" applyFont="1" applyBorder="1"/>
    <xf numFmtId="0" fontId="4" fillId="0" borderId="5" xfId="0" quotePrefix="1" applyFont="1" applyBorder="1" applyAlignment="1">
      <alignment horizontal="left"/>
    </xf>
    <xf numFmtId="0" fontId="4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2" fillId="0" borderId="7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/>
    <xf numFmtId="1" fontId="6" fillId="0" borderId="14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Border="1" applyAlignment="1">
      <alignment horizontal="left"/>
    </xf>
    <xf numFmtId="0" fontId="15" fillId="0" borderId="12" xfId="5" applyFont="1" applyBorder="1" applyAlignment="1">
      <alignment horizontal="left" indent="1"/>
    </xf>
    <xf numFmtId="1" fontId="6" fillId="0" borderId="11" xfId="0" applyNumberFormat="1" applyFont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Border="1" applyAlignment="1">
      <alignment horizontal="center" vertical="center"/>
    </xf>
    <xf numFmtId="170" fontId="13" fillId="0" borderId="12" xfId="0" applyNumberFormat="1" applyFont="1" applyBorder="1" applyAlignment="1">
      <alignment horizontal="center" vertical="center"/>
    </xf>
    <xf numFmtId="0" fontId="16" fillId="0" borderId="15" xfId="5" applyFont="1" applyBorder="1" applyAlignment="1">
      <alignment horizontal="left"/>
    </xf>
    <xf numFmtId="0" fontId="14" fillId="6" borderId="14" xfId="0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2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7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  <xf numFmtId="9" fontId="20" fillId="7" borderId="15" xfId="6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171" fontId="22" fillId="10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4" xfId="0" applyFont="1" applyFill="1" applyBorder="1" applyAlignment="1">
      <alignment vertical="center" wrapText="1"/>
    </xf>
    <xf numFmtId="168" fontId="17" fillId="3" borderId="25" xfId="2" applyFont="1" applyFill="1" applyBorder="1" applyAlignment="1">
      <alignment vertical="center" wrapText="1"/>
    </xf>
    <xf numFmtId="0" fontId="6" fillId="0" borderId="16" xfId="0" applyFont="1" applyBorder="1"/>
    <xf numFmtId="0" fontId="6" fillId="11" borderId="17" xfId="0" applyFont="1" applyFill="1" applyBorder="1"/>
    <xf numFmtId="0" fontId="6" fillId="11" borderId="13" xfId="0" applyFont="1" applyFill="1" applyBorder="1"/>
    <xf numFmtId="0" fontId="4" fillId="8" borderId="6" xfId="0" applyFont="1" applyFill="1" applyBorder="1" applyAlignment="1">
      <alignment horizontal="center" vertical="center"/>
    </xf>
    <xf numFmtId="172" fontId="18" fillId="0" borderId="12" xfId="6" applyNumberFormat="1" applyFont="1" applyFill="1" applyBorder="1" applyAlignment="1">
      <alignment horizontal="center" vertical="center" wrapText="1"/>
    </xf>
    <xf numFmtId="169" fontId="4" fillId="11" borderId="33" xfId="1" applyFont="1" applyFill="1" applyBorder="1"/>
    <xf numFmtId="0" fontId="4" fillId="0" borderId="34" xfId="0" applyFont="1" applyBorder="1"/>
    <xf numFmtId="169" fontId="4" fillId="11" borderId="35" xfId="1" applyFont="1" applyFill="1" applyBorder="1"/>
    <xf numFmtId="172" fontId="22" fillId="6" borderId="12" xfId="6" applyNumberFormat="1" applyFont="1" applyFill="1" applyBorder="1" applyAlignment="1">
      <alignment horizontal="center" vertical="center" wrapText="1"/>
    </xf>
    <xf numFmtId="0" fontId="5" fillId="9" borderId="0" xfId="0" applyFont="1" applyFill="1"/>
    <xf numFmtId="0" fontId="4" fillId="9" borderId="0" xfId="0" applyFont="1" applyFill="1"/>
    <xf numFmtId="169" fontId="5" fillId="9" borderId="0" xfId="0" applyNumberFormat="1" applyFont="1" applyFill="1"/>
    <xf numFmtId="0" fontId="5" fillId="9" borderId="0" xfId="0" applyFont="1" applyFill="1" applyAlignment="1">
      <alignment horizontal="center"/>
    </xf>
    <xf numFmtId="169" fontId="5" fillId="9" borderId="0" xfId="1" applyFont="1" applyFill="1" applyAlignment="1">
      <alignment horizontal="center"/>
    </xf>
    <xf numFmtId="167" fontId="5" fillId="9" borderId="0" xfId="0" applyNumberFormat="1" applyFont="1" applyFill="1" applyAlignment="1">
      <alignment horizontal="center"/>
    </xf>
    <xf numFmtId="172" fontId="5" fillId="9" borderId="0" xfId="6" applyNumberFormat="1" applyFont="1" applyFill="1"/>
    <xf numFmtId="9" fontId="17" fillId="9" borderId="5" xfId="0" applyNumberFormat="1" applyFont="1" applyFill="1" applyBorder="1" applyAlignment="1">
      <alignment vertical="center"/>
    </xf>
    <xf numFmtId="9" fontId="17" fillId="9" borderId="1" xfId="0" applyNumberFormat="1" applyFont="1" applyFill="1" applyBorder="1" applyAlignment="1">
      <alignment vertical="center"/>
    </xf>
    <xf numFmtId="9" fontId="17" fillId="9" borderId="0" xfId="0" applyNumberFormat="1" applyFont="1" applyFill="1" applyAlignment="1">
      <alignment vertical="center"/>
    </xf>
    <xf numFmtId="0" fontId="5" fillId="9" borderId="1" xfId="0" applyFont="1" applyFill="1" applyBorder="1"/>
    <xf numFmtId="0" fontId="5" fillId="9" borderId="8" xfId="0" applyFont="1" applyFill="1" applyBorder="1"/>
    <xf numFmtId="172" fontId="5" fillId="9" borderId="0" xfId="6" applyNumberFormat="1" applyFont="1" applyFill="1" applyBorder="1"/>
    <xf numFmtId="0" fontId="5" fillId="9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4" fillId="9" borderId="0" xfId="0" applyFont="1" applyFill="1" applyAlignment="1">
      <alignment horizontal="center" vertical="center"/>
    </xf>
    <xf numFmtId="168" fontId="0" fillId="9" borderId="0" xfId="2" applyFont="1" applyFill="1" applyAlignment="1">
      <alignment horizontal="center" vertical="center"/>
    </xf>
    <xf numFmtId="9" fontId="17" fillId="9" borderId="1" xfId="0" applyNumberFormat="1" applyFont="1" applyFill="1" applyBorder="1" applyAlignment="1">
      <alignment horizontal="center" vertical="center"/>
    </xf>
    <xf numFmtId="171" fontId="22" fillId="7" borderId="40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171" fontId="22" fillId="7" borderId="23" xfId="1" applyNumberFormat="1" applyFont="1" applyFill="1" applyBorder="1" applyAlignment="1">
      <alignment horizontal="center" vertical="center"/>
    </xf>
    <xf numFmtId="169" fontId="14" fillId="6" borderId="40" xfId="1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9" fontId="21" fillId="6" borderId="40" xfId="6" applyFont="1" applyFill="1" applyBorder="1" applyAlignment="1">
      <alignment horizontal="center" vertical="center" wrapText="1"/>
    </xf>
    <xf numFmtId="167" fontId="17" fillId="13" borderId="20" xfId="0" applyNumberFormat="1" applyFont="1" applyFill="1" applyBorder="1" applyAlignment="1">
      <alignment horizontal="center" vertical="center" wrapText="1"/>
    </xf>
    <xf numFmtId="0" fontId="17" fillId="10" borderId="18" xfId="0" applyFont="1" applyFill="1" applyBorder="1" applyAlignment="1">
      <alignment horizontal="center" vertical="center" wrapText="1"/>
    </xf>
    <xf numFmtId="0" fontId="23" fillId="10" borderId="15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36" xfId="0" applyFont="1" applyFill="1" applyBorder="1" applyAlignment="1">
      <alignment horizontal="center" vertical="center" wrapText="1"/>
    </xf>
    <xf numFmtId="0" fontId="23" fillId="10" borderId="25" xfId="0" applyFont="1" applyFill="1" applyBorder="1" applyAlignment="1">
      <alignment horizontal="center" vertical="center" wrapText="1"/>
    </xf>
    <xf numFmtId="0" fontId="23" fillId="10" borderId="17" xfId="0" applyFont="1" applyFill="1" applyBorder="1" applyAlignment="1">
      <alignment horizontal="center" vertical="center" wrapText="1"/>
    </xf>
    <xf numFmtId="0" fontId="23" fillId="10" borderId="37" xfId="0" applyFont="1" applyFill="1" applyBorder="1" applyAlignment="1">
      <alignment horizontal="center" vertical="center" wrapText="1"/>
    </xf>
    <xf numFmtId="0" fontId="23" fillId="10" borderId="38" xfId="0" applyFont="1" applyFill="1" applyBorder="1" applyAlignment="1">
      <alignment horizontal="center" vertical="center" wrapText="1"/>
    </xf>
    <xf numFmtId="169" fontId="17" fillId="14" borderId="10" xfId="1" applyFont="1" applyFill="1" applyBorder="1" applyAlignment="1">
      <alignment horizontal="center" vertical="center" wrapText="1"/>
    </xf>
    <xf numFmtId="0" fontId="17" fillId="14" borderId="3" xfId="0" quotePrefix="1" applyFont="1" applyFill="1" applyBorder="1" applyAlignment="1">
      <alignment horizontal="left" vertical="center" wrapText="1"/>
    </xf>
    <xf numFmtId="0" fontId="17" fillId="14" borderId="19" xfId="0" applyFont="1" applyFill="1" applyBorder="1" applyAlignment="1">
      <alignment horizontal="center" vertical="center"/>
    </xf>
    <xf numFmtId="0" fontId="17" fillId="14" borderId="8" xfId="0" applyFont="1" applyFill="1" applyBorder="1" applyAlignment="1">
      <alignment horizontal="center" vertical="center"/>
    </xf>
    <xf numFmtId="172" fontId="17" fillId="14" borderId="3" xfId="6" quotePrefix="1" applyNumberFormat="1" applyFont="1" applyFill="1" applyBorder="1" applyAlignment="1">
      <alignment horizontal="left" vertical="center" wrapText="1"/>
    </xf>
    <xf numFmtId="172" fontId="17" fillId="14" borderId="18" xfId="6" applyNumberFormat="1" applyFont="1" applyFill="1" applyBorder="1" applyAlignment="1">
      <alignment horizontal="center" vertical="center"/>
    </xf>
    <xf numFmtId="0" fontId="17" fillId="14" borderId="32" xfId="0" applyFont="1" applyFill="1" applyBorder="1" applyAlignment="1">
      <alignment horizontal="center" vertical="center"/>
    </xf>
    <xf numFmtId="169" fontId="19" fillId="13" borderId="9" xfId="1" applyFont="1" applyFill="1" applyBorder="1" applyAlignment="1">
      <alignment horizontal="center" vertical="center" wrapText="1"/>
    </xf>
    <xf numFmtId="169" fontId="19" fillId="13" borderId="9" xfId="1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 wrapText="1"/>
    </xf>
    <xf numFmtId="0" fontId="23" fillId="5" borderId="40" xfId="0" applyFont="1" applyFill="1" applyBorder="1" applyAlignment="1">
      <alignment horizontal="center" vertical="center" wrapText="1"/>
    </xf>
    <xf numFmtId="0" fontId="21" fillId="6" borderId="40" xfId="0" applyFont="1" applyFill="1" applyBorder="1" applyAlignment="1">
      <alignment horizontal="center" vertical="center" wrapText="1"/>
    </xf>
    <xf numFmtId="167" fontId="22" fillId="6" borderId="40" xfId="1" applyNumberFormat="1" applyFont="1" applyFill="1" applyBorder="1" applyAlignment="1">
      <alignment horizontal="center" vertical="center" wrapText="1"/>
    </xf>
    <xf numFmtId="169" fontId="4" fillId="7" borderId="40" xfId="1" applyFont="1" applyFill="1" applyBorder="1" applyAlignment="1">
      <alignment horizontal="center" vertical="center"/>
    </xf>
    <xf numFmtId="169" fontId="17" fillId="0" borderId="40" xfId="1" applyFont="1" applyFill="1" applyBorder="1" applyAlignment="1">
      <alignment horizontal="center" vertical="center" wrapText="1"/>
    </xf>
    <xf numFmtId="172" fontId="18" fillId="0" borderId="40" xfId="6" applyNumberFormat="1" applyFont="1" applyFill="1" applyBorder="1" applyAlignment="1">
      <alignment horizontal="center" vertical="center" wrapText="1"/>
    </xf>
    <xf numFmtId="0" fontId="23" fillId="10" borderId="40" xfId="0" applyFont="1" applyFill="1" applyBorder="1" applyAlignment="1">
      <alignment horizontal="center" vertical="center" wrapText="1"/>
    </xf>
    <xf numFmtId="172" fontId="22" fillId="6" borderId="40" xfId="6" applyNumberFormat="1" applyFont="1" applyFill="1" applyBorder="1" applyAlignment="1">
      <alignment horizontal="center" vertical="center" wrapText="1"/>
    </xf>
    <xf numFmtId="0" fontId="23" fillId="5" borderId="39" xfId="0" applyFont="1" applyFill="1" applyBorder="1" applyAlignment="1">
      <alignment horizontal="center" vertical="center" wrapText="1"/>
    </xf>
    <xf numFmtId="173" fontId="22" fillId="7" borderId="23" xfId="1" applyNumberFormat="1" applyFont="1" applyFill="1" applyBorder="1" applyAlignment="1">
      <alignment horizontal="center" vertical="center"/>
    </xf>
    <xf numFmtId="173" fontId="22" fillId="7" borderId="40" xfId="1" applyNumberFormat="1" applyFont="1" applyFill="1" applyBorder="1" applyAlignment="1">
      <alignment horizontal="center" vertical="center"/>
    </xf>
    <xf numFmtId="173" fontId="22" fillId="7" borderId="12" xfId="1" applyNumberFormat="1" applyFont="1" applyFill="1" applyBorder="1" applyAlignment="1">
      <alignment horizontal="center" vertical="center"/>
    </xf>
    <xf numFmtId="0" fontId="4" fillId="8" borderId="40" xfId="0" applyFont="1" applyFill="1" applyBorder="1" applyAlignment="1">
      <alignment horizontal="center" vertical="center" wrapText="1"/>
    </xf>
    <xf numFmtId="0" fontId="0" fillId="9" borderId="0" xfId="0" applyFill="1" applyAlignment="1">
      <alignment wrapText="1"/>
    </xf>
    <xf numFmtId="169" fontId="0" fillId="9" borderId="40" xfId="1" applyFont="1" applyFill="1" applyBorder="1" applyAlignment="1">
      <alignment horizontal="center" vertical="center" wrapText="1"/>
    </xf>
    <xf numFmtId="10" fontId="0" fillId="9" borderId="40" xfId="6" applyNumberFormat="1" applyFont="1" applyFill="1" applyBorder="1" applyAlignment="1">
      <alignment horizontal="center" vertical="center" wrapText="1"/>
    </xf>
    <xf numFmtId="0" fontId="4" fillId="8" borderId="40" xfId="0" applyFont="1" applyFill="1" applyBorder="1" applyAlignment="1">
      <alignment horizontal="center" vertical="center"/>
    </xf>
    <xf numFmtId="168" fontId="0" fillId="9" borderId="40" xfId="2" applyFont="1" applyFill="1" applyBorder="1" applyAlignment="1">
      <alignment horizontal="center" vertical="center"/>
    </xf>
    <xf numFmtId="174" fontId="22" fillId="7" borderId="15" xfId="1" applyNumberFormat="1" applyFont="1" applyFill="1" applyBorder="1" applyAlignment="1">
      <alignment horizontal="center" vertical="center"/>
    </xf>
    <xf numFmtId="169" fontId="0" fillId="9" borderId="0" xfId="1" applyFont="1" applyFill="1"/>
    <xf numFmtId="175" fontId="19" fillId="13" borderId="9" xfId="6" applyNumberFormat="1" applyFont="1" applyFill="1" applyBorder="1" applyAlignment="1">
      <alignment horizontal="center" vertical="center"/>
    </xf>
    <xf numFmtId="0" fontId="5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6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9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0" fontId="17" fillId="10" borderId="30" xfId="0" applyFont="1" applyFill="1" applyBorder="1" applyAlignment="1">
      <alignment horizontal="center" vertical="center" wrapText="1"/>
    </xf>
    <xf numFmtId="0" fontId="17" fillId="10" borderId="29" xfId="0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167" fontId="17" fillId="13" borderId="32" xfId="0" applyNumberFormat="1" applyFont="1" applyFill="1" applyBorder="1" applyAlignment="1">
      <alignment horizontal="center" vertical="center" wrapText="1"/>
    </xf>
    <xf numFmtId="0" fontId="19" fillId="14" borderId="5" xfId="0" quotePrefix="1" applyFont="1" applyFill="1" applyBorder="1" applyAlignment="1">
      <alignment horizontal="center" vertical="center" wrapText="1"/>
    </xf>
    <xf numFmtId="0" fontId="19" fillId="14" borderId="8" xfId="0" quotePrefix="1" applyFont="1" applyFill="1" applyBorder="1" applyAlignment="1">
      <alignment horizontal="center" vertical="center" wrapText="1"/>
    </xf>
    <xf numFmtId="167" fontId="17" fillId="4" borderId="31" xfId="0" applyNumberFormat="1" applyFont="1" applyFill="1" applyBorder="1" applyAlignment="1">
      <alignment horizontal="center" vertical="center" wrapText="1"/>
    </xf>
    <xf numFmtId="167" fontId="17" fillId="4" borderId="32" xfId="0" applyNumberFormat="1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9" fillId="14" borderId="19" xfId="0" applyFont="1" applyFill="1" applyBorder="1" applyAlignment="1">
      <alignment horizontal="center" vertical="center" textRotation="90" wrapText="1"/>
    </xf>
    <xf numFmtId="0" fontId="3" fillId="14" borderId="30" xfId="0" applyFont="1" applyFill="1" applyBorder="1" applyAlignment="1">
      <alignment textRotation="90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30" xfId="0" applyFont="1" applyFill="1" applyBorder="1" applyAlignment="1">
      <alignment horizontal="center" vertical="center" textRotation="90"/>
    </xf>
    <xf numFmtId="0" fontId="17" fillId="14" borderId="29" xfId="0" applyFont="1" applyFill="1" applyBorder="1" applyAlignment="1">
      <alignment horizontal="center" vertical="center" textRotation="90"/>
    </xf>
    <xf numFmtId="0" fontId="17" fillId="14" borderId="19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167" fontId="17" fillId="12" borderId="19" xfId="0" applyNumberFormat="1" applyFont="1" applyFill="1" applyBorder="1" applyAlignment="1">
      <alignment horizontal="center" vertical="center" wrapText="1"/>
    </xf>
    <xf numFmtId="167" fontId="17" fillId="12" borderId="30" xfId="0" applyNumberFormat="1" applyFont="1" applyFill="1" applyBorder="1" applyAlignment="1">
      <alignment horizontal="center" vertical="center" wrapText="1"/>
    </xf>
    <xf numFmtId="167" fontId="17" fillId="12" borderId="29" xfId="0" applyNumberFormat="1" applyFont="1" applyFill="1" applyBorder="1" applyAlignment="1">
      <alignment horizontal="center" vertical="center" wrapText="1"/>
    </xf>
    <xf numFmtId="9" fontId="17" fillId="14" borderId="19" xfId="6" applyFont="1" applyFill="1" applyBorder="1" applyAlignment="1">
      <alignment horizontal="center" vertical="center" wrapText="1"/>
    </xf>
    <xf numFmtId="9" fontId="17" fillId="14" borderId="30" xfId="6" applyFont="1" applyFill="1" applyBorder="1" applyAlignment="1">
      <alignment horizontal="center" vertical="center" wrapText="1"/>
    </xf>
    <xf numFmtId="0" fontId="17" fillId="14" borderId="30" xfId="0" quotePrefix="1" applyFont="1" applyFill="1" applyBorder="1" applyAlignment="1">
      <alignment horizontal="center" vertical="center" wrapText="1"/>
    </xf>
    <xf numFmtId="169" fontId="17" fillId="14" borderId="30" xfId="1" applyFont="1" applyFill="1" applyBorder="1" applyAlignment="1">
      <alignment horizontal="center" vertical="center" wrapText="1"/>
    </xf>
    <xf numFmtId="167" fontId="17" fillId="14" borderId="30" xfId="0" applyNumberFormat="1" applyFont="1" applyFill="1" applyBorder="1" applyAlignment="1">
      <alignment horizontal="center" vertical="center" wrapText="1"/>
    </xf>
    <xf numFmtId="0" fontId="17" fillId="14" borderId="8" xfId="0" applyFont="1" applyFill="1" applyBorder="1" applyAlignment="1">
      <alignment horizontal="center" vertical="center" textRotation="90"/>
    </xf>
    <xf numFmtId="0" fontId="17" fillId="14" borderId="10" xfId="0" applyFont="1" applyFill="1" applyBorder="1" applyAlignment="1">
      <alignment horizontal="center" vertical="center" textRotation="90"/>
    </xf>
    <xf numFmtId="0" fontId="17" fillId="14" borderId="9" xfId="0" applyFont="1" applyFill="1" applyBorder="1" applyAlignment="1">
      <alignment horizontal="center" vertical="center" textRotation="90"/>
    </xf>
    <xf numFmtId="9" fontId="17" fillId="14" borderId="10" xfId="6" applyFont="1" applyFill="1" applyBorder="1" applyAlignment="1">
      <alignment horizontal="center" vertical="center" wrapText="1"/>
    </xf>
    <xf numFmtId="0" fontId="7" fillId="13" borderId="31" xfId="0" applyFont="1" applyFill="1" applyBorder="1" applyAlignment="1">
      <alignment horizontal="center" vertical="center"/>
    </xf>
    <xf numFmtId="0" fontId="7" fillId="13" borderId="20" xfId="0" applyFont="1" applyFill="1" applyBorder="1" applyAlignment="1">
      <alignment horizontal="center" vertical="center"/>
    </xf>
    <xf numFmtId="0" fontId="7" fillId="13" borderId="32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29" fillId="6" borderId="0" xfId="0" applyFont="1" applyFill="1" applyAlignment="1">
      <alignment horizontal="center" vertical="center"/>
    </xf>
    <xf numFmtId="0" fontId="30" fillId="13" borderId="31" xfId="0" applyFont="1" applyFill="1" applyBorder="1" applyAlignment="1">
      <alignment horizontal="center" vertical="center" wrapText="1"/>
    </xf>
    <xf numFmtId="0" fontId="30" fillId="13" borderId="20" xfId="0" applyFont="1" applyFill="1" applyBorder="1" applyAlignment="1">
      <alignment horizontal="center" vertical="center" wrapText="1"/>
    </xf>
    <xf numFmtId="0" fontId="30" fillId="13" borderId="32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/>
    </xf>
    <xf numFmtId="167" fontId="6" fillId="13" borderId="31" xfId="0" applyNumberFormat="1" applyFont="1" applyFill="1" applyBorder="1" applyAlignment="1">
      <alignment horizontal="center" vertical="center" wrapText="1"/>
    </xf>
    <xf numFmtId="167" fontId="6" fillId="13" borderId="32" xfId="0" applyNumberFormat="1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3" fontId="4" fillId="0" borderId="40" xfId="0" applyNumberFormat="1" applyFont="1" applyBorder="1"/>
    <xf numFmtId="0" fontId="0" fillId="9" borderId="40" xfId="0" applyFill="1" applyBorder="1" applyAlignment="1">
      <alignment horizontal="center" vertical="center"/>
    </xf>
    <xf numFmtId="9" fontId="25" fillId="9" borderId="40" xfId="6" applyFont="1" applyFill="1" applyBorder="1" applyAlignment="1">
      <alignment horizontal="center" vertical="center"/>
    </xf>
  </cellXfs>
  <cellStyles count="33">
    <cellStyle name="Millares" xfId="1" builtinId="3"/>
    <cellStyle name="Millares 12" xfId="30" xr:uid="{00000000-0005-0000-0000-000001000000}"/>
    <cellStyle name="Millares 16 8" xfId="21" xr:uid="{00000000-0005-0000-0000-000002000000}"/>
    <cellStyle name="Millares 2" xfId="11" xr:uid="{00000000-0005-0000-0000-000003000000}"/>
    <cellStyle name="Millares 2 2" xfId="14" xr:uid="{00000000-0005-0000-0000-000004000000}"/>
    <cellStyle name="Millares 3" xfId="13" xr:uid="{00000000-0005-0000-0000-000005000000}"/>
    <cellStyle name="Millares 4" xfId="28" xr:uid="{00000000-0005-0000-0000-000006000000}"/>
    <cellStyle name="Millares 43" xfId="24" xr:uid="{00000000-0005-0000-0000-000007000000}"/>
    <cellStyle name="Millares 5" xfId="22" xr:uid="{00000000-0005-0000-0000-000008000000}"/>
    <cellStyle name="Millares 66" xfId="23" xr:uid="{00000000-0005-0000-0000-000009000000}"/>
    <cellStyle name="Moneda" xfId="2" builtinId="4"/>
    <cellStyle name="Moneda 2" xfId="9" xr:uid="{00000000-0005-0000-0000-00000B000000}"/>
    <cellStyle name="Normal" xfId="0" builtinId="0"/>
    <cellStyle name="Normal 10" xfId="20" xr:uid="{00000000-0005-0000-0000-00000D000000}"/>
    <cellStyle name="Normal 11 45 9" xfId="27" xr:uid="{00000000-0005-0000-0000-00000E000000}"/>
    <cellStyle name="Normal 12 2" xfId="26" xr:uid="{00000000-0005-0000-0000-00000F000000}"/>
    <cellStyle name="Normal 2" xfId="7" xr:uid="{00000000-0005-0000-0000-000010000000}"/>
    <cellStyle name="Normal 2 2" xfId="3" xr:uid="{00000000-0005-0000-0000-000011000000}"/>
    <cellStyle name="Normal 3" xfId="4" xr:uid="{00000000-0005-0000-0000-000012000000}"/>
    <cellStyle name="Normal 4" xfId="8" xr:uid="{00000000-0005-0000-0000-000013000000}"/>
    <cellStyle name="Normal 4 3 2" xfId="16" xr:uid="{00000000-0005-0000-0000-000014000000}"/>
    <cellStyle name="Normal 5" xfId="10" xr:uid="{00000000-0005-0000-0000-000015000000}"/>
    <cellStyle name="Normal 68 2 2" xfId="31" xr:uid="{00000000-0005-0000-0000-000016000000}"/>
    <cellStyle name="Normal 73" xfId="18" xr:uid="{00000000-0005-0000-0000-000017000000}"/>
    <cellStyle name="Normal_Los 100 Grupos Tramos - 4 ABR 2005" xfId="5" xr:uid="{00000000-0005-0000-0000-000018000000}"/>
    <cellStyle name="Porcentaje" xfId="6" builtinId="5"/>
    <cellStyle name="Porcentaje 2" xfId="19" xr:uid="{00000000-0005-0000-0000-00001A000000}"/>
    <cellStyle name="Porcentaje 3" xfId="15" xr:uid="{00000000-0005-0000-0000-00001B000000}"/>
    <cellStyle name="Porcentaje 3 2 2" xfId="17" xr:uid="{00000000-0005-0000-0000-00001C000000}"/>
    <cellStyle name="Porcentaje 8" xfId="25" xr:uid="{00000000-0005-0000-0000-00001D000000}"/>
    <cellStyle name="Porcentaje 8 2" xfId="29" xr:uid="{00000000-0005-0000-0000-00001E000000}"/>
    <cellStyle name="Porcentual 2" xfId="12" xr:uid="{00000000-0005-0000-0000-00001F000000}"/>
    <cellStyle name="Porcentual 2 2" xfId="32" xr:uid="{00000000-0005-0000-0000-000020000000}"/>
  </cellStyles>
  <dxfs count="25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2:32" ht="13.5" thickBot="1" x14ac:dyDescent="0.25"/>
    <row r="4" spans="2:32" x14ac:dyDescent="0.2">
      <c r="B4" s="168" t="s">
        <v>2</v>
      </c>
      <c r="C4" s="169"/>
      <c r="D4" s="172" t="s">
        <v>3</v>
      </c>
      <c r="E4" s="174" t="s">
        <v>105</v>
      </c>
      <c r="F4" s="175"/>
      <c r="G4" s="175"/>
      <c r="H4" s="175"/>
      <c r="I4" s="175"/>
      <c r="J4" s="175"/>
      <c r="K4" s="175"/>
      <c r="L4" s="175"/>
      <c r="M4" s="175"/>
      <c r="N4" s="175"/>
      <c r="O4" s="176"/>
      <c r="P4" s="165" t="s">
        <v>109</v>
      </c>
      <c r="Q4" s="166"/>
      <c r="R4" s="166"/>
      <c r="S4" s="167"/>
      <c r="T4" s="165" t="s">
        <v>110</v>
      </c>
      <c r="U4" s="166"/>
      <c r="V4" s="166"/>
      <c r="W4" s="167"/>
    </row>
    <row r="5" spans="2:32" ht="39" thickBot="1" x14ac:dyDescent="0.25">
      <c r="B5" s="170"/>
      <c r="C5" s="171"/>
      <c r="D5" s="173"/>
      <c r="E5" s="30" t="s">
        <v>94</v>
      </c>
      <c r="F5" s="31" t="s">
        <v>95</v>
      </c>
      <c r="G5" s="31" t="s">
        <v>96</v>
      </c>
      <c r="H5" s="31" t="s">
        <v>97</v>
      </c>
      <c r="I5" s="31" t="s">
        <v>98</v>
      </c>
      <c r="J5" s="31" t="s">
        <v>99</v>
      </c>
      <c r="K5" s="31" t="s">
        <v>100</v>
      </c>
      <c r="L5" s="31" t="s">
        <v>101</v>
      </c>
      <c r="M5" s="31" t="s">
        <v>102</v>
      </c>
      <c r="N5" s="31" t="s">
        <v>103</v>
      </c>
      <c r="O5" s="32" t="s">
        <v>104</v>
      </c>
      <c r="P5" s="33" t="s">
        <v>106</v>
      </c>
      <c r="Q5" s="34" t="s">
        <v>100</v>
      </c>
      <c r="R5" s="34" t="s">
        <v>107</v>
      </c>
      <c r="S5" s="35" t="s">
        <v>108</v>
      </c>
      <c r="T5" s="33" t="s">
        <v>106</v>
      </c>
      <c r="U5" s="34" t="s">
        <v>100</v>
      </c>
      <c r="V5" s="34" t="s">
        <v>107</v>
      </c>
      <c r="W5" s="35" t="s">
        <v>108</v>
      </c>
      <c r="X5" s="21"/>
      <c r="Y5" s="21"/>
      <c r="Z5" s="21"/>
      <c r="AA5" s="21"/>
      <c r="AB5" s="21"/>
      <c r="AC5" s="21"/>
      <c r="AD5" s="21"/>
      <c r="AE5" s="21"/>
      <c r="AF5" s="21"/>
    </row>
    <row r="6" spans="2:32" ht="13.5" thickBot="1" x14ac:dyDescent="0.25">
      <c r="B6" s="10"/>
      <c r="C6" s="10"/>
      <c r="D6" s="11"/>
      <c r="L6" s="58"/>
      <c r="T6" s="22"/>
      <c r="U6" s="22"/>
      <c r="V6" s="22"/>
      <c r="W6" s="22"/>
    </row>
    <row r="7" spans="2:32" ht="15" x14ac:dyDescent="0.2">
      <c r="B7" s="177">
        <v>1</v>
      </c>
      <c r="C7" s="46"/>
      <c r="D7" s="65" t="s">
        <v>120</v>
      </c>
      <c r="E7" s="48"/>
      <c r="F7" s="48"/>
      <c r="G7" s="48"/>
      <c r="H7" s="49"/>
      <c r="I7" s="48"/>
      <c r="J7" s="48"/>
      <c r="K7" s="49"/>
      <c r="L7" s="48"/>
      <c r="M7" s="49"/>
      <c r="N7" s="62"/>
      <c r="O7" s="62"/>
      <c r="P7" s="62"/>
      <c r="Q7" s="62"/>
      <c r="R7" s="62"/>
      <c r="S7" s="62"/>
      <c r="T7" s="50"/>
      <c r="U7" s="50"/>
      <c r="V7" s="50"/>
      <c r="W7" s="51"/>
    </row>
    <row r="8" spans="2:32" ht="14.25" x14ac:dyDescent="0.2">
      <c r="B8" s="178"/>
      <c r="C8" s="63">
        <v>1.1000000000000001</v>
      </c>
      <c r="D8" s="57" t="s">
        <v>121</v>
      </c>
      <c r="E8" s="47">
        <v>661279000</v>
      </c>
      <c r="F8" s="47">
        <v>586850000</v>
      </c>
      <c r="G8" s="47"/>
      <c r="H8" s="37">
        <f>SUM(E8:G8)</f>
        <v>1248129000</v>
      </c>
      <c r="I8" s="47">
        <v>133995725</v>
      </c>
      <c r="J8" s="47">
        <v>243009275</v>
      </c>
      <c r="K8" s="37">
        <f>SUM(I8:J8)</f>
        <v>377005000</v>
      </c>
      <c r="L8" s="47">
        <f>+H8-K8</f>
        <v>871124000</v>
      </c>
      <c r="M8" s="37">
        <f>+K8+L8</f>
        <v>1248129000</v>
      </c>
      <c r="N8" s="47">
        <v>89170000</v>
      </c>
      <c r="O8" s="47">
        <v>65583000</v>
      </c>
      <c r="P8" s="47">
        <v>1248129000</v>
      </c>
      <c r="Q8" s="47">
        <v>353418000</v>
      </c>
      <c r="R8" s="47">
        <v>894711000</v>
      </c>
      <c r="S8" s="47">
        <v>93656000</v>
      </c>
      <c r="T8" s="23">
        <f>(H8-P8)/P8</f>
        <v>0</v>
      </c>
      <c r="U8" s="23">
        <f>+(K8-Q8)/Q8</f>
        <v>6.673966804180885E-2</v>
      </c>
      <c r="V8" s="23">
        <f>(L8-R8)/R8</f>
        <v>-2.6362702593351373E-2</v>
      </c>
      <c r="W8" s="52">
        <f>(O8-S8)/S8</f>
        <v>-0.29974587853421031</v>
      </c>
    </row>
    <row r="9" spans="2:32" ht="14.25" x14ac:dyDescent="0.2">
      <c r="B9" s="178"/>
      <c r="C9" s="63">
        <v>1.2</v>
      </c>
      <c r="D9" s="57" t="s">
        <v>122</v>
      </c>
      <c r="E9" s="47">
        <v>902790808</v>
      </c>
      <c r="F9" s="47">
        <v>22582416</v>
      </c>
      <c r="G9" s="47">
        <v>15532940</v>
      </c>
      <c r="H9" s="37">
        <f t="shared" ref="H9:H31" si="0">SUM(E9:G9)</f>
        <v>940906164</v>
      </c>
      <c r="I9" s="47">
        <v>69497421</v>
      </c>
      <c r="J9" s="47">
        <v>467428657</v>
      </c>
      <c r="K9" s="37">
        <f t="shared" ref="K9:K31" si="1">SUM(I9:J9)</f>
        <v>536926078</v>
      </c>
      <c r="L9" s="47">
        <v>403980086</v>
      </c>
      <c r="M9" s="37">
        <f t="shared" ref="M9:M31" si="2">+K9+L9</f>
        <v>940906164</v>
      </c>
      <c r="N9" s="47">
        <v>18766695</v>
      </c>
      <c r="O9" s="47">
        <v>20396695</v>
      </c>
      <c r="P9" s="47"/>
      <c r="Q9" s="47"/>
      <c r="R9" s="47"/>
      <c r="S9" s="47"/>
      <c r="T9" s="23" t="e">
        <f t="shared" ref="T9:T31" si="3">(H9-P9)/P9</f>
        <v>#DIV/0!</v>
      </c>
      <c r="U9" s="23" t="e">
        <f t="shared" ref="U9:U31" si="4">+(K9-Q9)/Q9</f>
        <v>#DIV/0!</v>
      </c>
      <c r="V9" s="23" t="e">
        <f t="shared" ref="V9:V31" si="5">(L9-R9)/R9</f>
        <v>#DIV/0!</v>
      </c>
      <c r="W9" s="52" t="e">
        <f t="shared" ref="W9:W31" si="6">(O9-S9)/S9</f>
        <v>#DIV/0!</v>
      </c>
    </row>
    <row r="10" spans="2:32" ht="14.25" x14ac:dyDescent="0.2">
      <c r="B10" s="178"/>
      <c r="C10" s="63">
        <v>1.3</v>
      </c>
      <c r="D10" s="57" t="s">
        <v>123</v>
      </c>
      <c r="E10" s="47">
        <v>300353422</v>
      </c>
      <c r="F10" s="47">
        <v>251940082</v>
      </c>
      <c r="G10" s="47">
        <v>69532472</v>
      </c>
      <c r="H10" s="37">
        <f t="shared" si="0"/>
        <v>621825976</v>
      </c>
      <c r="I10" s="47">
        <v>153716887</v>
      </c>
      <c r="J10" s="47">
        <v>54587444</v>
      </c>
      <c r="K10" s="37">
        <f t="shared" si="1"/>
        <v>208304331</v>
      </c>
      <c r="L10" s="47">
        <v>413521645</v>
      </c>
      <c r="M10" s="37">
        <f t="shared" si="2"/>
        <v>621825976</v>
      </c>
      <c r="N10" s="47">
        <v>16241438</v>
      </c>
      <c r="O10" s="47">
        <v>16221673</v>
      </c>
      <c r="P10" s="47">
        <v>611957000</v>
      </c>
      <c r="Q10" s="47">
        <v>208285000</v>
      </c>
      <c r="R10" s="47">
        <v>403672000</v>
      </c>
      <c r="S10" s="47">
        <v>17042000</v>
      </c>
      <c r="T10" s="23">
        <f t="shared" si="3"/>
        <v>1.6126910877725067E-2</v>
      </c>
      <c r="U10" s="23">
        <f t="shared" si="4"/>
        <v>9.2810331997023312E-5</v>
      </c>
      <c r="V10" s="23">
        <f t="shared" si="5"/>
        <v>2.4400119403872451E-2</v>
      </c>
      <c r="W10" s="52">
        <f t="shared" si="6"/>
        <v>-4.8135606149512969E-2</v>
      </c>
    </row>
    <row r="11" spans="2:32" ht="14.25" x14ac:dyDescent="0.2">
      <c r="B11" s="178"/>
      <c r="C11" s="63">
        <v>1.4</v>
      </c>
      <c r="D11" s="57" t="s">
        <v>124</v>
      </c>
      <c r="E11" s="47">
        <v>506655816</v>
      </c>
      <c r="F11" s="47">
        <v>152054516</v>
      </c>
      <c r="G11" s="47">
        <v>245059330</v>
      </c>
      <c r="H11" s="37">
        <f t="shared" si="0"/>
        <v>903769662</v>
      </c>
      <c r="I11" s="47">
        <v>137779007</v>
      </c>
      <c r="J11" s="47">
        <v>42562365</v>
      </c>
      <c r="K11" s="37">
        <f t="shared" si="1"/>
        <v>180341372</v>
      </c>
      <c r="L11" s="47">
        <v>723428291</v>
      </c>
      <c r="M11" s="37">
        <f t="shared" si="2"/>
        <v>903769663</v>
      </c>
      <c r="N11" s="47">
        <v>50395207</v>
      </c>
      <c r="O11" s="47">
        <v>42647207</v>
      </c>
      <c r="P11" s="47">
        <v>903769000</v>
      </c>
      <c r="Q11" s="47">
        <v>180341000</v>
      </c>
      <c r="R11" s="47">
        <v>723428000</v>
      </c>
      <c r="S11" s="47">
        <v>46988000</v>
      </c>
      <c r="T11" s="23">
        <f t="shared" si="3"/>
        <v>7.3248805834234188E-7</v>
      </c>
      <c r="U11" s="23">
        <f t="shared" si="4"/>
        <v>2.0627588845575881E-6</v>
      </c>
      <c r="V11" s="23">
        <f t="shared" si="5"/>
        <v>4.0225150256832744E-7</v>
      </c>
      <c r="W11" s="52">
        <f t="shared" si="6"/>
        <v>-9.2380884481144121E-2</v>
      </c>
    </row>
    <row r="12" spans="2:32" ht="14.25" x14ac:dyDescent="0.2">
      <c r="B12" s="178"/>
      <c r="C12" s="63">
        <v>1.5</v>
      </c>
      <c r="D12" s="57" t="s">
        <v>125</v>
      </c>
      <c r="E12" s="47">
        <v>378072865</v>
      </c>
      <c r="F12" s="47">
        <v>103601233</v>
      </c>
      <c r="G12" s="47">
        <v>955950</v>
      </c>
      <c r="H12" s="37">
        <f t="shared" si="0"/>
        <v>482630048</v>
      </c>
      <c r="I12" s="47">
        <v>36771662</v>
      </c>
      <c r="J12" s="47">
        <v>134085789</v>
      </c>
      <c r="K12" s="37">
        <f t="shared" si="1"/>
        <v>170857451</v>
      </c>
      <c r="L12" s="47">
        <v>311772597</v>
      </c>
      <c r="M12" s="37">
        <f t="shared" si="2"/>
        <v>482630048</v>
      </c>
      <c r="N12" s="47">
        <v>15703386</v>
      </c>
      <c r="O12" s="47">
        <v>7048986</v>
      </c>
      <c r="P12" s="47">
        <v>482631000</v>
      </c>
      <c r="Q12" s="47">
        <v>170858000</v>
      </c>
      <c r="R12" s="47">
        <v>311773000</v>
      </c>
      <c r="S12" s="47">
        <v>22479000</v>
      </c>
      <c r="T12" s="23">
        <f t="shared" si="3"/>
        <v>-1.9725214501347823E-6</v>
      </c>
      <c r="U12" s="23">
        <f t="shared" si="4"/>
        <v>-3.2131945826358732E-6</v>
      </c>
      <c r="V12" s="23">
        <f t="shared" si="5"/>
        <v>-1.2926071212067754E-6</v>
      </c>
      <c r="W12" s="52">
        <f t="shared" si="6"/>
        <v>-0.68641905778726808</v>
      </c>
    </row>
    <row r="13" spans="2:32" ht="14.25" x14ac:dyDescent="0.2">
      <c r="B13" s="178"/>
      <c r="C13" s="63">
        <v>1.6</v>
      </c>
      <c r="D13" s="57" t="s">
        <v>126</v>
      </c>
      <c r="E13" s="47">
        <v>69932426</v>
      </c>
      <c r="F13" s="47">
        <v>460250218</v>
      </c>
      <c r="G13" s="47">
        <v>107112095</v>
      </c>
      <c r="H13" s="37">
        <f t="shared" si="0"/>
        <v>637294739</v>
      </c>
      <c r="I13" s="47">
        <v>29489669</v>
      </c>
      <c r="J13" s="47">
        <v>80572256</v>
      </c>
      <c r="K13" s="37">
        <f t="shared" si="1"/>
        <v>110061925</v>
      </c>
      <c r="L13" s="47">
        <v>527232814</v>
      </c>
      <c r="M13" s="37">
        <f t="shared" si="2"/>
        <v>637294739</v>
      </c>
      <c r="N13" s="47">
        <v>8363847</v>
      </c>
      <c r="O13" s="47">
        <v>3783847</v>
      </c>
      <c r="P13" s="47">
        <v>637294000</v>
      </c>
      <c r="Q13" s="47">
        <v>110061000</v>
      </c>
      <c r="R13" s="47">
        <v>527233000</v>
      </c>
      <c r="S13" s="47">
        <v>11897000</v>
      </c>
      <c r="T13" s="23">
        <f t="shared" si="3"/>
        <v>1.1595903931309569E-6</v>
      </c>
      <c r="U13" s="23">
        <f t="shared" si="4"/>
        <v>8.4044302704863674E-6</v>
      </c>
      <c r="V13" s="23">
        <f t="shared" si="5"/>
        <v>-3.527852012298168E-7</v>
      </c>
      <c r="W13" s="52">
        <f t="shared" si="6"/>
        <v>-0.681949483062957</v>
      </c>
    </row>
    <row r="14" spans="2:32" ht="15" x14ac:dyDescent="0.2">
      <c r="B14" s="45">
        <v>2</v>
      </c>
      <c r="C14" s="63"/>
      <c r="D14" s="59" t="s">
        <v>127</v>
      </c>
      <c r="E14" s="47">
        <v>40069494079</v>
      </c>
      <c r="F14" s="47">
        <v>5482697057</v>
      </c>
      <c r="G14" s="47">
        <v>13667555753</v>
      </c>
      <c r="H14" s="37">
        <f t="shared" si="0"/>
        <v>59219746889</v>
      </c>
      <c r="I14" s="47">
        <v>21914617588</v>
      </c>
      <c r="J14" s="47">
        <v>7301680273</v>
      </c>
      <c r="K14" s="37">
        <f t="shared" si="1"/>
        <v>29216297861</v>
      </c>
      <c r="L14" s="47">
        <v>30003449028</v>
      </c>
      <c r="M14" s="37">
        <f t="shared" si="2"/>
        <v>59219746889</v>
      </c>
      <c r="N14" s="47">
        <v>6682012591</v>
      </c>
      <c r="O14" s="47">
        <v>6273203591</v>
      </c>
      <c r="P14" s="47">
        <v>42778874000</v>
      </c>
      <c r="Q14" s="47">
        <v>22139102000</v>
      </c>
      <c r="R14" s="47">
        <v>20639772000</v>
      </c>
      <c r="S14" s="47">
        <v>1168027000</v>
      </c>
      <c r="T14" s="23">
        <f t="shared" si="3"/>
        <v>0.3843222448772261</v>
      </c>
      <c r="U14" s="23">
        <f t="shared" si="4"/>
        <v>0.31966950877230704</v>
      </c>
      <c r="V14" s="23">
        <f t="shared" si="5"/>
        <v>0.453671534162296</v>
      </c>
      <c r="W14" s="52">
        <f t="shared" si="6"/>
        <v>4.3707693323870078</v>
      </c>
    </row>
    <row r="15" spans="2:32" ht="14.25" x14ac:dyDescent="0.2">
      <c r="B15" s="178">
        <v>3</v>
      </c>
      <c r="C15" s="63"/>
      <c r="D15" s="59" t="s">
        <v>128</v>
      </c>
      <c r="E15" s="47"/>
      <c r="F15" s="47"/>
      <c r="G15" s="47"/>
      <c r="H15" s="37"/>
      <c r="I15" s="47"/>
      <c r="J15" s="47"/>
      <c r="K15" s="37"/>
      <c r="L15" s="47"/>
      <c r="M15" s="37"/>
      <c r="N15" s="47"/>
      <c r="O15" s="47"/>
      <c r="P15" s="47"/>
      <c r="Q15" s="47"/>
      <c r="R15" s="47"/>
      <c r="S15" s="47"/>
      <c r="T15" s="23"/>
      <c r="U15" s="23"/>
      <c r="V15" s="23"/>
      <c r="W15" s="52"/>
    </row>
    <row r="16" spans="2:32" ht="14.25" x14ac:dyDescent="0.2">
      <c r="B16" s="178"/>
      <c r="C16" s="63">
        <v>3.1</v>
      </c>
      <c r="D16" s="57" t="s">
        <v>129</v>
      </c>
      <c r="E16" s="47">
        <v>1044688000</v>
      </c>
      <c r="F16" s="47">
        <v>114208000</v>
      </c>
      <c r="G16" s="47">
        <v>507125000</v>
      </c>
      <c r="H16" s="37">
        <f t="shared" si="0"/>
        <v>1666021000</v>
      </c>
      <c r="I16" s="47">
        <v>89341000</v>
      </c>
      <c r="J16" s="47">
        <v>920563000</v>
      </c>
      <c r="K16" s="37">
        <f t="shared" si="1"/>
        <v>1009904000</v>
      </c>
      <c r="L16" s="47">
        <v>656117000</v>
      </c>
      <c r="M16" s="37">
        <f t="shared" si="2"/>
        <v>1666021000</v>
      </c>
      <c r="N16" s="47">
        <v>82940000</v>
      </c>
      <c r="O16" s="47">
        <v>65192000</v>
      </c>
      <c r="P16" s="47">
        <v>1666021000</v>
      </c>
      <c r="Q16" s="47">
        <v>1009904000</v>
      </c>
      <c r="R16" s="47">
        <v>656117000</v>
      </c>
      <c r="S16" s="47">
        <v>82940000</v>
      </c>
      <c r="T16" s="23">
        <f t="shared" si="3"/>
        <v>0</v>
      </c>
      <c r="U16" s="23">
        <f t="shared" si="4"/>
        <v>0</v>
      </c>
      <c r="V16" s="23">
        <f t="shared" si="5"/>
        <v>0</v>
      </c>
      <c r="W16" s="52">
        <f t="shared" si="6"/>
        <v>-0.213986013986014</v>
      </c>
    </row>
    <row r="17" spans="2:23" ht="14.25" x14ac:dyDescent="0.2">
      <c r="B17" s="178"/>
      <c r="C17" s="63">
        <v>3.2</v>
      </c>
      <c r="D17" s="57" t="s">
        <v>130</v>
      </c>
      <c r="E17" s="47">
        <v>2210583412</v>
      </c>
      <c r="F17" s="47">
        <v>1796245413</v>
      </c>
      <c r="G17" s="47">
        <v>950172658</v>
      </c>
      <c r="H17" s="37">
        <f t="shared" si="0"/>
        <v>4957001483</v>
      </c>
      <c r="I17" s="47">
        <v>578205453</v>
      </c>
      <c r="J17" s="47">
        <v>2306752990</v>
      </c>
      <c r="K17" s="37">
        <f t="shared" si="1"/>
        <v>2884958443</v>
      </c>
      <c r="L17" s="47">
        <v>2072043050</v>
      </c>
      <c r="M17" s="37">
        <f t="shared" si="2"/>
        <v>4957001493</v>
      </c>
      <c r="N17" s="47">
        <v>126050800</v>
      </c>
      <c r="O17" s="47">
        <v>81933020</v>
      </c>
      <c r="P17" s="47">
        <v>4957002000</v>
      </c>
      <c r="Q17" s="47">
        <v>2884958000</v>
      </c>
      <c r="R17" s="47">
        <v>2072044000</v>
      </c>
      <c r="S17" s="47">
        <v>126051000</v>
      </c>
      <c r="T17" s="23">
        <f t="shared" si="3"/>
        <v>-1.042969117220449E-7</v>
      </c>
      <c r="U17" s="23">
        <f t="shared" si="4"/>
        <v>1.5355509508284004E-7</v>
      </c>
      <c r="V17" s="23">
        <f t="shared" si="5"/>
        <v>-4.5848447233746003E-7</v>
      </c>
      <c r="W17" s="52">
        <f t="shared" si="6"/>
        <v>-0.35000103132858923</v>
      </c>
    </row>
    <row r="18" spans="2:23" ht="14.25" x14ac:dyDescent="0.2">
      <c r="B18" s="178"/>
      <c r="C18" s="63">
        <v>3.3</v>
      </c>
      <c r="D18" s="57" t="s">
        <v>131</v>
      </c>
      <c r="E18" s="47">
        <v>1128389590</v>
      </c>
      <c r="F18" s="47">
        <v>497010730</v>
      </c>
      <c r="G18" s="47">
        <v>450516529</v>
      </c>
      <c r="H18" s="37">
        <f t="shared" si="0"/>
        <v>2075916849</v>
      </c>
      <c r="I18" s="47">
        <v>843827380</v>
      </c>
      <c r="J18" s="47">
        <v>171544974</v>
      </c>
      <c r="K18" s="37">
        <f t="shared" si="1"/>
        <v>1015372354</v>
      </c>
      <c r="L18" s="47">
        <v>1060544495</v>
      </c>
      <c r="M18" s="37">
        <f t="shared" si="2"/>
        <v>2075916849</v>
      </c>
      <c r="N18" s="47">
        <v>150152888</v>
      </c>
      <c r="O18" s="47">
        <v>84818888</v>
      </c>
      <c r="P18" s="47">
        <v>2075917000</v>
      </c>
      <c r="Q18" s="47">
        <v>1014364000</v>
      </c>
      <c r="R18" s="47">
        <v>1061553000</v>
      </c>
      <c r="S18" s="47">
        <v>186669000</v>
      </c>
      <c r="T18" s="23">
        <f t="shared" si="3"/>
        <v>-7.2738938984554782E-8</v>
      </c>
      <c r="U18" s="23">
        <f t="shared" si="4"/>
        <v>9.9407510518906435E-4</v>
      </c>
      <c r="V18" s="23">
        <f t="shared" si="5"/>
        <v>-9.5002793077689012E-4</v>
      </c>
      <c r="W18" s="52">
        <f t="shared" si="6"/>
        <v>-0.54561877976525297</v>
      </c>
    </row>
    <row r="19" spans="2:23" ht="14.25" x14ac:dyDescent="0.2">
      <c r="B19" s="178"/>
      <c r="C19" s="63">
        <v>3.4</v>
      </c>
      <c r="D19" s="57" t="s">
        <v>132</v>
      </c>
      <c r="E19" s="47"/>
      <c r="F19" s="47"/>
      <c r="G19" s="47"/>
      <c r="H19" s="37">
        <f t="shared" si="0"/>
        <v>0</v>
      </c>
      <c r="I19" s="47"/>
      <c r="J19" s="47"/>
      <c r="K19" s="37">
        <f t="shared" si="1"/>
        <v>0</v>
      </c>
      <c r="L19" s="47"/>
      <c r="M19" s="37">
        <f t="shared" si="2"/>
        <v>0</v>
      </c>
      <c r="N19" s="47"/>
      <c r="O19" s="47"/>
      <c r="P19" s="47"/>
      <c r="Q19" s="47"/>
      <c r="R19" s="47"/>
      <c r="S19" s="47"/>
      <c r="T19" s="23" t="e">
        <f t="shared" si="3"/>
        <v>#DIV/0!</v>
      </c>
      <c r="U19" s="23" t="e">
        <f t="shared" si="4"/>
        <v>#DIV/0!</v>
      </c>
      <c r="V19" s="23" t="e">
        <f t="shared" si="5"/>
        <v>#DIV/0!</v>
      </c>
      <c r="W19" s="52" t="e">
        <f t="shared" si="6"/>
        <v>#DIV/0!</v>
      </c>
    </row>
    <row r="20" spans="2:23" ht="14.25" x14ac:dyDescent="0.2">
      <c r="B20" s="178"/>
      <c r="C20" s="63">
        <v>3.5</v>
      </c>
      <c r="D20" s="57" t="s">
        <v>133</v>
      </c>
      <c r="E20" s="47">
        <v>397516649</v>
      </c>
      <c r="F20" s="47">
        <v>44535519</v>
      </c>
      <c r="G20" s="47"/>
      <c r="H20" s="37">
        <f t="shared" si="0"/>
        <v>442052168</v>
      </c>
      <c r="I20" s="47">
        <v>205584360</v>
      </c>
      <c r="J20" s="47"/>
      <c r="K20" s="37">
        <f t="shared" si="1"/>
        <v>205584360</v>
      </c>
      <c r="L20" s="47">
        <v>236467808</v>
      </c>
      <c r="M20" s="37">
        <f t="shared" si="2"/>
        <v>442052168</v>
      </c>
      <c r="N20" s="47">
        <v>52120000</v>
      </c>
      <c r="O20" s="47">
        <v>52120000</v>
      </c>
      <c r="P20" s="47">
        <v>442053000</v>
      </c>
      <c r="Q20" s="47">
        <v>205584000</v>
      </c>
      <c r="R20" s="47">
        <f>P20-Q20</f>
        <v>236469000</v>
      </c>
      <c r="S20" s="47">
        <v>52120000</v>
      </c>
      <c r="T20" s="23">
        <f t="shared" si="3"/>
        <v>-1.8821272562339809E-6</v>
      </c>
      <c r="U20" s="23">
        <f t="shared" si="4"/>
        <v>1.7511090357226243E-6</v>
      </c>
      <c r="V20" s="23">
        <f t="shared" si="5"/>
        <v>-5.0408298762205619E-6</v>
      </c>
      <c r="W20" s="52">
        <f t="shared" si="6"/>
        <v>0</v>
      </c>
    </row>
    <row r="21" spans="2:23" ht="14.25" x14ac:dyDescent="0.2">
      <c r="B21" s="178"/>
      <c r="C21" s="63">
        <v>3.6</v>
      </c>
      <c r="D21" s="57" t="s">
        <v>134</v>
      </c>
      <c r="E21" s="47">
        <v>230187357</v>
      </c>
      <c r="F21" s="47">
        <v>487735892</v>
      </c>
      <c r="G21" s="47">
        <v>9625046</v>
      </c>
      <c r="H21" s="37">
        <f t="shared" si="0"/>
        <v>727548295</v>
      </c>
      <c r="I21" s="47">
        <v>117145481</v>
      </c>
      <c r="J21" s="47">
        <v>76862715</v>
      </c>
      <c r="K21" s="37">
        <f t="shared" si="1"/>
        <v>194008196</v>
      </c>
      <c r="L21" s="47">
        <v>533540099</v>
      </c>
      <c r="M21" s="37">
        <f t="shared" si="2"/>
        <v>727548295</v>
      </c>
      <c r="N21" s="47"/>
      <c r="O21" s="47"/>
      <c r="P21" s="47">
        <v>727548000</v>
      </c>
      <c r="Q21" s="47">
        <v>194008000</v>
      </c>
      <c r="R21" s="47">
        <v>533540000</v>
      </c>
      <c r="S21" s="47"/>
      <c r="T21" s="23">
        <f t="shared" si="3"/>
        <v>4.0547152902626356E-7</v>
      </c>
      <c r="U21" s="23">
        <f t="shared" si="4"/>
        <v>1.0102676178301925E-6</v>
      </c>
      <c r="V21" s="23">
        <f t="shared" si="5"/>
        <v>1.855530981744574E-7</v>
      </c>
      <c r="W21" s="52" t="e">
        <f t="shared" si="6"/>
        <v>#DIV/0!</v>
      </c>
    </row>
    <row r="22" spans="2:23" ht="14.25" x14ac:dyDescent="0.2">
      <c r="B22" s="178">
        <v>4</v>
      </c>
      <c r="C22" s="63"/>
      <c r="D22" s="59" t="s">
        <v>135</v>
      </c>
      <c r="E22" s="47"/>
      <c r="F22" s="47"/>
      <c r="G22" s="47"/>
      <c r="H22" s="37"/>
      <c r="I22" s="47"/>
      <c r="J22" s="47"/>
      <c r="K22" s="37"/>
      <c r="L22" s="47"/>
      <c r="M22" s="37"/>
      <c r="N22" s="47"/>
      <c r="O22" s="47"/>
      <c r="P22" s="47"/>
      <c r="Q22" s="47"/>
      <c r="R22" s="47"/>
      <c r="S22" s="47"/>
      <c r="T22" s="23"/>
      <c r="U22" s="23"/>
      <c r="V22" s="23"/>
      <c r="W22" s="52"/>
    </row>
    <row r="23" spans="2:23" ht="14.25" x14ac:dyDescent="0.2">
      <c r="B23" s="178"/>
      <c r="C23" s="63">
        <v>4.0999999999999996</v>
      </c>
      <c r="D23" s="57" t="s">
        <v>136</v>
      </c>
      <c r="E23" s="47">
        <v>940500000</v>
      </c>
      <c r="F23" s="47">
        <v>220000000</v>
      </c>
      <c r="G23" s="47">
        <v>19500000</v>
      </c>
      <c r="H23" s="37">
        <f t="shared" si="0"/>
        <v>1180000000</v>
      </c>
      <c r="I23" s="47">
        <v>50000000</v>
      </c>
      <c r="J23" s="47">
        <v>50000000</v>
      </c>
      <c r="K23" s="37">
        <f t="shared" si="1"/>
        <v>100000000</v>
      </c>
      <c r="L23" s="47">
        <v>1080000000</v>
      </c>
      <c r="M23" s="37">
        <f t="shared" si="2"/>
        <v>1180000000</v>
      </c>
      <c r="N23" s="47">
        <v>38000000</v>
      </c>
      <c r="O23" s="47">
        <v>38000000</v>
      </c>
      <c r="P23" s="47">
        <v>1180000000</v>
      </c>
      <c r="Q23" s="47">
        <v>100000000</v>
      </c>
      <c r="R23" s="47">
        <v>1080000000</v>
      </c>
      <c r="S23" s="47">
        <v>35000000</v>
      </c>
      <c r="T23" s="23">
        <f t="shared" si="3"/>
        <v>0</v>
      </c>
      <c r="U23" s="23">
        <f t="shared" si="4"/>
        <v>0</v>
      </c>
      <c r="V23" s="23">
        <f t="shared" si="5"/>
        <v>0</v>
      </c>
      <c r="W23" s="52">
        <f t="shared" si="6"/>
        <v>8.5714285714285715E-2</v>
      </c>
    </row>
    <row r="24" spans="2:23" ht="14.25" x14ac:dyDescent="0.2">
      <c r="B24" s="178"/>
      <c r="C24" s="63">
        <v>4.2</v>
      </c>
      <c r="D24" s="57" t="s">
        <v>137</v>
      </c>
      <c r="E24" s="47">
        <v>1215892000</v>
      </c>
      <c r="F24" s="47">
        <v>443008000</v>
      </c>
      <c r="G24" s="47">
        <v>283790000</v>
      </c>
      <c r="H24" s="37">
        <f t="shared" si="0"/>
        <v>1942690000</v>
      </c>
      <c r="I24" s="47">
        <v>374625000</v>
      </c>
      <c r="J24" s="47">
        <v>55000000</v>
      </c>
      <c r="K24" s="37">
        <f t="shared" si="1"/>
        <v>429625000</v>
      </c>
      <c r="L24" s="47">
        <v>1513065000</v>
      </c>
      <c r="M24" s="37">
        <f t="shared" si="2"/>
        <v>1942690000</v>
      </c>
      <c r="N24" s="47">
        <v>47375000</v>
      </c>
      <c r="O24" s="47">
        <v>47375000</v>
      </c>
      <c r="P24" s="47">
        <v>1942690000</v>
      </c>
      <c r="Q24" s="47">
        <v>429625000</v>
      </c>
      <c r="R24" s="47">
        <v>1513065000</v>
      </c>
      <c r="S24" s="47">
        <v>47375000</v>
      </c>
      <c r="T24" s="23">
        <f t="shared" si="3"/>
        <v>0</v>
      </c>
      <c r="U24" s="23">
        <f t="shared" si="4"/>
        <v>0</v>
      </c>
      <c r="V24" s="23">
        <f t="shared" si="5"/>
        <v>0</v>
      </c>
      <c r="W24" s="52">
        <f t="shared" si="6"/>
        <v>0</v>
      </c>
    </row>
    <row r="25" spans="2:23" ht="14.25" x14ac:dyDescent="0.2">
      <c r="B25" s="178"/>
      <c r="C25" s="63">
        <v>4.3</v>
      </c>
      <c r="D25" s="57" t="s">
        <v>138</v>
      </c>
      <c r="E25" s="47">
        <v>2149248232</v>
      </c>
      <c r="F25" s="47">
        <v>390736722</v>
      </c>
      <c r="G25" s="47"/>
      <c r="H25" s="37">
        <f t="shared" si="0"/>
        <v>2539984954</v>
      </c>
      <c r="I25" s="47">
        <v>1922763807</v>
      </c>
      <c r="J25" s="47">
        <v>93405043</v>
      </c>
      <c r="K25" s="37">
        <f t="shared" si="1"/>
        <v>2016168850</v>
      </c>
      <c r="L25" s="47">
        <v>523816104</v>
      </c>
      <c r="M25" s="37">
        <f t="shared" si="2"/>
        <v>2539984954</v>
      </c>
      <c r="N25" s="47">
        <v>41060626</v>
      </c>
      <c r="O25" s="47">
        <v>54549620</v>
      </c>
      <c r="P25" s="47">
        <v>2539984000</v>
      </c>
      <c r="Q25" s="47">
        <v>2016168000</v>
      </c>
      <c r="R25" s="47">
        <v>523816000</v>
      </c>
      <c r="S25" s="47">
        <v>71993000</v>
      </c>
      <c r="T25" s="23">
        <f t="shared" si="3"/>
        <v>3.7559291712073775E-7</v>
      </c>
      <c r="U25" s="23">
        <f t="shared" si="4"/>
        <v>4.2159185147269473E-7</v>
      </c>
      <c r="V25" s="23">
        <f t="shared" si="5"/>
        <v>1.9854299983200209E-7</v>
      </c>
      <c r="W25" s="52">
        <f t="shared" si="6"/>
        <v>-0.24229272290361564</v>
      </c>
    </row>
    <row r="26" spans="2:23" ht="14.25" x14ac:dyDescent="0.2">
      <c r="B26" s="178"/>
      <c r="C26" s="63">
        <v>4.4000000000000004</v>
      </c>
      <c r="D26" s="57" t="s">
        <v>139</v>
      </c>
      <c r="E26" s="47">
        <v>1286602000</v>
      </c>
      <c r="F26" s="47">
        <v>529776000</v>
      </c>
      <c r="G26" s="47">
        <v>367025000</v>
      </c>
      <c r="H26" s="37">
        <f t="shared" si="0"/>
        <v>2183403000</v>
      </c>
      <c r="I26" s="47">
        <v>631956000</v>
      </c>
      <c r="J26" s="47">
        <v>6584000</v>
      </c>
      <c r="K26" s="37">
        <f t="shared" si="1"/>
        <v>638540000</v>
      </c>
      <c r="L26" s="47">
        <v>1544863000</v>
      </c>
      <c r="M26" s="37">
        <f t="shared" si="2"/>
        <v>2183403000</v>
      </c>
      <c r="N26" s="47"/>
      <c r="O26" s="47"/>
      <c r="P26" s="47">
        <v>2183403000</v>
      </c>
      <c r="Q26" s="47">
        <v>638540000</v>
      </c>
      <c r="R26" s="47">
        <f>P26-Q26</f>
        <v>1544863000</v>
      </c>
      <c r="S26" s="47"/>
      <c r="T26" s="23">
        <f t="shared" si="3"/>
        <v>0</v>
      </c>
      <c r="U26" s="23">
        <f t="shared" si="4"/>
        <v>0</v>
      </c>
      <c r="V26" s="23">
        <f t="shared" si="5"/>
        <v>0</v>
      </c>
      <c r="W26" s="52" t="e">
        <f t="shared" si="6"/>
        <v>#DIV/0!</v>
      </c>
    </row>
    <row r="27" spans="2:23" ht="14.25" x14ac:dyDescent="0.2">
      <c r="B27" s="178">
        <v>5</v>
      </c>
      <c r="C27" s="63"/>
      <c r="D27" s="59" t="s">
        <v>140</v>
      </c>
      <c r="E27" s="47"/>
      <c r="F27" s="47"/>
      <c r="G27" s="47"/>
      <c r="H27" s="37"/>
      <c r="I27" s="47"/>
      <c r="J27" s="47"/>
      <c r="K27" s="37"/>
      <c r="L27" s="47"/>
      <c r="M27" s="37"/>
      <c r="N27" s="47"/>
      <c r="O27" s="47"/>
      <c r="P27" s="47"/>
      <c r="Q27" s="47"/>
      <c r="R27" s="47"/>
      <c r="S27" s="47"/>
      <c r="T27" s="23"/>
      <c r="U27" s="23"/>
      <c r="V27" s="23"/>
      <c r="W27" s="52"/>
    </row>
    <row r="28" spans="2:23" ht="14.25" x14ac:dyDescent="0.2">
      <c r="B28" s="178"/>
      <c r="C28" s="63">
        <v>5.0999999999999996</v>
      </c>
      <c r="D28" s="57" t="s">
        <v>141</v>
      </c>
      <c r="E28" s="47">
        <v>3662005000</v>
      </c>
      <c r="F28" s="47">
        <v>457085000</v>
      </c>
      <c r="G28" s="47">
        <v>114779000</v>
      </c>
      <c r="H28" s="37">
        <f t="shared" si="0"/>
        <v>4233869000</v>
      </c>
      <c r="I28" s="47">
        <v>530721000</v>
      </c>
      <c r="J28" s="47">
        <v>160038000</v>
      </c>
      <c r="K28" s="37">
        <f t="shared" si="1"/>
        <v>690759000</v>
      </c>
      <c r="L28" s="47">
        <v>3543110000</v>
      </c>
      <c r="M28" s="37">
        <f t="shared" si="2"/>
        <v>4233869000</v>
      </c>
      <c r="N28" s="47">
        <v>457250000</v>
      </c>
      <c r="O28" s="47">
        <v>297212000</v>
      </c>
      <c r="P28" s="47">
        <v>4229443000</v>
      </c>
      <c r="Q28" s="47">
        <v>686333000</v>
      </c>
      <c r="R28" s="47">
        <v>3543110000</v>
      </c>
      <c r="S28" s="47">
        <v>457250000</v>
      </c>
      <c r="T28" s="23">
        <f t="shared" si="3"/>
        <v>1.0464734954460906E-3</v>
      </c>
      <c r="U28" s="23">
        <f t="shared" si="4"/>
        <v>6.4487646667142628E-3</v>
      </c>
      <c r="V28" s="23">
        <f t="shared" si="5"/>
        <v>0</v>
      </c>
      <c r="W28" s="52">
        <f t="shared" si="6"/>
        <v>-0.35000109349371239</v>
      </c>
    </row>
    <row r="29" spans="2:23" ht="14.25" x14ac:dyDescent="0.2">
      <c r="B29" s="178"/>
      <c r="C29" s="63">
        <v>5.2</v>
      </c>
      <c r="D29" s="57" t="s">
        <v>142</v>
      </c>
      <c r="E29" s="47">
        <v>1345051857</v>
      </c>
      <c r="F29" s="47">
        <v>622683311</v>
      </c>
      <c r="G29" s="47">
        <v>1888148909</v>
      </c>
      <c r="H29" s="37">
        <f t="shared" si="0"/>
        <v>3855884077</v>
      </c>
      <c r="I29" s="47">
        <v>235974264</v>
      </c>
      <c r="J29" s="47">
        <v>1059293810</v>
      </c>
      <c r="K29" s="37">
        <f t="shared" si="1"/>
        <v>1295268074</v>
      </c>
      <c r="L29" s="47">
        <v>2560616003</v>
      </c>
      <c r="M29" s="37">
        <f t="shared" si="2"/>
        <v>3855884077</v>
      </c>
      <c r="N29" s="47">
        <v>211804765</v>
      </c>
      <c r="O29" s="47">
        <v>128144765</v>
      </c>
      <c r="P29" s="47">
        <v>1968115000</v>
      </c>
      <c r="Q29" s="47">
        <v>1295268000</v>
      </c>
      <c r="R29" s="47">
        <v>672847000</v>
      </c>
      <c r="S29" s="47">
        <v>239030000</v>
      </c>
      <c r="T29" s="23">
        <f t="shared" si="3"/>
        <v>0.95917620515061364</v>
      </c>
      <c r="U29" s="23">
        <f t="shared" si="4"/>
        <v>5.7131033886423504E-8</v>
      </c>
      <c r="V29" s="23">
        <f t="shared" si="5"/>
        <v>2.8056437838022612</v>
      </c>
      <c r="W29" s="52">
        <f t="shared" si="6"/>
        <v>-0.46389672844412833</v>
      </c>
    </row>
    <row r="30" spans="2:23" ht="14.25" x14ac:dyDescent="0.2">
      <c r="B30" s="178"/>
      <c r="C30" s="63">
        <v>5.3</v>
      </c>
      <c r="D30" s="57" t="s">
        <v>143</v>
      </c>
      <c r="E30" s="47">
        <v>68481000</v>
      </c>
      <c r="F30" s="47">
        <v>248149000</v>
      </c>
      <c r="G30" s="47">
        <v>1829723000</v>
      </c>
      <c r="H30" s="37">
        <f t="shared" si="0"/>
        <v>2146353000</v>
      </c>
      <c r="I30" s="47">
        <v>20336000</v>
      </c>
      <c r="J30" s="47">
        <v>1030069000</v>
      </c>
      <c r="K30" s="37">
        <f t="shared" si="1"/>
        <v>1050405000</v>
      </c>
      <c r="L30" s="47">
        <v>1095948000</v>
      </c>
      <c r="M30" s="37">
        <f t="shared" si="2"/>
        <v>2146353000</v>
      </c>
      <c r="N30" s="47">
        <v>63435000</v>
      </c>
      <c r="O30" s="47">
        <v>51635000</v>
      </c>
      <c r="P30" s="47">
        <v>2146353000</v>
      </c>
      <c r="Q30" s="47">
        <v>1050405000</v>
      </c>
      <c r="R30" s="47">
        <v>1095948000</v>
      </c>
      <c r="S30" s="47">
        <v>63435000</v>
      </c>
      <c r="T30" s="23">
        <f t="shared" si="3"/>
        <v>0</v>
      </c>
      <c r="U30" s="23">
        <f t="shared" si="4"/>
        <v>0</v>
      </c>
      <c r="V30" s="23">
        <f t="shared" si="5"/>
        <v>0</v>
      </c>
      <c r="W30" s="52">
        <f t="shared" si="6"/>
        <v>-0.18601718294317018</v>
      </c>
    </row>
    <row r="31" spans="2:23" ht="14.25" x14ac:dyDescent="0.2">
      <c r="B31" s="178"/>
      <c r="C31" s="63">
        <v>5.4</v>
      </c>
      <c r="D31" s="57" t="s">
        <v>144</v>
      </c>
      <c r="E31" s="47">
        <v>9098479232</v>
      </c>
      <c r="F31" s="47">
        <v>531593591</v>
      </c>
      <c r="G31" s="47">
        <f>1377315265+27043045</f>
        <v>1404358310</v>
      </c>
      <c r="H31" s="37">
        <f t="shared" si="0"/>
        <v>11034431133</v>
      </c>
      <c r="I31" s="47">
        <v>1681476244</v>
      </c>
      <c r="J31" s="47">
        <v>4212950518</v>
      </c>
      <c r="K31" s="37">
        <f t="shared" si="1"/>
        <v>5894426762</v>
      </c>
      <c r="L31" s="47">
        <v>5140004372</v>
      </c>
      <c r="M31" s="37">
        <f t="shared" si="2"/>
        <v>11034431134</v>
      </c>
      <c r="N31" s="47">
        <v>101528025</v>
      </c>
      <c r="O31" s="47">
        <v>54379630</v>
      </c>
      <c r="P31" s="47">
        <v>11007389000</v>
      </c>
      <c r="Q31" s="47">
        <v>5894427000</v>
      </c>
      <c r="R31" s="47">
        <v>5112962000</v>
      </c>
      <c r="S31" s="47">
        <v>122857000</v>
      </c>
      <c r="T31" s="23">
        <f t="shared" si="3"/>
        <v>2.4567254777677068E-3</v>
      </c>
      <c r="U31" s="23">
        <f t="shared" si="4"/>
        <v>-4.0377122322492076E-8</v>
      </c>
      <c r="V31" s="23">
        <f t="shared" si="5"/>
        <v>5.2889835676463073E-3</v>
      </c>
      <c r="W31" s="52">
        <f t="shared" si="6"/>
        <v>-0.55737458997045342</v>
      </c>
    </row>
    <row r="32" spans="2:23" ht="15.75" thickBot="1" x14ac:dyDescent="0.25">
      <c r="B32" s="61"/>
      <c r="C32" s="64"/>
      <c r="D32" s="60"/>
      <c r="E32" s="53"/>
      <c r="F32" s="53"/>
      <c r="G32" s="53"/>
      <c r="H32" s="54"/>
      <c r="I32" s="53"/>
      <c r="J32" s="53"/>
      <c r="K32" s="54"/>
      <c r="L32" s="53"/>
      <c r="M32" s="54"/>
      <c r="N32" s="53"/>
      <c r="O32" s="53"/>
      <c r="P32" s="53"/>
      <c r="Q32" s="53"/>
      <c r="R32" s="53"/>
      <c r="S32" s="53"/>
      <c r="T32" s="55"/>
      <c r="U32" s="55"/>
      <c r="V32" s="55"/>
      <c r="W32" s="56"/>
    </row>
    <row r="33" spans="2:23" ht="13.5" thickBot="1" x14ac:dyDescent="0.25"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</row>
    <row r="34" spans="2:23" x14ac:dyDescent="0.2">
      <c r="B34" s="9" t="s">
        <v>1</v>
      </c>
      <c r="C34" s="8"/>
      <c r="D34" s="1"/>
      <c r="E34" s="39"/>
      <c r="F34" s="40"/>
      <c r="G34" s="41"/>
      <c r="H34" s="40"/>
      <c r="I34" s="42"/>
      <c r="J34" s="42"/>
      <c r="K34" s="43"/>
      <c r="L34" s="40"/>
      <c r="M34" s="44"/>
      <c r="N34" s="40"/>
      <c r="O34" s="44"/>
      <c r="P34" s="40"/>
      <c r="Q34" s="44"/>
      <c r="R34" s="44"/>
      <c r="S34" s="44"/>
      <c r="T34" s="25"/>
      <c r="U34" s="25"/>
      <c r="V34" s="25"/>
      <c r="W34" s="26"/>
    </row>
    <row r="35" spans="2:23" x14ac:dyDescent="0.2">
      <c r="B35" s="2"/>
      <c r="C35" s="163" t="s">
        <v>145</v>
      </c>
      <c r="D35" s="164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29"/>
    </row>
    <row r="36" spans="2:23" x14ac:dyDescent="0.2">
      <c r="B36" s="2"/>
      <c r="C36" s="164"/>
      <c r="D36" s="164"/>
      <c r="E36" s="164"/>
      <c r="F36" s="164"/>
      <c r="G36" s="164"/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29"/>
    </row>
    <row r="37" spans="2:23" x14ac:dyDescent="0.2">
      <c r="B37" s="2"/>
      <c r="C37" s="164"/>
      <c r="D37" s="164"/>
      <c r="E37" s="164"/>
      <c r="F37" s="164"/>
      <c r="G37" s="164"/>
      <c r="H37" s="164"/>
      <c r="I37" s="164"/>
      <c r="J37" s="164"/>
      <c r="K37" s="164"/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29"/>
    </row>
    <row r="38" spans="2:23" x14ac:dyDescent="0.2">
      <c r="B38" s="2"/>
      <c r="C38" s="164"/>
      <c r="D38" s="164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29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27"/>
      <c r="R39" s="27"/>
      <c r="S39" s="27"/>
      <c r="T39" s="27"/>
      <c r="U39" s="27"/>
      <c r="V39" s="27"/>
      <c r="W39" s="28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24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K15"/>
  <sheetViews>
    <sheetView tabSelected="1" workbookViewId="0">
      <selection activeCell="D14" sqref="D14"/>
    </sheetView>
  </sheetViews>
  <sheetFormatPr baseColWidth="10" defaultRowHeight="12.75" x14ac:dyDescent="0.2"/>
  <cols>
    <col min="1" max="1" width="11.42578125" style="112"/>
    <col min="2" max="2" width="18.5703125" style="112" bestFit="1" customWidth="1"/>
    <col min="3" max="3" width="11.42578125" style="112"/>
    <col min="4" max="4" width="18.140625" style="112" customWidth="1"/>
    <col min="5" max="5" width="4.7109375" style="112" customWidth="1"/>
    <col min="6" max="6" width="12.85546875" style="112" hidden="1" customWidth="1"/>
    <col min="7" max="7" width="4.7109375" style="113" customWidth="1"/>
    <col min="8" max="8" width="18.140625" style="113" bestFit="1" customWidth="1"/>
    <col min="9" max="9" width="14.85546875" style="113" bestFit="1" customWidth="1"/>
    <col min="10" max="10" width="4.7109375" style="113" customWidth="1"/>
    <col min="11" max="15" width="11.42578125" style="113"/>
    <col min="16" max="16" width="14.85546875" style="113" bestFit="1" customWidth="1"/>
    <col min="17" max="16384" width="11.42578125" style="113"/>
  </cols>
  <sheetData>
    <row r="1" spans="1:11" ht="63.75" x14ac:dyDescent="0.2">
      <c r="A1" s="91" t="s">
        <v>162</v>
      </c>
      <c r="B1" s="91" t="s">
        <v>163</v>
      </c>
      <c r="C1" s="91" t="s">
        <v>0</v>
      </c>
      <c r="D1" s="91" t="s">
        <v>186</v>
      </c>
      <c r="E1" s="114"/>
      <c r="F1" s="158" t="s">
        <v>197</v>
      </c>
      <c r="H1" s="154" t="s">
        <v>196</v>
      </c>
      <c r="I1" s="154" t="s">
        <v>101</v>
      </c>
      <c r="J1" s="155"/>
      <c r="K1" s="154" t="s">
        <v>198</v>
      </c>
    </row>
    <row r="2" spans="1:11" x14ac:dyDescent="0.2">
      <c r="A2" s="219">
        <v>1</v>
      </c>
      <c r="B2" s="220">
        <v>929265667</v>
      </c>
      <c r="C2" s="221">
        <v>19</v>
      </c>
      <c r="D2" s="222">
        <v>0</v>
      </c>
      <c r="E2" s="115"/>
      <c r="F2" s="159">
        <v>828116</v>
      </c>
      <c r="H2" s="156">
        <f>+B2*0.5</f>
        <v>464632833.5</v>
      </c>
      <c r="I2" s="156">
        <f>+B2*0.6</f>
        <v>557559400.19999993</v>
      </c>
      <c r="J2" s="155"/>
      <c r="K2" s="157">
        <v>0.6</v>
      </c>
    </row>
    <row r="15" spans="1:11" x14ac:dyDescent="0.2">
      <c r="I15" s="161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K20"/>
  <sheetViews>
    <sheetView zoomScale="80" zoomScaleNormal="80" zoomScaleSheetLayoutView="100" workbookViewId="0">
      <selection activeCell="F14" sqref="E13:F14"/>
    </sheetView>
  </sheetViews>
  <sheetFormatPr baseColWidth="10" defaultRowHeight="18" customHeight="1" x14ac:dyDescent="0.2"/>
  <cols>
    <col min="1" max="1" width="19.85546875" style="97" customWidth="1"/>
    <col min="2" max="2" width="8.85546875" style="97" bestFit="1" customWidth="1"/>
    <col min="3" max="3" width="60" style="97" customWidth="1"/>
    <col min="4" max="4" width="17.42578125" style="97" customWidth="1"/>
    <col min="5" max="5" width="25" style="97" customWidth="1"/>
    <col min="6" max="6" width="26.7109375" style="100" customWidth="1"/>
    <col min="7" max="7" width="25" style="100" bestFit="1" customWidth="1"/>
    <col min="8" max="9" width="23.140625" style="100" customWidth="1"/>
    <col min="10" max="10" width="28.7109375" style="101" customWidth="1"/>
    <col min="11" max="11" width="28.28515625" style="101" customWidth="1"/>
    <col min="12" max="12" width="23" style="101" customWidth="1"/>
    <col min="13" max="13" width="20.85546875" style="101" customWidth="1"/>
    <col min="14" max="14" width="4.140625" style="102" bestFit="1" customWidth="1"/>
    <col min="15" max="15" width="8" style="102" bestFit="1" customWidth="1"/>
    <col min="16" max="16" width="8" style="102" hidden="1" customWidth="1"/>
    <col min="17" max="17" width="19.5703125" style="102" hidden="1" customWidth="1"/>
    <col min="18" max="18" width="21.7109375" style="102" bestFit="1" customWidth="1"/>
    <col min="19" max="19" width="24.85546875" style="102" customWidth="1"/>
    <col min="20" max="20" width="21.5703125" style="102" customWidth="1"/>
    <col min="21" max="21" width="27.85546875" style="102" hidden="1" customWidth="1"/>
    <col min="22" max="22" width="32.42578125" style="102" customWidth="1"/>
    <col min="23" max="24" width="14.7109375" style="102" customWidth="1"/>
    <col min="25" max="25" width="17.5703125" style="102" customWidth="1"/>
    <col min="26" max="26" width="21.7109375" style="102" customWidth="1"/>
    <col min="27" max="27" width="20.42578125" style="102" hidden="1" customWidth="1"/>
    <col min="28" max="28" width="23.42578125" style="102" customWidth="1"/>
    <col min="29" max="29" width="14.7109375" style="102" customWidth="1"/>
    <col min="30" max="30" width="15.85546875" style="100" customWidth="1"/>
    <col min="31" max="31" width="15.5703125" style="97" hidden="1" customWidth="1"/>
    <col min="32" max="32" width="15.85546875" style="97" hidden="1" customWidth="1"/>
    <col min="33" max="33" width="14.5703125" style="103" customWidth="1"/>
    <col min="34" max="34" width="14.5703125" style="97" customWidth="1"/>
    <col min="35" max="35" width="14.5703125" style="103" customWidth="1"/>
    <col min="36" max="36" width="14.5703125" style="97" customWidth="1"/>
    <col min="37" max="37" width="17.140625" style="97" bestFit="1" customWidth="1"/>
    <col min="38" max="16384" width="11.42578125" style="97"/>
  </cols>
  <sheetData>
    <row r="1" spans="1:37" ht="18" customHeight="1" x14ac:dyDescent="0.2"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</row>
    <row r="2" spans="1:37" s="98" customFormat="1" ht="26.25" x14ac:dyDescent="0.2">
      <c r="B2" s="212" t="s">
        <v>147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</row>
    <row r="3" spans="1:37" ht="18" customHeight="1" x14ac:dyDescent="0.2">
      <c r="B3" s="216" t="s">
        <v>146</v>
      </c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  <c r="Y3" s="216"/>
      <c r="Z3" s="216"/>
      <c r="AA3" s="216"/>
      <c r="AB3" s="216"/>
      <c r="AC3" s="216"/>
      <c r="AD3" s="216"/>
      <c r="AE3" s="216"/>
      <c r="AF3" s="216"/>
      <c r="AG3" s="216"/>
      <c r="AH3" s="216"/>
      <c r="AI3" s="216"/>
      <c r="AJ3" s="216"/>
      <c r="AK3" s="216"/>
    </row>
    <row r="4" spans="1:37" ht="18" customHeight="1" thickBot="1" x14ac:dyDescent="0.25"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</row>
    <row r="5" spans="1:37" ht="44.25" customHeight="1" thickBot="1" x14ac:dyDescent="0.25">
      <c r="B5" s="213" t="s">
        <v>149</v>
      </c>
      <c r="C5" s="214"/>
      <c r="D5" s="215"/>
      <c r="E5" s="208" t="s">
        <v>159</v>
      </c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10"/>
      <c r="S5" s="217" t="s">
        <v>189</v>
      </c>
      <c r="T5" s="218"/>
      <c r="U5" s="181" t="s">
        <v>191</v>
      </c>
      <c r="V5" s="182"/>
      <c r="W5" s="181" t="s">
        <v>161</v>
      </c>
      <c r="X5" s="182"/>
      <c r="Y5" s="181" t="s">
        <v>148</v>
      </c>
      <c r="Z5" s="182"/>
      <c r="AA5" s="123"/>
      <c r="AB5" s="181" t="s">
        <v>177</v>
      </c>
      <c r="AC5" s="182"/>
      <c r="AD5" s="124" t="s">
        <v>179</v>
      </c>
      <c r="AE5" s="187" t="s">
        <v>169</v>
      </c>
      <c r="AF5" s="188"/>
      <c r="AG5" s="185" t="s">
        <v>181</v>
      </c>
      <c r="AH5" s="186"/>
      <c r="AI5" s="185" t="s">
        <v>183</v>
      </c>
      <c r="AJ5" s="186"/>
      <c r="AK5" s="124" t="s">
        <v>180</v>
      </c>
    </row>
    <row r="6" spans="1:37" ht="56.25" customHeight="1" x14ac:dyDescent="0.2">
      <c r="B6" s="189" t="s">
        <v>155</v>
      </c>
      <c r="C6" s="207" t="s">
        <v>154</v>
      </c>
      <c r="D6" s="199" t="s">
        <v>165</v>
      </c>
      <c r="E6" s="199" t="s">
        <v>157</v>
      </c>
      <c r="F6" s="194" t="s">
        <v>152</v>
      </c>
      <c r="G6" s="194" t="s">
        <v>156</v>
      </c>
      <c r="H6" s="195" t="s">
        <v>153</v>
      </c>
      <c r="I6" s="202" t="s">
        <v>187</v>
      </c>
      <c r="J6" s="202" t="s">
        <v>188</v>
      </c>
      <c r="K6" s="202" t="s">
        <v>193</v>
      </c>
      <c r="L6" s="132"/>
      <c r="M6" s="132"/>
      <c r="N6" s="204" t="s">
        <v>160</v>
      </c>
      <c r="O6" s="191" t="s">
        <v>195</v>
      </c>
      <c r="P6" s="191" t="s">
        <v>166</v>
      </c>
      <c r="Q6" s="203" t="s">
        <v>167</v>
      </c>
      <c r="R6" s="203" t="s">
        <v>164</v>
      </c>
      <c r="S6" s="183" t="s">
        <v>202</v>
      </c>
      <c r="T6" s="184"/>
      <c r="U6" s="183" t="s">
        <v>203</v>
      </c>
      <c r="V6" s="184"/>
      <c r="W6" s="183" t="s">
        <v>199</v>
      </c>
      <c r="X6" s="184"/>
      <c r="Y6" s="183" t="s">
        <v>200</v>
      </c>
      <c r="Z6" s="184"/>
      <c r="AA6" s="196" t="s">
        <v>168</v>
      </c>
      <c r="AB6" s="183" t="s">
        <v>201</v>
      </c>
      <c r="AC6" s="184"/>
      <c r="AD6" s="179" t="s">
        <v>174</v>
      </c>
      <c r="AE6" s="82" t="s">
        <v>170</v>
      </c>
      <c r="AF6" s="83">
        <v>535600</v>
      </c>
      <c r="AG6" s="183" t="s">
        <v>204</v>
      </c>
      <c r="AH6" s="184"/>
      <c r="AI6" s="183" t="s">
        <v>205</v>
      </c>
      <c r="AJ6" s="184"/>
      <c r="AK6" s="179" t="s">
        <v>174</v>
      </c>
    </row>
    <row r="7" spans="1:37" ht="54" customHeight="1" thickBot="1" x14ac:dyDescent="0.25">
      <c r="B7" s="190"/>
      <c r="C7" s="207"/>
      <c r="D7" s="200"/>
      <c r="E7" s="200"/>
      <c r="F7" s="201"/>
      <c r="G7" s="195"/>
      <c r="H7" s="201"/>
      <c r="I7" s="202"/>
      <c r="J7" s="202"/>
      <c r="K7" s="202"/>
      <c r="L7" s="132" t="s">
        <v>175</v>
      </c>
      <c r="M7" s="132" t="s">
        <v>176</v>
      </c>
      <c r="N7" s="205"/>
      <c r="O7" s="192"/>
      <c r="P7" s="192"/>
      <c r="Q7" s="203"/>
      <c r="R7" s="203"/>
      <c r="S7" s="133" t="s">
        <v>190</v>
      </c>
      <c r="T7" s="139">
        <v>0.6</v>
      </c>
      <c r="U7" s="133" t="s">
        <v>192</v>
      </c>
      <c r="V7" s="139" t="str">
        <f>"50%*PO"</f>
        <v>50%*PO</v>
      </c>
      <c r="W7" s="133" t="s">
        <v>158</v>
      </c>
      <c r="X7" s="140">
        <v>1.5</v>
      </c>
      <c r="Y7" s="133" t="s">
        <v>185</v>
      </c>
      <c r="Z7" s="140">
        <v>0.5</v>
      </c>
      <c r="AA7" s="197"/>
      <c r="AB7" s="133" t="s">
        <v>178</v>
      </c>
      <c r="AC7" s="140">
        <v>1.5</v>
      </c>
      <c r="AD7" s="179"/>
      <c r="AE7" s="84" t="s">
        <v>171</v>
      </c>
      <c r="AF7" s="85">
        <v>566700</v>
      </c>
      <c r="AG7" s="136" t="s">
        <v>182</v>
      </c>
      <c r="AH7" s="162">
        <v>0.06</v>
      </c>
      <c r="AI7" s="136" t="s">
        <v>184</v>
      </c>
      <c r="AJ7" s="162">
        <v>0.04</v>
      </c>
      <c r="AK7" s="179"/>
    </row>
    <row r="8" spans="1:37" ht="44.25" customHeight="1" thickBot="1" x14ac:dyDescent="0.25">
      <c r="B8" s="190"/>
      <c r="C8" s="207"/>
      <c r="D8" s="200"/>
      <c r="E8" s="200"/>
      <c r="F8" s="201"/>
      <c r="G8" s="195"/>
      <c r="H8" s="201"/>
      <c r="I8" s="202"/>
      <c r="J8" s="202"/>
      <c r="K8" s="202"/>
      <c r="L8" s="132"/>
      <c r="M8" s="132"/>
      <c r="N8" s="206"/>
      <c r="O8" s="193"/>
      <c r="P8" s="193"/>
      <c r="Q8" s="203"/>
      <c r="R8" s="203"/>
      <c r="S8" s="134" t="s">
        <v>151</v>
      </c>
      <c r="T8" s="135" t="s">
        <v>150</v>
      </c>
      <c r="U8" s="134" t="s">
        <v>151</v>
      </c>
      <c r="V8" s="135" t="s">
        <v>150</v>
      </c>
      <c r="W8" s="134" t="s">
        <v>151</v>
      </c>
      <c r="X8" s="135" t="s">
        <v>150</v>
      </c>
      <c r="Y8" s="134" t="s">
        <v>151</v>
      </c>
      <c r="Z8" s="135" t="s">
        <v>150</v>
      </c>
      <c r="AA8" s="198"/>
      <c r="AB8" s="134" t="s">
        <v>151</v>
      </c>
      <c r="AC8" s="135" t="s">
        <v>150</v>
      </c>
      <c r="AD8" s="180"/>
      <c r="AE8" s="86" t="s">
        <v>172</v>
      </c>
      <c r="AF8" s="87">
        <v>30000</v>
      </c>
      <c r="AG8" s="137" t="s">
        <v>151</v>
      </c>
      <c r="AH8" s="138" t="s">
        <v>150</v>
      </c>
      <c r="AI8" s="137" t="s">
        <v>151</v>
      </c>
      <c r="AJ8" s="138" t="s">
        <v>150</v>
      </c>
      <c r="AK8" s="180"/>
    </row>
    <row r="9" spans="1:37" ht="18" customHeight="1" thickBot="1" x14ac:dyDescent="0.25">
      <c r="B9" s="104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16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  <c r="AA9" s="105"/>
      <c r="AB9" s="105"/>
      <c r="AC9" s="105"/>
      <c r="AD9" s="106"/>
      <c r="AE9" s="107"/>
      <c r="AF9" s="108"/>
      <c r="AG9" s="109"/>
      <c r="AI9" s="109"/>
      <c r="AK9" s="110"/>
    </row>
    <row r="10" spans="1:37" ht="16.5" x14ac:dyDescent="0.25">
      <c r="B10" s="71">
        <v>1</v>
      </c>
      <c r="C10" s="72" t="s">
        <v>206</v>
      </c>
      <c r="D10" s="79">
        <f>IF(SUM(D11:D20)=0,"",SUM(D11:D20))</f>
        <v>1</v>
      </c>
      <c r="E10" s="73">
        <f>IF(ISERROR(($D11*E11)+($D12*E12)+($D13*E13)+($D14*E14)+($D15*E15)+($D16*E16)+($D17*E17)+($D18*E18)+($D19*E19)+($D20*E20)),"",($D11*E11)+($D12*E12)+($D13*E13)+($D14*E14)+($D15*E15)+($D16*E16)+($D17*E17)+($D18*E18)+($D19*E19)+($D20*E20))</f>
        <v>12140135000</v>
      </c>
      <c r="F10" s="73">
        <f>IF(ISERROR(($D11*F11)+($D12*F12)+($D13*F13)+($D14*F14)+($D15*F15)+($D16*F16)+($D17*F17)+($D18*F18)+($D19*F19)+($D20*F20)),"",($D11*F11)+($D12*F12)+($D13*F13)+($D14*F14)+($D15*F15)+($D16*F16)+($D17*F17)+($D18*F18)+($D19*F19)+($D20*F20))</f>
        <v>65437054000</v>
      </c>
      <c r="G10" s="73">
        <f>IF(ISERROR(($D11*G11)+($D12*G12)+($D13*G13)+($D14*G14)+($D15*G15)+($D16*G16)+($D17*G17)+($D18*G18)+($D19*G19)+($D20*G20)),"",($D11*G11)+($D12*G12)+($D13*G13)+($D14*G14)+($D15*G15)+($D16*G16)+($D17*G17)+($D18*G18)+($D19*G19)+($D20*G20))</f>
        <v>1216429000</v>
      </c>
      <c r="H10" s="73">
        <f>IF(ISERROR(($D11*H11)+($D12*H12)+($D13*H13)+($D14*H14)+($D15*H15)+($D16*H16)+($D17*H17)+($D18*H18)+($D19*H19)+($D20*H20)),"",($D11*H11)+($D12*H12)+($D13*H13)+($D14*H14)+($D15*H15)+($D16*H16)+($D17*H17)+($D18*H18)+($D19*H19)+($D20*H20))</f>
        <v>4652621000</v>
      </c>
      <c r="I10" s="73">
        <f>IF(ISERROR(SUM(I11:I20)),"",SUM(I11:I20))</f>
        <v>10923706000</v>
      </c>
      <c r="J10" s="73">
        <f>IF(ISERROR(SUM(J11:J20)),"",SUM(J11:J20))</f>
        <v>60784433000</v>
      </c>
      <c r="K10" s="73">
        <f>IF(ISERROR(($D11*K11)+($D12*K12)+($D13*K13)+($D14*K14)+($D15*K15)+($D16*K16)+($D17*K17)+($D18*K18)+($D19*K19)+($D20*K20)),"",($D11*K11)+($D12*K12)+($D13*K13)+($D14*K14)+($D15*K15)+($D16*K16)+($D17*K17)+($D18*K18)+($D19*K19)+($D20*K20))</f>
        <v>60784433000</v>
      </c>
      <c r="L10" s="73">
        <f>IF(ISERROR(($D11*L11)+($D12*L12)+($D13*L13)+($D14*L14)+($D15*L15)+($D16*L16)+($D17*L17)+($D18*L18)+($D19*L19)+($D20*L20)),"",($D11*L11)+($D12*L12)+($D13*L13)+($D14*L14)+($D15*L15)+($D16*L16)+($D17*L17)+($D18*L18)+($D19*L19)+($D20*L20))</f>
        <v>5012703000</v>
      </c>
      <c r="M10" s="73">
        <f>IF(ISERROR(($D11*M11)+($D12*M12)+($D13*M13)+($D14*M14)+($D15*M15)+($D16*M16)+($D17*M17)+($D18*M18)+($D19*M19)+($D20*M20)),"",($D11*M11)+($D12*M12)+($D13*M13)+($D14*M14)+($D15*M15)+($D16*M16)+($D17*M17)+($D18*M18)+($D19*M19)+($D20*M20))</f>
        <v>1214000</v>
      </c>
      <c r="N10" s="68">
        <v>1</v>
      </c>
      <c r="O10" s="160">
        <f>IF(ISERROR(VLOOKUP(N10,POA!$A$2:$C$9,3,0)),"",VLOOKUP(N10,POA!$A$2:$C$9,3,0))</f>
        <v>19</v>
      </c>
      <c r="P10" s="81" t="s">
        <v>173</v>
      </c>
      <c r="Q10" s="68">
        <f>+SUM(Q11:Q20)</f>
        <v>0</v>
      </c>
      <c r="R10" s="69">
        <f>IF(ISERROR(VLOOKUP(N10,POA!$A$2:$C$9,2,0)),"",VLOOKUP(N10,POA!$A$2:$C$9,2,0))</f>
        <v>929265667</v>
      </c>
      <c r="S10" s="73">
        <f>SUM(I10)</f>
        <v>10923706000</v>
      </c>
      <c r="T10" s="141" t="str">
        <f>IF(OR(S10=0,N10="",R10=""),"",IF(S10&gt;=((R10/O10)),"HABIL","NO HABIL"))</f>
        <v>HABIL</v>
      </c>
      <c r="U10" s="73">
        <f>SUM(J10)</f>
        <v>60784433000</v>
      </c>
      <c r="V10" s="74" t="str">
        <f>IF(OR(U10=0,N10="",R10=""),"",IF(U10&gt;=(0.1*R10),"HABIL","NO HABIL"))</f>
        <v>HABIL</v>
      </c>
      <c r="W10" s="73">
        <f>IF(ISERROR(SUM(E10/G10)),0,SUM(E10/G10))</f>
        <v>9.9801426963678104</v>
      </c>
      <c r="X10" s="74" t="str">
        <f>IF(OR(W10=0,N10="",R10=""),"",IF(W10&gt;=$X$7,"HABIL","NO HABIL"))</f>
        <v>HABIL</v>
      </c>
      <c r="Y10" s="121">
        <f>IF(ISERROR(SUM(H10/F10)),0,SUM(H10/F10))</f>
        <v>7.1100710004457113E-2</v>
      </c>
      <c r="Z10" s="74" t="str">
        <f>IF(OR(Y10=0,N10="",R10=""),"",IF(Y10&lt;=$Z$7,"HABIL","NO HABIL"))</f>
        <v>HABIL</v>
      </c>
      <c r="AA10" s="68">
        <f>+SUM(AA11:AA20)</f>
        <v>0</v>
      </c>
      <c r="AB10" s="121">
        <f>IF(ISERROR(SUM(L10/M10)),0,SUM(L10/M10))</f>
        <v>4129.0799011532126</v>
      </c>
      <c r="AC10" s="74" t="str">
        <f>IF(OR(AB10=0,N10="",R10=""),"",IF(AB10&gt;=$AC$7,"HABIL","NO HABIL"))</f>
        <v>HABIL</v>
      </c>
      <c r="AD10" s="125" t="str">
        <f t="shared" ref="AD10:AD20" si="0">IF(OR(T10="",V10="",X10="",Z10="",AC10=""),"",IF(T10="NO HABIL","NO HABIL",IF(V10="NO HABIL","NO HABIL",IF(X10="NO HABIL","NO HABIL",IF(Z10="NO HABIL","NO HABIL",IF(AC10="NO HABIL","NO HABIL",IF(AC10="NO HABIL","NO HABIL","HABIL")))))))</f>
        <v>HABIL</v>
      </c>
      <c r="AE10" s="94"/>
      <c r="AF10" s="88"/>
      <c r="AG10" s="121">
        <f>IF(ISERROR(SUM(L10/K10)),0,SUM(L10/K10))</f>
        <v>8.2466887533523589E-2</v>
      </c>
      <c r="AH10" s="74" t="str">
        <f>IF(OR(AG10=0,N10="",R10=""),"",IF(AG10&gt;=$AH$7,"HABIL","NO HABIL"))</f>
        <v>HABIL</v>
      </c>
      <c r="AI10" s="121">
        <f>IF(ISERROR(SUM(L10/F10)),0,SUM(L10/F10))</f>
        <v>7.6603433278032346E-2</v>
      </c>
      <c r="AJ10" s="74" t="str">
        <f>IF(OR(AI10=0,N10="",R10=""),"",IF(AI10&gt;=$AJ$7,"HABIL","NO HABIL"))</f>
        <v>HABIL</v>
      </c>
      <c r="AK10" s="127" t="str">
        <f t="shared" ref="AK10:AK20" si="1">IF(OR(AH10="",AJ10=""),"",IF(AH10="NO HABIL","NO HABIL",IF(AJ10="NO HABIL","NO HABIL",IF(AJ10="NO HABIL","NO HABIL","HABIL"))))</f>
        <v>HABIL</v>
      </c>
    </row>
    <row r="11" spans="1:37" ht="16.5" x14ac:dyDescent="0.25">
      <c r="A11" s="99"/>
      <c r="B11" s="66">
        <f t="shared" ref="B11:B16" si="2">IF(C11="","",B10+0.1)</f>
        <v>1.1000000000000001</v>
      </c>
      <c r="C11" s="143" t="s">
        <v>206</v>
      </c>
      <c r="D11" s="122">
        <v>1</v>
      </c>
      <c r="E11" s="120">
        <v>12140135000</v>
      </c>
      <c r="F11" s="120">
        <v>65437054000</v>
      </c>
      <c r="G11" s="120">
        <v>1216429000</v>
      </c>
      <c r="H11" s="120">
        <v>4652621000</v>
      </c>
      <c r="I11" s="120">
        <f t="shared" ref="I11:I12" si="3">IF(ISERROR(E11-G11),"",E11-G11)</f>
        <v>10923706000</v>
      </c>
      <c r="J11" s="120">
        <f t="shared" ref="J11:J12" si="4">IF(ISERROR(F11-H11),"",F11-H11)</f>
        <v>60784433000</v>
      </c>
      <c r="K11" s="120">
        <f t="shared" ref="K11:K12" si="5">IF(ISERROR(F11-H11),"",F11-H11)</f>
        <v>60784433000</v>
      </c>
      <c r="L11" s="120">
        <v>5012703000</v>
      </c>
      <c r="M11" s="120">
        <v>1214000</v>
      </c>
      <c r="N11" s="119"/>
      <c r="O11" s="151" t="str">
        <f>IF(ISERROR(VLOOKUP(N11,POA!$A$2:$C$9,3,0)),"",VLOOKUP(N11,POA!$A$2:$C$9,3,0))</f>
        <v/>
      </c>
      <c r="P11" s="144" t="s">
        <v>173</v>
      </c>
      <c r="Q11" s="144" t="str">
        <f>IF(ISERROR(VLOOKUP(P11,POA!$A$2:$F$9,4,0)),"",VLOOKUP(P11,POA!$A$2:$F$9,4,0))</f>
        <v/>
      </c>
      <c r="R11" s="145" t="str">
        <f>IF(ISERROR(VLOOKUP(N11,POA!$A$2:$C$9,2,0)),"",VLOOKUP(N11,POA!$A$2:$C$9,2,0))</f>
        <v/>
      </c>
      <c r="S11" s="146"/>
      <c r="T11" s="142" t="str">
        <f>IF(OR(S10=0,N11="",R11=""),"",IF(S10&gt;=((R11/O11)),"HABIL","NO HABIL"))</f>
        <v/>
      </c>
      <c r="U11" s="146"/>
      <c r="V11" s="142" t="str">
        <f>IF(OR(U10=0,N11="",R11=""),"",IF(U10&gt;=(0.1*R11),"HABIL","NO HABIL"))</f>
        <v/>
      </c>
      <c r="W11" s="146"/>
      <c r="X11" s="142" t="str">
        <f>IF(OR(W10=0,N11="",R11=""),"",IF(W10&gt;=$X$7,"HABIL","NO HABIL"))</f>
        <v/>
      </c>
      <c r="Y11" s="147"/>
      <c r="Z11" s="142" t="str">
        <f>IF(OR(Y10=0,N11="",R11=""),"",IF(Y10&lt;=$Z$7,"HABIL","NO HABIL"))</f>
        <v/>
      </c>
      <c r="AA11" s="144" t="s">
        <v>194</v>
      </c>
      <c r="AB11" s="144"/>
      <c r="AC11" s="142" t="str">
        <f>IF(OR(AB10=0,N11="",R11=""),"",IF(AB10&gt;=$AC$7,"HABIL","NO HABIL"))</f>
        <v/>
      </c>
      <c r="AD11" s="148" t="str">
        <f t="shared" si="0"/>
        <v/>
      </c>
      <c r="AE11" s="93">
        <f t="shared" ref="AE11:AE20" si="6">IF(ISERROR(F11/$AF$7),"",F11/$AF$7)</f>
        <v>115470.36174342685</v>
      </c>
      <c r="AF11" s="89" t="str">
        <f>+IF(AE11&lt;$AF$8,"MIPYME","NO CUMPLE")</f>
        <v>NO CUMPLE</v>
      </c>
      <c r="AG11" s="149"/>
      <c r="AH11" s="142" t="str">
        <f>IF(OR(AG10=0,N11="",R11=""),"",IF(AG10&gt;=$AH$7,"HABIL","NO HABIL"))</f>
        <v/>
      </c>
      <c r="AI11" s="149"/>
      <c r="AJ11" s="142" t="str">
        <f>IF(OR(AI10=0,N11="",R11=""),"",IF(AI10&gt;=$AJ$7,"HABIL","NO HABIL"))</f>
        <v/>
      </c>
      <c r="AK11" s="128" t="str">
        <f>IF(OR(AH11="",AJ11=""),"",IF(AH11="NO HABIL","NO HABIL",IF(AJ11="NO HABIL","NO HABIL",IF(AJ11="NO HABIL","NO HABIL","HABIL"))))</f>
        <v/>
      </c>
    </row>
    <row r="12" spans="1:37" ht="16.5" x14ac:dyDescent="0.25">
      <c r="A12" s="99"/>
      <c r="B12" s="66" t="str">
        <f t="shared" si="2"/>
        <v/>
      </c>
      <c r="C12" s="122"/>
      <c r="D12" s="122"/>
      <c r="E12" s="120">
        <f>IF(ISERROR(VLOOKUP(C12,#REF!,2,0)),0,VLOOKUP(C12,#REF!,2,0))</f>
        <v>0</v>
      </c>
      <c r="F12" s="120">
        <f>IF(ISERROR(VLOOKUP(C12,#REF!,3,0)),0,VLOOKUP(C12,#REF!,3,0))</f>
        <v>0</v>
      </c>
      <c r="G12" s="120">
        <f>IF(ISERROR(VLOOKUP(C12,#REF!,4,0)),0,VLOOKUP(C12,#REF!,4,0))</f>
        <v>0</v>
      </c>
      <c r="H12" s="120">
        <f>IF(ISERROR(VLOOKUP(C12,#REF!,5,0)),0,VLOOKUP(C12,#REF!,5,0))</f>
        <v>0</v>
      </c>
      <c r="I12" s="120">
        <f t="shared" si="3"/>
        <v>0</v>
      </c>
      <c r="J12" s="120">
        <f t="shared" si="4"/>
        <v>0</v>
      </c>
      <c r="K12" s="120">
        <f t="shared" si="5"/>
        <v>0</v>
      </c>
      <c r="L12" s="120">
        <f>IF(ISERROR(VLOOKUP(C12,#REF!,6,0)),0,VLOOKUP(C12,#REF!,6,0))</f>
        <v>0</v>
      </c>
      <c r="M12" s="120">
        <f>IF(ISERROR(VLOOKUP(C12,#REF!,7,0)),0,VLOOKUP(C12,#REF!,7,0))</f>
        <v>0</v>
      </c>
      <c r="N12" s="117"/>
      <c r="O12" s="152" t="str">
        <f>IF(ISERROR(VLOOKUP(N12,POA!$A$2:$C$9,3,0)),"",VLOOKUP(N12,POA!$A$2:$C$9,3,0))</f>
        <v/>
      </c>
      <c r="P12" s="144" t="s">
        <v>173</v>
      </c>
      <c r="Q12" s="144" t="str">
        <f>IF(ISERROR(VLOOKUP(P12,POA!$A$2:$F$9,4,0)),"",VLOOKUP(P12,POA!$A$2:$F$9,4,0))</f>
        <v/>
      </c>
      <c r="R12" s="145" t="str">
        <f>IF(ISERROR(VLOOKUP(N12,POA!$A$2:$C$9,2,0)),"",VLOOKUP(N12,POA!$A$2:$C$9,2,0))</f>
        <v/>
      </c>
      <c r="S12" s="146"/>
      <c r="T12" s="142" t="str">
        <f>IF(OR(S10=0,N12="",R12=""),"",IF(S10&gt;=((R12/O12)),"HABIL","NO HABIL"))</f>
        <v/>
      </c>
      <c r="U12" s="146"/>
      <c r="V12" s="142" t="str">
        <f>IF(OR(U10=0,N12="",R12=""),"",IF(U10&gt;=(0.1*R12),"HABIL","NO HABIL"))</f>
        <v/>
      </c>
      <c r="W12" s="146"/>
      <c r="X12" s="142" t="str">
        <f>IF(OR(W10=0,N12="",R12=""),"",IF(W10&gt;=$X$7,"HABIL","NO HABIL"))</f>
        <v/>
      </c>
      <c r="Y12" s="147"/>
      <c r="Z12" s="142" t="str">
        <f>IF(OR(Y10=0,N12="",R12=""),"",IF(Y10&lt;=$Z$7,"HABIL","NO HABIL"))</f>
        <v/>
      </c>
      <c r="AA12" s="144" t="s">
        <v>194</v>
      </c>
      <c r="AB12" s="144"/>
      <c r="AC12" s="142" t="str">
        <f>IF(OR(AB10=0,N12="",R12=""),"",IF(AB10&gt;=$AC$7,"HABIL","NO HABIL"))</f>
        <v/>
      </c>
      <c r="AD12" s="148" t="str">
        <f t="shared" si="0"/>
        <v/>
      </c>
      <c r="AE12" s="93">
        <f t="shared" si="6"/>
        <v>0</v>
      </c>
      <c r="AF12" s="89" t="str">
        <f t="shared" ref="AF12:AF20" si="7">+IF(AE12&lt;$AF$8,"MIPYME","NO CUMPLE")</f>
        <v>MIPYME</v>
      </c>
      <c r="AG12" s="149"/>
      <c r="AH12" s="142" t="str">
        <f>IF(OR(AG10=0,N12="",R12=""),"",IF(AG10&gt;=$AH$7,"HABIL","NO HABIL"))</f>
        <v/>
      </c>
      <c r="AI12" s="149"/>
      <c r="AJ12" s="142" t="str">
        <f>IF(OR(AI10=0,N12="",R12=""),"",IF(AI10&gt;=$AJ$7,"HABIL","NO HABIL"))</f>
        <v/>
      </c>
      <c r="AK12" s="129" t="str">
        <f t="shared" si="1"/>
        <v/>
      </c>
    </row>
    <row r="13" spans="1:37" ht="16.5" x14ac:dyDescent="0.25">
      <c r="A13" s="99"/>
      <c r="B13" s="66" t="str">
        <f t="shared" si="2"/>
        <v/>
      </c>
      <c r="C13" s="122"/>
      <c r="D13" s="122"/>
      <c r="E13" s="120">
        <f>IF(ISERROR(VLOOKUP(C13,#REF!,2,0)),0,VLOOKUP(C13,#REF!,2,0))</f>
        <v>0</v>
      </c>
      <c r="F13" s="120">
        <f>IF(ISERROR(VLOOKUP(C13,#REF!,3,0)),0,VLOOKUP(C13,#REF!,3,0))</f>
        <v>0</v>
      </c>
      <c r="G13" s="120">
        <f>IF(ISERROR(VLOOKUP(C13,#REF!,4,0)),0,VLOOKUP(C13,#REF!,4,0))</f>
        <v>0</v>
      </c>
      <c r="H13" s="120">
        <f>IF(ISERROR(VLOOKUP(C13,#REF!,5,0)),0,VLOOKUP(C13,#REF!,5,0))</f>
        <v>0</v>
      </c>
      <c r="I13" s="120">
        <f t="shared" ref="I13:I20" si="8">IF(ISERROR(E13-G13),"",E13-G13)</f>
        <v>0</v>
      </c>
      <c r="J13" s="120">
        <f t="shared" ref="J13:J20" si="9">IF(ISERROR(F13-H13),"",F13-H13)</f>
        <v>0</v>
      </c>
      <c r="K13" s="120">
        <f t="shared" ref="K13:K20" si="10">IF(ISERROR(F13-H13),"",F13-H13)</f>
        <v>0</v>
      </c>
      <c r="L13" s="120">
        <f>IF(ISERROR(VLOOKUP(C13,#REF!,6,0)),0,VLOOKUP(C13,#REF!,6,0))</f>
        <v>0</v>
      </c>
      <c r="M13" s="120">
        <f>IF(ISERROR(VLOOKUP(C13,#REF!,7,0)),0,VLOOKUP(C13,#REF!,7,0))</f>
        <v>0</v>
      </c>
      <c r="N13" s="117"/>
      <c r="O13" s="152" t="str">
        <f>IF(ISERROR(VLOOKUP(N13,POA!$A$2:$C$9,3,0)),"",VLOOKUP(N13,POA!$A$2:$C$9,3,0))</f>
        <v/>
      </c>
      <c r="P13" s="144"/>
      <c r="Q13" s="144" t="str">
        <f>IF(ISERROR(VLOOKUP(P13,POA!$A$2:$F$9,4,0)),"",VLOOKUP(P13,POA!$A$2:$F$9,4,0))</f>
        <v/>
      </c>
      <c r="R13" s="145" t="str">
        <f>IF(ISERROR(VLOOKUP(N13,POA!$A$2:$C$9,2,0)),"",VLOOKUP(N13,POA!$A$2:$C$9,2,0))</f>
        <v/>
      </c>
      <c r="S13" s="146"/>
      <c r="T13" s="142" t="str">
        <f>IF(OR(S10=0,N13="",R13=""),"",IF(S10&gt;=((R13/O13)),"HABIL","NO HABIL"))</f>
        <v/>
      </c>
      <c r="U13" s="146"/>
      <c r="V13" s="142" t="str">
        <f>IF(OR(U10=0,N13="",R13=""),"",IF(U10&gt;=(0.1*R13),"HABIL","NO HABIL"))</f>
        <v/>
      </c>
      <c r="W13" s="146"/>
      <c r="X13" s="142" t="str">
        <f>IF(OR(W10=0,N13="",R13=""),"",IF(W10&gt;=$X$7,"HABIL","NO HABIL"))</f>
        <v/>
      </c>
      <c r="Y13" s="147"/>
      <c r="Z13" s="142" t="str">
        <f>IF(OR(Y10=0,N13="",R13=""),"",IF(Y10&lt;=$Z$7,"HABIL","NO HABIL"))</f>
        <v/>
      </c>
      <c r="AA13" s="144">
        <v>0</v>
      </c>
      <c r="AB13" s="144"/>
      <c r="AC13" s="142" t="str">
        <f>IF(OR(AB10=0,N13="",R13=""),"",IF(AB10&gt;=$AC$7,"HABIL","NO HABIL"))</f>
        <v/>
      </c>
      <c r="AD13" s="148" t="str">
        <f t="shared" si="0"/>
        <v/>
      </c>
      <c r="AE13" s="93">
        <f t="shared" si="6"/>
        <v>0</v>
      </c>
      <c r="AF13" s="89" t="str">
        <f t="shared" si="7"/>
        <v>MIPYME</v>
      </c>
      <c r="AG13" s="149"/>
      <c r="AH13" s="142" t="str">
        <f>IF(OR(AG10=0,N13="",R13=""),"",IF(AG10&gt;=$AH$7,"HABIL","NO HABIL"))</f>
        <v/>
      </c>
      <c r="AI13" s="149"/>
      <c r="AJ13" s="142" t="str">
        <f>IF(OR(AI10=0,N13="",R13=""),"",IF(AI10&gt;=$AJ$7,"HABIL","NO HABIL"))</f>
        <v/>
      </c>
      <c r="AK13" s="129" t="str">
        <f t="shared" si="1"/>
        <v/>
      </c>
    </row>
    <row r="14" spans="1:37" ht="18" customHeight="1" x14ac:dyDescent="0.25">
      <c r="A14" s="99"/>
      <c r="B14" s="66" t="str">
        <f t="shared" si="2"/>
        <v/>
      </c>
      <c r="C14" s="122"/>
      <c r="D14" s="122"/>
      <c r="E14" s="120">
        <f>IF(ISERROR(VLOOKUP(C14,#REF!,2,0)),0,VLOOKUP(C14,#REF!,2,0))</f>
        <v>0</v>
      </c>
      <c r="F14" s="120">
        <f>IF(ISERROR(VLOOKUP(C14,#REF!,3,0)),0,VLOOKUP(C14,#REF!,3,0))</f>
        <v>0</v>
      </c>
      <c r="G14" s="120">
        <f>IF(ISERROR(VLOOKUP(C14,#REF!,4,0)),0,VLOOKUP(C14,#REF!,4,0))</f>
        <v>0</v>
      </c>
      <c r="H14" s="120">
        <f>IF(ISERROR(VLOOKUP(C14,#REF!,5,0)),0,VLOOKUP(C14,#REF!,5,0))</f>
        <v>0</v>
      </c>
      <c r="I14" s="120">
        <f t="shared" si="8"/>
        <v>0</v>
      </c>
      <c r="J14" s="120">
        <f t="shared" si="9"/>
        <v>0</v>
      </c>
      <c r="K14" s="120">
        <f t="shared" si="10"/>
        <v>0</v>
      </c>
      <c r="L14" s="120">
        <f>IF(ISERROR(VLOOKUP(C14,#REF!,6,0)),0,VLOOKUP(C14,#REF!,6,0))</f>
        <v>0</v>
      </c>
      <c r="M14" s="120">
        <f>IF(ISERROR(VLOOKUP(C14,#REF!,7,0)),0,VLOOKUP(C14,#REF!,7,0))</f>
        <v>0</v>
      </c>
      <c r="N14" s="117"/>
      <c r="O14" s="152" t="str">
        <f>IF(ISERROR(VLOOKUP(N14,POA!$A$2:$C$9,3,0)),"",VLOOKUP(N14,POA!$A$2:$C$9,3,0))</f>
        <v/>
      </c>
      <c r="P14" s="144"/>
      <c r="Q14" s="144" t="str">
        <f>IF(ISERROR(VLOOKUP(P14,POA!$A$2:$F$9,4,0)),"",VLOOKUP(P14,POA!$A$2:$F$9,4,0))</f>
        <v/>
      </c>
      <c r="R14" s="145" t="str">
        <f>IF(ISERROR(VLOOKUP(N14,POA!$A$2:$C$9,2,0)),"",VLOOKUP(N14,POA!$A$2:$C$9,2,0))</f>
        <v/>
      </c>
      <c r="S14" s="146"/>
      <c r="T14" s="142" t="str">
        <f>IF(OR(S10=0,N14="",R14=""),"",IF(S10&gt;=((R14/O14)),"HABIL","NO HABIL"))</f>
        <v/>
      </c>
      <c r="U14" s="146"/>
      <c r="V14" s="142" t="str">
        <f>IF(OR(U10=0,N14="",R14=""),"",IF(U10&gt;=(0.1*R14),"HABIL","NO HABIL"))</f>
        <v/>
      </c>
      <c r="W14" s="146"/>
      <c r="X14" s="142" t="str">
        <f>IF(OR(W10=0,N14="",R14=""),"",IF(W10&gt;=$X$7,"HABIL","NO HABIL"))</f>
        <v/>
      </c>
      <c r="Y14" s="147"/>
      <c r="Z14" s="142" t="str">
        <f>IF(OR(Y10=0,N14="",R14=""),"",IF(Y10&lt;=$Z$7,"HABIL","NO HABIL"))</f>
        <v/>
      </c>
      <c r="AA14" s="144">
        <v>0</v>
      </c>
      <c r="AB14" s="144"/>
      <c r="AC14" s="142" t="str">
        <f>IF(OR(AB10=0,N14="",R14=""),"",IF(AB10&gt;=$AC$7,"HABIL","NO HABIL"))</f>
        <v/>
      </c>
      <c r="AD14" s="148" t="str">
        <f t="shared" si="0"/>
        <v/>
      </c>
      <c r="AE14" s="93">
        <f t="shared" si="6"/>
        <v>0</v>
      </c>
      <c r="AF14" s="89" t="str">
        <f t="shared" si="7"/>
        <v>MIPYME</v>
      </c>
      <c r="AG14" s="149"/>
      <c r="AH14" s="142" t="str">
        <f>IF(OR(AG10=0,N14="",R14=""),"",IF(AG10&gt;=$AH$7,"HABIL","NO HABIL"))</f>
        <v/>
      </c>
      <c r="AI14" s="149"/>
      <c r="AJ14" s="142" t="str">
        <f>IF(OR(AI10=0,N14="",R14=""),"",IF(AI10&gt;=$AJ$7,"HABIL","NO HABIL"))</f>
        <v/>
      </c>
      <c r="AK14" s="129" t="str">
        <f t="shared" si="1"/>
        <v/>
      </c>
    </row>
    <row r="15" spans="1:37" ht="16.5" x14ac:dyDescent="0.25">
      <c r="B15" s="66" t="str">
        <f t="shared" si="2"/>
        <v/>
      </c>
      <c r="C15" s="122"/>
      <c r="D15" s="122"/>
      <c r="E15" s="120">
        <f>IF(ISERROR(VLOOKUP(C15,#REF!,2,0)),0,VLOOKUP(C15,#REF!,2,0))</f>
        <v>0</v>
      </c>
      <c r="F15" s="120">
        <f>IF(ISERROR(VLOOKUP(C15,#REF!,3,0)),0,VLOOKUP(C15,#REF!,3,0))</f>
        <v>0</v>
      </c>
      <c r="G15" s="120">
        <f>IF(ISERROR(VLOOKUP(C15,#REF!,4,0)),0,VLOOKUP(C15,#REF!,4,0))</f>
        <v>0</v>
      </c>
      <c r="H15" s="120">
        <f>IF(ISERROR(VLOOKUP(C15,#REF!,5,0)),0,VLOOKUP(C15,#REF!,5,0))</f>
        <v>0</v>
      </c>
      <c r="I15" s="120">
        <f t="shared" si="8"/>
        <v>0</v>
      </c>
      <c r="J15" s="120">
        <f t="shared" si="9"/>
        <v>0</v>
      </c>
      <c r="K15" s="120">
        <f t="shared" si="10"/>
        <v>0</v>
      </c>
      <c r="L15" s="120">
        <f>IF(ISERROR(VLOOKUP(C15,#REF!,6,0)),0,VLOOKUP(C15,#REF!,6,0))</f>
        <v>0</v>
      </c>
      <c r="M15" s="120">
        <f>IF(ISERROR(VLOOKUP(C15,#REF!,7,0)),0,VLOOKUP(C15,#REF!,7,0))</f>
        <v>0</v>
      </c>
      <c r="N15" s="117"/>
      <c r="O15" s="152" t="str">
        <f>IF(ISERROR(VLOOKUP(N15,POA!$A$2:$C$9,3,0)),"",VLOOKUP(N15,POA!$A$2:$C$9,3,0))</f>
        <v/>
      </c>
      <c r="P15" s="144"/>
      <c r="Q15" s="144" t="str">
        <f>IF(ISERROR(VLOOKUP(P15,POA!$A$2:$F$9,4,0)),"",VLOOKUP(P15,POA!$A$2:$F$9,4,0))</f>
        <v/>
      </c>
      <c r="R15" s="145" t="str">
        <f>IF(ISERROR(VLOOKUP(N15,POA!$A$2:$C$9,2,0)),"",VLOOKUP(N15,POA!$A$2:$C$9,2,0))</f>
        <v/>
      </c>
      <c r="S15" s="146"/>
      <c r="T15" s="142"/>
      <c r="U15" s="146"/>
      <c r="V15" s="142" t="str">
        <f>IF(OR(U10=0,N15="",R15=""),"",IF(U10&gt;=(0.1*R15),"HABIL","NO HABIL"))</f>
        <v/>
      </c>
      <c r="W15" s="146"/>
      <c r="X15" s="142" t="str">
        <f>IF(OR(W10=0,N15="",R15=""),"",IF(W10&gt;=$X$7,"HABIL","NO HABIL"))</f>
        <v/>
      </c>
      <c r="Y15" s="147"/>
      <c r="Z15" s="142" t="str">
        <f>IF(OR(Y10=0,N15="",R15=""),"",IF(Y10&lt;=$Z$7,"HABIL","NO HABIL"))</f>
        <v/>
      </c>
      <c r="AA15" s="144">
        <v>0</v>
      </c>
      <c r="AB15" s="144"/>
      <c r="AC15" s="142" t="str">
        <f>IF(OR(AB10=0,N15="",R15=""),"",IF(AB10&gt;=$AC$7,"HABIL","NO HABIL"))</f>
        <v/>
      </c>
      <c r="AD15" s="148" t="str">
        <f t="shared" si="0"/>
        <v/>
      </c>
      <c r="AE15" s="93">
        <f t="shared" si="6"/>
        <v>0</v>
      </c>
      <c r="AF15" s="89" t="str">
        <f t="shared" si="7"/>
        <v>MIPYME</v>
      </c>
      <c r="AG15" s="149"/>
      <c r="AH15" s="142" t="str">
        <f>IF(OR(AG10=0,N15="",R15=""),"",IF(AG10&gt;=$AH$7,"HABIL","NO HABIL"))</f>
        <v/>
      </c>
      <c r="AI15" s="149"/>
      <c r="AJ15" s="142" t="str">
        <f>IF(OR(AI10=0,N15="",R15=""),"",IF(AI10&gt;=$AJ$7,"HABIL","NO HABIL"))</f>
        <v/>
      </c>
      <c r="AK15" s="130" t="str">
        <f t="shared" si="1"/>
        <v/>
      </c>
    </row>
    <row r="16" spans="1:37" ht="18" customHeight="1" x14ac:dyDescent="0.25">
      <c r="B16" s="66" t="str">
        <f t="shared" si="2"/>
        <v/>
      </c>
      <c r="C16" s="122"/>
      <c r="D16" s="122"/>
      <c r="E16" s="120">
        <f>IF(ISERROR(VLOOKUP(C16,#REF!,2,0)),0,VLOOKUP(C16,#REF!,2,0))</f>
        <v>0</v>
      </c>
      <c r="F16" s="120">
        <f>IF(ISERROR(VLOOKUP(C16,#REF!,3,0)),0,VLOOKUP(C16,#REF!,3,0))</f>
        <v>0</v>
      </c>
      <c r="G16" s="120">
        <f>IF(ISERROR(VLOOKUP(C16,#REF!,4,0)),0,VLOOKUP(C16,#REF!,4,0))</f>
        <v>0</v>
      </c>
      <c r="H16" s="120">
        <f>IF(ISERROR(VLOOKUP(C16,#REF!,5,0)),0,VLOOKUP(C16,#REF!,5,0))</f>
        <v>0</v>
      </c>
      <c r="I16" s="120">
        <f t="shared" si="8"/>
        <v>0</v>
      </c>
      <c r="J16" s="120">
        <f t="shared" si="9"/>
        <v>0</v>
      </c>
      <c r="K16" s="120">
        <f t="shared" si="10"/>
        <v>0</v>
      </c>
      <c r="L16" s="120">
        <f>IF(ISERROR(VLOOKUP(C16,#REF!,6,0)),0,VLOOKUP(C16,#REF!,6,0))</f>
        <v>0</v>
      </c>
      <c r="M16" s="120">
        <f>IF(ISERROR(VLOOKUP(C16,#REF!,7,0)),0,VLOOKUP(C16,#REF!,7,0))</f>
        <v>0</v>
      </c>
      <c r="N16" s="117"/>
      <c r="O16" s="152" t="str">
        <f>IF(ISERROR(VLOOKUP(N16,POA!$A$2:$C$9,3,0)),"",VLOOKUP(N16,POA!$A$2:$C$9,3,0))</f>
        <v/>
      </c>
      <c r="P16" s="144"/>
      <c r="Q16" s="144" t="str">
        <f>IF(ISERROR(VLOOKUP(P16,POA!$A$2:$F$9,4,0)),"",VLOOKUP(P16,POA!$A$2:$F$9,4,0))</f>
        <v/>
      </c>
      <c r="R16" s="145" t="str">
        <f>IF(ISERROR(VLOOKUP(N16,POA!$A$2:$C$9,2,0)),"",VLOOKUP(N16,POA!$A$2:$C$9,2,0))</f>
        <v/>
      </c>
      <c r="S16" s="146"/>
      <c r="T16" s="142" t="str">
        <f>IF(OR(S10=0,N16="",R16=""),"",IF(S10&gt;=((R16/O16)),"HABIL","NO HABIL"))</f>
        <v/>
      </c>
      <c r="U16" s="146"/>
      <c r="V16" s="142" t="str">
        <f>IF(OR(U10=0,N16="",R16=""),"",IF(U10&gt;=(0.1*R16),"HABIL","NO HABIL"))</f>
        <v/>
      </c>
      <c r="W16" s="146"/>
      <c r="X16" s="142" t="str">
        <f>IF(OR(W10=0,N16="",R16=""),"",IF(W10&gt;=$X$7,"HABIL","NO HABIL"))</f>
        <v/>
      </c>
      <c r="Y16" s="147"/>
      <c r="Z16" s="142" t="str">
        <f>IF(OR(Y10=0,N16="",R16=""),"",IF(Y10&lt;=$Z$7,"HABIL","NO HABIL"))</f>
        <v/>
      </c>
      <c r="AA16" s="144">
        <v>0</v>
      </c>
      <c r="AB16" s="144"/>
      <c r="AC16" s="142" t="str">
        <f>IF(OR(AB10=0,N16="",R16=""),"",IF(AB10&gt;=$AC$7,"HABIL","NO HABIL"))</f>
        <v/>
      </c>
      <c r="AD16" s="148" t="str">
        <f t="shared" si="0"/>
        <v/>
      </c>
      <c r="AE16" s="93">
        <f t="shared" si="6"/>
        <v>0</v>
      </c>
      <c r="AF16" s="89" t="str">
        <f t="shared" si="7"/>
        <v>MIPYME</v>
      </c>
      <c r="AG16" s="149"/>
      <c r="AH16" s="142" t="str">
        <f>IF(OR(AG10=0,N16="",R16=""),"",IF(AG10&gt;=$AH$7,"HABIL","NO HABIL"))</f>
        <v/>
      </c>
      <c r="AI16" s="149"/>
      <c r="AJ16" s="142" t="str">
        <f>IF(OR(AI10=0,N16="",R16=""),"",IF(AI10&gt;=$AJ$7,"HABIL","NO HABIL"))</f>
        <v/>
      </c>
      <c r="AK16" s="129" t="str">
        <f t="shared" si="1"/>
        <v/>
      </c>
    </row>
    <row r="17" spans="2:37" ht="18" customHeight="1" x14ac:dyDescent="0.25">
      <c r="B17" s="66" t="str">
        <f>IF(C17="","",B16+0.1)</f>
        <v/>
      </c>
      <c r="C17" s="122"/>
      <c r="D17" s="122"/>
      <c r="E17" s="120">
        <f>IF(ISERROR(VLOOKUP(C17,#REF!,2,0)),0,VLOOKUP(C17,#REF!,2,0))</f>
        <v>0</v>
      </c>
      <c r="F17" s="120">
        <f>IF(ISERROR(VLOOKUP(C17,#REF!,3,0)),0,VLOOKUP(C17,#REF!,3,0))</f>
        <v>0</v>
      </c>
      <c r="G17" s="120">
        <f>IF(ISERROR(VLOOKUP(C17,#REF!,4,0)),0,VLOOKUP(C17,#REF!,4,0))</f>
        <v>0</v>
      </c>
      <c r="H17" s="120">
        <f>IF(ISERROR(VLOOKUP(C17,#REF!,5,0)),0,VLOOKUP(C17,#REF!,5,0))</f>
        <v>0</v>
      </c>
      <c r="I17" s="120">
        <f t="shared" si="8"/>
        <v>0</v>
      </c>
      <c r="J17" s="120">
        <f t="shared" si="9"/>
        <v>0</v>
      </c>
      <c r="K17" s="120">
        <f t="shared" si="10"/>
        <v>0</v>
      </c>
      <c r="L17" s="120">
        <f>IF(ISERROR(VLOOKUP(C17,#REF!,6,0)),0,VLOOKUP(C17,#REF!,6,0))</f>
        <v>0</v>
      </c>
      <c r="M17" s="120">
        <f>IF(ISERROR(VLOOKUP(C17,#REF!,7,0)),0,VLOOKUP(C17,#REF!,7,0))</f>
        <v>0</v>
      </c>
      <c r="N17" s="117"/>
      <c r="O17" s="152" t="str">
        <f>IF(ISERROR(VLOOKUP(N17,POA!$A$2:$C$9,3,0)),"",VLOOKUP(N17,POA!$A$2:$C$9,3,0))</f>
        <v/>
      </c>
      <c r="P17" s="144"/>
      <c r="Q17" s="144" t="str">
        <f>IF(ISERROR(VLOOKUP(P17,POA!$A$2:$F$9,4,0)),"",VLOOKUP(P17,POA!$A$2:$F$9,4,0))</f>
        <v/>
      </c>
      <c r="R17" s="145" t="str">
        <f>IF(ISERROR(VLOOKUP(N17,POA!$A$2:$C$9,2,0)),"",VLOOKUP(N17,POA!$A$2:$C$9,2,0))</f>
        <v/>
      </c>
      <c r="S17" s="146"/>
      <c r="T17" s="142" t="str">
        <f>IF(OR(S10=0,N17="",R17=""),"",IF(S10&gt;=((R17/O17)),"HABIL","NO HABIL"))</f>
        <v/>
      </c>
      <c r="U17" s="146"/>
      <c r="V17" s="142" t="str">
        <f>IF(OR(U10=0,N17="",R17=""),"",IF(U10&gt;=(0.1*R17),"HABIL","NO HABIL"))</f>
        <v/>
      </c>
      <c r="W17" s="146"/>
      <c r="X17" s="142" t="str">
        <f>IF(OR(W10=0,N17="",R17=""),"",IF(W10&gt;=$X$7,"HABIL","NO HABIL"))</f>
        <v/>
      </c>
      <c r="Y17" s="147"/>
      <c r="Z17" s="142" t="str">
        <f>IF(OR(Y10=0,N17="",R17=""),"",IF(Y10&lt;=$Z$7,"HABIL","NO HABIL"))</f>
        <v/>
      </c>
      <c r="AA17" s="144">
        <v>0</v>
      </c>
      <c r="AB17" s="144"/>
      <c r="AC17" s="142" t="str">
        <f>IF(OR(AB10=0,N17="",R17=""),"",IF(AB10&gt;=$AC$7,"HABIL","NO HABIL"))</f>
        <v/>
      </c>
      <c r="AD17" s="148" t="str">
        <f t="shared" si="0"/>
        <v/>
      </c>
      <c r="AE17" s="93">
        <f t="shared" si="6"/>
        <v>0</v>
      </c>
      <c r="AF17" s="89" t="str">
        <f t="shared" si="7"/>
        <v>MIPYME</v>
      </c>
      <c r="AG17" s="149"/>
      <c r="AH17" s="142" t="str">
        <f>IF(OR(AG10=0,N17="",R17=""),"",IF(AG10&gt;=$AH$7,"HABIL","NO HABIL"))</f>
        <v/>
      </c>
      <c r="AI17" s="149"/>
      <c r="AJ17" s="142" t="str">
        <f>IF(OR(AI10=0,N17="",R17=""),"",IF(AI10&gt;=$AJ$7,"HABIL","NO HABIL"))</f>
        <v/>
      </c>
      <c r="AK17" s="129" t="str">
        <f t="shared" si="1"/>
        <v/>
      </c>
    </row>
    <row r="18" spans="2:37" ht="18" customHeight="1" x14ac:dyDescent="0.25">
      <c r="B18" s="66" t="str">
        <f>IF(C18="","",B17+0.1)</f>
        <v/>
      </c>
      <c r="C18" s="122"/>
      <c r="D18" s="122"/>
      <c r="E18" s="120">
        <f>IF(ISERROR(VLOOKUP(C18,#REF!,2,0)),0,VLOOKUP(C18,#REF!,2,0))</f>
        <v>0</v>
      </c>
      <c r="F18" s="120">
        <f>IF(ISERROR(VLOOKUP(C18,#REF!,3,0)),0,VLOOKUP(C18,#REF!,3,0))</f>
        <v>0</v>
      </c>
      <c r="G18" s="120">
        <f>IF(ISERROR(VLOOKUP(C18,#REF!,4,0)),0,VLOOKUP(C18,#REF!,4,0))</f>
        <v>0</v>
      </c>
      <c r="H18" s="120">
        <f>IF(ISERROR(VLOOKUP(C18,#REF!,5,0)),0,VLOOKUP(C18,#REF!,5,0))</f>
        <v>0</v>
      </c>
      <c r="I18" s="120">
        <f t="shared" si="8"/>
        <v>0</v>
      </c>
      <c r="J18" s="120">
        <f t="shared" si="9"/>
        <v>0</v>
      </c>
      <c r="K18" s="120">
        <f t="shared" si="10"/>
        <v>0</v>
      </c>
      <c r="L18" s="120">
        <f>IF(ISERROR(VLOOKUP(C18,#REF!,6,0)),0,VLOOKUP(C18,#REF!,6,0))</f>
        <v>0</v>
      </c>
      <c r="M18" s="120">
        <f>IF(ISERROR(VLOOKUP(C18,#REF!,7,0)),0,VLOOKUP(C18,#REF!,7,0))</f>
        <v>0</v>
      </c>
      <c r="N18" s="117"/>
      <c r="O18" s="152" t="str">
        <f>IF(ISERROR(VLOOKUP(N18,POA!$A$2:$C$9,3,0)),"",VLOOKUP(N18,POA!$A$2:$C$9,3,0))</f>
        <v/>
      </c>
      <c r="P18" s="144"/>
      <c r="Q18" s="144" t="str">
        <f>IF(ISERROR(VLOOKUP(P18,POA!$A$2:$F$9,4,0)),"",VLOOKUP(P18,POA!$A$2:$F$9,4,0))</f>
        <v/>
      </c>
      <c r="R18" s="145" t="str">
        <f>IF(ISERROR(VLOOKUP(N18,POA!$A$2:$C$9,2,0)),"",VLOOKUP(N18,POA!$A$2:$C$9,2,0))</f>
        <v/>
      </c>
      <c r="S18" s="146"/>
      <c r="T18" s="142" t="str">
        <f>IF(OR(S10=0,N18="",R18=""),"",IF(S10&gt;=((R18/O18)),"HABIL","NO HABIL"))</f>
        <v/>
      </c>
      <c r="U18" s="146"/>
      <c r="V18" s="142" t="str">
        <f>IF(OR(U10=0,N18="",R18=""),"",IF(U10&gt;=(0.1*R18),"HABIL","NO HABIL"))</f>
        <v/>
      </c>
      <c r="W18" s="146"/>
      <c r="X18" s="142" t="str">
        <f>IF(OR(W10=0,N18="",R18=""),"",IF(W10&gt;=$X$7,"HABIL","NO HABIL"))</f>
        <v/>
      </c>
      <c r="Y18" s="147"/>
      <c r="Z18" s="142" t="str">
        <f>IF(OR(Y10=0,N18="",R18=""),"",IF(Y10&lt;=$Z$7,"HABIL","NO HABIL"))</f>
        <v/>
      </c>
      <c r="AA18" s="144">
        <v>0</v>
      </c>
      <c r="AB18" s="144"/>
      <c r="AC18" s="142" t="str">
        <f>IF(OR(AB10=0,N18="",R18=""),"",IF(AB10&gt;=$AC$7,"HABIL","NO HABIL"))</f>
        <v/>
      </c>
      <c r="AD18" s="148" t="str">
        <f t="shared" si="0"/>
        <v/>
      </c>
      <c r="AE18" s="93">
        <f t="shared" si="6"/>
        <v>0</v>
      </c>
      <c r="AF18" s="89" t="str">
        <f t="shared" si="7"/>
        <v>MIPYME</v>
      </c>
      <c r="AG18" s="149"/>
      <c r="AH18" s="142" t="str">
        <f>IF(OR(AG10=0,N18="",R18=""),"",IF(AG10&gt;=$AH$7,"HABIL","NO HABIL"))</f>
        <v/>
      </c>
      <c r="AI18" s="149"/>
      <c r="AJ18" s="142" t="str">
        <f>IF(OR(AI10=0,N18="",R18=""),"",IF(AI10&gt;=$AJ$7,"HABIL","NO HABIL"))</f>
        <v/>
      </c>
      <c r="AK18" s="130" t="str">
        <f t="shared" si="1"/>
        <v/>
      </c>
    </row>
    <row r="19" spans="2:37" ht="18" customHeight="1" x14ac:dyDescent="0.25">
      <c r="B19" s="66" t="str">
        <f>IF(C19="","",B18+0.1)</f>
        <v/>
      </c>
      <c r="C19" s="122"/>
      <c r="D19" s="122"/>
      <c r="E19" s="120">
        <f>IF(ISERROR(VLOOKUP(C19,#REF!,2,0)),0,VLOOKUP(C19,#REF!,2,0))</f>
        <v>0</v>
      </c>
      <c r="F19" s="120">
        <f>IF(ISERROR(VLOOKUP(C19,#REF!,3,0)),0,VLOOKUP(C19,#REF!,3,0))</f>
        <v>0</v>
      </c>
      <c r="G19" s="120">
        <f>IF(ISERROR(VLOOKUP(C19,#REF!,4,0)),0,VLOOKUP(C19,#REF!,4,0))</f>
        <v>0</v>
      </c>
      <c r="H19" s="120">
        <f>IF(ISERROR(VLOOKUP(C19,#REF!,5,0)),0,VLOOKUP(C19,#REF!,5,0))</f>
        <v>0</v>
      </c>
      <c r="I19" s="120">
        <f t="shared" si="8"/>
        <v>0</v>
      </c>
      <c r="J19" s="120">
        <f t="shared" si="9"/>
        <v>0</v>
      </c>
      <c r="K19" s="120">
        <f t="shared" si="10"/>
        <v>0</v>
      </c>
      <c r="L19" s="120">
        <f>IF(ISERROR(VLOOKUP(C19,#REF!,6,0)),0,VLOOKUP(C19,#REF!,6,0))</f>
        <v>0</v>
      </c>
      <c r="M19" s="120">
        <f>IF(ISERROR(VLOOKUP(C19,#REF!,7,0)),0,VLOOKUP(C19,#REF!,7,0))</f>
        <v>0</v>
      </c>
      <c r="N19" s="117"/>
      <c r="O19" s="152" t="str">
        <f>IF(ISERROR(VLOOKUP(N19,POA!$A$2:$C$9,3,0)),"",VLOOKUP(N19,POA!$A$2:$C$9,3,0))</f>
        <v/>
      </c>
      <c r="P19" s="144"/>
      <c r="Q19" s="144" t="str">
        <f>IF(ISERROR(VLOOKUP(P19,POA!$A$2:$F$9,4,0)),"",VLOOKUP(P19,POA!$A$2:$F$9,4,0))</f>
        <v/>
      </c>
      <c r="R19" s="145" t="str">
        <f>IF(ISERROR(VLOOKUP(N19,POA!$A$2:$C$9,2,0)),"",VLOOKUP(N19,POA!$A$2:$C$9,2,0))</f>
        <v/>
      </c>
      <c r="S19" s="146"/>
      <c r="T19" s="142" t="str">
        <f>IF(OR(S10=0,N19="",R19=""),"",IF(S10&gt;=((R19/O19)),"HABIL","NO HABIL"))</f>
        <v/>
      </c>
      <c r="U19" s="146"/>
      <c r="V19" s="142" t="str">
        <f>IF(OR(U10=0,N19="",R19=""),"",IF(U10&gt;=(0.1*R19),"HABIL","NO HABIL"))</f>
        <v/>
      </c>
      <c r="W19" s="146"/>
      <c r="X19" s="142" t="str">
        <f>IF(OR(W10=0,N19="",R19=""),"",IF(W10&gt;=$X$7,"HABIL","NO HABIL"))</f>
        <v/>
      </c>
      <c r="Y19" s="147"/>
      <c r="Z19" s="142" t="str">
        <f>IF(OR(Y10=0,N19="",R19=""),"",IF(Y10&lt;=$Z$7,"HABIL","NO HABIL"))</f>
        <v/>
      </c>
      <c r="AA19" s="144">
        <v>0</v>
      </c>
      <c r="AB19" s="144"/>
      <c r="AC19" s="142" t="str">
        <f>IF(OR(AB10=0,N19="",R19=""),"",IF(AB10&gt;=$AC$7,"HABIL","NO HABIL"))</f>
        <v/>
      </c>
      <c r="AD19" s="148" t="str">
        <f t="shared" si="0"/>
        <v/>
      </c>
      <c r="AE19" s="93">
        <f t="shared" si="6"/>
        <v>0</v>
      </c>
      <c r="AF19" s="89" t="str">
        <f t="shared" si="7"/>
        <v>MIPYME</v>
      </c>
      <c r="AG19" s="149"/>
      <c r="AH19" s="142" t="str">
        <f>IF(OR(AG10=0,N19="",R19=""),"",IF(AG10&gt;=$AH$7,"HABIL","NO HABIL"))</f>
        <v/>
      </c>
      <c r="AI19" s="149"/>
      <c r="AJ19" s="142" t="str">
        <f>IF(OR(AI10=0,N19="",R19=""),"",IF(AI10&gt;=$AJ$7,"HABIL","NO HABIL"))</f>
        <v/>
      </c>
      <c r="AK19" s="130" t="str">
        <f t="shared" si="1"/>
        <v/>
      </c>
    </row>
    <row r="20" spans="2:37" ht="18" customHeight="1" thickBot="1" x14ac:dyDescent="0.3">
      <c r="B20" s="78" t="str">
        <f>IF(C20="","",B19+0.1)</f>
        <v/>
      </c>
      <c r="C20" s="80"/>
      <c r="D20" s="80"/>
      <c r="E20" s="67">
        <f>IF(ISERROR(VLOOKUP(C20,#REF!,2,0)),0,VLOOKUP(C20,#REF!,2,0))</f>
        <v>0</v>
      </c>
      <c r="F20" s="67">
        <f>IF(ISERROR(VLOOKUP(C20,#REF!,3,0)),0,VLOOKUP(C20,#REF!,3,0))</f>
        <v>0</v>
      </c>
      <c r="G20" s="67">
        <f>IF(ISERROR(VLOOKUP(C20,#REF!,4,0)),0,VLOOKUP(C20,#REF!,4,0))</f>
        <v>0</v>
      </c>
      <c r="H20" s="67">
        <f>IF(ISERROR(VLOOKUP(C20,#REF!,5,0)),0,VLOOKUP(C20,#REF!,5,0))</f>
        <v>0</v>
      </c>
      <c r="I20" s="67">
        <f t="shared" si="8"/>
        <v>0</v>
      </c>
      <c r="J20" s="67">
        <f t="shared" si="9"/>
        <v>0</v>
      </c>
      <c r="K20" s="67">
        <f t="shared" si="10"/>
        <v>0</v>
      </c>
      <c r="L20" s="67">
        <f>IF(ISERROR(VLOOKUP(C20,#REF!,6,0)),0,VLOOKUP(C20,#REF!,6,0))</f>
        <v>0</v>
      </c>
      <c r="M20" s="67">
        <f>IF(ISERROR(VLOOKUP(C20,#REF!,7,0)),0,VLOOKUP(C20,#REF!,7,0))</f>
        <v>0</v>
      </c>
      <c r="N20" s="118"/>
      <c r="O20" s="153" t="str">
        <f>IF(ISERROR(VLOOKUP(N20,POA!$A$2:$C$9,3,0)),"",VLOOKUP(N20,POA!$A$2:$C$9,3,0))</f>
        <v/>
      </c>
      <c r="P20" s="75"/>
      <c r="Q20" s="75" t="str">
        <f>IF(ISERROR(VLOOKUP(P20,POA!$A$2:$F$9,4,0)),"",VLOOKUP(P20,POA!$A$2:$F$9,4,0))</f>
        <v/>
      </c>
      <c r="R20" s="70" t="str">
        <f>IF(ISERROR(VLOOKUP(N20,POA!$A$2:$C$9,2,0)),"",VLOOKUP(N20,POA!$A$2:$C$9,2,0))</f>
        <v/>
      </c>
      <c r="S20" s="77"/>
      <c r="T20" s="150" t="str">
        <f>IF(OR(S10=0,N20="",R20=""),"",IF(S10&gt;=((R20/O20)),"HABIL","NO HABIL"))</f>
        <v/>
      </c>
      <c r="U20" s="77"/>
      <c r="V20" s="76" t="str">
        <f>IF(OR(U10=0,N20="",R20=""),"",IF(U10&gt;=(0.1*R20),"HABIL","NO HABIL"))</f>
        <v/>
      </c>
      <c r="W20" s="77"/>
      <c r="X20" s="76" t="str">
        <f>IF(OR(W10=0,N20="",R20=""),"",IF(W10&gt;=$X$7,"HABIL","NO HABIL"))</f>
        <v/>
      </c>
      <c r="Y20" s="92"/>
      <c r="Z20" s="76" t="str">
        <f>IF(OR(Y10=0,N20="",R20=""),"",IF(Y10&lt;=$Z$7,"HABIL","NO HABIL"))</f>
        <v/>
      </c>
      <c r="AA20" s="75">
        <v>0</v>
      </c>
      <c r="AB20" s="75"/>
      <c r="AC20" s="76" t="str">
        <f>IF(OR(AB10=0,N20="",R20=""),"",IF(AB10&gt;=$AC$7,"HABIL","NO HABIL"))</f>
        <v/>
      </c>
      <c r="AD20" s="126" t="str">
        <f t="shared" si="0"/>
        <v/>
      </c>
      <c r="AE20" s="95">
        <f t="shared" si="6"/>
        <v>0</v>
      </c>
      <c r="AF20" s="90" t="str">
        <f t="shared" si="7"/>
        <v>MIPYME</v>
      </c>
      <c r="AG20" s="96"/>
      <c r="AH20" s="76" t="str">
        <f>IF(OR(AG10=0,N20="",R20=""),"",IF(AG10&gt;=$AH$7,"HABIL","NO HABIL"))</f>
        <v/>
      </c>
      <c r="AI20" s="96"/>
      <c r="AJ20" s="76" t="str">
        <f>IF(OR(AI10=0,N20="",R20=""),"",IF(AI10&gt;=$AJ$7,"HABIL","NO HABIL"))</f>
        <v/>
      </c>
      <c r="AK20" s="131" t="str">
        <f t="shared" si="1"/>
        <v/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8">
    <mergeCell ref="E5:R5"/>
    <mergeCell ref="B1:AD1"/>
    <mergeCell ref="B2:AK2"/>
    <mergeCell ref="B5:D5"/>
    <mergeCell ref="W5:X5"/>
    <mergeCell ref="Y5:Z5"/>
    <mergeCell ref="B3:AK3"/>
    <mergeCell ref="S5:T5"/>
    <mergeCell ref="U5:V5"/>
    <mergeCell ref="Q6:Q8"/>
    <mergeCell ref="N6:N8"/>
    <mergeCell ref="C6:C8"/>
    <mergeCell ref="J6:J8"/>
    <mergeCell ref="E6:E8"/>
    <mergeCell ref="B6:B8"/>
    <mergeCell ref="P6:P8"/>
    <mergeCell ref="AD6:AD8"/>
    <mergeCell ref="W6:X6"/>
    <mergeCell ref="Y6:Z6"/>
    <mergeCell ref="G6:G8"/>
    <mergeCell ref="AA6:AA8"/>
    <mergeCell ref="D6:D8"/>
    <mergeCell ref="F6:F8"/>
    <mergeCell ref="H6:H8"/>
    <mergeCell ref="I6:I8"/>
    <mergeCell ref="K6:K8"/>
    <mergeCell ref="S6:T6"/>
    <mergeCell ref="U6:V6"/>
    <mergeCell ref="R6:R8"/>
    <mergeCell ref="O6:O8"/>
    <mergeCell ref="AK6:AK8"/>
    <mergeCell ref="AB5:AC5"/>
    <mergeCell ref="AB6:AC6"/>
    <mergeCell ref="AG5:AH5"/>
    <mergeCell ref="AG6:AH6"/>
    <mergeCell ref="AE5:AF5"/>
    <mergeCell ref="AI5:AJ5"/>
    <mergeCell ref="AI6:AJ6"/>
  </mergeCells>
  <phoneticPr fontId="0" type="noConversion"/>
  <conditionalFormatting sqref="AD5:AD8 AE9 AE5:AE7 AF6:AF7 AE8:AF8 AK5:AK9 AG9:AJ9 AE1:AK1 J11:K20 AE10:AF20 AA10:AC20 W10:W20 C10:C20 N10:R20 AL1:JA9">
    <cfRule type="cellIs" dxfId="23" priority="23734" stopIfTrue="1" operator="equal">
      <formula>"NO ADMISIBLE"</formula>
    </cfRule>
  </conditionalFormatting>
  <conditionalFormatting sqref="AB10 AD10:AD20 X10:Z20">
    <cfRule type="cellIs" dxfId="22" priority="23735" stopIfTrue="1" operator="equal">
      <formula>"NO ADMISIBLE"</formula>
    </cfRule>
    <cfRule type="cellIs" dxfId="21" priority="23736" stopIfTrue="1" operator="equal">
      <formula>"ADMISIBLE"</formula>
    </cfRule>
  </conditionalFormatting>
  <conditionalFormatting sqref="AC10:AC20">
    <cfRule type="cellIs" dxfId="20" priority="22603" stopIfTrue="1" operator="equal">
      <formula>"NO ADMISIBLE"</formula>
    </cfRule>
    <cfRule type="cellIs" dxfId="19" priority="22604" stopIfTrue="1" operator="equal">
      <formula>"ADMISIBLE"</formula>
    </cfRule>
  </conditionalFormatting>
  <conditionalFormatting sqref="AG10:AH20">
    <cfRule type="cellIs" dxfId="18" priority="22602" stopIfTrue="1" operator="equal">
      <formula>"NO ADMISIBLE"</formula>
    </cfRule>
  </conditionalFormatting>
  <conditionalFormatting sqref="AG10">
    <cfRule type="cellIs" dxfId="17" priority="22600" stopIfTrue="1" operator="equal">
      <formula>"NO ADMISIBLE"</formula>
    </cfRule>
    <cfRule type="cellIs" dxfId="16" priority="22601" stopIfTrue="1" operator="equal">
      <formula>"ADMISIBLE"</formula>
    </cfRule>
  </conditionalFormatting>
  <conditionalFormatting sqref="AH10:AH20">
    <cfRule type="cellIs" dxfId="15" priority="22598" stopIfTrue="1" operator="equal">
      <formula>"NO ADMISIBLE"</formula>
    </cfRule>
    <cfRule type="cellIs" dxfId="14" priority="22599" stopIfTrue="1" operator="equal">
      <formula>"ADMISIBLE"</formula>
    </cfRule>
  </conditionalFormatting>
  <conditionalFormatting sqref="AI10:AJ20">
    <cfRule type="cellIs" dxfId="13" priority="22597" stopIfTrue="1" operator="equal">
      <formula>"NO ADMISIBLE"</formula>
    </cfRule>
  </conditionalFormatting>
  <conditionalFormatting sqref="AI10">
    <cfRule type="cellIs" dxfId="12" priority="22595" stopIfTrue="1" operator="equal">
      <formula>"NO ADMISIBLE"</formula>
    </cfRule>
    <cfRule type="cellIs" dxfId="11" priority="22596" stopIfTrue="1" operator="equal">
      <formula>"ADMISIBLE"</formula>
    </cfRule>
  </conditionalFormatting>
  <conditionalFormatting sqref="AJ10:AJ20">
    <cfRule type="cellIs" dxfId="10" priority="22593" stopIfTrue="1" operator="equal">
      <formula>"NO ADMISIBLE"</formula>
    </cfRule>
    <cfRule type="cellIs" dxfId="9" priority="22594" stopIfTrue="1" operator="equal">
      <formula>"ADMISIBLE"</formula>
    </cfRule>
  </conditionalFormatting>
  <conditionalFormatting sqref="AK10:AK20">
    <cfRule type="cellIs" dxfId="8" priority="22591" stopIfTrue="1" operator="equal">
      <formula>"NO ADMISIBLE"</formula>
    </cfRule>
    <cfRule type="cellIs" dxfId="7" priority="22592" stopIfTrue="1" operator="equal">
      <formula>"ADMISIBLE"</formula>
    </cfRule>
  </conditionalFormatting>
  <conditionalFormatting sqref="S10:S20">
    <cfRule type="cellIs" dxfId="6" priority="22588" stopIfTrue="1" operator="equal">
      <formula>"NO ADMISIBLE"</formula>
    </cfRule>
  </conditionalFormatting>
  <conditionalFormatting sqref="T10:T20">
    <cfRule type="cellIs" dxfId="5" priority="22589" stopIfTrue="1" operator="equal">
      <formula>"NO ADMISIBLE"</formula>
    </cfRule>
    <cfRule type="cellIs" dxfId="4" priority="22590" stopIfTrue="1" operator="equal">
      <formula>"ADMISIBLE"</formula>
    </cfRule>
  </conditionalFormatting>
  <conditionalFormatting sqref="U10:U20">
    <cfRule type="cellIs" dxfId="3" priority="22585" stopIfTrue="1" operator="equal">
      <formula>"NO ADMISIBLE"</formula>
    </cfRule>
  </conditionalFormatting>
  <conditionalFormatting sqref="V10:V20">
    <cfRule type="cellIs" dxfId="2" priority="22586" stopIfTrue="1" operator="equal">
      <formula>"NO ADMISIBLE"</formula>
    </cfRule>
    <cfRule type="cellIs" dxfId="1" priority="22587" stopIfTrue="1" operator="equal">
      <formula>"ADMISIBLE"</formula>
    </cfRule>
  </conditionalFormatting>
  <conditionalFormatting sqref="D10:D20">
    <cfRule type="cellIs" dxfId="0" priority="20743" stopIfTrue="1" operator="equal">
      <formula>"NO ADMISIBLE"</formula>
    </cfRule>
  </conditionalFormatting>
  <dataValidations count="1">
    <dataValidation type="list" allowBlank="1" showInputMessage="1" showErrorMessage="1" sqref="C10:D20" xr:uid="{00000000-0002-0000-02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2" customFormat="1" ht="15.75" x14ac:dyDescent="0.25">
      <c r="A1" s="12" t="s">
        <v>4</v>
      </c>
    </row>
    <row r="3" spans="1:2" ht="45" x14ac:dyDescent="0.2">
      <c r="A3" s="13" t="s">
        <v>5</v>
      </c>
      <c r="B3" s="14" t="s">
        <v>6</v>
      </c>
    </row>
    <row r="4" spans="1:2" s="16" customFormat="1" outlineLevel="2" x14ac:dyDescent="0.2">
      <c r="A4" s="15"/>
    </row>
    <row r="5" spans="1:2" s="19" customFormat="1" ht="13.5" outlineLevel="1" x14ac:dyDescent="0.2">
      <c r="A5" s="17" t="s">
        <v>111</v>
      </c>
      <c r="B5" s="18">
        <v>16097532669.306931</v>
      </c>
    </row>
    <row r="6" spans="1:2" s="19" customFormat="1" ht="13.5" outlineLevel="1" x14ac:dyDescent="0.2">
      <c r="A6" s="17" t="s">
        <v>112</v>
      </c>
      <c r="B6" s="18">
        <v>18724260670</v>
      </c>
    </row>
    <row r="7" spans="1:2" s="19" customFormat="1" ht="13.5" outlineLevel="1" x14ac:dyDescent="0.2">
      <c r="A7" s="17" t="s">
        <v>113</v>
      </c>
      <c r="B7" s="18">
        <v>15886461489</v>
      </c>
    </row>
    <row r="8" spans="1:2" s="19" customFormat="1" ht="13.5" outlineLevel="1" x14ac:dyDescent="0.2">
      <c r="A8" s="17" t="s">
        <v>114</v>
      </c>
      <c r="B8" s="18">
        <v>18533406621</v>
      </c>
    </row>
    <row r="9" spans="1:2" s="19" customFormat="1" ht="13.5" outlineLevel="1" x14ac:dyDescent="0.2">
      <c r="A9" s="17" t="s">
        <v>115</v>
      </c>
      <c r="B9" s="18">
        <v>14971945628</v>
      </c>
    </row>
    <row r="10" spans="1:2" s="19" customFormat="1" ht="13.5" outlineLevel="1" x14ac:dyDescent="0.2">
      <c r="A10" s="17" t="s">
        <v>116</v>
      </c>
      <c r="B10" s="18">
        <v>16484340849</v>
      </c>
    </row>
    <row r="11" spans="1:2" s="19" customFormat="1" ht="13.5" outlineLevel="1" x14ac:dyDescent="0.2">
      <c r="A11" s="17" t="s">
        <v>117</v>
      </c>
      <c r="B11" s="18">
        <v>16686919713.999998</v>
      </c>
    </row>
    <row r="12" spans="1:2" s="19" customFormat="1" ht="13.5" outlineLevel="1" x14ac:dyDescent="0.2">
      <c r="A12" s="17" t="s">
        <v>118</v>
      </c>
      <c r="B12" s="18">
        <v>11566305868</v>
      </c>
    </row>
    <row r="13" spans="1:2" s="19" customFormat="1" ht="13.5" outlineLevel="1" x14ac:dyDescent="0.2">
      <c r="A13" s="17" t="s">
        <v>119</v>
      </c>
      <c r="B13" s="18">
        <v>6300474910</v>
      </c>
    </row>
    <row r="14" spans="1:2" s="19" customFormat="1" ht="13.5" outlineLevel="1" x14ac:dyDescent="0.2">
      <c r="A14" s="17" t="s">
        <v>7</v>
      </c>
      <c r="B14" s="18">
        <v>1428162158.4158416</v>
      </c>
    </row>
    <row r="15" spans="1:2" s="19" customFormat="1" ht="13.5" outlineLevel="1" x14ac:dyDescent="0.2">
      <c r="A15" s="17" t="s">
        <v>8</v>
      </c>
      <c r="B15" s="18">
        <v>1292851961.3861387</v>
      </c>
    </row>
    <row r="16" spans="1:2" s="19" customFormat="1" ht="13.5" outlineLevel="1" x14ac:dyDescent="0.2">
      <c r="A16" s="17" t="s">
        <v>9</v>
      </c>
      <c r="B16" s="36">
        <v>14200237260</v>
      </c>
    </row>
    <row r="17" spans="1:2" s="19" customFormat="1" ht="13.5" outlineLevel="1" x14ac:dyDescent="0.2">
      <c r="A17" s="17" t="s">
        <v>10</v>
      </c>
      <c r="B17" s="18">
        <v>14388115033</v>
      </c>
    </row>
    <row r="18" spans="1:2" s="19" customFormat="1" ht="13.5" outlineLevel="1" x14ac:dyDescent="0.2">
      <c r="A18" s="17" t="s">
        <v>11</v>
      </c>
      <c r="B18" s="18">
        <v>7076050599</v>
      </c>
    </row>
    <row r="19" spans="1:2" s="19" customFormat="1" ht="13.5" outlineLevel="1" x14ac:dyDescent="0.2">
      <c r="A19" s="17" t="s">
        <v>12</v>
      </c>
      <c r="B19" s="18">
        <v>20893814942</v>
      </c>
    </row>
    <row r="20" spans="1:2" s="19" customFormat="1" ht="13.5" outlineLevel="1" x14ac:dyDescent="0.2">
      <c r="A20" s="17" t="s">
        <v>13</v>
      </c>
      <c r="B20" s="36">
        <v>8810989120</v>
      </c>
    </row>
    <row r="21" spans="1:2" s="19" customFormat="1" ht="13.5" outlineLevel="1" x14ac:dyDescent="0.2">
      <c r="A21" s="17" t="s">
        <v>14</v>
      </c>
      <c r="B21" s="18">
        <v>5818381842</v>
      </c>
    </row>
    <row r="22" spans="1:2" s="19" customFormat="1" ht="13.5" outlineLevel="1" x14ac:dyDescent="0.2">
      <c r="A22" s="17" t="s">
        <v>15</v>
      </c>
      <c r="B22" s="18">
        <v>9650261634</v>
      </c>
    </row>
    <row r="23" spans="1:2" s="19" customFormat="1" ht="13.5" outlineLevel="1" x14ac:dyDescent="0.2">
      <c r="A23" s="17" t="s">
        <v>16</v>
      </c>
      <c r="B23" s="18">
        <v>5385776414</v>
      </c>
    </row>
    <row r="24" spans="1:2" s="19" customFormat="1" ht="13.5" outlineLevel="1" x14ac:dyDescent="0.2">
      <c r="A24" s="17" t="s">
        <v>17</v>
      </c>
      <c r="B24" s="18">
        <v>5759505844</v>
      </c>
    </row>
    <row r="25" spans="1:2" s="19" customFormat="1" ht="13.5" outlineLevel="1" x14ac:dyDescent="0.2">
      <c r="A25" s="17" t="s">
        <v>18</v>
      </c>
      <c r="B25" s="18">
        <v>11365045650</v>
      </c>
    </row>
    <row r="26" spans="1:2" s="19" customFormat="1" ht="13.5" outlineLevel="1" x14ac:dyDescent="0.2">
      <c r="A26" s="17" t="s">
        <v>19</v>
      </c>
      <c r="B26" s="18">
        <v>15652530637</v>
      </c>
    </row>
    <row r="27" spans="1:2" s="19" customFormat="1" ht="13.5" outlineLevel="1" x14ac:dyDescent="0.2">
      <c r="A27" s="17" t="s">
        <v>20</v>
      </c>
      <c r="B27" s="18">
        <v>5772808797</v>
      </c>
    </row>
    <row r="28" spans="1:2" s="19" customFormat="1" ht="13.5" outlineLevel="1" x14ac:dyDescent="0.2">
      <c r="A28" s="17" t="s">
        <v>21</v>
      </c>
      <c r="B28" s="18">
        <v>7512106130</v>
      </c>
    </row>
    <row r="29" spans="1:2" s="19" customFormat="1" ht="13.5" outlineLevel="1" x14ac:dyDescent="0.2">
      <c r="A29" s="17" t="s">
        <v>22</v>
      </c>
      <c r="B29" s="18">
        <v>9347559589</v>
      </c>
    </row>
    <row r="30" spans="1:2" s="19" customFormat="1" ht="13.5" outlineLevel="1" x14ac:dyDescent="0.2">
      <c r="A30" s="17" t="s">
        <v>23</v>
      </c>
      <c r="B30" s="18">
        <v>19825977010</v>
      </c>
    </row>
    <row r="31" spans="1:2" s="19" customFormat="1" ht="13.5" outlineLevel="1" x14ac:dyDescent="0.2">
      <c r="A31" s="17" t="s">
        <v>24</v>
      </c>
      <c r="B31" s="18">
        <v>9200191515</v>
      </c>
    </row>
    <row r="32" spans="1:2" s="19" customFormat="1" ht="13.5" outlineLevel="1" x14ac:dyDescent="0.2">
      <c r="A32" s="17" t="s">
        <v>25</v>
      </c>
      <c r="B32" s="18">
        <v>18743806542</v>
      </c>
    </row>
    <row r="33" spans="1:2" s="19" customFormat="1" ht="13.5" outlineLevel="1" x14ac:dyDescent="0.2">
      <c r="A33" s="17" t="s">
        <v>26</v>
      </c>
      <c r="B33" s="18">
        <v>12488203547</v>
      </c>
    </row>
    <row r="34" spans="1:2" s="19" customFormat="1" ht="13.5" outlineLevel="1" x14ac:dyDescent="0.2">
      <c r="A34" s="17" t="s">
        <v>27</v>
      </c>
      <c r="B34" s="18">
        <v>12337277639</v>
      </c>
    </row>
    <row r="35" spans="1:2" s="19" customFormat="1" ht="13.5" outlineLevel="1" x14ac:dyDescent="0.2">
      <c r="A35" s="17" t="s">
        <v>28</v>
      </c>
      <c r="B35" s="18">
        <v>16198497482.999998</v>
      </c>
    </row>
    <row r="36" spans="1:2" s="19" customFormat="1" ht="13.5" outlineLevel="1" x14ac:dyDescent="0.2">
      <c r="A36" s="17" t="s">
        <v>29</v>
      </c>
      <c r="B36" s="18">
        <v>17764576319</v>
      </c>
    </row>
    <row r="37" spans="1:2" s="19" customFormat="1" ht="13.5" outlineLevel="1" x14ac:dyDescent="0.2">
      <c r="A37" s="17" t="s">
        <v>30</v>
      </c>
      <c r="B37" s="18">
        <v>22882731815</v>
      </c>
    </row>
    <row r="38" spans="1:2" s="19" customFormat="1" ht="13.5" outlineLevel="1" x14ac:dyDescent="0.2">
      <c r="A38" s="17" t="s">
        <v>31</v>
      </c>
      <c r="B38" s="18">
        <v>7383905477</v>
      </c>
    </row>
    <row r="39" spans="1:2" s="19" customFormat="1" ht="13.5" outlineLevel="1" x14ac:dyDescent="0.2">
      <c r="A39" s="17" t="s">
        <v>32</v>
      </c>
      <c r="B39" s="18">
        <v>12423743774</v>
      </c>
    </row>
    <row r="40" spans="1:2" s="19" customFormat="1" ht="13.5" outlineLevel="1" x14ac:dyDescent="0.2">
      <c r="A40" s="17" t="s">
        <v>33</v>
      </c>
      <c r="B40" s="18">
        <v>14187262851</v>
      </c>
    </row>
    <row r="41" spans="1:2" s="19" customFormat="1" ht="13.5" outlineLevel="1" x14ac:dyDescent="0.2">
      <c r="A41" s="17" t="s">
        <v>34</v>
      </c>
      <c r="B41" s="18">
        <v>9099377756</v>
      </c>
    </row>
    <row r="42" spans="1:2" s="19" customFormat="1" ht="13.5" outlineLevel="1" x14ac:dyDescent="0.2">
      <c r="A42" s="17" t="s">
        <v>35</v>
      </c>
      <c r="B42" s="18">
        <v>7416098511</v>
      </c>
    </row>
    <row r="43" spans="1:2" s="19" customFormat="1" ht="13.5" outlineLevel="1" x14ac:dyDescent="0.2">
      <c r="A43" s="17" t="s">
        <v>36</v>
      </c>
      <c r="B43" s="18">
        <v>16654736652</v>
      </c>
    </row>
    <row r="44" spans="1:2" s="19" customFormat="1" ht="13.5" outlineLevel="1" x14ac:dyDescent="0.2">
      <c r="A44" s="17" t="s">
        <v>37</v>
      </c>
      <c r="B44" s="18">
        <v>12006016561</v>
      </c>
    </row>
    <row r="45" spans="1:2" s="19" customFormat="1" ht="13.5" outlineLevel="1" x14ac:dyDescent="0.2">
      <c r="A45" s="17" t="s">
        <v>38</v>
      </c>
      <c r="B45" s="18">
        <v>14602426835</v>
      </c>
    </row>
    <row r="46" spans="1:2" s="19" customFormat="1" ht="13.5" outlineLevel="1" x14ac:dyDescent="0.2">
      <c r="A46" s="17" t="s">
        <v>39</v>
      </c>
      <c r="B46" s="18">
        <v>16600395825</v>
      </c>
    </row>
    <row r="47" spans="1:2" s="19" customFormat="1" ht="13.5" outlineLevel="1" x14ac:dyDescent="0.2">
      <c r="A47" s="17" t="s">
        <v>40</v>
      </c>
      <c r="B47" s="18">
        <v>9490692823</v>
      </c>
    </row>
    <row r="48" spans="1:2" s="19" customFormat="1" ht="13.5" outlineLevel="1" x14ac:dyDescent="0.2">
      <c r="A48" s="17" t="s">
        <v>41</v>
      </c>
      <c r="B48" s="18">
        <v>14966356774</v>
      </c>
    </row>
    <row r="49" spans="1:2" s="19" customFormat="1" ht="13.5" outlineLevel="1" x14ac:dyDescent="0.2">
      <c r="A49" s="17" t="s">
        <v>42</v>
      </c>
      <c r="B49" s="18">
        <v>16628059484</v>
      </c>
    </row>
    <row r="50" spans="1:2" s="19" customFormat="1" ht="13.5" outlineLevel="1" x14ac:dyDescent="0.2">
      <c r="A50" s="17" t="s">
        <v>43</v>
      </c>
      <c r="B50" s="18">
        <v>11545020876</v>
      </c>
    </row>
    <row r="51" spans="1:2" s="19" customFormat="1" ht="13.5" outlineLevel="1" x14ac:dyDescent="0.2">
      <c r="A51" s="17" t="s">
        <v>44</v>
      </c>
      <c r="B51" s="18">
        <v>11069859631</v>
      </c>
    </row>
    <row r="52" spans="1:2" s="19" customFormat="1" ht="13.5" outlineLevel="1" x14ac:dyDescent="0.2">
      <c r="A52" s="17" t="s">
        <v>45</v>
      </c>
      <c r="B52" s="18">
        <v>16462254401</v>
      </c>
    </row>
    <row r="53" spans="1:2" s="19" customFormat="1" ht="13.5" outlineLevel="1" x14ac:dyDescent="0.2">
      <c r="A53" s="17" t="s">
        <v>46</v>
      </c>
      <c r="B53" s="18">
        <v>29122451003</v>
      </c>
    </row>
    <row r="54" spans="1:2" s="19" customFormat="1" ht="13.5" outlineLevel="1" x14ac:dyDescent="0.2">
      <c r="A54" s="17" t="s">
        <v>47</v>
      </c>
      <c r="B54" s="18">
        <v>19110837484</v>
      </c>
    </row>
    <row r="55" spans="1:2" s="19" customFormat="1" ht="13.5" outlineLevel="1" x14ac:dyDescent="0.2">
      <c r="A55" s="17" t="s">
        <v>48</v>
      </c>
      <c r="B55" s="18">
        <v>14355039068</v>
      </c>
    </row>
    <row r="56" spans="1:2" s="19" customFormat="1" ht="13.5" outlineLevel="1" x14ac:dyDescent="0.2">
      <c r="A56" s="17" t="s">
        <v>49</v>
      </c>
      <c r="B56" s="18">
        <v>10742553232</v>
      </c>
    </row>
    <row r="57" spans="1:2" s="19" customFormat="1" ht="13.5" outlineLevel="1" x14ac:dyDescent="0.2">
      <c r="A57" s="17" t="s">
        <v>50</v>
      </c>
      <c r="B57" s="18">
        <v>12944688820</v>
      </c>
    </row>
    <row r="58" spans="1:2" s="19" customFormat="1" ht="13.5" outlineLevel="1" x14ac:dyDescent="0.2">
      <c r="A58" s="17" t="s">
        <v>51</v>
      </c>
      <c r="B58" s="18">
        <v>11689433662</v>
      </c>
    </row>
    <row r="59" spans="1:2" s="19" customFormat="1" ht="13.5" outlineLevel="1" x14ac:dyDescent="0.2">
      <c r="A59" s="17" t="s">
        <v>52</v>
      </c>
      <c r="B59" s="18">
        <v>11397659254</v>
      </c>
    </row>
    <row r="60" spans="1:2" s="19" customFormat="1" ht="13.5" outlineLevel="1" x14ac:dyDescent="0.2">
      <c r="A60" s="17" t="s">
        <v>53</v>
      </c>
      <c r="B60" s="18">
        <v>16236395384</v>
      </c>
    </row>
    <row r="61" spans="1:2" s="19" customFormat="1" ht="13.5" outlineLevel="1" x14ac:dyDescent="0.2">
      <c r="A61" s="17" t="s">
        <v>54</v>
      </c>
      <c r="B61" s="18">
        <v>6151462908.9075203</v>
      </c>
    </row>
    <row r="62" spans="1:2" s="19" customFormat="1" ht="13.5" outlineLevel="1" x14ac:dyDescent="0.2">
      <c r="A62" s="17" t="s">
        <v>55</v>
      </c>
      <c r="B62" s="18">
        <v>24188206629</v>
      </c>
    </row>
    <row r="63" spans="1:2" s="19" customFormat="1" ht="13.5" outlineLevel="1" x14ac:dyDescent="0.2">
      <c r="A63" s="17" t="s">
        <v>56</v>
      </c>
      <c r="B63" s="18">
        <v>22229863427</v>
      </c>
    </row>
    <row r="64" spans="1:2" s="19" customFormat="1" ht="13.5" outlineLevel="1" x14ac:dyDescent="0.2">
      <c r="A64" s="17" t="s">
        <v>57</v>
      </c>
      <c r="B64" s="18">
        <v>23200278421</v>
      </c>
    </row>
    <row r="65" spans="1:2" s="19" customFormat="1" ht="13.5" outlineLevel="1" x14ac:dyDescent="0.2">
      <c r="A65" s="17" t="s">
        <v>58</v>
      </c>
      <c r="B65" s="18">
        <v>33729146012</v>
      </c>
    </row>
    <row r="66" spans="1:2" s="19" customFormat="1" ht="13.5" outlineLevel="1" x14ac:dyDescent="0.2">
      <c r="A66" s="17" t="s">
        <v>59</v>
      </c>
      <c r="B66" s="18">
        <v>25741331764</v>
      </c>
    </row>
    <row r="67" spans="1:2" s="19" customFormat="1" ht="13.5" outlineLevel="1" x14ac:dyDescent="0.2">
      <c r="A67" s="17" t="s">
        <v>60</v>
      </c>
      <c r="B67" s="18">
        <v>10895316694.06304</v>
      </c>
    </row>
    <row r="68" spans="1:2" s="19" customFormat="1" ht="13.5" outlineLevel="1" x14ac:dyDescent="0.2">
      <c r="A68" s="17" t="s">
        <v>61</v>
      </c>
      <c r="B68" s="18">
        <v>15574902572</v>
      </c>
    </row>
    <row r="69" spans="1:2" s="16" customFormat="1" ht="13.5" outlineLevel="1" x14ac:dyDescent="0.2">
      <c r="A69" s="17" t="s">
        <v>62</v>
      </c>
      <c r="B69" s="18">
        <v>11085498362</v>
      </c>
    </row>
    <row r="70" spans="1:2" s="19" customFormat="1" ht="13.5" outlineLevel="1" x14ac:dyDescent="0.2">
      <c r="A70" s="17" t="s">
        <v>63</v>
      </c>
      <c r="B70" s="18">
        <v>15569378930</v>
      </c>
    </row>
    <row r="71" spans="1:2" s="19" customFormat="1" ht="13.5" outlineLevel="1" x14ac:dyDescent="0.2">
      <c r="A71" s="17" t="s">
        <v>64</v>
      </c>
      <c r="B71" s="18">
        <v>19872456988.21376</v>
      </c>
    </row>
    <row r="72" spans="1:2" s="19" customFormat="1" ht="13.5" outlineLevel="1" x14ac:dyDescent="0.2">
      <c r="A72" s="17" t="s">
        <v>65</v>
      </c>
      <c r="B72" s="18">
        <v>9279916346</v>
      </c>
    </row>
    <row r="73" spans="1:2" s="19" customFormat="1" ht="13.5" outlineLevel="1" x14ac:dyDescent="0.2">
      <c r="A73" s="17" t="s">
        <v>66</v>
      </c>
      <c r="B73" s="18">
        <v>11879598172</v>
      </c>
    </row>
    <row r="74" spans="1:2" s="19" customFormat="1" ht="13.5" outlineLevel="1" x14ac:dyDescent="0.2">
      <c r="A74" s="17" t="s">
        <v>67</v>
      </c>
      <c r="B74" s="18">
        <v>14944234555</v>
      </c>
    </row>
    <row r="75" spans="1:2" s="19" customFormat="1" ht="13.5" outlineLevel="1" x14ac:dyDescent="0.2">
      <c r="A75" s="17" t="s">
        <v>68</v>
      </c>
      <c r="B75" s="18">
        <v>8486287813</v>
      </c>
    </row>
    <row r="76" spans="1:2" s="19" customFormat="1" ht="13.5" outlineLevel="1" x14ac:dyDescent="0.2">
      <c r="A76" s="17" t="s">
        <v>69</v>
      </c>
      <c r="B76" s="18">
        <v>7048832262</v>
      </c>
    </row>
    <row r="77" spans="1:2" s="19" customFormat="1" ht="13.5" outlineLevel="1" x14ac:dyDescent="0.2">
      <c r="A77" s="17" t="s">
        <v>70</v>
      </c>
      <c r="B77" s="18">
        <v>5348779190</v>
      </c>
    </row>
    <row r="78" spans="1:2" s="19" customFormat="1" ht="13.5" outlineLevel="1" x14ac:dyDescent="0.2">
      <c r="A78" s="17" t="s">
        <v>71</v>
      </c>
      <c r="B78" s="18">
        <v>5466387046</v>
      </c>
    </row>
    <row r="79" spans="1:2" s="19" customFormat="1" ht="13.5" outlineLevel="1" x14ac:dyDescent="0.2">
      <c r="A79" s="17" t="s">
        <v>72</v>
      </c>
      <c r="B79" s="18">
        <v>16518448889</v>
      </c>
    </row>
    <row r="80" spans="1:2" s="19" customFormat="1" ht="13.5" outlineLevel="1" x14ac:dyDescent="0.2">
      <c r="A80" s="17" t="s">
        <v>73</v>
      </c>
      <c r="B80" s="18">
        <v>8675202615</v>
      </c>
    </row>
    <row r="81" spans="1:2" s="19" customFormat="1" ht="13.5" outlineLevel="1" x14ac:dyDescent="0.2">
      <c r="A81" s="17" t="s">
        <v>74</v>
      </c>
      <c r="B81" s="18">
        <v>16760013498</v>
      </c>
    </row>
    <row r="82" spans="1:2" s="19" customFormat="1" ht="13.5" outlineLevel="1" x14ac:dyDescent="0.2">
      <c r="A82" s="17" t="s">
        <v>75</v>
      </c>
      <c r="B82" s="18">
        <v>12438755743</v>
      </c>
    </row>
    <row r="83" spans="1:2" s="19" customFormat="1" ht="13.5" outlineLevel="1" x14ac:dyDescent="0.2">
      <c r="A83" s="17" t="s">
        <v>76</v>
      </c>
      <c r="B83" s="18">
        <v>14593425402</v>
      </c>
    </row>
    <row r="84" spans="1:2" s="19" customFormat="1" ht="13.5" outlineLevel="1" x14ac:dyDescent="0.2">
      <c r="A84" s="17" t="s">
        <v>77</v>
      </c>
      <c r="B84" s="18">
        <v>6689468251</v>
      </c>
    </row>
    <row r="85" spans="1:2" s="19" customFormat="1" ht="13.5" outlineLevel="1" x14ac:dyDescent="0.2">
      <c r="A85" s="17" t="s">
        <v>78</v>
      </c>
      <c r="B85" s="18">
        <v>8186369892</v>
      </c>
    </row>
    <row r="86" spans="1:2" s="19" customFormat="1" ht="13.5" outlineLevel="1" x14ac:dyDescent="0.2">
      <c r="A86" s="17" t="s">
        <v>79</v>
      </c>
      <c r="B86" s="18">
        <v>28561249598</v>
      </c>
    </row>
    <row r="87" spans="1:2" s="19" customFormat="1" ht="13.5" outlineLevel="1" x14ac:dyDescent="0.2">
      <c r="A87" s="17" t="s">
        <v>80</v>
      </c>
      <c r="B87" s="18">
        <v>34980509996</v>
      </c>
    </row>
    <row r="88" spans="1:2" s="19" customFormat="1" ht="13.5" outlineLevel="1" x14ac:dyDescent="0.2">
      <c r="A88" s="17" t="s">
        <v>81</v>
      </c>
      <c r="B88" s="18">
        <v>6950846586</v>
      </c>
    </row>
    <row r="89" spans="1:2" s="19" customFormat="1" ht="13.5" outlineLevel="1" x14ac:dyDescent="0.2">
      <c r="A89" s="17" t="s">
        <v>82</v>
      </c>
      <c r="B89" s="18">
        <v>11116163961</v>
      </c>
    </row>
    <row r="90" spans="1:2" s="19" customFormat="1" ht="13.5" outlineLevel="1" x14ac:dyDescent="0.2">
      <c r="A90" s="17" t="s">
        <v>83</v>
      </c>
      <c r="B90" s="18">
        <v>21274070645</v>
      </c>
    </row>
    <row r="91" spans="1:2" s="19" customFormat="1" ht="13.5" outlineLevel="1" x14ac:dyDescent="0.2">
      <c r="A91" s="17" t="s">
        <v>84</v>
      </c>
      <c r="B91" s="18">
        <v>2826770201</v>
      </c>
    </row>
    <row r="92" spans="1:2" s="19" customFormat="1" ht="13.5" outlineLevel="1" x14ac:dyDescent="0.2">
      <c r="A92" s="17" t="s">
        <v>85</v>
      </c>
      <c r="B92" s="18">
        <v>4775546619</v>
      </c>
    </row>
    <row r="93" spans="1:2" s="19" customFormat="1" ht="13.5" outlineLevel="1" x14ac:dyDescent="0.2">
      <c r="A93" s="17" t="s">
        <v>86</v>
      </c>
      <c r="B93" s="18">
        <v>23755514236</v>
      </c>
    </row>
    <row r="94" spans="1:2" s="19" customFormat="1" ht="13.5" outlineLevel="1" x14ac:dyDescent="0.2">
      <c r="A94" s="17" t="s">
        <v>87</v>
      </c>
      <c r="B94" s="18">
        <v>22463613073</v>
      </c>
    </row>
    <row r="95" spans="1:2" s="19" customFormat="1" ht="13.5" outlineLevel="1" x14ac:dyDescent="0.2">
      <c r="A95" s="17" t="s">
        <v>88</v>
      </c>
      <c r="B95" s="18">
        <v>20949816946</v>
      </c>
    </row>
    <row r="96" spans="1:2" s="19" customFormat="1" ht="13.5" outlineLevel="1" x14ac:dyDescent="0.2">
      <c r="A96" s="17" t="s">
        <v>89</v>
      </c>
      <c r="B96" s="18">
        <v>14104036918</v>
      </c>
    </row>
    <row r="97" spans="1:2" s="19" customFormat="1" ht="13.5" outlineLevel="1" x14ac:dyDescent="0.2">
      <c r="A97" s="17" t="s">
        <v>90</v>
      </c>
      <c r="B97" s="18">
        <v>1396272140.5940592</v>
      </c>
    </row>
    <row r="98" spans="1:2" s="19" customFormat="1" ht="13.5" outlineLevel="1" x14ac:dyDescent="0.2">
      <c r="A98" s="17" t="s">
        <v>91</v>
      </c>
      <c r="B98" s="18">
        <v>1211346171.2871287</v>
      </c>
    </row>
    <row r="99" spans="1:2" s="19" customFormat="1" ht="13.5" outlineLevel="1" x14ac:dyDescent="0.2">
      <c r="A99" s="17" t="s">
        <v>92</v>
      </c>
      <c r="B99" s="18">
        <v>1239693623.7623763</v>
      </c>
    </row>
    <row r="100" spans="1:2" s="19" customFormat="1" ht="13.5" outlineLevel="1" x14ac:dyDescent="0.2">
      <c r="A100" s="17" t="s">
        <v>93</v>
      </c>
      <c r="B100" s="18">
        <v>1625508018.1759996</v>
      </c>
    </row>
    <row r="101" spans="1:2" s="16" customFormat="1" ht="13.5" outlineLevel="1" x14ac:dyDescent="0.2">
      <c r="A101" s="17"/>
      <c r="B101" s="20">
        <f>SUM(B4:B100)</f>
        <v>1276966895152.1125</v>
      </c>
    </row>
    <row r="103" spans="1:2" x14ac:dyDescent="0.2">
      <c r="B103" s="24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Verificaciones</vt:lpstr>
      <vt:lpstr>POA</vt:lpstr>
      <vt:lpstr>Cap Finan y Organiz</vt:lpstr>
      <vt:lpstr>PO</vt:lpstr>
      <vt:lpstr>AnticipoM1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Administrador</cp:lastModifiedBy>
  <cp:lastPrinted>2016-04-11T19:28:20Z</cp:lastPrinted>
  <dcterms:created xsi:type="dcterms:W3CDTF">2005-03-19T14:11:58Z</dcterms:created>
  <dcterms:modified xsi:type="dcterms:W3CDTF">2024-12-19T17:41:44Z</dcterms:modified>
</cp:coreProperties>
</file>