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SAMPUES\"/>
    </mc:Choice>
  </mc:AlternateContent>
  <xr:revisionPtr revIDLastSave="0" documentId="13_ncr:1_{98548054-A30A-42FB-A9A7-432B0807D02E}" xr6:coauthVersionLast="47" xr6:coauthVersionMax="47" xr10:uidLastSave="{00000000-0000-0000-0000-000000000000}"/>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M88" i="4"/>
  <c r="N88" i="4" s="1"/>
  <c r="L81" i="4"/>
  <c r="M81" i="4" s="1"/>
  <c r="K81" i="4"/>
  <c r="J81" i="4"/>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E120" i="2"/>
  <c r="Q120" i="2" s="1"/>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R45" i="2"/>
  <c r="R44" i="2"/>
  <c r="R43" i="2"/>
  <c r="Q43" i="2"/>
  <c r="O43" i="2"/>
  <c r="E108" i="2" s="1"/>
  <c r="Q108" i="2" s="1"/>
  <c r="E28" i="2"/>
  <c r="K25" i="2"/>
  <c r="D94" i="2" s="1"/>
  <c r="Q94" i="2" s="1"/>
  <c r="J25" i="2"/>
  <c r="N24" i="2"/>
  <c r="I24" i="2"/>
  <c r="C24" i="2" s="1"/>
  <c r="N23" i="2"/>
  <c r="N22" i="2"/>
  <c r="I22" i="2"/>
  <c r="C22" i="2" s="1"/>
  <c r="N21" i="2"/>
  <c r="I21" i="2"/>
  <c r="C21" i="2" s="1"/>
  <c r="N20" i="2"/>
  <c r="I20" i="2"/>
  <c r="A20" i="2" s="1"/>
  <c r="N19" i="2"/>
  <c r="I19" i="2"/>
  <c r="C19" i="2" s="1"/>
  <c r="N15" i="2"/>
  <c r="K49" i="4" s="1" a="1"/>
  <c r="K49" i="4" s="1"/>
  <c r="F15" i="2"/>
  <c r="Q10" i="2"/>
  <c r="R10" i="2" s="1"/>
  <c r="K67" i="2" s="1"/>
  <c r="N10" i="2"/>
  <c r="D18" i="4" s="1"/>
  <c r="J10" i="2"/>
  <c r="E18" i="4" s="1"/>
  <c r="H10" i="2"/>
  <c r="C18" i="4" s="1"/>
  <c r="F10" i="2"/>
  <c r="O40" i="2" s="1"/>
  <c r="D10" i="2"/>
  <c r="D8" i="2"/>
  <c r="M23" i="1"/>
  <c r="C5" i="1"/>
  <c r="M5" i="1" s="1"/>
  <c r="S46" i="2" l="1"/>
  <c r="S52" i="2"/>
  <c r="S58" i="2"/>
  <c r="S55" i="2"/>
  <c r="F11" i="2"/>
  <c r="C20" i="2"/>
  <c r="E119" i="2"/>
  <c r="Q119" i="2" s="1"/>
  <c r="N17" i="4"/>
  <c r="N18" i="4" s="1"/>
  <c r="I23" i="2"/>
  <c r="A23" i="2" s="1"/>
  <c r="E109" i="2"/>
  <c r="Q109" i="2" s="1"/>
  <c r="G3" i="3"/>
  <c r="D85" i="2"/>
  <c r="L66" i="2"/>
  <c r="D129" i="2" s="1"/>
  <c r="Q129" i="2" s="1"/>
  <c r="L65" i="2"/>
  <c r="R40" i="2" s="1"/>
  <c r="E106" i="2"/>
  <c r="Q106" i="2" s="1"/>
  <c r="E104" i="2"/>
  <c r="Q104" i="2" s="1"/>
  <c r="Q40" i="2"/>
  <c r="L67" i="2" s="1"/>
  <c r="D130" i="2" s="1"/>
  <c r="Q130" i="2" s="1"/>
  <c r="E124" i="2"/>
  <c r="Q124" i="2" s="1"/>
  <c r="E114" i="2"/>
  <c r="Q114" i="2" s="1"/>
  <c r="S49" i="2"/>
  <c r="E107" i="2"/>
  <c r="Q107" i="2" s="1"/>
  <c r="E111" i="2"/>
  <c r="Q111" i="2" s="1"/>
  <c r="E115" i="2"/>
  <c r="Q115" i="2" s="1"/>
  <c r="S43" i="2"/>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Q19" i="2" l="1"/>
  <c r="E96" i="2" s="1"/>
  <c r="Q96" i="2" s="1"/>
  <c r="R19" i="2"/>
  <c r="E98" i="2" s="1"/>
  <c r="Q98" i="2" s="1"/>
  <c r="K12" i="4"/>
  <c r="M12" i="4" s="1"/>
  <c r="C23" i="2"/>
  <c r="E71" i="3" s="1" a="1"/>
  <c r="E71" i="3" s="1"/>
  <c r="I25" i="2"/>
  <c r="R42" i="2"/>
  <c r="D128" i="2"/>
  <c r="Q128" i="2" s="1"/>
  <c r="R41" i="2"/>
  <c r="E61" i="3" a="1"/>
  <c r="E61" i="3" s="1"/>
  <c r="M60" i="4"/>
  <c r="N60" i="4" s="1"/>
  <c r="D61" i="3" a="1"/>
  <c r="D61" i="3" s="1"/>
  <c r="J76" i="2"/>
  <c r="A61" i="3" a="1"/>
  <c r="A61" i="3" s="1"/>
  <c r="H86" i="2"/>
  <c r="A71" i="3" l="1" a="1"/>
  <c r="A71" i="3" s="1"/>
  <c r="F71" i="3" s="1"/>
  <c r="H71" i="3" s="1"/>
  <c r="E97" i="2"/>
  <c r="Q97" i="2" s="1"/>
  <c r="E95" i="2"/>
  <c r="Q95" i="2" s="1"/>
  <c r="S40" i="2"/>
  <c r="S62" i="2" s="1"/>
  <c r="I77" i="2" s="1"/>
  <c r="L70" i="2" s="1"/>
  <c r="D133" i="2" s="1"/>
  <c r="Q133" i="2" s="1"/>
  <c r="D20" i="4"/>
  <c r="L12" i="4"/>
  <c r="F61" i="3"/>
  <c r="H61" i="3" s="1"/>
  <c r="I83" i="2"/>
  <c r="I80" i="2"/>
  <c r="F51" i="3" s="1"/>
  <c r="H49" i="3" s="1"/>
  <c r="I81" i="2"/>
  <c r="I84" i="2"/>
  <c r="I82" i="2"/>
  <c r="I85" i="2"/>
  <c r="L68" i="2" l="1"/>
  <c r="D131" i="2" s="1"/>
  <c r="Q131" i="2" s="1"/>
  <c r="J84" i="3"/>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<sst xmlns="http://schemas.openxmlformats.org/spreadsheetml/2006/main" count="397" uniqueCount="278">
  <si>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</si>
  <si>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</si>
  <si>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</si>
  <si>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</si>
  <si>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</si>
  <si>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</si>
  <si>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</si>
  <si>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</si>
  <si>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</si>
  <si>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</si>
  <si>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</si>
  <si>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</si>
  <si>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</si>
  <si>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</si>
  <si>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</si>
  <si>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</si>
  <si>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</si>
  <si>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</si>
  <si>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</si>
  <si>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</si>
  <si>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</si>
  <si>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</si>
  <si>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</si>
  <si>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</si>
  <si>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</si>
  <si>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</si>
  <si>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</si>
  <si>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</si>
  <si>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</si>
  <si>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</si>
  <si>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</si>
  <si>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</si>
  <si>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</si>
  <si>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</si>
  <si>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</si>
  <si>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</si>
  <si>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</si>
  <si>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</si>
  <si>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</si>
  <si>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</si>
  <si>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</si>
  <si>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</si>
  <si>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</si>
  <si>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</si>
  <si>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</si>
  <si>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</si>
  <si>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</si>
  <si>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</si>
  <si>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</si>
  <si>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</si>
  <si>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</si>
  <si>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</si>
  <si>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</si>
  <si>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</si>
  <si>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</si>
  <si>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</si>
  <si>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</si>
  <si>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</si>
  <si>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</si>
  <si>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</si>
  <si>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</si>
  <si>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</si>
  <si>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</si>
  <si>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</si>
  <si>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</si>
  <si>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</si>
  <si>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</si>
  <si>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</si>
  <si>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</si>
  <si>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</si>
  <si>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</si>
  <si>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Cumple</t>
  </si>
  <si>
    <t>Certificación 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</si>
  <si>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</si>
  <si>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</si>
  <si>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</si>
  <si>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</si>
  <si>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</si>
  <si>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</si>
  <si>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</si>
  <si>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</si>
  <si>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</si>
  <si>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</si>
  <si>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</si>
  <si>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</si>
  <si>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</si>
  <si>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</si>
  <si>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</si>
  <si>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</si>
  <si>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</si>
  <si>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</si>
  <si>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</si>
  <si>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</si>
  <si>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</si>
  <si>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</si>
  <si>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</si>
  <si>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</si>
  <si>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</si>
  <si>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</si>
  <si>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</si>
  <si>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</si>
  <si>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</si>
  <si>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</si>
  <si>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</si>
  <si>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</si>
  <si>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</si>
  <si>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</si>
  <si>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</si>
  <si>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</si>
  <si>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</si>
  <si>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</si>
  <si>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</si>
  <si>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</si>
  <si>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</si>
  <si>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</si>
  <si>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</si>
  <si>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</si>
  <si>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</si>
  <si>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</si>
  <si>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</si>
  <si>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</si>
  <si>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</si>
  <si>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</si>
  <si>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</si>
  <si>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</si>
  <si>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</si>
  <si>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</si>
  <si>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</si>
  <si>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</si>
  <si>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</si>
  <si>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</si>
  <si>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</si>
  <si>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</si>
  <si>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</si>
  <si>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</si>
  <si>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</si>
  <si>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</si>
  <si>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</si>
  <si>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</si>
  <si>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</si>
  <si>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</si>
  <si>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</si>
  <si>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</si>
  <si>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</si>
  <si>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</si>
  <si>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</si>
  <si>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</si>
  <si>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</si>
  <si>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</si>
  <si>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</si>
  <si>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</si>
  <si>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</si>
  <si>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</si>
  <si>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</si>
  <si>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</si>
  <si>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</si>
  <si>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</si>
  <si>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</si>
  <si>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</si>
  <si>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</si>
  <si>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</si>
  <si>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</si>
  <si>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</si>
  <si>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</si>
  <si>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</si>
  <si>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</si>
  <si>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</si>
  <si>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</si>
  <si>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</si>
  <si>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</si>
  <si>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</si>
  <si>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</si>
  <si>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</si>
  <si>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</si>
  <si>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</si>
  <si>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</si>
  <si>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</si>
  <si>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</si>
  <si>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</si>
  <si>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</si>
  <si>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</si>
  <si>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</si>
  <si>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</si>
  <si>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</si>
  <si>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</si>
  <si>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</si>
  <si>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</si>
  <si>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</si>
  <si>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</si>
  <si>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</si>
  <si>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</si>
  <si>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</si>
  <si>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</si>
  <si>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</si>
  <si>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</si>
  <si>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</si>
  <si>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</si>
  <si>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</si>
  <si>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</si>
  <si>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</si>
  <si>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</si>
  <si>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</si>
  <si>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</si>
  <si>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</si>
  <si>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</si>
  <si>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</si>
  <si>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</si>
  <si>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</si>
  <si>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</si>
  <si>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</si>
  <si>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</si>
  <si>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</si>
  <si>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</si>
  <si>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</si>
  <si>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</si>
  <si>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</si>
  <si>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</si>
  <si>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</si>
  <si>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</si>
  <si>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</si>
  <si>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</si>
  <si>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</si>
  <si>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</si>
  <si>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</si>
  <si>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</si>
  <si>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</si>
  <si>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</si>
  <si>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</si>
  <si>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</si>
  <si>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</si>
  <si>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</si>
  <si>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</si>
  <si>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</si>
  <si>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</si>
  <si>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</si>
  <si>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</si>
  <si>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</si>
  <si>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</si>
  <si>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</si>
  <si>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</si>
  <si>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</si>
  <si>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</si>
  <si>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</si>
  <si>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</si>
  <si>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</si>
  <si>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</si>
  <si>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</si>
  <si>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</si>
  <si>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</si>
  <si>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</si>
  <si>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</si>
  <si>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</si>
  <si>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</si>
  <si>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</si>
  <si>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</si>
  <si>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</si>
  <si>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</si>
  <si>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</si>
  <si>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</si>
  <si>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</si>
  <si>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</si>
  <si>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</si>
  <si>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</si>
  <si>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</si>
  <si>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</si>
  <si>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</si>
  <si>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</si>
  <si>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</si>
  <si>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</si>
  <si>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</si>
  <si>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</si>
  <si>
    <t>CUMPLE</t>
  </si>
  <si>
    <t>SE CLASIFICA</t>
  </si>
  <si>
    <t>SE ANEXA</t>
  </si>
  <si>
    <t>CONSEJO SUPERIOR DE LA JUDICATURA</t>
  </si>
  <si>
    <t>GESTION RURAL Y URBANA SAS</t>
  </si>
  <si>
    <t xml:space="preserve">I </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</si>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</sst>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12"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36"/>
      <name val="Arial Narrow"/>
      <family val="2"/>
    </font>
    <font>
      <b/>
      <sz val="28"/>
      <name val="Arial Narrow"/>
      <family val="2"/>
    </font>
    <font>
      <sz val="11"/>
      <color theme="0" tint="-4.9989318521683403E-2"/>
      <name val="Aptos Narrow"/>
      <family val="2"/>
      <scheme val="minor"/>
    </font>
    <font>
      <sz val="18"/>
      <color theme="1"/>
      <name val="Arial Narrow"/>
      <family val="2"/>
    </font>
    <font>
      <b/>
      <sz val="48"/>
      <name val="Arial Narrow"/>
      <family val="2"/>
    </font>
    <font>
      <sz val="28"/>
      <color theme="1"/>
      <name val="Arial Narrow"/>
      <family val="2"/>
    </font>
    <font>
      <b/>
      <u/>
      <sz val="22"/>
      <name val="Aptos Narrow"/>
      <family val="2"/>
      <scheme val="minor"/>
    </font>
    <font>
      <b/>
      <u/>
      <sz val="24"/>
      <name val="Aptos Narrow"/>
      <family val="2"/>
      <scheme val="minor"/>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sz val="14"/>
      <color theme="3" tint="-0.249977111117893"/>
      <name val="Arial Narrow"/>
      <family val="2"/>
    </font>
    <font>
      <b/>
      <sz val="12"/>
      <color theme="3" tint="-0.249977111117893"/>
      <name val="Arial Narrow"/>
      <family val="2"/>
    </font>
    <font>
      <sz val="11"/>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color theme="1"/>
      <name val="Arial Narrow"/>
      <family val="2"/>
    </font>
    <font>
      <b/>
      <sz val="14"/>
      <name val="Arial Narrow"/>
      <family val="2"/>
    </font>
    <font>
      <sz val="14"/>
      <name val="Arial Narrow"/>
      <family val="2"/>
    </font>
    <font>
      <b/>
      <u/>
      <sz val="22"/>
      <color theme="3" tint="-0.249977111117893"/>
      <name val="Arial Narrow"/>
      <family val="2"/>
    </font>
    <font>
      <b/>
      <u/>
      <sz val="14"/>
      <color theme="10"/>
      <name val="Arial Narrow"/>
      <family val="2"/>
    </font>
    <font>
      <b/>
      <sz val="14"/>
      <color theme="3" tint="-0.249977111117893"/>
      <name val="Arial Narrow"/>
      <family val="2"/>
    </font>
    <font>
      <b/>
      <sz val="11"/>
      <name val="Arial Narrow"/>
      <family val="2"/>
    </font>
    <font>
      <b/>
      <sz val="16"/>
      <color theme="3" tint="-0.249977111117893"/>
      <name val="Arial Narrow"/>
      <family val="2"/>
    </font>
    <font>
      <b/>
      <sz val="28"/>
      <name val="Arial Narrow"/>
      <family val="2"/>
    </font>
    <font>
      <b/>
      <sz val="18"/>
      <name val="Arial Narrow"/>
      <family val="2"/>
    </font>
    <font>
      <b/>
      <sz val="28"/>
      <color rgb="FFFF0000"/>
      <name val="Arial Narrow"/>
      <family val="2"/>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20"/>
      <name val="Arial Narrow"/>
      <family val="2"/>
    </font>
    <font>
      <sz val="28"/>
      <color theme="1"/>
      <name val="Arial Narrow"/>
      <family val="2"/>
    </font>
    <font>
      <b/>
      <sz val="28"/>
      <color theme="1"/>
      <name val="Arial Narrow"/>
      <family val="2"/>
    </font>
    <font>
      <b/>
      <sz val="12"/>
      <color theme="1"/>
      <name val="Arial Narrow"/>
      <family val="2"/>
    </font>
    <font>
      <b/>
      <sz val="12"/>
      <name val="Arial Narrow"/>
      <family val="2"/>
    </font>
    <font>
      <sz val="14"/>
      <color theme="0"/>
      <name val="Arial Narrow"/>
      <family val="2"/>
    </font>
    <font>
      <sz val="12"/>
      <color theme="1"/>
      <name val="Arial Narrow"/>
      <family val="2"/>
    </font>
    <font>
      <b/>
      <sz val="11"/>
      <color theme="1"/>
      <name val="Arial Narrow"/>
      <family val="2"/>
    </font>
    <font>
      <sz val="20"/>
      <color theme="1"/>
      <name val="Arial Narrow"/>
      <family val="2"/>
    </font>
    <font>
      <sz val="16"/>
      <color theme="1"/>
      <name val="Arial Narrow"/>
      <family val="2"/>
    </font>
    <font>
      <b/>
      <sz val="18"/>
      <color theme="1"/>
      <name val="Arial Narrow"/>
      <family val="2"/>
    </font>
    <font>
      <b/>
      <sz val="72"/>
      <name val="Arial Narrow"/>
      <family val="2"/>
    </font>
    <font>
      <b/>
      <sz val="12"/>
      <name val="Arial"/>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3">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8" fillId="2" borderId="0" xfId="0" applyFont="1" applyFill="1"/>
    <xf numFmtId="0" fontId="4" fillId="2" borderId="0" xfId="0" applyFont="1" applyFill="1"/>
    <xf numFmtId="0" fontId="10" fillId="2" borderId="0" xfId="0" applyFont="1" applyFill="1"/>
    <xf numFmtId="0" fontId="8"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0" fillId="2" borderId="4" xfId="0" applyFill="1" applyBorder="1" applyProtection="1">
      <protection hidden="1"/>
    </xf>
    <xf numFmtId="0" fontId="0" fillId="2" borderId="0" xfId="0" applyFill="1" applyProtection="1">
      <protection hidden="1"/>
    </xf>
    <xf numFmtId="0" fontId="2" fillId="6" borderId="0" xfId="0" applyFont="1" applyFill="1" applyAlignment="1" applyProtection="1">
      <alignment vertical="center"/>
      <protection locked="0"/>
    </xf>
    <xf numFmtId="0" fontId="2" fillId="0" borderId="0" xfId="0" applyFont="1" applyProtection="1">
      <protection locked="0"/>
    </xf>
    <xf numFmtId="0" fontId="0" fillId="2" borderId="4" xfId="0" applyFill="1" applyBorder="1"/>
    <xf numFmtId="0" fontId="14" fillId="2" borderId="0" xfId="0" applyFont="1" applyFill="1" applyAlignment="1" applyProtection="1">
      <alignment horizontal="center" vertical="center"/>
      <protection hidden="1"/>
    </xf>
    <xf numFmtId="0" fontId="0" fillId="2" borderId="20" xfId="0" applyFill="1" applyBorder="1"/>
    <xf numFmtId="0" fontId="2" fillId="6" borderId="0" xfId="0" applyFont="1" applyFill="1" applyAlignment="1" applyProtection="1">
      <alignment horizontal="center"/>
      <protection locked="0"/>
    </xf>
    <xf numFmtId="0" fontId="0" fillId="2" borderId="6" xfId="0" applyFill="1" applyBorder="1"/>
    <xf numFmtId="0" fontId="0" fillId="2" borderId="0" xfId="0" applyFill="1" applyProtection="1">
      <protection locked="0"/>
    </xf>
    <xf numFmtId="2" fontId="2" fillId="6" borderId="0" xfId="0" applyNumberFormat="1" applyFont="1" applyFill="1" applyProtection="1">
      <protection locked="0"/>
    </xf>
    <xf numFmtId="0" fontId="20" fillId="2" borderId="0" xfId="0" applyFont="1" applyFill="1"/>
    <xf numFmtId="0" fontId="15" fillId="0" borderId="0" xfId="0" applyFont="1" applyProtection="1">
      <protection locked="0"/>
    </xf>
    <xf numFmtId="0" fontId="0" fillId="6" borderId="0" xfId="0" applyFill="1" applyProtection="1">
      <protection locked="0"/>
    </xf>
    <xf numFmtId="0" fontId="0" fillId="14" borderId="0" xfId="0" applyFill="1"/>
    <xf numFmtId="0" fontId="2" fillId="14" borderId="0" xfId="0" applyFont="1" applyFill="1" applyProtection="1">
      <protection locked="0"/>
    </xf>
    <xf numFmtId="0" fontId="0" fillId="6" borderId="0" xfId="0" applyFill="1"/>
    <xf numFmtId="0" fontId="21" fillId="2" borderId="0" xfId="0" applyFont="1" applyFill="1" applyAlignment="1">
      <alignment horizontal="center"/>
    </xf>
    <xf numFmtId="0" fontId="21" fillId="2" borderId="0" xfId="0" applyFont="1" applyFill="1"/>
    <xf numFmtId="0" fontId="24" fillId="0" borderId="0" xfId="0" applyFont="1" applyProtection="1">
      <protection locked="0"/>
    </xf>
    <xf numFmtId="0" fontId="25" fillId="0" borderId="0" xfId="0" applyFont="1" applyProtection="1">
      <protection locked="0"/>
    </xf>
    <xf numFmtId="0" fontId="21" fillId="0" borderId="0" xfId="0" applyFont="1" applyProtection="1">
      <protection locked="0"/>
    </xf>
    <xf numFmtId="0" fontId="25" fillId="6" borderId="0" xfId="0" applyFont="1" applyFill="1" applyProtection="1">
      <protection locked="0"/>
    </xf>
    <xf numFmtId="0" fontId="21" fillId="6" borderId="0" xfId="0" applyFont="1" applyFill="1" applyProtection="1">
      <protection locked="0"/>
    </xf>
    <xf numFmtId="0" fontId="26" fillId="3" borderId="0" xfId="0" applyFont="1" applyFill="1" applyAlignment="1">
      <alignment horizontal="center" vertical="center"/>
    </xf>
    <xf numFmtId="0" fontId="26" fillId="2" borderId="0" xfId="0" applyFont="1" applyFill="1" applyAlignment="1">
      <alignment horizontal="center" vertical="center"/>
    </xf>
    <xf numFmtId="0" fontId="26" fillId="2" borderId="0" xfId="0" applyFont="1" applyFill="1" applyAlignment="1">
      <alignment horizontal="right" vertical="center"/>
    </xf>
    <xf numFmtId="0" fontId="26" fillId="2" borderId="0" xfId="0" applyFont="1" applyFill="1" applyAlignment="1" applyProtection="1">
      <alignment horizontal="right" vertical="center"/>
      <protection hidden="1"/>
    </xf>
    <xf numFmtId="0" fontId="28" fillId="2" borderId="0" xfId="0" applyFont="1" applyFill="1"/>
    <xf numFmtId="0" fontId="26" fillId="7" borderId="14" xfId="0" applyFont="1" applyFill="1" applyBorder="1" applyAlignment="1">
      <alignment horizontal="center" vertical="center" wrapText="1"/>
    </xf>
    <xf numFmtId="0" fontId="26" fillId="11" borderId="14" xfId="0" applyFont="1" applyFill="1" applyBorder="1" applyAlignment="1">
      <alignment horizontal="center" vertical="center" wrapText="1"/>
    </xf>
    <xf numFmtId="170" fontId="26" fillId="7" borderId="14" xfId="0" applyNumberFormat="1" applyFont="1" applyFill="1" applyBorder="1" applyAlignment="1">
      <alignment horizontal="center" vertical="center" wrapText="1"/>
    </xf>
    <xf numFmtId="0" fontId="28" fillId="13" borderId="14" xfId="0" applyFont="1" applyFill="1" applyBorder="1" applyAlignment="1" applyProtection="1">
      <alignment horizontal="center" vertical="center"/>
      <protection locked="0"/>
    </xf>
    <xf numFmtId="170" fontId="32" fillId="17" borderId="14" xfId="0" applyNumberFormat="1" applyFont="1" applyFill="1" applyBorder="1" applyAlignment="1">
      <alignment horizontal="center" vertical="center" wrapText="1"/>
    </xf>
    <xf numFmtId="170" fontId="33" fillId="18" borderId="14" xfId="0" applyNumberFormat="1" applyFont="1" applyFill="1" applyBorder="1" applyAlignment="1">
      <alignment horizontal="center" vertical="center"/>
    </xf>
    <xf numFmtId="0" fontId="5" fillId="4" borderId="14" xfId="3" applyFill="1" applyBorder="1" applyAlignment="1">
      <alignment horizontal="center" vertical="center" wrapText="1"/>
    </xf>
    <xf numFmtId="0" fontId="5" fillId="0" borderId="0" xfId="3" applyAlignment="1" applyProtection="1">
      <alignment vertical="center"/>
      <protection locked="0"/>
    </xf>
    <xf numFmtId="0" fontId="35" fillId="7" borderId="14" xfId="0" applyFont="1" applyFill="1" applyBorder="1" applyAlignment="1">
      <alignment horizontal="center" vertical="center" wrapText="1"/>
    </xf>
    <xf numFmtId="0" fontId="30" fillId="5" borderId="14" xfId="0" applyFont="1" applyFill="1" applyBorder="1" applyAlignment="1">
      <alignment horizontal="center" vertical="center" wrapText="1"/>
    </xf>
    <xf numFmtId="0" fontId="36" fillId="19" borderId="14" xfId="0" applyFont="1" applyFill="1" applyBorder="1" applyAlignment="1">
      <alignment horizontal="center" vertical="center" wrapText="1"/>
    </xf>
    <xf numFmtId="0" fontId="28" fillId="0" borderId="14" xfId="0" applyFont="1" applyBorder="1" applyAlignment="1">
      <alignment horizontal="center" vertical="center" wrapText="1"/>
    </xf>
    <xf numFmtId="0" fontId="21" fillId="2" borderId="0" xfId="0" applyFont="1" applyFill="1" applyProtection="1">
      <protection locked="0"/>
    </xf>
    <xf numFmtId="0" fontId="36" fillId="5" borderId="14" xfId="0" applyFont="1" applyFill="1" applyBorder="1" applyAlignment="1">
      <alignment horizontal="left" vertical="center" wrapText="1" indent="2"/>
    </xf>
    <xf numFmtId="0" fontId="28" fillId="20" borderId="14" xfId="0" applyFont="1" applyFill="1" applyBorder="1" applyAlignment="1" applyProtection="1">
      <alignment horizontal="center" vertical="center"/>
      <protection locked="0"/>
    </xf>
    <xf numFmtId="0" fontId="36" fillId="5" borderId="14" xfId="0" applyFont="1" applyFill="1" applyBorder="1" applyAlignment="1">
      <alignment horizontal="center" vertical="center" wrapText="1"/>
    </xf>
    <xf numFmtId="0" fontId="39" fillId="5" borderId="14" xfId="0" applyFont="1" applyFill="1" applyBorder="1" applyAlignment="1">
      <alignment horizontal="center" vertical="center" wrapText="1"/>
    </xf>
    <xf numFmtId="0" fontId="26" fillId="4" borderId="14" xfId="0" applyFont="1" applyFill="1" applyBorder="1" applyAlignment="1">
      <alignment horizontal="center" vertical="center" wrapText="1"/>
    </xf>
    <xf numFmtId="0" fontId="26" fillId="17" borderId="14" xfId="0" applyFont="1" applyFill="1" applyBorder="1" applyAlignment="1">
      <alignment horizontal="center" vertical="center" wrapText="1"/>
    </xf>
    <xf numFmtId="0" fontId="26" fillId="21" borderId="14" xfId="0" applyFont="1" applyFill="1" applyBorder="1" applyAlignment="1">
      <alignment horizontal="center" vertical="center" wrapText="1"/>
    </xf>
    <xf numFmtId="2" fontId="30" fillId="5" borderId="14" xfId="0" applyNumberFormat="1" applyFont="1" applyFill="1" applyBorder="1" applyAlignment="1">
      <alignment horizontal="center" vertical="center" wrapText="1"/>
    </xf>
    <xf numFmtId="0" fontId="28" fillId="0" borderId="14" xfId="0" applyFont="1" applyBorder="1" applyAlignment="1" applyProtection="1">
      <alignment horizontal="center" vertical="center"/>
      <protection locked="0"/>
    </xf>
    <xf numFmtId="0" fontId="27" fillId="13" borderId="14" xfId="0" applyFont="1" applyFill="1" applyBorder="1" applyAlignment="1" applyProtection="1">
      <alignment horizontal="center" vertical="center"/>
      <protection locked="0"/>
    </xf>
    <xf numFmtId="0" fontId="40" fillId="13" borderId="14" xfId="0" applyFont="1" applyFill="1" applyBorder="1" applyAlignment="1" applyProtection="1">
      <alignment horizontal="center" vertical="center"/>
      <protection locked="0"/>
    </xf>
    <xf numFmtId="0" fontId="41" fillId="17" borderId="14" xfId="4" applyFont="1" applyFill="1" applyBorder="1" applyAlignment="1">
      <alignment horizontal="center" vertical="center" wrapText="1"/>
    </xf>
    <xf numFmtId="9" fontId="40" fillId="13" borderId="14" xfId="4" applyNumberFormat="1" applyFont="1" applyFill="1" applyBorder="1" applyAlignment="1" applyProtection="1">
      <alignment horizontal="center" vertical="center"/>
      <protection hidden="1"/>
    </xf>
    <xf numFmtId="0" fontId="23" fillId="13" borderId="14" xfId="0" applyFont="1" applyFill="1" applyBorder="1" applyAlignment="1" applyProtection="1">
      <alignment horizontal="center" vertical="center"/>
      <protection locked="0"/>
    </xf>
    <xf numFmtId="0" fontId="42" fillId="11" borderId="14" xfId="0" applyFont="1" applyFill="1" applyBorder="1" applyAlignment="1">
      <alignment horizontal="center" vertical="center"/>
    </xf>
    <xf numFmtId="0" fontId="26" fillId="7" borderId="14" xfId="0" applyFont="1" applyFill="1" applyBorder="1" applyAlignment="1">
      <alignment vertical="center" wrapText="1"/>
    </xf>
    <xf numFmtId="0" fontId="26" fillId="7" borderId="14" xfId="0" applyFont="1" applyFill="1" applyBorder="1" applyAlignment="1" applyProtection="1">
      <alignment horizontal="center" vertical="center" wrapText="1"/>
      <protection hidden="1"/>
    </xf>
    <xf numFmtId="0" fontId="26" fillId="11" borderId="14" xfId="0" applyFont="1" applyFill="1" applyBorder="1" applyAlignment="1" applyProtection="1">
      <alignment horizontal="center" vertical="center" wrapText="1"/>
      <protection hidden="1"/>
    </xf>
    <xf numFmtId="0" fontId="28" fillId="4" borderId="14" xfId="0" quotePrefix="1" applyFont="1" applyFill="1" applyBorder="1" applyAlignment="1" applyProtection="1">
      <alignment horizontal="centerContinuous" vertical="center"/>
      <protection hidden="1"/>
    </xf>
    <xf numFmtId="9" fontId="28" fillId="4" borderId="14" xfId="2" quotePrefix="1" applyFont="1" applyFill="1" applyBorder="1" applyAlignment="1" applyProtection="1">
      <alignment horizontal="center" vertical="center"/>
      <protection hidden="1"/>
    </xf>
    <xf numFmtId="0" fontId="28" fillId="0" borderId="14" xfId="0" quotePrefix="1"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8" fillId="4" borderId="14" xfId="0" applyFont="1" applyFill="1" applyBorder="1" applyAlignment="1" applyProtection="1">
      <alignment horizontal="centerContinuous" vertical="center"/>
      <protection hidden="1"/>
    </xf>
    <xf numFmtId="9" fontId="28" fillId="4" borderId="14" xfId="2" applyFont="1" applyFill="1" applyBorder="1" applyAlignment="1" applyProtection="1">
      <alignment horizontal="center" vertical="center"/>
      <protection hidden="1"/>
    </xf>
    <xf numFmtId="0" fontId="28" fillId="0" borderId="14" xfId="0" applyFont="1" applyBorder="1" applyAlignment="1" applyProtection="1">
      <alignment horizontal="center" vertical="center"/>
      <protection hidden="1"/>
    </xf>
    <xf numFmtId="0" fontId="30" fillId="5" borderId="14" xfId="0" quotePrefix="1" applyFont="1" applyFill="1" applyBorder="1" applyAlignment="1" applyProtection="1">
      <alignment horizontal="centerContinuous" vertical="center" wrapText="1"/>
      <protection hidden="1"/>
    </xf>
    <xf numFmtId="0" fontId="30" fillId="5" borderId="14" xfId="0" applyFont="1" applyFill="1" applyBorder="1" applyAlignment="1" applyProtection="1">
      <alignment horizontal="centerContinuous" vertical="center" wrapText="1"/>
      <protection hidden="1"/>
    </xf>
    <xf numFmtId="9" fontId="31" fillId="4" borderId="14" xfId="2" quotePrefix="1" applyFont="1" applyFill="1" applyBorder="1" applyAlignment="1" applyProtection="1">
      <alignment horizontal="center" vertical="center"/>
      <protection hidden="1"/>
    </xf>
    <xf numFmtId="9" fontId="31" fillId="4" borderId="14" xfId="2" applyFont="1" applyFill="1" applyBorder="1" applyAlignment="1" applyProtection="1">
      <alignment horizontal="center" vertical="center"/>
      <protection hidden="1"/>
    </xf>
    <xf numFmtId="15" fontId="5" fillId="0" borderId="14" xfId="3" applyNumberFormat="1" applyBorder="1" applyAlignment="1">
      <alignment horizontal="center" vertical="center"/>
    </xf>
    <xf numFmtId="0" fontId="21" fillId="13" borderId="14" xfId="0" applyFont="1" applyFill="1" applyBorder="1" applyAlignment="1" applyProtection="1">
      <alignment horizontal="center" vertical="center"/>
      <protection locked="0"/>
    </xf>
    <xf numFmtId="0" fontId="43" fillId="0" borderId="0" xfId="3" applyFont="1" applyProtection="1">
      <protection locked="0"/>
    </xf>
    <xf numFmtId="0" fontId="44" fillId="6" borderId="14" xfId="0" applyFont="1" applyFill="1" applyBorder="1"/>
    <xf numFmtId="0" fontId="21" fillId="6" borderId="0" xfId="0" applyFont="1" applyFill="1"/>
    <xf numFmtId="0" fontId="46" fillId="2" borderId="0" xfId="0" applyFont="1" applyFill="1"/>
    <xf numFmtId="0" fontId="46" fillId="6" borderId="0" xfId="0" applyFont="1" applyFill="1" applyProtection="1">
      <protection locked="0"/>
    </xf>
    <xf numFmtId="0" fontId="46" fillId="2" borderId="0" xfId="0" applyFont="1" applyFill="1" applyAlignment="1">
      <alignment vertical="center"/>
    </xf>
    <xf numFmtId="0" fontId="46" fillId="2" borderId="0" xfId="0" applyFont="1" applyFill="1" applyAlignment="1">
      <alignment horizontal="center" vertical="center"/>
    </xf>
    <xf numFmtId="0" fontId="46" fillId="0" borderId="0" xfId="0" applyFont="1" applyProtection="1">
      <protection locked="0"/>
    </xf>
    <xf numFmtId="0" fontId="46" fillId="2" borderId="8" xfId="0" applyFont="1" applyFill="1" applyBorder="1" applyAlignment="1">
      <alignment vertical="center"/>
    </xf>
    <xf numFmtId="0" fontId="46" fillId="2" borderId="4" xfId="0" applyFont="1" applyFill="1" applyBorder="1" applyAlignment="1">
      <alignment vertical="center"/>
    </xf>
    <xf numFmtId="0" fontId="46" fillId="2" borderId="4" xfId="0" applyFont="1" applyFill="1" applyBorder="1" applyAlignment="1">
      <alignment horizontal="center" vertical="center"/>
    </xf>
    <xf numFmtId="0" fontId="46" fillId="2" borderId="9" xfId="0" applyFont="1" applyFill="1" applyBorder="1" applyAlignment="1">
      <alignment vertical="center"/>
    </xf>
    <xf numFmtId="0" fontId="35" fillId="9" borderId="10" xfId="0" applyFont="1" applyFill="1" applyBorder="1" applyAlignment="1">
      <alignment horizontal="left" vertical="center" indent="1"/>
    </xf>
    <xf numFmtId="0" fontId="46" fillId="2" borderId="11" xfId="0" applyFont="1" applyFill="1" applyBorder="1" applyAlignment="1">
      <alignment vertical="center"/>
    </xf>
    <xf numFmtId="0" fontId="35" fillId="9" borderId="10" xfId="0" applyFont="1" applyFill="1" applyBorder="1" applyAlignment="1">
      <alignment horizontal="center" vertical="center"/>
    </xf>
    <xf numFmtId="0" fontId="35" fillId="9" borderId="0" xfId="0" applyFont="1" applyFill="1" applyAlignment="1">
      <alignment horizontal="center" vertical="center"/>
    </xf>
    <xf numFmtId="0" fontId="35" fillId="9" borderId="11" xfId="0" applyFont="1" applyFill="1" applyBorder="1" applyAlignment="1">
      <alignment horizontal="center" vertical="center"/>
    </xf>
    <xf numFmtId="0" fontId="46" fillId="2" borderId="10" xfId="0" applyFont="1" applyFill="1" applyBorder="1"/>
    <xf numFmtId="0" fontId="40" fillId="3" borderId="0" xfId="0" applyFont="1" applyFill="1" applyAlignment="1">
      <alignment horizontal="center" vertical="center"/>
    </xf>
    <xf numFmtId="0" fontId="35" fillId="2" borderId="11" xfId="0" applyFont="1" applyFill="1" applyBorder="1" applyAlignment="1">
      <alignment horizontal="center" vertical="center" wrapText="1"/>
    </xf>
    <xf numFmtId="0" fontId="40" fillId="3" borderId="12" xfId="0" applyFont="1" applyFill="1" applyBorder="1" applyAlignment="1">
      <alignment horizontal="center" vertical="center"/>
    </xf>
    <xf numFmtId="0" fontId="40" fillId="3" borderId="6" xfId="0" applyFont="1" applyFill="1" applyBorder="1" applyAlignment="1">
      <alignment vertical="center"/>
    </xf>
    <xf numFmtId="0" fontId="46" fillId="2" borderId="6" xfId="0" applyFont="1" applyFill="1" applyBorder="1"/>
    <xf numFmtId="0" fontId="35" fillId="2" borderId="13" xfId="0" applyFont="1" applyFill="1" applyBorder="1" applyAlignment="1">
      <alignment horizontal="center" vertical="center" wrapText="1"/>
    </xf>
    <xf numFmtId="0" fontId="35" fillId="2" borderId="0" xfId="0" applyFont="1" applyFill="1" applyAlignment="1">
      <alignment horizontal="center" vertical="center" wrapText="1"/>
    </xf>
    <xf numFmtId="0" fontId="35" fillId="9" borderId="8" xfId="0" applyFont="1" applyFill="1" applyBorder="1" applyAlignment="1">
      <alignment horizontal="left" vertical="center" indent="1"/>
    </xf>
    <xf numFmtId="0" fontId="40" fillId="2" borderId="10" xfId="0" applyFont="1" applyFill="1" applyBorder="1" applyAlignment="1">
      <alignment vertical="center"/>
    </xf>
    <xf numFmtId="0" fontId="29" fillId="11" borderId="14" xfId="4" applyFont="1" applyFill="1" applyBorder="1" applyAlignment="1">
      <alignment horizontal="center" vertical="center" wrapText="1"/>
    </xf>
    <xf numFmtId="171" fontId="23" fillId="4" borderId="14" xfId="0" applyNumberFormat="1" applyFont="1" applyFill="1" applyBorder="1" applyAlignment="1" applyProtection="1">
      <alignment horizontal="center" vertical="center"/>
      <protection locked="0"/>
    </xf>
    <xf numFmtId="171" fontId="23" fillId="4" borderId="14" xfId="0" applyNumberFormat="1" applyFont="1" applyFill="1" applyBorder="1" applyAlignment="1">
      <alignment horizontal="center" vertical="center"/>
    </xf>
    <xf numFmtId="0" fontId="51" fillId="4" borderId="14" xfId="4" applyFont="1" applyFill="1" applyBorder="1" applyAlignment="1" applyProtection="1">
      <alignment horizontal="center" vertical="center"/>
      <protection locked="0"/>
    </xf>
    <xf numFmtId="0" fontId="40" fillId="2" borderId="12" xfId="0" applyFont="1" applyFill="1" applyBorder="1" applyAlignment="1">
      <alignment vertical="center"/>
    </xf>
    <xf numFmtId="0" fontId="46" fillId="2" borderId="6" xfId="0" applyFont="1" applyFill="1" applyBorder="1" applyAlignment="1">
      <alignment vertical="center"/>
    </xf>
    <xf numFmtId="0" fontId="46" fillId="2" borderId="6" xfId="0" applyFont="1" applyFill="1" applyBorder="1" applyAlignment="1">
      <alignment horizontal="center" vertical="center"/>
    </xf>
    <xf numFmtId="0" fontId="46" fillId="2" borderId="13" xfId="0" applyFont="1" applyFill="1" applyBorder="1" applyAlignment="1">
      <alignment vertical="center"/>
    </xf>
    <xf numFmtId="0" fontId="40" fillId="2" borderId="0" xfId="0" applyFont="1" applyFill="1" applyAlignment="1">
      <alignment vertical="center"/>
    </xf>
    <xf numFmtId="0" fontId="46" fillId="2" borderId="10" xfId="0" applyFont="1" applyFill="1" applyBorder="1" applyAlignment="1">
      <alignment vertical="center"/>
    </xf>
    <xf numFmtId="0" fontId="35" fillId="11" borderId="37" xfId="0" applyFont="1" applyFill="1" applyBorder="1" applyAlignment="1">
      <alignment horizontal="center" vertical="center" wrapText="1"/>
    </xf>
    <xf numFmtId="0" fontId="35" fillId="11" borderId="31" xfId="0" applyFont="1" applyFill="1" applyBorder="1" applyAlignment="1">
      <alignment horizontal="center" vertical="center" wrapText="1"/>
    </xf>
    <xf numFmtId="0" fontId="35" fillId="11" borderId="31" xfId="0" applyFont="1" applyFill="1" applyBorder="1" applyAlignment="1">
      <alignment horizontal="center" vertical="center"/>
    </xf>
    <xf numFmtId="0" fontId="52" fillId="11" borderId="31" xfId="0" applyFont="1" applyFill="1" applyBorder="1" applyAlignment="1">
      <alignment horizontal="center" vertical="center"/>
    </xf>
    <xf numFmtId="171" fontId="29" fillId="4" borderId="40" xfId="0" applyNumberFormat="1" applyFont="1" applyFill="1" applyBorder="1" applyAlignment="1">
      <alignment vertical="center"/>
    </xf>
    <xf numFmtId="165" fontId="40" fillId="4" borderId="41" xfId="0" applyNumberFormat="1" applyFont="1" applyFill="1" applyBorder="1" applyAlignment="1">
      <alignment horizontal="center" vertical="center"/>
    </xf>
    <xf numFmtId="166" fontId="40" fillId="4" borderId="27" xfId="0" applyNumberFormat="1" applyFont="1" applyFill="1" applyBorder="1" applyAlignment="1">
      <alignment horizontal="center" vertical="center"/>
    </xf>
    <xf numFmtId="0" fontId="46" fillId="4" borderId="27" xfId="0" applyFont="1" applyFill="1" applyBorder="1" applyAlignment="1">
      <alignment horizontal="center" vertical="center"/>
    </xf>
    <xf numFmtId="0" fontId="35" fillId="4" borderId="27" xfId="0" applyFont="1" applyFill="1" applyBorder="1" applyAlignment="1">
      <alignment horizontal="center" vertical="center" wrapText="1"/>
    </xf>
    <xf numFmtId="171" fontId="29" fillId="4" borderId="46" xfId="0" applyNumberFormat="1" applyFont="1" applyFill="1" applyBorder="1" applyAlignment="1">
      <alignment horizontal="center" vertical="center"/>
    </xf>
    <xf numFmtId="0" fontId="35" fillId="11" borderId="14" xfId="0" applyFont="1" applyFill="1" applyBorder="1" applyAlignment="1">
      <alignment horizontal="center" vertical="center"/>
    </xf>
    <xf numFmtId="0" fontId="46" fillId="2" borderId="12" xfId="0" applyFont="1" applyFill="1" applyBorder="1" applyAlignment="1">
      <alignment vertical="center"/>
    </xf>
    <xf numFmtId="0" fontId="46" fillId="2" borderId="8" xfId="0" applyFont="1" applyFill="1" applyBorder="1"/>
    <xf numFmtId="0" fontId="46" fillId="2" borderId="4" xfId="0" applyFont="1" applyFill="1" applyBorder="1"/>
    <xf numFmtId="0" fontId="46" fillId="4" borderId="10" xfId="0" applyFont="1" applyFill="1" applyBorder="1" applyAlignment="1" applyProtection="1">
      <alignment vertical="center"/>
      <protection locked="0"/>
    </xf>
    <xf numFmtId="0" fontId="46" fillId="4" borderId="0" xfId="0" applyFont="1" applyFill="1" applyAlignment="1" applyProtection="1">
      <alignment vertical="center"/>
      <protection locked="0"/>
    </xf>
    <xf numFmtId="0" fontId="46" fillId="4" borderId="0" xfId="0" applyFont="1" applyFill="1" applyProtection="1">
      <protection locked="0"/>
    </xf>
    <xf numFmtId="0" fontId="46" fillId="4" borderId="11" xfId="0" applyFont="1" applyFill="1" applyBorder="1" applyAlignment="1" applyProtection="1">
      <alignment vertical="center"/>
      <protection locked="0"/>
    </xf>
    <xf numFmtId="0" fontId="29" fillId="11" borderId="40" xfId="0" applyFont="1" applyFill="1" applyBorder="1" applyAlignment="1">
      <alignment horizontal="center" vertical="center"/>
    </xf>
    <xf numFmtId="0" fontId="40" fillId="4" borderId="0" xfId="0" applyFont="1" applyFill="1" applyAlignment="1" applyProtection="1">
      <alignment horizontal="center" vertical="center" wrapText="1"/>
      <protection locked="0"/>
    </xf>
    <xf numFmtId="0" fontId="33" fillId="23" borderId="49" xfId="0" applyFont="1" applyFill="1" applyBorder="1" applyAlignment="1">
      <alignment horizontal="center" vertical="center"/>
    </xf>
    <xf numFmtId="0" fontId="46" fillId="13" borderId="50" xfId="0" applyFont="1" applyFill="1" applyBorder="1" applyAlignment="1">
      <alignment horizontal="center" vertical="center"/>
    </xf>
    <xf numFmtId="0" fontId="46" fillId="4" borderId="0" xfId="0" applyFont="1" applyFill="1" applyAlignment="1" applyProtection="1">
      <alignment horizontal="center" vertical="center"/>
      <protection locked="0"/>
    </xf>
    <xf numFmtId="170" fontId="46" fillId="13" borderId="50" xfId="0" applyNumberFormat="1" applyFont="1" applyFill="1" applyBorder="1" applyAlignment="1">
      <alignment horizontal="center" vertical="center"/>
    </xf>
    <xf numFmtId="0" fontId="33" fillId="23" borderId="51" xfId="0" applyFont="1" applyFill="1" applyBorder="1" applyAlignment="1">
      <alignment horizontal="center" vertical="center"/>
    </xf>
    <xf numFmtId="0" fontId="46" fillId="13" borderId="46" xfId="0" applyFont="1" applyFill="1" applyBorder="1" applyAlignment="1">
      <alignment horizontal="center" vertical="center"/>
    </xf>
    <xf numFmtId="170" fontId="46" fillId="2" borderId="0" xfId="0" applyNumberFormat="1" applyFont="1" applyFill="1" applyAlignment="1">
      <alignment vertical="center"/>
    </xf>
    <xf numFmtId="0" fontId="27" fillId="2" borderId="0" xfId="0" applyFont="1" applyFill="1" applyAlignment="1">
      <alignment vertical="top"/>
    </xf>
    <xf numFmtId="0" fontId="51" fillId="2" borderId="0" xfId="0" applyFont="1" applyFill="1" applyAlignment="1">
      <alignment vertical="center" wrapText="1"/>
    </xf>
    <xf numFmtId="171" fontId="40" fillId="2" borderId="0" xfId="0" applyNumberFormat="1" applyFont="1" applyFill="1" applyAlignment="1">
      <alignment vertical="center" wrapText="1"/>
    </xf>
    <xf numFmtId="171" fontId="46" fillId="2" borderId="0" xfId="0" applyNumberFormat="1" applyFont="1" applyFill="1"/>
    <xf numFmtId="0" fontId="46" fillId="4" borderId="12" xfId="0" applyFont="1" applyFill="1" applyBorder="1" applyAlignment="1" applyProtection="1">
      <alignment vertical="center"/>
      <protection locked="0"/>
    </xf>
    <xf numFmtId="0" fontId="46" fillId="4" borderId="6" xfId="0" applyFont="1" applyFill="1" applyBorder="1" applyAlignment="1" applyProtection="1">
      <alignment vertical="center"/>
      <protection locked="0"/>
    </xf>
    <xf numFmtId="0" fontId="46" fillId="4" borderId="6" xfId="0" applyFont="1" applyFill="1" applyBorder="1" applyProtection="1">
      <protection locked="0"/>
    </xf>
    <xf numFmtId="0" fontId="46" fillId="4" borderId="13" xfId="0" applyFont="1" applyFill="1" applyBorder="1" applyAlignment="1" applyProtection="1">
      <alignment vertical="center"/>
      <protection locked="0"/>
    </xf>
    <xf numFmtId="0" fontId="46" fillId="2" borderId="0" xfId="0" applyFont="1" applyFill="1" applyProtection="1">
      <protection locked="0"/>
    </xf>
    <xf numFmtId="0" fontId="40" fillId="2" borderId="10" xfId="0" applyFont="1" applyFill="1" applyBorder="1" applyAlignment="1" applyProtection="1">
      <alignment horizontal="left" vertical="center" indent="2"/>
      <protection locked="0"/>
    </xf>
    <xf numFmtId="0" fontId="55" fillId="2" borderId="0" xfId="0" applyFont="1" applyFill="1" applyAlignment="1" applyProtection="1">
      <alignment vertical="center"/>
      <protection locked="0"/>
    </xf>
    <xf numFmtId="170" fontId="55" fillId="2" borderId="0" xfId="0" applyNumberFormat="1" applyFont="1" applyFill="1" applyAlignment="1" applyProtection="1">
      <alignment horizontal="center" vertical="center"/>
      <protection locked="0"/>
    </xf>
    <xf numFmtId="0" fontId="52" fillId="2" borderId="0" xfId="0" applyFont="1" applyFill="1" applyAlignment="1" applyProtection="1">
      <alignment vertical="center"/>
      <protection locked="0"/>
    </xf>
    <xf numFmtId="0" fontId="55" fillId="2" borderId="0" xfId="0" applyFont="1" applyFill="1" applyAlignment="1" applyProtection="1">
      <alignment horizontal="right" vertical="center" indent="1"/>
      <protection locked="0"/>
    </xf>
    <xf numFmtId="0" fontId="46" fillId="2" borderId="11" xfId="0" applyFont="1" applyFill="1" applyBorder="1" applyAlignment="1" applyProtection="1">
      <alignment vertical="center"/>
      <protection locked="0"/>
    </xf>
    <xf numFmtId="0" fontId="46" fillId="2" borderId="0" xfId="0" applyFont="1" applyFill="1" applyAlignment="1" applyProtection="1">
      <alignment vertical="center"/>
      <protection locked="0"/>
    </xf>
    <xf numFmtId="0" fontId="46" fillId="2" borderId="10" xfId="0" applyFont="1" applyFill="1" applyBorder="1" applyAlignment="1" applyProtection="1">
      <alignment vertical="center"/>
      <protection locked="0"/>
    </xf>
    <xf numFmtId="0" fontId="46" fillId="2" borderId="0" xfId="0" applyFont="1" applyFill="1" applyAlignment="1" applyProtection="1">
      <alignment horizontal="center" vertical="center"/>
      <protection locked="0"/>
    </xf>
    <xf numFmtId="0" fontId="46" fillId="2" borderId="0" xfId="0" applyFont="1" applyFill="1" applyAlignment="1" applyProtection="1">
      <alignment horizontal="left" wrapText="1" indent="2"/>
      <protection locked="0"/>
    </xf>
    <xf numFmtId="0" fontId="46" fillId="2" borderId="20" xfId="0" applyFont="1" applyFill="1" applyBorder="1" applyAlignment="1" applyProtection="1">
      <alignment vertical="center" wrapText="1"/>
      <protection locked="0"/>
    </xf>
    <xf numFmtId="0" fontId="46" fillId="2" borderId="11" xfId="0" applyFont="1" applyFill="1" applyBorder="1" applyAlignment="1" applyProtection="1">
      <alignment horizontal="left" vertical="center" wrapText="1" indent="2"/>
      <protection locked="0"/>
    </xf>
    <xf numFmtId="0" fontId="46" fillId="2" borderId="0" xfId="0" applyFont="1" applyFill="1" applyAlignment="1" applyProtection="1">
      <alignment horizontal="left" vertical="center" wrapText="1" indent="2"/>
      <protection locked="0"/>
    </xf>
    <xf numFmtId="0" fontId="46" fillId="0" borderId="0" xfId="0" applyFont="1" applyAlignment="1" applyProtection="1">
      <alignment horizontal="left" wrapText="1" indent="2"/>
      <protection locked="0"/>
    </xf>
    <xf numFmtId="0" fontId="46" fillId="2" borderId="10" xfId="0" applyFont="1" applyFill="1" applyBorder="1" applyAlignment="1" applyProtection="1">
      <alignment vertical="center" wrapText="1"/>
      <protection locked="0"/>
    </xf>
    <xf numFmtId="0" fontId="40" fillId="2" borderId="0" xfId="0" applyFont="1" applyFill="1" applyAlignment="1" applyProtection="1">
      <alignment vertical="center"/>
      <protection locked="0"/>
    </xf>
    <xf numFmtId="0" fontId="46" fillId="2" borderId="0" xfId="0" applyFont="1" applyFill="1" applyAlignment="1" applyProtection="1">
      <alignment horizontal="left" vertical="center" wrapText="1"/>
      <protection locked="0"/>
    </xf>
    <xf numFmtId="0" fontId="32" fillId="2" borderId="37" xfId="0" applyFont="1" applyFill="1" applyBorder="1" applyAlignment="1" applyProtection="1">
      <alignment horizontal="center" vertical="center" wrapText="1"/>
      <protection locked="0"/>
    </xf>
    <xf numFmtId="0" fontId="32" fillId="2" borderId="31" xfId="0" applyFont="1" applyFill="1" applyBorder="1" applyAlignment="1" applyProtection="1">
      <alignment horizontal="center" vertical="center" wrapText="1"/>
      <protection locked="0"/>
    </xf>
    <xf numFmtId="0" fontId="32" fillId="2" borderId="40" xfId="0" applyFont="1" applyFill="1" applyBorder="1" applyAlignment="1" applyProtection="1">
      <alignment horizontal="center" vertical="center" wrapText="1"/>
      <protection locked="0"/>
    </xf>
    <xf numFmtId="0" fontId="33" fillId="2" borderId="14" xfId="0" applyFont="1" applyFill="1" applyBorder="1" applyAlignment="1" applyProtection="1">
      <alignment horizontal="center" vertical="center" wrapText="1"/>
      <protection locked="0"/>
    </xf>
    <xf numFmtId="0" fontId="56" fillId="2" borderId="52" xfId="0" applyFont="1" applyFill="1" applyBorder="1" applyAlignment="1" applyProtection="1">
      <alignment horizontal="center" vertical="center" wrapText="1"/>
      <protection locked="0"/>
    </xf>
    <xf numFmtId="0" fontId="56" fillId="2" borderId="14" xfId="0" applyFont="1" applyFill="1" applyBorder="1" applyAlignment="1" applyProtection="1">
      <alignment horizontal="center" vertical="center" wrapText="1"/>
      <protection locked="0"/>
    </xf>
    <xf numFmtId="0" fontId="56" fillId="2" borderId="53" xfId="0" applyFont="1" applyFill="1" applyBorder="1" applyAlignment="1" applyProtection="1">
      <alignment horizontal="center" vertical="center" wrapText="1"/>
      <protection locked="0"/>
    </xf>
    <xf numFmtId="9" fontId="40" fillId="2" borderId="14" xfId="2" applyFont="1" applyFill="1" applyBorder="1" applyAlignment="1" applyProtection="1">
      <alignment horizontal="center" vertical="center"/>
      <protection locked="0"/>
    </xf>
    <xf numFmtId="0" fontId="56" fillId="2" borderId="41" xfId="0" applyFont="1" applyFill="1" applyBorder="1" applyAlignment="1" applyProtection="1">
      <alignment horizontal="center" vertical="center" wrapText="1"/>
      <protection locked="0"/>
    </xf>
    <xf numFmtId="0" fontId="56" fillId="2" borderId="27" xfId="0" applyFont="1" applyFill="1" applyBorder="1" applyAlignment="1" applyProtection="1">
      <alignment horizontal="center" vertical="center" wrapText="1"/>
      <protection locked="0"/>
    </xf>
    <xf numFmtId="0" fontId="56" fillId="2" borderId="46" xfId="0" applyFont="1" applyFill="1" applyBorder="1" applyAlignment="1" applyProtection="1">
      <alignment horizontal="center" vertical="center" wrapText="1"/>
      <protection locked="0"/>
    </xf>
    <xf numFmtId="0" fontId="56" fillId="2" borderId="0" xfId="0" applyFont="1" applyFill="1" applyAlignment="1" applyProtection="1">
      <alignment horizontal="center" vertical="center" wrapText="1"/>
      <protection locked="0"/>
    </xf>
    <xf numFmtId="0" fontId="46" fillId="2" borderId="11" xfId="0" applyFont="1" applyFill="1" applyBorder="1" applyAlignment="1" applyProtection="1">
      <alignment horizontal="center" vertical="center" wrapText="1"/>
      <protection locked="0"/>
    </xf>
    <xf numFmtId="0" fontId="46" fillId="2" borderId="0" xfId="0" applyFont="1" applyFill="1" applyAlignment="1" applyProtection="1">
      <alignment horizontal="center" vertical="center" wrapText="1"/>
      <protection locked="0"/>
    </xf>
    <xf numFmtId="0" fontId="33" fillId="2" borderId="14" xfId="0" applyFont="1" applyFill="1" applyBorder="1" applyAlignment="1" applyProtection="1">
      <alignment horizontal="center" vertical="center"/>
      <protection locked="0"/>
    </xf>
    <xf numFmtId="0" fontId="33" fillId="2" borderId="0" xfId="0" applyFont="1" applyFill="1" applyAlignment="1" applyProtection="1">
      <alignment vertical="center"/>
      <protection locked="0"/>
    </xf>
    <xf numFmtId="171" fontId="40" fillId="2" borderId="14" xfId="2" applyNumberFormat="1" applyFont="1" applyFill="1" applyBorder="1" applyAlignment="1" applyProtection="1">
      <alignment horizontal="center" vertical="center"/>
      <protection locked="0"/>
    </xf>
    <xf numFmtId="0" fontId="22" fillId="2" borderId="14" xfId="0" applyFont="1" applyFill="1" applyBorder="1" applyAlignment="1" applyProtection="1">
      <alignment horizontal="center" vertical="center"/>
      <protection locked="0"/>
    </xf>
    <xf numFmtId="2" fontId="40" fillId="2" borderId="14" xfId="0" applyNumberFormat="1" applyFont="1" applyFill="1" applyBorder="1" applyAlignment="1" applyProtection="1">
      <alignment horizontal="center" vertical="center"/>
      <protection locked="0"/>
    </xf>
    <xf numFmtId="1" fontId="27" fillId="2" borderId="17" xfId="2" applyNumberFormat="1" applyFont="1" applyFill="1" applyBorder="1" applyAlignment="1" applyProtection="1">
      <alignment horizontal="center" vertical="center"/>
      <protection locked="0"/>
    </xf>
    <xf numFmtId="171" fontId="40" fillId="2" borderId="14" xfId="2" applyNumberFormat="1" applyFont="1" applyFill="1" applyBorder="1" applyAlignment="1" applyProtection="1">
      <alignment vertical="center"/>
      <protection locked="0"/>
    </xf>
    <xf numFmtId="2" fontId="56" fillId="2" borderId="52" xfId="1" applyNumberFormat="1" applyFont="1" applyFill="1" applyBorder="1" applyAlignment="1" applyProtection="1">
      <alignment horizontal="center" vertical="center" wrapText="1"/>
      <protection locked="0"/>
    </xf>
    <xf numFmtId="2" fontId="56" fillId="2" borderId="14" xfId="1" applyNumberFormat="1" applyFont="1" applyFill="1" applyBorder="1" applyAlignment="1" applyProtection="1">
      <alignment horizontal="center" vertical="center" wrapText="1"/>
      <protection locked="0"/>
    </xf>
    <xf numFmtId="1" fontId="27" fillId="2" borderId="14" xfId="2" applyNumberFormat="1" applyFont="1" applyFill="1" applyBorder="1" applyAlignment="1" applyProtection="1">
      <alignment horizontal="center" vertical="center"/>
      <protection locked="0"/>
    </xf>
    <xf numFmtId="2" fontId="56" fillId="2" borderId="41" xfId="1" applyNumberFormat="1" applyFont="1" applyFill="1" applyBorder="1" applyAlignment="1" applyProtection="1">
      <alignment horizontal="center" vertical="center" wrapText="1"/>
      <protection locked="0"/>
    </xf>
    <xf numFmtId="2" fontId="57" fillId="2" borderId="14" xfId="0" applyNumberFormat="1" applyFont="1" applyFill="1" applyBorder="1" applyAlignment="1" applyProtection="1">
      <alignment horizontal="center" vertical="center"/>
      <protection locked="0"/>
    </xf>
    <xf numFmtId="0" fontId="40" fillId="2" borderId="0" xfId="0" applyFont="1" applyFill="1" applyAlignment="1" applyProtection="1">
      <alignment horizontal="center" vertical="center"/>
      <protection locked="0"/>
    </xf>
    <xf numFmtId="0" fontId="40" fillId="2" borderId="14" xfId="0" applyFont="1" applyFill="1" applyBorder="1" applyAlignment="1" applyProtection="1">
      <alignment horizontal="center" vertical="center" wrapText="1"/>
      <protection locked="0"/>
    </xf>
    <xf numFmtId="1" fontId="23" fillId="2" borderId="14" xfId="2" applyNumberFormat="1" applyFont="1" applyFill="1" applyBorder="1" applyAlignment="1" applyProtection="1">
      <alignment horizontal="center" vertical="center"/>
      <protection locked="0"/>
    </xf>
    <xf numFmtId="1" fontId="51" fillId="2" borderId="14" xfId="2" applyNumberFormat="1" applyFont="1" applyFill="1" applyBorder="1" applyAlignment="1" applyProtection="1">
      <alignment horizontal="center" vertical="center"/>
      <protection locked="0"/>
    </xf>
    <xf numFmtId="0" fontId="22" fillId="2" borderId="0" xfId="0" applyFont="1" applyFill="1" applyAlignment="1" applyProtection="1">
      <alignment vertical="center"/>
      <protection locked="0"/>
    </xf>
    <xf numFmtId="171" fontId="50" fillId="2" borderId="14" xfId="2" applyNumberFormat="1" applyFont="1" applyFill="1" applyBorder="1" applyAlignment="1" applyProtection="1">
      <alignment horizontal="center" vertical="center"/>
      <protection locked="0"/>
    </xf>
    <xf numFmtId="0" fontId="46" fillId="2" borderId="12" xfId="0" applyFont="1" applyFill="1" applyBorder="1" applyAlignment="1" applyProtection="1">
      <alignment vertical="center"/>
      <protection locked="0"/>
    </xf>
    <xf numFmtId="0" fontId="46" fillId="2" borderId="6" xfId="0" applyFont="1" applyFill="1" applyBorder="1" applyAlignment="1" applyProtection="1">
      <alignment vertical="center"/>
      <protection locked="0"/>
    </xf>
    <xf numFmtId="0" fontId="46" fillId="2" borderId="6" xfId="0" applyFont="1" applyFill="1" applyBorder="1" applyAlignment="1" applyProtection="1">
      <alignment horizontal="center" vertical="center"/>
      <protection locked="0"/>
    </xf>
    <xf numFmtId="0" fontId="46" fillId="2" borderId="13" xfId="0" applyFont="1" applyFill="1" applyBorder="1" applyAlignment="1" applyProtection="1">
      <alignment vertical="center"/>
      <protection locked="0"/>
    </xf>
    <xf numFmtId="0" fontId="62" fillId="4" borderId="3" xfId="0" applyFont="1" applyFill="1" applyBorder="1" applyAlignment="1">
      <alignment horizontal="center" vertical="center" wrapText="1"/>
    </xf>
    <xf numFmtId="0" fontId="65" fillId="4" borderId="2" xfId="3" applyFont="1" applyFill="1" applyBorder="1" applyAlignment="1" applyProtection="1">
      <alignment horizontal="center" vertical="center"/>
    </xf>
    <xf numFmtId="0" fontId="68" fillId="2" borderId="0" xfId="0" applyFont="1" applyFill="1"/>
    <xf numFmtId="0" fontId="69" fillId="2" borderId="0" xfId="0" applyFont="1" applyFill="1"/>
    <xf numFmtId="0" fontId="68" fillId="2" borderId="0" xfId="0" applyFont="1" applyFill="1" applyProtection="1">
      <protection locked="0"/>
    </xf>
    <xf numFmtId="0" fontId="73" fillId="2" borderId="0" xfId="0" applyFont="1" applyFill="1" applyAlignment="1">
      <alignment vertical="center"/>
    </xf>
    <xf numFmtId="0" fontId="73" fillId="2" borderId="0" xfId="0" applyFont="1" applyFill="1" applyAlignment="1">
      <alignment horizontal="center" vertical="center"/>
    </xf>
    <xf numFmtId="0" fontId="74" fillId="2" borderId="0" xfId="0" applyFont="1" applyFill="1" applyAlignment="1">
      <alignment horizontal="center" vertical="center" wrapText="1"/>
    </xf>
    <xf numFmtId="0" fontId="75" fillId="9" borderId="0" xfId="0" applyFont="1" applyFill="1" applyAlignment="1">
      <alignment horizontal="left" vertical="center"/>
    </xf>
    <xf numFmtId="0" fontId="76" fillId="9" borderId="0" xfId="0" applyFont="1" applyFill="1" applyAlignment="1">
      <alignment horizontal="left" vertical="center"/>
    </xf>
    <xf numFmtId="0" fontId="77" fillId="2" borderId="0" xfId="0" applyFont="1" applyFill="1"/>
    <xf numFmtId="0" fontId="78" fillId="9" borderId="8" xfId="0" applyFont="1" applyFill="1" applyBorder="1" applyAlignment="1" applyProtection="1">
      <alignment horizontal="center" vertical="center"/>
      <protection hidden="1"/>
    </xf>
    <xf numFmtId="0" fontId="78" fillId="9" borderId="4" xfId="0" applyFont="1" applyFill="1" applyBorder="1" applyAlignment="1" applyProtection="1">
      <alignment horizontal="center" vertical="center"/>
      <protection hidden="1"/>
    </xf>
    <xf numFmtId="0" fontId="77" fillId="2" borderId="4" xfId="0" applyFont="1" applyFill="1" applyBorder="1" applyProtection="1">
      <protection hidden="1"/>
    </xf>
    <xf numFmtId="0" fontId="77" fillId="2" borderId="9" xfId="0" applyFont="1" applyFill="1" applyBorder="1" applyProtection="1">
      <protection hidden="1"/>
    </xf>
    <xf numFmtId="0" fontId="78" fillId="10" borderId="15" xfId="0" applyFont="1" applyFill="1" applyBorder="1" applyAlignment="1" applyProtection="1">
      <alignment horizontal="center" vertical="center"/>
      <protection hidden="1"/>
    </xf>
    <xf numFmtId="0" fontId="78" fillId="10" borderId="0" xfId="0" applyFont="1" applyFill="1" applyAlignment="1" applyProtection="1">
      <alignment horizontal="center" vertical="center"/>
      <protection hidden="1"/>
    </xf>
    <xf numFmtId="0" fontId="77" fillId="2" borderId="11" xfId="0" applyFont="1" applyFill="1" applyBorder="1" applyProtection="1">
      <protection hidden="1"/>
    </xf>
    <xf numFmtId="0" fontId="78" fillId="9" borderId="10" xfId="0" applyFont="1" applyFill="1" applyBorder="1" applyAlignment="1" applyProtection="1">
      <alignment horizontal="center" vertical="center"/>
      <protection hidden="1"/>
    </xf>
    <xf numFmtId="0" fontId="78" fillId="9" borderId="0" xfId="0" applyFont="1" applyFill="1" applyAlignment="1" applyProtection="1">
      <alignment horizontal="center" vertical="center"/>
      <protection hidden="1"/>
    </xf>
    <xf numFmtId="0" fontId="77" fillId="2" borderId="0" xfId="0" applyFont="1" applyFill="1" applyProtection="1">
      <protection hidden="1"/>
    </xf>
    <xf numFmtId="9" fontId="79" fillId="2" borderId="0" xfId="0" applyNumberFormat="1" applyFont="1" applyFill="1" applyAlignment="1" applyProtection="1">
      <alignment horizontal="center"/>
      <protection hidden="1"/>
    </xf>
    <xf numFmtId="164" fontId="78" fillId="4" borderId="16" xfId="0" applyNumberFormat="1" applyFont="1" applyFill="1" applyBorder="1" applyAlignment="1" applyProtection="1">
      <alignment horizontal="center" vertical="center"/>
      <protection hidden="1"/>
    </xf>
    <xf numFmtId="0" fontId="78" fillId="10" borderId="0" xfId="0" applyFont="1" applyFill="1" applyAlignment="1" applyProtection="1">
      <alignment horizontal="right" vertical="center"/>
      <protection hidden="1"/>
    </xf>
    <xf numFmtId="14" fontId="78" fillId="4" borderId="16" xfId="0" applyNumberFormat="1" applyFont="1" applyFill="1" applyBorder="1" applyAlignment="1" applyProtection="1">
      <alignment horizontal="center" vertical="center"/>
      <protection hidden="1"/>
    </xf>
    <xf numFmtId="165" fontId="78" fillId="4" borderId="16" xfId="0" applyNumberFormat="1" applyFont="1" applyFill="1" applyBorder="1" applyAlignment="1" applyProtection="1">
      <alignment horizontal="center" vertical="center"/>
      <protection hidden="1"/>
    </xf>
    <xf numFmtId="166" fontId="78" fillId="4" borderId="16" xfId="0" applyNumberFormat="1" applyFont="1" applyFill="1" applyBorder="1" applyAlignment="1" applyProtection="1">
      <alignment horizontal="center" vertical="center"/>
      <protection hidden="1"/>
    </xf>
    <xf numFmtId="9" fontId="78" fillId="4" borderId="16" xfId="2" applyFont="1" applyFill="1" applyBorder="1" applyAlignment="1" applyProtection="1">
      <alignment horizontal="center" vertical="center"/>
      <protection hidden="1"/>
    </xf>
    <xf numFmtId="167" fontId="78" fillId="4" borderId="14" xfId="0" applyNumberFormat="1" applyFont="1" applyFill="1" applyBorder="1" applyAlignment="1" applyProtection="1">
      <alignment horizontal="center" vertical="center"/>
      <protection hidden="1"/>
    </xf>
    <xf numFmtId="0" fontId="73" fillId="2" borderId="12" xfId="0" applyFont="1" applyFill="1" applyBorder="1" applyAlignment="1" applyProtection="1">
      <alignment vertical="center"/>
      <protection hidden="1"/>
    </xf>
    <xf numFmtId="0" fontId="73" fillId="2" borderId="6" xfId="0" applyFont="1" applyFill="1" applyBorder="1" applyAlignment="1" applyProtection="1">
      <alignment vertical="center"/>
      <protection hidden="1"/>
    </xf>
    <xf numFmtId="0" fontId="80" fillId="2" borderId="6" xfId="0" applyFont="1" applyFill="1" applyBorder="1" applyAlignment="1" applyProtection="1">
      <alignment vertical="center"/>
      <protection hidden="1"/>
    </xf>
    <xf numFmtId="0" fontId="77" fillId="2" borderId="6" xfId="0" applyFont="1" applyFill="1" applyBorder="1" applyProtection="1">
      <protection hidden="1"/>
    </xf>
    <xf numFmtId="0" fontId="77" fillId="2" borderId="13" xfId="0" applyFont="1" applyFill="1" applyBorder="1" applyProtection="1">
      <protection hidden="1"/>
    </xf>
    <xf numFmtId="0" fontId="79" fillId="9" borderId="8" xfId="0" applyFont="1" applyFill="1" applyBorder="1" applyAlignment="1" applyProtection="1">
      <alignment horizontal="center" vertical="center"/>
      <protection hidden="1"/>
    </xf>
    <xf numFmtId="0" fontId="79" fillId="9" borderId="4" xfId="0" applyFont="1" applyFill="1" applyBorder="1" applyAlignment="1" applyProtection="1">
      <alignment horizontal="center" vertical="center"/>
      <protection hidden="1"/>
    </xf>
    <xf numFmtId="0" fontId="68" fillId="2" borderId="4" xfId="0" applyFont="1" applyFill="1" applyBorder="1" applyProtection="1">
      <protection hidden="1"/>
    </xf>
    <xf numFmtId="0" fontId="78" fillId="3" borderId="15" xfId="0" applyFont="1" applyFill="1" applyBorder="1" applyAlignment="1" applyProtection="1">
      <alignment horizontal="center" vertical="center"/>
      <protection hidden="1"/>
    </xf>
    <xf numFmtId="0" fontId="78" fillId="3" borderId="0" xfId="0" applyFont="1" applyFill="1" applyAlignment="1" applyProtection="1">
      <alignment horizontal="center" vertical="center"/>
      <protection hidden="1"/>
    </xf>
    <xf numFmtId="0" fontId="81" fillId="4" borderId="2" xfId="3" applyFont="1" applyFill="1" applyBorder="1" applyAlignment="1" applyProtection="1">
      <alignment horizontal="center" vertical="center"/>
      <protection locked="0" hidden="1"/>
    </xf>
    <xf numFmtId="0" fontId="82" fillId="2" borderId="0" xfId="3" applyFont="1" applyFill="1" applyAlignment="1" applyProtection="1">
      <alignment horizontal="center" vertical="center"/>
      <protection hidden="1"/>
    </xf>
    <xf numFmtId="0" fontId="68" fillId="2" borderId="0" xfId="0" applyFont="1" applyFill="1" applyProtection="1">
      <protection hidden="1"/>
    </xf>
    <xf numFmtId="0" fontId="78" fillId="3" borderId="10" xfId="0" applyFont="1" applyFill="1" applyBorder="1" applyAlignment="1" applyProtection="1">
      <alignment horizontal="center" vertical="center"/>
      <protection hidden="1"/>
    </xf>
    <xf numFmtId="0" fontId="75" fillId="2" borderId="0" xfId="0" applyFont="1" applyFill="1" applyAlignment="1" applyProtection="1">
      <alignment vertical="center" textRotation="90"/>
      <protection hidden="1"/>
    </xf>
    <xf numFmtId="0" fontId="86" fillId="2" borderId="0" xfId="0" applyFont="1" applyFill="1" applyAlignment="1" applyProtection="1">
      <alignment vertical="center"/>
      <protection hidden="1"/>
    </xf>
    <xf numFmtId="0" fontId="87" fillId="11" borderId="0" xfId="0" applyFont="1" applyFill="1" applyAlignment="1" applyProtection="1">
      <alignment horizontal="center" vertical="center" wrapText="1"/>
      <protection hidden="1"/>
    </xf>
    <xf numFmtId="0" fontId="87" fillId="11" borderId="0" xfId="0" applyFont="1" applyFill="1" applyAlignment="1" applyProtection="1">
      <alignment horizontal="center" vertical="center"/>
      <protection hidden="1"/>
    </xf>
    <xf numFmtId="0" fontId="87" fillId="7" borderId="0" xfId="0" applyFont="1" applyFill="1" applyAlignment="1" applyProtection="1">
      <alignment horizontal="center" vertical="center" wrapText="1"/>
      <protection hidden="1"/>
    </xf>
    <xf numFmtId="0" fontId="88" fillId="2" borderId="0" xfId="0" applyFont="1" applyFill="1" applyAlignment="1" applyProtection="1">
      <alignment horizontal="center" vertical="center"/>
      <protection hidden="1"/>
    </xf>
    <xf numFmtId="0" fontId="76" fillId="11" borderId="0" xfId="0" applyFont="1" applyFill="1" applyAlignment="1" applyProtection="1">
      <alignment horizontal="center" wrapText="1"/>
      <protection hidden="1"/>
    </xf>
    <xf numFmtId="0" fontId="68" fillId="2" borderId="0" xfId="0" applyFont="1" applyFill="1" applyAlignment="1" applyProtection="1">
      <alignment horizontal="left"/>
      <protection locked="0"/>
    </xf>
    <xf numFmtId="0" fontId="78" fillId="3" borderId="8" xfId="0" applyFont="1" applyFill="1" applyBorder="1" applyAlignment="1" applyProtection="1">
      <alignment horizontal="center" vertical="center"/>
      <protection hidden="1"/>
    </xf>
    <xf numFmtId="0" fontId="78" fillId="3" borderId="4" xfId="0" applyFont="1" applyFill="1" applyBorder="1" applyAlignment="1" applyProtection="1">
      <alignment vertical="center"/>
      <protection hidden="1"/>
    </xf>
    <xf numFmtId="0" fontId="78" fillId="3" borderId="4" xfId="0" applyFont="1" applyFill="1" applyBorder="1" applyAlignment="1">
      <alignment vertical="center"/>
    </xf>
    <xf numFmtId="0" fontId="68" fillId="2" borderId="4" xfId="0" applyFont="1" applyFill="1" applyBorder="1"/>
    <xf numFmtId="0" fontId="77" fillId="2" borderId="4" xfId="0" applyFont="1" applyFill="1" applyBorder="1"/>
    <xf numFmtId="0" fontId="84" fillId="2" borderId="4" xfId="0" applyFont="1" applyFill="1" applyBorder="1" applyProtection="1">
      <protection hidden="1"/>
    </xf>
    <xf numFmtId="0" fontId="79" fillId="12" borderId="14" xfId="0" applyFont="1" applyFill="1" applyBorder="1" applyAlignment="1" applyProtection="1">
      <alignment horizontal="center" vertical="center" wrapText="1"/>
      <protection hidden="1"/>
    </xf>
    <xf numFmtId="0" fontId="89" fillId="2" borderId="0" xfId="0" applyFont="1" applyFill="1" applyAlignment="1" applyProtection="1">
      <alignment horizontal="center" vertical="center"/>
      <protection hidden="1"/>
    </xf>
    <xf numFmtId="10" fontId="90" fillId="0" borderId="14" xfId="0" applyNumberFormat="1" applyFont="1" applyBorder="1" applyAlignment="1" applyProtection="1">
      <alignment horizontal="center" vertical="center"/>
      <protection hidden="1"/>
    </xf>
    <xf numFmtId="14" fontId="90" fillId="13" borderId="14" xfId="0" applyNumberFormat="1" applyFont="1" applyFill="1" applyBorder="1" applyAlignment="1" applyProtection="1">
      <alignment horizontal="center" vertical="center"/>
      <protection locked="0"/>
    </xf>
    <xf numFmtId="10" fontId="90" fillId="13" borderId="14" xfId="0" applyNumberFormat="1" applyFont="1" applyFill="1" applyBorder="1" applyAlignment="1" applyProtection="1">
      <alignment horizontal="center" vertical="center" wrapText="1"/>
      <protection locked="0" hidden="1"/>
    </xf>
    <xf numFmtId="10" fontId="90" fillId="13" borderId="14" xfId="0" applyNumberFormat="1" applyFont="1" applyFill="1" applyBorder="1" applyAlignment="1" applyProtection="1">
      <alignment horizontal="center" vertical="center"/>
      <protection locked="0"/>
    </xf>
    <xf numFmtId="10" fontId="90" fillId="14" borderId="14" xfId="0" applyNumberFormat="1" applyFont="1" applyFill="1" applyBorder="1" applyAlignment="1" applyProtection="1">
      <alignment horizontal="center" vertical="center"/>
      <protection hidden="1"/>
    </xf>
    <xf numFmtId="0" fontId="68" fillId="2" borderId="11" xfId="0" applyFont="1" applyFill="1" applyBorder="1" applyProtection="1">
      <protection hidden="1"/>
    </xf>
    <xf numFmtId="0" fontId="79" fillId="12" borderId="14" xfId="0" applyFont="1" applyFill="1" applyBorder="1" applyAlignment="1" applyProtection="1">
      <alignment horizontal="center" vertical="center"/>
      <protection hidden="1"/>
    </xf>
    <xf numFmtId="9" fontId="68" fillId="2" borderId="0" xfId="2" applyFont="1" applyFill="1" applyAlignment="1" applyProtection="1">
      <alignment horizontal="left"/>
      <protection locked="0"/>
    </xf>
    <xf numFmtId="0" fontId="78" fillId="10" borderId="10" xfId="0" applyFont="1" applyFill="1" applyBorder="1" applyAlignment="1" applyProtection="1">
      <alignment horizontal="center" vertical="center"/>
      <protection hidden="1"/>
    </xf>
    <xf numFmtId="0" fontId="78" fillId="10" borderId="0" xfId="0" applyFont="1" applyFill="1" applyAlignment="1" applyProtection="1">
      <alignment vertical="center" wrapText="1"/>
      <protection hidden="1"/>
    </xf>
    <xf numFmtId="0" fontId="92" fillId="10" borderId="0" xfId="0" applyFont="1" applyFill="1" applyAlignment="1" applyProtection="1">
      <alignment vertical="center"/>
      <protection hidden="1"/>
    </xf>
    <xf numFmtId="0" fontId="93" fillId="10" borderId="0" xfId="0" applyFont="1" applyFill="1" applyAlignment="1" applyProtection="1">
      <alignment vertical="center"/>
      <protection hidden="1"/>
    </xf>
    <xf numFmtId="10" fontId="79" fillId="12" borderId="14" xfId="0" applyNumberFormat="1" applyFont="1" applyFill="1" applyBorder="1" applyAlignment="1" applyProtection="1">
      <alignment horizontal="center" vertical="center"/>
      <protection hidden="1"/>
    </xf>
    <xf numFmtId="0" fontId="79" fillId="12" borderId="14" xfId="0" applyFont="1" applyFill="1" applyBorder="1" applyAlignment="1">
      <alignment horizontal="center" vertical="center"/>
    </xf>
    <xf numFmtId="0" fontId="92" fillId="10" borderId="0" xfId="0" applyFont="1" applyFill="1" applyAlignment="1">
      <alignment vertical="center"/>
    </xf>
    <xf numFmtId="0" fontId="78" fillId="10" borderId="12" xfId="0" applyFont="1" applyFill="1" applyBorder="1" applyAlignment="1" applyProtection="1">
      <alignment horizontal="center" vertical="center"/>
      <protection hidden="1"/>
    </xf>
    <xf numFmtId="0" fontId="78" fillId="10" borderId="6" xfId="0" applyFont="1" applyFill="1" applyBorder="1" applyAlignment="1" applyProtection="1">
      <alignment vertical="center" wrapText="1"/>
      <protection hidden="1"/>
    </xf>
    <xf numFmtId="0" fontId="92" fillId="10" borderId="6" xfId="0" applyFont="1" applyFill="1" applyBorder="1" applyAlignment="1" applyProtection="1">
      <alignment vertical="center"/>
      <protection hidden="1"/>
    </xf>
    <xf numFmtId="0" fontId="92" fillId="10" borderId="6" xfId="0" applyFont="1" applyFill="1" applyBorder="1" applyAlignment="1">
      <alignment vertical="center"/>
    </xf>
    <xf numFmtId="0" fontId="94" fillId="10" borderId="6" xfId="0" applyFont="1" applyFill="1" applyBorder="1" applyAlignment="1">
      <alignment vertical="center"/>
    </xf>
    <xf numFmtId="0" fontId="75" fillId="2" borderId="6" xfId="0" applyFont="1" applyFill="1" applyBorder="1" applyAlignment="1">
      <alignment vertical="center" textRotation="90"/>
    </xf>
    <xf numFmtId="0" fontId="86" fillId="2" borderId="6" xfId="0" applyFont="1" applyFill="1" applyBorder="1" applyAlignment="1">
      <alignment vertical="center"/>
    </xf>
    <xf numFmtId="0" fontId="68" fillId="2" borderId="6" xfId="0" applyFont="1" applyFill="1" applyBorder="1"/>
    <xf numFmtId="0" fontId="68" fillId="2" borderId="6" xfId="0" applyFont="1" applyFill="1" applyBorder="1" applyProtection="1">
      <protection hidden="1"/>
    </xf>
    <xf numFmtId="0" fontId="68" fillId="2" borderId="13" xfId="0" applyFont="1" applyFill="1" applyBorder="1" applyProtection="1">
      <protection hidden="1"/>
    </xf>
    <xf numFmtId="0" fontId="78" fillId="2" borderId="0" xfId="0" applyFont="1" applyFill="1" applyAlignment="1">
      <alignment vertical="center"/>
    </xf>
    <xf numFmtId="0" fontId="92" fillId="2" borderId="0" xfId="0" applyFont="1" applyFill="1" applyAlignment="1">
      <alignment vertical="center"/>
    </xf>
    <xf numFmtId="0" fontId="95" fillId="9" borderId="0" xfId="0" applyFont="1" applyFill="1" applyAlignment="1">
      <alignment horizontal="left" vertical="center"/>
    </xf>
    <xf numFmtId="0" fontId="78" fillId="9" borderId="8" xfId="0" applyFont="1" applyFill="1" applyBorder="1" applyAlignment="1">
      <alignment horizontal="left" vertical="center"/>
    </xf>
    <xf numFmtId="0" fontId="78" fillId="9" borderId="4" xfId="0" applyFont="1" applyFill="1" applyBorder="1" applyAlignment="1">
      <alignment horizontal="left" vertical="center"/>
    </xf>
    <xf numFmtId="0" fontId="77" fillId="2" borderId="4" xfId="0" applyFont="1" applyFill="1" applyBorder="1" applyAlignment="1">
      <alignment horizontal="left"/>
    </xf>
    <xf numFmtId="0" fontId="77" fillId="2" borderId="9" xfId="0" applyFont="1" applyFill="1" applyBorder="1"/>
    <xf numFmtId="0" fontId="96" fillId="10" borderId="10" xfId="0" applyFont="1" applyFill="1" applyBorder="1" applyAlignment="1">
      <alignment horizontal="center" vertical="center" wrapText="1"/>
    </xf>
    <xf numFmtId="0" fontId="78" fillId="10" borderId="0" xfId="0" applyFont="1" applyFill="1" applyAlignment="1">
      <alignment horizontal="center" vertical="center"/>
    </xf>
    <xf numFmtId="0" fontId="78" fillId="2" borderId="10" xfId="0" applyFont="1" applyFill="1" applyBorder="1" applyAlignment="1">
      <alignment vertical="center"/>
    </xf>
    <xf numFmtId="0" fontId="77" fillId="2" borderId="11" xfId="0" applyFont="1" applyFill="1" applyBorder="1"/>
    <xf numFmtId="0" fontId="73" fillId="2" borderId="10" xfId="0" applyFont="1" applyFill="1" applyBorder="1" applyAlignment="1">
      <alignment vertical="center"/>
    </xf>
    <xf numFmtId="0" fontId="98" fillId="11" borderId="14" xfId="0" applyFont="1" applyFill="1" applyBorder="1" applyAlignment="1" applyProtection="1">
      <alignment horizontal="center" vertical="center" wrapText="1"/>
      <protection hidden="1"/>
    </xf>
    <xf numFmtId="0" fontId="73" fillId="2" borderId="11" xfId="0" applyFont="1" applyFill="1" applyBorder="1" applyAlignment="1">
      <alignment vertical="center"/>
    </xf>
    <xf numFmtId="0" fontId="100" fillId="4" borderId="14" xfId="0" applyFont="1" applyFill="1" applyBorder="1" applyAlignment="1" applyProtection="1">
      <alignment horizontal="center" vertical="center" wrapText="1"/>
      <protection hidden="1"/>
    </xf>
    <xf numFmtId="0" fontId="68" fillId="2" borderId="12" xfId="0" applyFont="1" applyFill="1" applyBorder="1"/>
    <xf numFmtId="0" fontId="101" fillId="10" borderId="6" xfId="0" applyFont="1" applyFill="1" applyBorder="1" applyAlignment="1">
      <alignment horizontal="center" vertical="center" wrapText="1"/>
    </xf>
    <xf numFmtId="0" fontId="78" fillId="10" borderId="6" xfId="0" applyFont="1" applyFill="1" applyBorder="1" applyAlignment="1">
      <alignment horizontal="center" vertical="center" wrapText="1"/>
    </xf>
    <xf numFmtId="0" fontId="78" fillId="10" borderId="13" xfId="0" applyFont="1" applyFill="1" applyBorder="1" applyAlignment="1">
      <alignment horizontal="center" vertical="center" wrapText="1"/>
    </xf>
    <xf numFmtId="0" fontId="101" fillId="10" borderId="0" xfId="0" applyFont="1" applyFill="1" applyAlignment="1">
      <alignment horizontal="center" vertical="center" wrapText="1"/>
    </xf>
    <xf numFmtId="0" fontId="78" fillId="10" borderId="0" xfId="0" applyFont="1" applyFill="1" applyAlignment="1">
      <alignment horizontal="center" vertical="center" wrapText="1"/>
    </xf>
    <xf numFmtId="0" fontId="102" fillId="12" borderId="14" xfId="0" applyFont="1" applyFill="1" applyBorder="1" applyAlignment="1">
      <alignment horizontal="center" vertical="center" wrapText="1"/>
    </xf>
    <xf numFmtId="0" fontId="79" fillId="7" borderId="14" xfId="0" applyFont="1" applyFill="1" applyBorder="1" applyAlignment="1">
      <alignment horizontal="center" vertical="center" wrapText="1"/>
    </xf>
    <xf numFmtId="0" fontId="102" fillId="12" borderId="21" xfId="0" applyFont="1" applyFill="1" applyBorder="1" applyAlignment="1">
      <alignment horizontal="center" vertical="center" wrapText="1"/>
    </xf>
    <xf numFmtId="0" fontId="79" fillId="7" borderId="22" xfId="0" applyFont="1" applyFill="1" applyBorder="1" applyAlignment="1" applyProtection="1">
      <alignment horizontal="center" vertical="center" wrapText="1"/>
      <protection hidden="1"/>
    </xf>
    <xf numFmtId="0" fontId="78" fillId="3" borderId="0" xfId="0" applyFont="1" applyFill="1" applyAlignment="1">
      <alignment horizontal="center" vertical="center" wrapText="1"/>
    </xf>
    <xf numFmtId="0" fontId="73" fillId="13" borderId="14" xfId="0" applyFont="1" applyFill="1" applyBorder="1" applyAlignment="1" applyProtection="1">
      <alignment horizontal="center" vertical="center" wrapText="1"/>
      <protection locked="0"/>
    </xf>
    <xf numFmtId="9" fontId="73" fillId="13" borderId="14" xfId="2" applyFont="1" applyFill="1" applyBorder="1" applyAlignment="1" applyProtection="1">
      <alignment horizontal="center" vertical="center"/>
      <protection locked="0"/>
    </xf>
    <xf numFmtId="3" fontId="73" fillId="13" borderId="14" xfId="0" applyNumberFormat="1" applyFont="1" applyFill="1" applyBorder="1" applyAlignment="1" applyProtection="1">
      <alignment horizontal="center" vertical="center"/>
      <protection locked="0"/>
    </xf>
    <xf numFmtId="168" fontId="73" fillId="0" borderId="14" xfId="0" applyNumberFormat="1" applyFont="1" applyBorder="1" applyAlignment="1" applyProtection="1">
      <alignment horizontal="center" vertical="center" wrapText="1"/>
      <protection hidden="1"/>
    </xf>
    <xf numFmtId="0" fontId="73" fillId="13" borderId="27" xfId="0" applyFont="1" applyFill="1" applyBorder="1" applyAlignment="1" applyProtection="1">
      <alignment horizontal="center" vertical="center" wrapText="1"/>
      <protection locked="0"/>
    </xf>
    <xf numFmtId="9" fontId="73" fillId="13" borderId="27" xfId="2" applyFont="1" applyFill="1" applyBorder="1" applyAlignment="1" applyProtection="1">
      <alignment horizontal="center" vertical="center"/>
      <protection locked="0"/>
    </xf>
    <xf numFmtId="3" fontId="73" fillId="13" borderId="27" xfId="0" applyNumberFormat="1" applyFont="1" applyFill="1" applyBorder="1" applyAlignment="1" applyProtection="1">
      <alignment horizontal="center" vertical="center"/>
      <protection locked="0"/>
    </xf>
    <xf numFmtId="168" fontId="73" fillId="0" borderId="27" xfId="0" applyNumberFormat="1" applyFont="1" applyBorder="1" applyAlignment="1" applyProtection="1">
      <alignment horizontal="center" vertical="center" wrapText="1"/>
      <protection hidden="1"/>
    </xf>
    <xf numFmtId="0" fontId="73" fillId="13" borderId="31" xfId="0" applyFont="1" applyFill="1" applyBorder="1" applyAlignment="1" applyProtection="1">
      <alignment horizontal="center" vertical="center" wrapText="1"/>
      <protection locked="0"/>
    </xf>
    <xf numFmtId="9" fontId="73" fillId="13" borderId="31" xfId="2" applyFont="1" applyFill="1" applyBorder="1" applyAlignment="1" applyProtection="1">
      <alignment horizontal="center" vertical="center"/>
      <protection locked="0"/>
    </xf>
    <xf numFmtId="3" fontId="73" fillId="13" borderId="31" xfId="0" applyNumberFormat="1" applyFont="1" applyFill="1" applyBorder="1" applyAlignment="1" applyProtection="1">
      <alignment horizontal="center" vertical="center"/>
      <protection locked="0"/>
    </xf>
    <xf numFmtId="166" fontId="68" fillId="2" borderId="0" xfId="0" applyNumberFormat="1" applyFont="1" applyFill="1" applyAlignment="1" applyProtection="1">
      <alignment horizontal="center" vertical="center"/>
      <protection locked="0"/>
    </xf>
    <xf numFmtId="0" fontId="73" fillId="13" borderId="36" xfId="0" applyFont="1" applyFill="1" applyBorder="1" applyAlignment="1" applyProtection="1">
      <alignment horizontal="center" vertical="center" wrapText="1"/>
      <protection locked="0"/>
    </xf>
    <xf numFmtId="9" fontId="73" fillId="13" borderId="36" xfId="2" applyFont="1" applyFill="1" applyBorder="1" applyAlignment="1" applyProtection="1">
      <alignment horizontal="center" vertical="center"/>
      <protection locked="0"/>
    </xf>
    <xf numFmtId="3" fontId="73" fillId="13" borderId="36" xfId="0" applyNumberFormat="1" applyFont="1" applyFill="1" applyBorder="1" applyAlignment="1" applyProtection="1">
      <alignment horizontal="center" vertical="center"/>
      <protection locked="0"/>
    </xf>
    <xf numFmtId="168" fontId="68" fillId="2" borderId="0" xfId="0" applyNumberFormat="1" applyFont="1" applyFill="1" applyAlignment="1" applyProtection="1">
      <alignment horizontal="center" vertical="center"/>
      <protection locked="0"/>
    </xf>
    <xf numFmtId="0" fontId="68" fillId="2" borderId="0" xfId="0" applyFont="1" applyFill="1" applyAlignment="1" applyProtection="1">
      <alignment vertical="center"/>
      <protection locked="0"/>
    </xf>
    <xf numFmtId="0" fontId="68" fillId="2" borderId="0" xfId="0" quotePrefix="1" applyFont="1" applyFill="1" applyAlignment="1" applyProtection="1">
      <alignment vertical="center"/>
      <protection locked="0"/>
    </xf>
    <xf numFmtId="168" fontId="73" fillId="14" borderId="31" xfId="0" applyNumberFormat="1" applyFont="1" applyFill="1" applyBorder="1" applyAlignment="1" applyProtection="1">
      <alignment horizontal="center" vertical="center" wrapText="1"/>
      <protection hidden="1"/>
    </xf>
    <xf numFmtId="168" fontId="73" fillId="14" borderId="14" xfId="0" applyNumberFormat="1" applyFont="1" applyFill="1" applyBorder="1" applyAlignment="1" applyProtection="1">
      <alignment horizontal="center" vertical="center" wrapText="1"/>
      <protection hidden="1"/>
    </xf>
    <xf numFmtId="168" fontId="73" fillId="14" borderId="27" xfId="0" applyNumberFormat="1" applyFont="1" applyFill="1" applyBorder="1" applyAlignment="1" applyProtection="1">
      <alignment horizontal="center" vertical="center" wrapText="1"/>
      <protection hidden="1"/>
    </xf>
    <xf numFmtId="0" fontId="95" fillId="2" borderId="0" xfId="0" applyFont="1" applyFill="1" applyAlignment="1">
      <alignment vertical="center" wrapText="1"/>
    </xf>
    <xf numFmtId="4" fontId="68" fillId="2" borderId="0" xfId="0" applyNumberFormat="1" applyFont="1" applyFill="1" applyAlignment="1">
      <alignment vertical="center" wrapText="1"/>
    </xf>
    <xf numFmtId="4" fontId="68" fillId="10" borderId="0" xfId="0" applyNumberFormat="1" applyFont="1" applyFill="1" applyAlignment="1">
      <alignment vertical="center" wrapText="1"/>
    </xf>
    <xf numFmtId="168" fontId="74" fillId="15" borderId="14" xfId="0" applyNumberFormat="1" applyFont="1" applyFill="1" applyBorder="1" applyAlignment="1" applyProtection="1">
      <alignment horizontal="center" vertical="center" wrapText="1"/>
      <protection hidden="1"/>
    </xf>
    <xf numFmtId="0" fontId="95" fillId="2" borderId="0" xfId="0" applyFont="1" applyFill="1" applyAlignment="1">
      <alignment vertical="center"/>
    </xf>
    <xf numFmtId="0" fontId="96" fillId="2" borderId="0" xfId="0" applyFont="1" applyFill="1" applyAlignment="1">
      <alignment horizontal="center"/>
    </xf>
    <xf numFmtId="0" fontId="78" fillId="13" borderId="14" xfId="0" applyFont="1" applyFill="1" applyBorder="1" applyAlignment="1">
      <alignment horizontal="center" vertical="center"/>
    </xf>
    <xf numFmtId="4" fontId="68" fillId="2" borderId="0" xfId="0" applyNumberFormat="1" applyFont="1" applyFill="1" applyProtection="1">
      <protection locked="0"/>
    </xf>
    <xf numFmtId="4" fontId="68" fillId="2" borderId="0" xfId="0" applyNumberFormat="1" applyFont="1" applyFill="1"/>
    <xf numFmtId="9" fontId="95" fillId="0" borderId="18" xfId="0" applyNumberFormat="1" applyFont="1" applyBorder="1" applyAlignment="1">
      <alignment horizontal="center" vertical="center" wrapText="1"/>
    </xf>
    <xf numFmtId="167" fontId="95" fillId="0" borderId="18" xfId="0" applyNumberFormat="1" applyFont="1" applyBorder="1" applyAlignment="1">
      <alignment horizontal="center" vertical="center" wrapText="1"/>
    </xf>
    <xf numFmtId="0" fontId="74" fillId="2" borderId="0" xfId="0" applyFont="1" applyFill="1" applyAlignment="1">
      <alignment vertical="center" wrapText="1"/>
    </xf>
    <xf numFmtId="9" fontId="95" fillId="0" borderId="18" xfId="0" applyNumberFormat="1" applyFont="1" applyBorder="1" applyAlignment="1">
      <alignment horizontal="left" vertical="center" wrapText="1"/>
    </xf>
    <xf numFmtId="2" fontId="95" fillId="0" borderId="19" xfId="1" applyNumberFormat="1" applyFont="1" applyBorder="1" applyAlignment="1">
      <alignment horizontal="center" vertical="center" wrapText="1"/>
    </xf>
    <xf numFmtId="2" fontId="68" fillId="2" borderId="0" xfId="0" applyNumberFormat="1" applyFont="1" applyFill="1"/>
    <xf numFmtId="0" fontId="95" fillId="2" borderId="0" xfId="0" applyFont="1" applyFill="1" applyAlignment="1">
      <alignment horizontal="center" vertical="center"/>
    </xf>
    <xf numFmtId="0" fontId="101" fillId="13" borderId="14" xfId="0" applyFont="1" applyFill="1" applyBorder="1" applyAlignment="1">
      <alignment horizontal="center" vertical="center" wrapText="1"/>
    </xf>
    <xf numFmtId="0" fontId="106" fillId="2" borderId="0" xfId="0" applyFont="1" applyFill="1" applyAlignment="1">
      <alignment horizontal="left"/>
    </xf>
    <xf numFmtId="9" fontId="74" fillId="0" borderId="14" xfId="0" applyNumberFormat="1" applyFont="1" applyBorder="1" applyAlignment="1" applyProtection="1">
      <alignment horizontal="center" vertical="center"/>
      <protection hidden="1"/>
    </xf>
    <xf numFmtId="4" fontId="74" fillId="0" borderId="14" xfId="0" applyNumberFormat="1" applyFont="1" applyBorder="1" applyAlignment="1" applyProtection="1">
      <alignment horizontal="center" vertical="center"/>
      <protection hidden="1"/>
    </xf>
    <xf numFmtId="0" fontId="73" fillId="2" borderId="0" xfId="0" applyFont="1" applyFill="1" applyAlignment="1">
      <alignment horizontal="center" vertical="center" wrapText="1"/>
    </xf>
    <xf numFmtId="0" fontId="95" fillId="2" borderId="0" xfId="0" applyFont="1" applyFill="1" applyAlignment="1">
      <alignment horizontal="left" vertical="center" indent="1"/>
    </xf>
    <xf numFmtId="4" fontId="74" fillId="2" borderId="0" xfId="0" applyNumberFormat="1" applyFont="1" applyFill="1" applyAlignment="1">
      <alignment horizontal="center" vertical="center"/>
    </xf>
    <xf numFmtId="0" fontId="76" fillId="11" borderId="14" xfId="0" applyFont="1" applyFill="1" applyBorder="1" applyAlignment="1">
      <alignment horizontal="center" vertical="center"/>
    </xf>
    <xf numFmtId="0" fontId="79" fillId="11" borderId="14" xfId="0" applyFont="1" applyFill="1" applyBorder="1" applyAlignment="1">
      <alignment horizontal="center" vertical="center" wrapText="1"/>
    </xf>
    <xf numFmtId="4" fontId="79" fillId="12" borderId="14" xfId="0" applyNumberFormat="1" applyFont="1" applyFill="1" applyBorder="1" applyAlignment="1">
      <alignment horizontal="center" vertical="center" wrapText="1"/>
    </xf>
    <xf numFmtId="0" fontId="108" fillId="2" borderId="0" xfId="0" applyFont="1" applyFill="1" applyAlignment="1">
      <alignment horizontal="left" vertical="center"/>
    </xf>
    <xf numFmtId="0" fontId="78" fillId="5" borderId="17" xfId="0" applyFont="1" applyFill="1" applyBorder="1" applyAlignment="1" applyProtection="1">
      <alignment vertical="center"/>
      <protection hidden="1"/>
    </xf>
    <xf numFmtId="0" fontId="78" fillId="0" borderId="18" xfId="0" applyFont="1" applyBorder="1" applyAlignment="1" applyProtection="1">
      <alignment horizontal="centerContinuous" vertical="center"/>
      <protection hidden="1"/>
    </xf>
    <xf numFmtId="0" fontId="78" fillId="0" borderId="19" xfId="0" applyFont="1" applyBorder="1" applyAlignment="1" applyProtection="1">
      <alignment horizontal="centerContinuous" vertical="center"/>
      <protection hidden="1"/>
    </xf>
    <xf numFmtId="10" fontId="95" fillId="4" borderId="14" xfId="2" applyNumberFormat="1" applyFont="1" applyFill="1" applyBorder="1" applyAlignment="1" applyProtection="1">
      <alignment horizontal="center" vertical="center"/>
      <protection hidden="1"/>
    </xf>
    <xf numFmtId="0" fontId="73" fillId="4" borderId="14" xfId="0" quotePrefix="1" applyFont="1" applyFill="1" applyBorder="1" applyAlignment="1" applyProtection="1">
      <alignment horizontal="center" vertical="center"/>
      <protection hidden="1"/>
    </xf>
    <xf numFmtId="0" fontId="74" fillId="2" borderId="0" xfId="0" applyFont="1" applyFill="1" applyAlignment="1">
      <alignment horizontal="left" vertical="center"/>
    </xf>
    <xf numFmtId="4" fontId="68" fillId="10" borderId="0" xfId="0" applyNumberFormat="1" applyFont="1" applyFill="1" applyAlignment="1">
      <alignment vertical="center"/>
    </xf>
    <xf numFmtId="0" fontId="74" fillId="2" borderId="0" xfId="0" quotePrefix="1" applyFont="1" applyFill="1" applyAlignment="1">
      <alignment horizontal="left" vertical="center"/>
    </xf>
    <xf numFmtId="0" fontId="68" fillId="2" borderId="0" xfId="0" quotePrefix="1" applyFont="1" applyFill="1"/>
    <xf numFmtId="10" fontId="95" fillId="14" borderId="14" xfId="2" applyNumberFormat="1" applyFont="1" applyFill="1" applyBorder="1" applyAlignment="1">
      <alignment horizontal="center" vertical="center"/>
    </xf>
    <xf numFmtId="10" fontId="108" fillId="2" borderId="0" xfId="0" applyNumberFormat="1" applyFont="1" applyFill="1" applyAlignment="1">
      <alignment horizontal="center" vertical="center" wrapText="1"/>
    </xf>
    <xf numFmtId="0" fontId="95" fillId="2" borderId="0" xfId="0" applyFont="1" applyFill="1" applyAlignment="1">
      <alignment horizontal="left" vertical="center"/>
    </xf>
    <xf numFmtId="0" fontId="90" fillId="2" borderId="0" xfId="0" applyFont="1" applyFill="1"/>
    <xf numFmtId="0" fontId="108" fillId="13" borderId="14" xfId="0" applyFont="1" applyFill="1" applyBorder="1" applyAlignment="1">
      <alignment horizontal="center" vertical="center"/>
    </xf>
    <xf numFmtId="0" fontId="108" fillId="2" borderId="0" xfId="0" applyFont="1" applyFill="1" applyAlignment="1">
      <alignment vertical="center"/>
    </xf>
    <xf numFmtId="0" fontId="108" fillId="13" borderId="14" xfId="0" applyFont="1" applyFill="1" applyBorder="1" applyAlignment="1">
      <alignment horizontal="center" vertical="center" wrapText="1"/>
    </xf>
    <xf numFmtId="0" fontId="79" fillId="11" borderId="14" xfId="0" applyFont="1" applyFill="1" applyBorder="1" applyAlignment="1">
      <alignment horizontal="center" vertical="center"/>
    </xf>
    <xf numFmtId="0" fontId="78" fillId="4" borderId="14" xfId="0" applyFont="1" applyFill="1" applyBorder="1" applyAlignment="1" applyProtection="1">
      <alignment horizontal="center" vertical="center" wrapText="1"/>
      <protection hidden="1"/>
    </xf>
    <xf numFmtId="0" fontId="78" fillId="14" borderId="14" xfId="0" applyFont="1" applyFill="1" applyBorder="1" applyAlignment="1" applyProtection="1">
      <alignment horizontal="center" vertical="center" wrapText="1"/>
      <protection hidden="1"/>
    </xf>
    <xf numFmtId="0" fontId="73" fillId="4" borderId="19" xfId="0" applyFont="1" applyFill="1" applyBorder="1" applyAlignment="1">
      <alignment horizontal="center" vertical="center"/>
    </xf>
    <xf numFmtId="0" fontId="78" fillId="4" borderId="36" xfId="0" applyFont="1" applyFill="1" applyBorder="1" applyAlignment="1" applyProtection="1">
      <alignment horizontal="center" vertical="center" wrapText="1"/>
      <protection hidden="1"/>
    </xf>
    <xf numFmtId="0" fontId="78" fillId="14" borderId="36" xfId="0" applyFont="1" applyFill="1" applyBorder="1" applyAlignment="1" applyProtection="1">
      <alignment horizontal="center" vertical="center" wrapText="1"/>
      <protection hidden="1"/>
    </xf>
    <xf numFmtId="0" fontId="78" fillId="13" borderId="14" xfId="0" quotePrefix="1" applyFont="1" applyFill="1" applyBorder="1" applyAlignment="1" applyProtection="1">
      <alignment horizontal="center" vertical="center" wrapText="1"/>
      <protection hidden="1"/>
    </xf>
    <xf numFmtId="0" fontId="78" fillId="2" borderId="8" xfId="0" applyFont="1" applyFill="1" applyBorder="1" applyAlignment="1">
      <alignment horizontal="center" vertical="center" wrapText="1"/>
    </xf>
    <xf numFmtId="0" fontId="73" fillId="2" borderId="4" xfId="0" quotePrefix="1" applyFont="1" applyFill="1" applyBorder="1" applyAlignment="1">
      <alignment horizontal="center" vertical="center" wrapText="1"/>
    </xf>
    <xf numFmtId="0" fontId="73" fillId="2" borderId="4" xfId="0" applyFont="1" applyFill="1" applyBorder="1" applyAlignment="1">
      <alignment horizontal="center" vertical="center" wrapText="1"/>
    </xf>
    <xf numFmtId="0" fontId="78" fillId="2" borderId="4" xfId="0" applyFont="1" applyFill="1" applyBorder="1" applyAlignment="1">
      <alignment horizontal="center" vertical="center" wrapText="1"/>
    </xf>
    <xf numFmtId="0" fontId="101" fillId="13" borderId="14" xfId="0" applyFont="1" applyFill="1" applyBorder="1" applyAlignment="1" applyProtection="1">
      <alignment horizontal="center" vertical="center" wrapText="1"/>
      <protection hidden="1"/>
    </xf>
    <xf numFmtId="0" fontId="78" fillId="2" borderId="14" xfId="0" applyFont="1" applyFill="1" applyBorder="1" applyAlignment="1" applyProtection="1">
      <alignment vertical="center"/>
      <protection hidden="1"/>
    </xf>
    <xf numFmtId="0" fontId="78" fillId="2" borderId="0" xfId="0" applyFont="1" applyFill="1" applyAlignment="1">
      <alignment horizontal="center" vertical="center"/>
    </xf>
    <xf numFmtId="0" fontId="73" fillId="2" borderId="0" xfId="0" quotePrefix="1" applyFont="1" applyFill="1" applyAlignment="1">
      <alignment horizontal="center" vertical="center" wrapText="1"/>
    </xf>
    <xf numFmtId="0" fontId="78" fillId="2" borderId="0" xfId="0" applyFont="1" applyFill="1" applyAlignment="1">
      <alignment horizontal="center" vertical="center" wrapText="1"/>
    </xf>
    <xf numFmtId="0" fontId="78" fillId="11" borderId="14" xfId="0" applyFont="1" applyFill="1" applyBorder="1" applyAlignment="1">
      <alignment horizontal="center" vertical="center" wrapText="1"/>
    </xf>
    <xf numFmtId="0" fontId="78" fillId="11" borderId="14" xfId="0" quotePrefix="1" applyFont="1" applyFill="1" applyBorder="1" applyAlignment="1">
      <alignment horizontal="center" vertical="center" wrapText="1"/>
    </xf>
    <xf numFmtId="0" fontId="68" fillId="14" borderId="0" xfId="0" applyFont="1" applyFill="1"/>
    <xf numFmtId="0" fontId="68" fillId="6" borderId="0" xfId="0" applyFont="1" applyFill="1"/>
    <xf numFmtId="0" fontId="68" fillId="6" borderId="0" xfId="0" applyFont="1" applyFill="1" applyProtection="1">
      <protection locked="0"/>
    </xf>
    <xf numFmtId="0" fontId="60" fillId="0" borderId="3" xfId="3" applyFont="1" applyBorder="1" applyAlignment="1">
      <alignment horizontal="center" vertical="center"/>
    </xf>
    <xf numFmtId="0" fontId="79" fillId="11" borderId="14" xfId="0" quotePrefix="1" applyFont="1" applyFill="1" applyBorder="1" applyAlignment="1" applyProtection="1">
      <alignment horizontal="center" vertical="center"/>
      <protection hidden="1"/>
    </xf>
    <xf numFmtId="0" fontId="27" fillId="13" borderId="14" xfId="0" applyFont="1" applyFill="1" applyBorder="1" applyAlignment="1" applyProtection="1">
      <alignment horizontal="center" vertical="center"/>
      <protection locked="0" hidden="1"/>
    </xf>
    <xf numFmtId="0" fontId="110" fillId="21" borderId="14" xfId="0" applyFont="1" applyFill="1" applyBorder="1" applyAlignment="1">
      <alignment horizontal="center" vertical="center" wrapText="1"/>
    </xf>
    <xf numFmtId="0" fontId="110" fillId="11" borderId="14" xfId="0" applyFont="1" applyFill="1" applyBorder="1" applyAlignment="1">
      <alignment horizontal="center" vertical="center" wrapText="1"/>
    </xf>
    <xf numFmtId="170" fontId="33" fillId="18" borderId="14" xfId="0" applyNumberFormat="1" applyFont="1" applyFill="1" applyBorder="1" applyAlignment="1" applyProtection="1">
      <alignment horizontal="center" vertical="center"/>
      <protection hidden="1"/>
    </xf>
    <xf numFmtId="2" fontId="23" fillId="19" borderId="14" xfId="0" applyNumberFormat="1" applyFont="1" applyFill="1" applyBorder="1" applyAlignment="1" applyProtection="1">
      <alignment horizontal="center" vertical="center"/>
      <protection hidden="1"/>
    </xf>
    <xf numFmtId="0" fontId="61" fillId="4" borderId="3" xfId="3" applyFont="1" applyFill="1" applyBorder="1" applyAlignment="1">
      <alignment horizontal="center" vertical="center"/>
    </xf>
    <xf numFmtId="0" fontId="35" fillId="2" borderId="0" xfId="3" applyFont="1" applyFill="1" applyAlignment="1">
      <alignment horizontal="right" vertical="center" wrapText="1"/>
    </xf>
    <xf numFmtId="0" fontId="48" fillId="2" borderId="6" xfId="3" applyFont="1" applyFill="1" applyBorder="1" applyAlignment="1">
      <alignment horizontal="center" vertical="center"/>
    </xf>
    <xf numFmtId="9" fontId="40" fillId="4" borderId="27" xfId="2" applyFont="1" applyFill="1" applyBorder="1" applyAlignment="1">
      <alignment horizontal="center" vertical="center"/>
    </xf>
    <xf numFmtId="0" fontId="78" fillId="10" borderId="0" xfId="0" applyFont="1" applyFill="1" applyAlignment="1" applyProtection="1">
      <alignment horizontal="right" vertical="center" wrapText="1"/>
      <protection locked="0"/>
    </xf>
    <xf numFmtId="0" fontId="78" fillId="10" borderId="14" xfId="0" applyFont="1" applyFill="1" applyBorder="1" applyAlignment="1" applyProtection="1">
      <alignment horizontal="center" vertical="center" wrapText="1"/>
      <protection locked="0"/>
    </xf>
    <xf numFmtId="0" fontId="78" fillId="10" borderId="0" xfId="0" applyFont="1" applyFill="1" applyAlignment="1" applyProtection="1">
      <alignment horizontal="right" vertical="center"/>
      <protection locked="0"/>
    </xf>
    <xf numFmtId="0" fontId="78" fillId="10" borderId="14" xfId="0" applyFont="1" applyFill="1" applyBorder="1" applyAlignment="1" applyProtection="1">
      <alignment horizontal="center" vertical="center"/>
      <protection locked="0"/>
    </xf>
    <xf numFmtId="171" fontId="40" fillId="2" borderId="0" xfId="2" applyNumberFormat="1" applyFont="1" applyFill="1" applyAlignment="1" applyProtection="1">
      <alignment vertical="center"/>
      <protection locked="0"/>
    </xf>
    <xf numFmtId="1" fontId="51" fillId="2" borderId="0" xfId="2" applyNumberFormat="1" applyFont="1" applyFill="1" applyAlignment="1" applyProtection="1">
      <alignment vertical="center"/>
      <protection locked="0"/>
    </xf>
    <xf numFmtId="0" fontId="9" fillId="2" borderId="6" xfId="0" applyFont="1" applyFill="1" applyBorder="1" applyAlignment="1">
      <alignment horizontal="left" vertical="center"/>
    </xf>
    <xf numFmtId="0" fontId="10"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66" fillId="5" borderId="3" xfId="0" applyFont="1" applyFill="1" applyBorder="1" applyAlignment="1">
      <alignment horizontal="center" vertical="center"/>
    </xf>
    <xf numFmtId="0" fontId="66"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67" fillId="4" borderId="3" xfId="0" applyFont="1" applyFill="1" applyBorder="1" applyAlignment="1">
      <alignment horizontal="center" vertical="center" wrapText="1"/>
    </xf>
    <xf numFmtId="0" fontId="67" fillId="4" borderId="4" xfId="0" applyFont="1" applyFill="1" applyBorder="1" applyAlignment="1">
      <alignment horizontal="center" vertical="center" wrapText="1"/>
    </xf>
    <xf numFmtId="0" fontId="9" fillId="2" borderId="6" xfId="0" applyFont="1" applyFill="1" applyBorder="1" applyAlignment="1">
      <alignment horizontal="left" vertical="center" wrapText="1"/>
    </xf>
    <xf numFmtId="0" fontId="10" fillId="2" borderId="0" xfId="0" applyFont="1" applyFill="1" applyAlignment="1">
      <alignment horizontal="right" vertical="center" indent="1"/>
    </xf>
    <xf numFmtId="0" fontId="10" fillId="4" borderId="7" xfId="0" applyFont="1" applyFill="1" applyBorder="1" applyAlignment="1" applyProtection="1">
      <alignment horizontal="center" vertical="center"/>
      <protection hidden="1"/>
    </xf>
    <xf numFmtId="0" fontId="86" fillId="2" borderId="14" xfId="0" applyFont="1" applyFill="1" applyBorder="1" applyAlignment="1" applyProtection="1">
      <alignment horizontal="center" vertical="center"/>
      <protection hidden="1"/>
    </xf>
    <xf numFmtId="0" fontId="78" fillId="5" borderId="17" xfId="0" applyFont="1" applyFill="1" applyBorder="1" applyAlignment="1" applyProtection="1">
      <alignment horizontal="left" vertical="center" indent="1"/>
      <protection hidden="1"/>
    </xf>
    <xf numFmtId="0" fontId="78" fillId="5" borderId="18" xfId="0" applyFont="1" applyFill="1" applyBorder="1" applyAlignment="1" applyProtection="1">
      <alignment horizontal="left" vertical="center" indent="1"/>
      <protection hidden="1"/>
    </xf>
    <xf numFmtId="0" fontId="78" fillId="5" borderId="19" xfId="0" applyFont="1" applyFill="1" applyBorder="1" applyAlignment="1" applyProtection="1">
      <alignment horizontal="left" vertical="center" indent="1"/>
      <protection hidden="1"/>
    </xf>
    <xf numFmtId="0" fontId="68" fillId="2" borderId="14" xfId="0" applyFont="1" applyFill="1" applyBorder="1" applyAlignment="1">
      <alignment horizontal="center"/>
    </xf>
    <xf numFmtId="0" fontId="70" fillId="7" borderId="8" xfId="0" applyFont="1" applyFill="1" applyBorder="1" applyAlignment="1">
      <alignment horizontal="center" vertical="center" wrapText="1"/>
    </xf>
    <xf numFmtId="0" fontId="70" fillId="7" borderId="4" xfId="0" applyFont="1" applyFill="1" applyBorder="1" applyAlignment="1">
      <alignment horizontal="center" vertical="center" wrapText="1"/>
    </xf>
    <xf numFmtId="0" fontId="70" fillId="7" borderId="9" xfId="0" applyFont="1" applyFill="1" applyBorder="1" applyAlignment="1">
      <alignment horizontal="center" vertical="center" wrapText="1"/>
    </xf>
    <xf numFmtId="0" fontId="70" fillId="7" borderId="12" xfId="0" applyFont="1" applyFill="1" applyBorder="1" applyAlignment="1">
      <alignment horizontal="center" vertical="center" wrapText="1"/>
    </xf>
    <xf numFmtId="0" fontId="70" fillId="7" borderId="6" xfId="0" applyFont="1" applyFill="1" applyBorder="1" applyAlignment="1">
      <alignment horizontal="center" vertical="center" wrapText="1"/>
    </xf>
    <xf numFmtId="0" fontId="70" fillId="7" borderId="13" xfId="0" applyFont="1" applyFill="1" applyBorder="1" applyAlignment="1">
      <alignment horizontal="center" vertical="center" wrapText="1"/>
    </xf>
    <xf numFmtId="0" fontId="71" fillId="24" borderId="14" xfId="0" applyFont="1" applyFill="1" applyBorder="1" applyAlignment="1">
      <alignment horizontal="center" vertical="center" wrapText="1"/>
    </xf>
    <xf numFmtId="0" fontId="72" fillId="8" borderId="14" xfId="0" applyFont="1" applyFill="1" applyBorder="1" applyAlignment="1">
      <alignment horizontal="center" vertical="center" wrapText="1"/>
    </xf>
    <xf numFmtId="49" fontId="74" fillId="4" borderId="14" xfId="0" applyNumberFormat="1" applyFont="1" applyFill="1" applyBorder="1" applyAlignment="1" applyProtection="1">
      <alignment horizontal="center" vertical="center" wrapText="1"/>
      <protection hidden="1"/>
    </xf>
    <xf numFmtId="0" fontId="74" fillId="4" borderId="14" xfId="0" applyFont="1" applyFill="1" applyBorder="1" applyAlignment="1" applyProtection="1">
      <alignment horizontal="center" vertical="center" wrapText="1"/>
      <protection hidden="1"/>
    </xf>
    <xf numFmtId="0" fontId="83" fillId="5" borderId="3" xfId="0" applyFont="1" applyFill="1" applyBorder="1" applyAlignment="1" applyProtection="1">
      <alignment horizontal="center" vertical="center"/>
      <protection hidden="1"/>
    </xf>
    <xf numFmtId="0" fontId="83" fillId="5" borderId="4" xfId="0" applyFont="1" applyFill="1" applyBorder="1" applyAlignment="1" applyProtection="1">
      <alignment horizontal="center" vertical="center"/>
      <protection hidden="1"/>
    </xf>
    <xf numFmtId="0" fontId="84" fillId="2" borderId="0" xfId="0" applyFont="1" applyFill="1" applyAlignment="1" applyProtection="1">
      <alignment horizontal="center" vertical="center" wrapText="1"/>
      <protection hidden="1"/>
    </xf>
    <xf numFmtId="0" fontId="84" fillId="2" borderId="5" xfId="0" applyFont="1" applyFill="1" applyBorder="1" applyAlignment="1" applyProtection="1">
      <alignment horizontal="center" vertical="center" wrapText="1"/>
      <protection hidden="1"/>
    </xf>
    <xf numFmtId="0" fontId="85" fillId="4" borderId="3" xfId="0" applyFont="1" applyFill="1" applyBorder="1" applyAlignment="1" applyProtection="1">
      <alignment horizontal="center" vertical="center" wrapText="1"/>
      <protection hidden="1"/>
    </xf>
    <xf numFmtId="0" fontId="85" fillId="4" borderId="4" xfId="0" applyFont="1" applyFill="1" applyBorder="1" applyAlignment="1" applyProtection="1">
      <alignment horizontal="center" vertical="center" wrapText="1"/>
      <protection hidden="1"/>
    </xf>
    <xf numFmtId="0" fontId="97" fillId="11" borderId="14" xfId="0" applyFont="1" applyFill="1" applyBorder="1" applyAlignment="1" applyProtection="1">
      <alignment horizontal="center" vertical="center"/>
      <protection hidden="1"/>
    </xf>
    <xf numFmtId="0" fontId="86" fillId="11" borderId="14" xfId="0" applyFont="1" applyFill="1" applyBorder="1" applyAlignment="1" applyProtection="1">
      <alignment horizontal="center" vertical="center" wrapText="1"/>
      <protection hidden="1"/>
    </xf>
    <xf numFmtId="0" fontId="71" fillId="11" borderId="14" xfId="0" applyFont="1" applyFill="1" applyBorder="1" applyAlignment="1" applyProtection="1">
      <alignment horizontal="center" vertical="center" wrapText="1"/>
      <protection hidden="1"/>
    </xf>
    <xf numFmtId="0" fontId="71" fillId="11" borderId="17" xfId="0" applyFont="1" applyFill="1" applyBorder="1" applyAlignment="1" applyProtection="1">
      <alignment horizontal="center" vertical="center"/>
      <protection hidden="1"/>
    </xf>
    <xf numFmtId="0" fontId="71" fillId="11" borderId="19" xfId="0" applyFont="1" applyFill="1" applyBorder="1" applyAlignment="1" applyProtection="1">
      <alignment horizontal="center" vertical="center"/>
      <protection hidden="1"/>
    </xf>
    <xf numFmtId="0" fontId="99" fillId="4" borderId="14" xfId="0" applyFont="1" applyFill="1" applyBorder="1" applyAlignment="1" applyProtection="1">
      <alignment horizontal="center" vertical="center" wrapText="1"/>
      <protection hidden="1"/>
    </xf>
    <xf numFmtId="0" fontId="100" fillId="4" borderId="17" xfId="0" applyFont="1" applyFill="1" applyBorder="1" applyAlignment="1" applyProtection="1">
      <alignment horizontal="center" vertical="center" wrapText="1"/>
      <protection hidden="1"/>
    </xf>
    <xf numFmtId="0" fontId="100" fillId="4" borderId="19" xfId="0" applyFont="1" applyFill="1" applyBorder="1" applyAlignment="1" applyProtection="1">
      <alignment horizontal="center" vertical="center" wrapText="1"/>
      <protection hidden="1"/>
    </xf>
    <xf numFmtId="0" fontId="87" fillId="7" borderId="0" xfId="0" applyFont="1" applyFill="1" applyAlignment="1" applyProtection="1">
      <alignment horizontal="center" vertical="center"/>
      <protection hidden="1"/>
    </xf>
    <xf numFmtId="0" fontId="91" fillId="13" borderId="14" xfId="0" applyFont="1" applyFill="1" applyBorder="1" applyAlignment="1" applyProtection="1">
      <alignment horizontal="center" vertical="center"/>
      <protection locked="0"/>
    </xf>
    <xf numFmtId="0" fontId="72" fillId="11" borderId="17" xfId="0" applyFont="1" applyFill="1" applyBorder="1" applyAlignment="1">
      <alignment horizontal="center" vertical="center"/>
    </xf>
    <xf numFmtId="0" fontId="72" fillId="11" borderId="18" xfId="0" applyFont="1" applyFill="1" applyBorder="1" applyAlignment="1">
      <alignment horizontal="center" vertical="center"/>
    </xf>
    <xf numFmtId="0" fontId="72" fillId="11" borderId="19" xfId="0" applyFont="1" applyFill="1" applyBorder="1" applyAlignment="1">
      <alignment horizontal="center" vertical="center"/>
    </xf>
    <xf numFmtId="0" fontId="18" fillId="7" borderId="5" xfId="3" applyFont="1" applyFill="1" applyBorder="1" applyAlignment="1">
      <alignment horizontal="center" vertical="center" wrapText="1"/>
    </xf>
    <xf numFmtId="0" fontId="18" fillId="7" borderId="25" xfId="3" applyFont="1" applyFill="1" applyBorder="1" applyAlignment="1">
      <alignment horizontal="center" vertical="center" wrapText="1"/>
    </xf>
    <xf numFmtId="49" fontId="73" fillId="13" borderId="22" xfId="0" applyNumberFormat="1" applyFont="1" applyFill="1" applyBorder="1" applyAlignment="1" applyProtection="1">
      <alignment horizontal="center" vertical="center" wrapText="1"/>
      <protection locked="0"/>
    </xf>
    <xf numFmtId="49" fontId="73" fillId="13" borderId="20" xfId="0" applyNumberFormat="1" applyFont="1" applyFill="1" applyBorder="1" applyAlignment="1" applyProtection="1">
      <alignment horizontal="center" vertical="center" wrapText="1"/>
      <protection locked="0"/>
    </xf>
    <xf numFmtId="49" fontId="73" fillId="13" borderId="26" xfId="0" applyNumberFormat="1" applyFont="1" applyFill="1" applyBorder="1" applyAlignment="1" applyProtection="1">
      <alignment horizontal="center" vertical="center" wrapText="1"/>
      <protection locked="0"/>
    </xf>
    <xf numFmtId="168" fontId="73" fillId="13" borderId="22" xfId="0" applyNumberFormat="1" applyFont="1" applyFill="1" applyBorder="1" applyAlignment="1" applyProtection="1">
      <alignment horizontal="center" vertical="center"/>
      <protection locked="0"/>
    </xf>
    <xf numFmtId="168" fontId="73" fillId="13" borderId="20" xfId="0" applyNumberFormat="1" applyFont="1" applyFill="1" applyBorder="1" applyAlignment="1" applyProtection="1">
      <alignment horizontal="center" vertical="center"/>
      <protection locked="0"/>
    </xf>
    <xf numFmtId="168" fontId="73" fillId="13" borderId="26" xfId="0" applyNumberFormat="1" applyFont="1" applyFill="1" applyBorder="1" applyAlignment="1" applyProtection="1">
      <alignment horizontal="center" vertical="center"/>
      <protection locked="0"/>
    </xf>
    <xf numFmtId="14" fontId="73" fillId="13" borderId="22" xfId="0" applyNumberFormat="1" applyFont="1" applyFill="1" applyBorder="1" applyAlignment="1" applyProtection="1">
      <alignment horizontal="center" vertical="center"/>
      <protection locked="0"/>
    </xf>
    <xf numFmtId="14" fontId="73" fillId="13" borderId="20" xfId="0" applyNumberFormat="1" applyFont="1" applyFill="1" applyBorder="1" applyAlignment="1" applyProtection="1">
      <alignment horizontal="center" vertical="center"/>
      <protection locked="0"/>
    </xf>
    <xf numFmtId="14" fontId="73" fillId="13" borderId="26" xfId="0" applyNumberFormat="1" applyFont="1" applyFill="1" applyBorder="1" applyAlignment="1" applyProtection="1">
      <alignment horizontal="center" vertical="center"/>
      <protection locked="0"/>
    </xf>
    <xf numFmtId="169" fontId="73" fillId="13" borderId="22" xfId="0" applyNumberFormat="1" applyFont="1" applyFill="1" applyBorder="1" applyAlignment="1" applyProtection="1">
      <alignment horizontal="center" vertical="center" wrapText="1"/>
      <protection locked="0"/>
    </xf>
    <xf numFmtId="169" fontId="73" fillId="13" borderId="20" xfId="0" applyNumberFormat="1" applyFont="1" applyFill="1" applyBorder="1" applyAlignment="1" applyProtection="1">
      <alignment horizontal="center" vertical="center" wrapText="1"/>
      <protection locked="0"/>
    </xf>
    <xf numFmtId="169" fontId="73" fillId="13" borderId="26" xfId="0" applyNumberFormat="1" applyFont="1" applyFill="1" applyBorder="1" applyAlignment="1" applyProtection="1">
      <alignment horizontal="center" vertical="center" wrapText="1"/>
      <protection locked="0"/>
    </xf>
    <xf numFmtId="0" fontId="73" fillId="13" borderId="22" xfId="0" applyFont="1" applyFill="1" applyBorder="1" applyAlignment="1" applyProtection="1">
      <alignment horizontal="center" vertical="center" wrapText="1"/>
      <protection locked="0"/>
    </xf>
    <xf numFmtId="0" fontId="73" fillId="13" borderId="20" xfId="0" applyFont="1" applyFill="1" applyBorder="1" applyAlignment="1" applyProtection="1">
      <alignment horizontal="center" vertical="center" wrapText="1"/>
      <protection locked="0"/>
    </xf>
    <xf numFmtId="0" fontId="73" fillId="13" borderId="26" xfId="0" applyFont="1" applyFill="1" applyBorder="1" applyAlignment="1" applyProtection="1">
      <alignment horizontal="center" vertical="center" wrapText="1"/>
      <protection locked="0"/>
    </xf>
    <xf numFmtId="4" fontId="103" fillId="4" borderId="23" xfId="0" applyNumberFormat="1" applyFont="1" applyFill="1" applyBorder="1" applyAlignment="1" applyProtection="1">
      <alignment horizontal="center" vertical="center" wrapText="1"/>
      <protection hidden="1"/>
    </xf>
    <xf numFmtId="4" fontId="103" fillId="4" borderId="24" xfId="0" applyNumberFormat="1" applyFont="1" applyFill="1" applyBorder="1" applyAlignment="1" applyProtection="1">
      <alignment horizontal="center" vertical="center" wrapText="1"/>
      <protection hidden="1"/>
    </xf>
    <xf numFmtId="4" fontId="103" fillId="4" borderId="28" xfId="0" applyNumberFormat="1" applyFont="1" applyFill="1" applyBorder="1" applyAlignment="1" applyProtection="1">
      <alignment horizontal="center" vertical="center" wrapText="1"/>
      <protection hidden="1"/>
    </xf>
    <xf numFmtId="167" fontId="73" fillId="0" borderId="14" xfId="0" applyNumberFormat="1" applyFont="1" applyBorder="1" applyAlignment="1" applyProtection="1">
      <alignment horizontal="center" vertical="center" wrapText="1"/>
      <protection hidden="1"/>
    </xf>
    <xf numFmtId="167" fontId="73" fillId="0" borderId="27" xfId="0" applyNumberFormat="1" applyFont="1" applyBorder="1" applyAlignment="1" applyProtection="1">
      <alignment horizontal="center" vertical="center" wrapText="1"/>
      <protection hidden="1"/>
    </xf>
    <xf numFmtId="168" fontId="73" fillId="0" borderId="22" xfId="0" applyNumberFormat="1" applyFont="1" applyBorder="1" applyAlignment="1" applyProtection="1">
      <alignment horizontal="center" vertical="center" wrapText="1"/>
      <protection hidden="1"/>
    </xf>
    <xf numFmtId="168" fontId="73" fillId="0" borderId="20" xfId="0" applyNumberFormat="1" applyFont="1" applyBorder="1" applyAlignment="1" applyProtection="1">
      <alignment horizontal="center" vertical="center" wrapText="1"/>
      <protection hidden="1"/>
    </xf>
    <xf numFmtId="168" fontId="73" fillId="0" borderId="26" xfId="0" applyNumberFormat="1" applyFont="1" applyBorder="1" applyAlignment="1" applyProtection="1">
      <alignment horizontal="center" vertical="center" wrapText="1"/>
      <protection hidden="1"/>
    </xf>
    <xf numFmtId="0" fontId="73" fillId="13" borderId="30" xfId="0" applyFont="1" applyFill="1" applyBorder="1" applyAlignment="1" applyProtection="1">
      <alignment horizontal="center" vertical="center" wrapText="1"/>
      <protection locked="0"/>
    </xf>
    <xf numFmtId="168" fontId="73" fillId="13" borderId="30" xfId="0" applyNumberFormat="1" applyFont="1" applyFill="1" applyBorder="1" applyAlignment="1" applyProtection="1">
      <alignment horizontal="center" vertical="center"/>
      <protection locked="0"/>
    </xf>
    <xf numFmtId="14" fontId="80" fillId="13" borderId="30" xfId="0" applyNumberFormat="1" applyFont="1" applyFill="1" applyBorder="1" applyAlignment="1" applyProtection="1">
      <alignment horizontal="center" vertical="center"/>
      <protection locked="0"/>
    </xf>
    <xf numFmtId="14" fontId="80" fillId="13" borderId="20" xfId="0" applyNumberFormat="1" applyFont="1" applyFill="1" applyBorder="1" applyAlignment="1" applyProtection="1">
      <alignment horizontal="center" vertical="center"/>
      <protection locked="0"/>
    </xf>
    <xf numFmtId="14" fontId="80" fillId="13" borderId="26" xfId="0" applyNumberFormat="1" applyFont="1" applyFill="1" applyBorder="1" applyAlignment="1" applyProtection="1">
      <alignment horizontal="center" vertical="center"/>
      <protection locked="0"/>
    </xf>
    <xf numFmtId="169" fontId="73" fillId="13" borderId="30" xfId="0" applyNumberFormat="1" applyFont="1" applyFill="1" applyBorder="1" applyAlignment="1" applyProtection="1">
      <alignment horizontal="center" vertical="center" wrapText="1"/>
      <protection locked="0"/>
    </xf>
    <xf numFmtId="0" fontId="19" fillId="5" borderId="29" xfId="3" applyFont="1" applyFill="1" applyBorder="1" applyAlignment="1">
      <alignment horizontal="center" vertical="center" wrapText="1"/>
    </xf>
    <xf numFmtId="0" fontId="19" fillId="5" borderId="5" xfId="3" applyFont="1" applyFill="1" applyBorder="1" applyAlignment="1">
      <alignment horizontal="center" vertical="center" wrapText="1"/>
    </xf>
    <xf numFmtId="0" fontId="19" fillId="5" borderId="25" xfId="3" applyFont="1" applyFill="1" applyBorder="1" applyAlignment="1">
      <alignment horizontal="center" vertical="center" wrapText="1"/>
    </xf>
    <xf numFmtId="49" fontId="73" fillId="13" borderId="30" xfId="0" applyNumberFormat="1" applyFont="1" applyFill="1" applyBorder="1" applyAlignment="1" applyProtection="1">
      <alignment horizontal="center" vertical="center" wrapText="1"/>
      <protection locked="0"/>
    </xf>
    <xf numFmtId="0" fontId="73" fillId="13" borderId="32" xfId="0" applyFont="1" applyFill="1" applyBorder="1" applyAlignment="1" applyProtection="1">
      <alignment horizontal="center" vertical="center" wrapText="1"/>
      <protection locked="0"/>
    </xf>
    <xf numFmtId="0" fontId="73" fillId="13" borderId="34" xfId="0" applyFont="1" applyFill="1" applyBorder="1" applyAlignment="1" applyProtection="1">
      <alignment horizontal="center" vertical="center" wrapText="1"/>
      <protection locked="0"/>
    </xf>
    <xf numFmtId="0" fontId="73" fillId="13" borderId="35" xfId="0" applyFont="1" applyFill="1" applyBorder="1" applyAlignment="1" applyProtection="1">
      <alignment horizontal="center" vertical="center" wrapText="1"/>
      <protection locked="0"/>
    </xf>
    <xf numFmtId="4" fontId="103" fillId="4" borderId="33" xfId="0" applyNumberFormat="1" applyFont="1" applyFill="1" applyBorder="1" applyAlignment="1" applyProtection="1">
      <alignment horizontal="center" vertical="center" wrapText="1"/>
      <protection hidden="1"/>
    </xf>
    <xf numFmtId="3" fontId="73" fillId="14" borderId="64" xfId="0" applyNumberFormat="1" applyFont="1" applyFill="1" applyBorder="1" applyAlignment="1" applyProtection="1">
      <alignment horizontal="center" vertical="center"/>
      <protection locked="0"/>
    </xf>
    <xf numFmtId="3" fontId="73" fillId="14" borderId="66" xfId="0" applyNumberFormat="1" applyFont="1" applyFill="1" applyBorder="1" applyAlignment="1" applyProtection="1">
      <alignment horizontal="center" vertical="center"/>
      <protection locked="0"/>
    </xf>
    <xf numFmtId="3" fontId="73" fillId="14" borderId="67" xfId="0" applyNumberFormat="1" applyFont="1" applyFill="1" applyBorder="1" applyAlignment="1" applyProtection="1">
      <alignment horizontal="center" vertical="center"/>
      <protection locked="0"/>
    </xf>
    <xf numFmtId="3" fontId="73" fillId="14" borderId="30" xfId="0" applyNumberFormat="1" applyFont="1" applyFill="1" applyBorder="1" applyAlignment="1" applyProtection="1">
      <alignment horizontal="center" vertical="center"/>
      <protection locked="0"/>
    </xf>
    <xf numFmtId="3" fontId="73" fillId="14" borderId="20" xfId="0" applyNumberFormat="1" applyFont="1" applyFill="1" applyBorder="1" applyAlignment="1" applyProtection="1">
      <alignment horizontal="center" vertical="center"/>
      <protection locked="0"/>
    </xf>
    <xf numFmtId="3" fontId="73" fillId="14" borderId="26" xfId="0" applyNumberFormat="1" applyFont="1" applyFill="1" applyBorder="1" applyAlignment="1" applyProtection="1">
      <alignment horizontal="center" vertical="center"/>
      <protection locked="0"/>
    </xf>
    <xf numFmtId="3" fontId="73" fillId="14" borderId="58" xfId="0" applyNumberFormat="1" applyFont="1" applyFill="1" applyBorder="1" applyAlignment="1" applyProtection="1">
      <alignment horizontal="center" vertical="center"/>
      <protection locked="0"/>
    </xf>
    <xf numFmtId="3" fontId="73" fillId="14" borderId="60" xfId="0" applyNumberFormat="1" applyFont="1" applyFill="1" applyBorder="1" applyAlignment="1" applyProtection="1">
      <alignment horizontal="center" vertical="center"/>
      <protection locked="0"/>
    </xf>
    <xf numFmtId="3" fontId="73" fillId="14" borderId="62" xfId="0" applyNumberFormat="1" applyFont="1" applyFill="1" applyBorder="1" applyAlignment="1" applyProtection="1">
      <alignment horizontal="center" vertical="center"/>
      <protection locked="0"/>
    </xf>
    <xf numFmtId="3" fontId="73" fillId="14" borderId="65" xfId="0" applyNumberFormat="1" applyFont="1" applyFill="1" applyBorder="1" applyAlignment="1" applyProtection="1">
      <alignment horizontal="center" vertical="center"/>
      <protection locked="0"/>
    </xf>
    <xf numFmtId="3" fontId="73" fillId="14" borderId="5" xfId="0" applyNumberFormat="1" applyFont="1" applyFill="1" applyBorder="1" applyAlignment="1" applyProtection="1">
      <alignment horizontal="center" vertical="center"/>
      <protection locked="0"/>
    </xf>
    <xf numFmtId="3" fontId="73" fillId="14" borderId="68" xfId="0" applyNumberFormat="1" applyFont="1" applyFill="1" applyBorder="1" applyAlignment="1" applyProtection="1">
      <alignment horizontal="center" vertical="center"/>
      <protection locked="0"/>
    </xf>
    <xf numFmtId="167" fontId="73" fillId="14" borderId="30" xfId="0" applyNumberFormat="1" applyFont="1" applyFill="1" applyBorder="1" applyAlignment="1" applyProtection="1">
      <alignment horizontal="center" vertical="center" wrapText="1"/>
      <protection hidden="1"/>
    </xf>
    <xf numFmtId="167" fontId="73" fillId="14" borderId="20" xfId="0" applyNumberFormat="1" applyFont="1" applyFill="1" applyBorder="1" applyAlignment="1" applyProtection="1">
      <alignment horizontal="center" vertical="center" wrapText="1"/>
      <protection hidden="1"/>
    </xf>
    <xf numFmtId="167" fontId="73" fillId="14" borderId="26" xfId="0" applyNumberFormat="1" applyFont="1" applyFill="1" applyBorder="1" applyAlignment="1" applyProtection="1">
      <alignment horizontal="center" vertical="center" wrapText="1"/>
      <protection hidden="1"/>
    </xf>
    <xf numFmtId="168" fontId="80" fillId="14" borderId="30" xfId="0" applyNumberFormat="1" applyFont="1" applyFill="1" applyBorder="1" applyAlignment="1" applyProtection="1">
      <alignment horizontal="center" vertical="center"/>
      <protection locked="0"/>
    </xf>
    <xf numFmtId="168" fontId="80" fillId="14" borderId="20" xfId="0" applyNumberFormat="1" applyFont="1" applyFill="1" applyBorder="1" applyAlignment="1" applyProtection="1">
      <alignment horizontal="center" vertical="center"/>
      <protection locked="0"/>
    </xf>
    <xf numFmtId="168" fontId="80" fillId="14" borderId="26" xfId="0" applyNumberFormat="1" applyFont="1" applyFill="1" applyBorder="1" applyAlignment="1" applyProtection="1">
      <alignment horizontal="center" vertical="center"/>
      <protection locked="0"/>
    </xf>
    <xf numFmtId="3" fontId="73" fillId="14" borderId="59" xfId="0" applyNumberFormat="1" applyFont="1" applyFill="1" applyBorder="1" applyAlignment="1" applyProtection="1">
      <alignment horizontal="center" vertical="center"/>
      <protection locked="0"/>
    </xf>
    <xf numFmtId="3" fontId="73" fillId="14" borderId="61" xfId="0" applyNumberFormat="1" applyFont="1" applyFill="1" applyBorder="1" applyAlignment="1" applyProtection="1">
      <alignment horizontal="center" vertical="center"/>
      <protection locked="0"/>
    </xf>
    <xf numFmtId="3" fontId="73" fillId="14" borderId="63" xfId="0" applyNumberFormat="1" applyFont="1" applyFill="1" applyBorder="1" applyAlignment="1" applyProtection="1">
      <alignment horizontal="center" vertical="center"/>
      <protection locked="0"/>
    </xf>
    <xf numFmtId="0" fontId="78" fillId="2" borderId="0" xfId="0" applyFont="1" applyFill="1" applyAlignment="1">
      <alignment horizontal="left" vertical="center" wrapText="1"/>
    </xf>
    <xf numFmtId="0" fontId="95" fillId="2" borderId="0" xfId="0" applyFont="1" applyFill="1" applyAlignment="1">
      <alignment horizontal="left" vertical="center" wrapText="1"/>
    </xf>
    <xf numFmtId="4" fontId="95" fillId="12" borderId="14" xfId="0" applyNumberFormat="1" applyFont="1" applyFill="1" applyBorder="1" applyAlignment="1">
      <alignment horizontal="center" vertical="center" wrapText="1"/>
    </xf>
    <xf numFmtId="0" fontId="104" fillId="13" borderId="14" xfId="0" applyFont="1" applyFill="1" applyBorder="1" applyAlignment="1">
      <alignment horizontal="center" vertical="center" wrapText="1"/>
    </xf>
    <xf numFmtId="0" fontId="105" fillId="13" borderId="22" xfId="0" applyFont="1" applyFill="1" applyBorder="1" applyAlignment="1">
      <alignment horizontal="center" vertical="center" wrapText="1"/>
    </xf>
    <xf numFmtId="0" fontId="105" fillId="13" borderId="20" xfId="0" applyFont="1" applyFill="1" applyBorder="1" applyAlignment="1">
      <alignment horizontal="center" vertical="center" wrapText="1"/>
    </xf>
    <xf numFmtId="0" fontId="105" fillId="13" borderId="36" xfId="0" applyFont="1" applyFill="1" applyBorder="1" applyAlignment="1">
      <alignment horizontal="center" vertical="center" wrapText="1"/>
    </xf>
    <xf numFmtId="0" fontId="95" fillId="0" borderId="17" xfId="0" applyFont="1" applyBorder="1" applyAlignment="1">
      <alignment horizontal="left" vertical="center" wrapText="1" indent="1"/>
    </xf>
    <xf numFmtId="0" fontId="95" fillId="0" borderId="18" xfId="0" applyFont="1" applyBorder="1" applyAlignment="1">
      <alignment horizontal="left" vertical="center" wrapText="1" indent="1"/>
    </xf>
    <xf numFmtId="0" fontId="95" fillId="0" borderId="19" xfId="0" applyFont="1" applyBorder="1" applyAlignment="1">
      <alignment horizontal="left" vertical="center" wrapText="1" indent="1"/>
    </xf>
    <xf numFmtId="4" fontId="90" fillId="0" borderId="17" xfId="0" applyNumberFormat="1" applyFont="1" applyBorder="1" applyAlignment="1" applyProtection="1">
      <alignment horizontal="center" vertical="center" wrapText="1"/>
      <protection hidden="1"/>
    </xf>
    <xf numFmtId="4" fontId="90" fillId="0" borderId="19" xfId="0" applyNumberFormat="1" applyFont="1" applyBorder="1" applyAlignment="1" applyProtection="1">
      <alignment horizontal="center" vertical="center" wrapText="1"/>
      <protection hidden="1"/>
    </xf>
    <xf numFmtId="0" fontId="78" fillId="13" borderId="22" xfId="0" applyFont="1" applyFill="1" applyBorder="1" applyAlignment="1">
      <alignment horizontal="center" vertical="center"/>
    </xf>
    <xf numFmtId="0" fontId="78" fillId="13" borderId="36" xfId="0" applyFont="1" applyFill="1" applyBorder="1" applyAlignment="1">
      <alignment horizontal="center" vertical="center"/>
    </xf>
    <xf numFmtId="0" fontId="76" fillId="11" borderId="17" xfId="0" applyFont="1" applyFill="1" applyBorder="1" applyAlignment="1">
      <alignment horizontal="center" vertical="center" wrapText="1"/>
    </xf>
    <xf numFmtId="0" fontId="76" fillId="11" borderId="18" xfId="0" applyFont="1" applyFill="1" applyBorder="1" applyAlignment="1">
      <alignment horizontal="center" vertical="center" wrapText="1"/>
    </xf>
    <xf numFmtId="0" fontId="76" fillId="11" borderId="19" xfId="0" applyFont="1" applyFill="1" applyBorder="1" applyAlignment="1">
      <alignment horizontal="center" vertical="center" wrapText="1"/>
    </xf>
    <xf numFmtId="0" fontId="78" fillId="5" borderId="17" xfId="0" applyFont="1" applyFill="1" applyBorder="1" applyAlignment="1">
      <alignment horizontal="center" vertical="center" wrapText="1"/>
    </xf>
    <xf numFmtId="0" fontId="78" fillId="5" borderId="18" xfId="0" applyFont="1" applyFill="1" applyBorder="1" applyAlignment="1">
      <alignment horizontal="center" vertical="center" wrapText="1"/>
    </xf>
    <xf numFmtId="0" fontId="78" fillId="5" borderId="19" xfId="0" applyFont="1" applyFill="1" applyBorder="1" applyAlignment="1">
      <alignment horizontal="center" vertical="center" wrapText="1"/>
    </xf>
    <xf numFmtId="0" fontId="105" fillId="4" borderId="17" xfId="0" applyFont="1" applyFill="1" applyBorder="1" applyAlignment="1">
      <alignment horizontal="center" vertical="center" wrapText="1"/>
    </xf>
    <xf numFmtId="0" fontId="105" fillId="4" borderId="18" xfId="0" applyFont="1" applyFill="1" applyBorder="1" applyAlignment="1">
      <alignment horizontal="center" vertical="center" wrapText="1"/>
    </xf>
    <xf numFmtId="0" fontId="105" fillId="4" borderId="19" xfId="0" applyFont="1" applyFill="1" applyBorder="1" applyAlignment="1">
      <alignment horizontal="center" vertical="center" wrapText="1"/>
    </xf>
    <xf numFmtId="0" fontId="95" fillId="0" borderId="17" xfId="0" applyFont="1" applyBorder="1" applyAlignment="1">
      <alignment horizontal="left" vertical="center" wrapText="1"/>
    </xf>
    <xf numFmtId="0" fontId="95" fillId="0" borderId="18" xfId="0" applyFont="1" applyBorder="1" applyAlignment="1">
      <alignment horizontal="left" vertical="center" wrapText="1"/>
    </xf>
    <xf numFmtId="0" fontId="95" fillId="0" borderId="14" xfId="0" applyFont="1" applyBorder="1" applyAlignment="1">
      <alignment horizontal="left" vertical="center" indent="1"/>
    </xf>
    <xf numFmtId="4" fontId="74" fillId="0" borderId="14" xfId="0" applyNumberFormat="1" applyFont="1" applyBorder="1" applyAlignment="1" applyProtection="1">
      <alignment horizontal="center" vertical="center"/>
      <protection hidden="1"/>
    </xf>
    <xf numFmtId="0" fontId="107" fillId="0" borderId="17" xfId="0" applyFont="1" applyBorder="1" applyAlignment="1">
      <alignment horizontal="center" vertical="center" wrapText="1"/>
    </xf>
    <xf numFmtId="0" fontId="107" fillId="0" borderId="18" xfId="0" applyFont="1" applyBorder="1" applyAlignment="1">
      <alignment horizontal="center" vertical="center" wrapText="1"/>
    </xf>
    <xf numFmtId="0" fontId="107" fillId="0" borderId="19" xfId="0" applyFont="1" applyBorder="1" applyAlignment="1">
      <alignment horizontal="center" vertical="center" wrapText="1"/>
    </xf>
    <xf numFmtId="9" fontId="107" fillId="0" borderId="17" xfId="0" applyNumberFormat="1" applyFont="1" applyBorder="1" applyAlignment="1">
      <alignment horizontal="center" vertical="center" wrapText="1"/>
    </xf>
    <xf numFmtId="0" fontId="76" fillId="11" borderId="17" xfId="0" applyFont="1" applyFill="1" applyBorder="1" applyAlignment="1">
      <alignment horizontal="center" vertical="center"/>
    </xf>
    <xf numFmtId="0" fontId="76" fillId="11" borderId="18" xfId="0" applyFont="1" applyFill="1" applyBorder="1" applyAlignment="1">
      <alignment horizontal="center" vertical="center"/>
    </xf>
    <xf numFmtId="0" fontId="109" fillId="11" borderId="17" xfId="0" applyFont="1" applyFill="1" applyBorder="1" applyAlignment="1">
      <alignment horizontal="center" vertical="center"/>
    </xf>
    <xf numFmtId="0" fontId="109" fillId="11" borderId="18" xfId="0" applyFont="1" applyFill="1" applyBorder="1" applyAlignment="1">
      <alignment horizontal="center" vertical="center"/>
    </xf>
    <xf numFmtId="0" fontId="109" fillId="11" borderId="19" xfId="0" applyFont="1" applyFill="1" applyBorder="1" applyAlignment="1">
      <alignment horizontal="center" vertical="center"/>
    </xf>
    <xf numFmtId="4" fontId="71" fillId="4" borderId="14" xfId="0" applyNumberFormat="1" applyFont="1" applyFill="1" applyBorder="1" applyAlignment="1" applyProtection="1">
      <alignment horizontal="center" vertical="center"/>
      <protection hidden="1"/>
    </xf>
    <xf numFmtId="0" fontId="71" fillId="4" borderId="14" xfId="0" applyFont="1" applyFill="1" applyBorder="1" applyAlignment="1" applyProtection="1">
      <alignment horizontal="center" vertical="center"/>
      <protection hidden="1"/>
    </xf>
    <xf numFmtId="0" fontId="95" fillId="0" borderId="14" xfId="0" applyFont="1" applyBorder="1" applyAlignment="1">
      <alignment horizontal="left" vertical="center" wrapText="1" indent="1"/>
    </xf>
    <xf numFmtId="0" fontId="73" fillId="0" borderId="14" xfId="0" applyFont="1" applyBorder="1" applyAlignment="1" applyProtection="1">
      <alignment horizontal="left" vertical="center" wrapText="1" indent="2"/>
      <protection hidden="1"/>
    </xf>
    <xf numFmtId="0" fontId="73" fillId="4" borderId="14" xfId="0" applyFont="1" applyFill="1" applyBorder="1" applyAlignment="1" applyProtection="1">
      <alignment horizontal="left" vertical="center" wrapText="1" indent="2"/>
      <protection hidden="1"/>
    </xf>
    <xf numFmtId="0" fontId="79" fillId="11" borderId="14" xfId="0" applyFont="1" applyFill="1" applyBorder="1" applyAlignment="1">
      <alignment horizontal="center" vertical="center"/>
    </xf>
    <xf numFmtId="0" fontId="73" fillId="0" borderId="14" xfId="0" quotePrefix="1" applyFont="1" applyBorder="1" applyAlignment="1" applyProtection="1">
      <alignment horizontal="left" vertical="center" wrapText="1" indent="2"/>
      <protection hidden="1"/>
    </xf>
    <xf numFmtId="0" fontId="73" fillId="4" borderId="8" xfId="0" applyFont="1" applyFill="1" applyBorder="1" applyAlignment="1" applyProtection="1">
      <alignment horizontal="left" vertical="center" wrapText="1" indent="2"/>
      <protection hidden="1"/>
    </xf>
    <xf numFmtId="0" fontId="73" fillId="4" borderId="4" xfId="0" applyFont="1" applyFill="1" applyBorder="1" applyAlignment="1" applyProtection="1">
      <alignment horizontal="left" vertical="center" wrapText="1" indent="2"/>
      <protection hidden="1"/>
    </xf>
    <xf numFmtId="0" fontId="73" fillId="4" borderId="9" xfId="0" applyFont="1" applyFill="1" applyBorder="1" applyAlignment="1" applyProtection="1">
      <alignment horizontal="left" vertical="center" wrapText="1" indent="2"/>
      <protection hidden="1"/>
    </xf>
    <xf numFmtId="0" fontId="73" fillId="4" borderId="12" xfId="0" applyFont="1" applyFill="1" applyBorder="1" applyAlignment="1" applyProtection="1">
      <alignment horizontal="left" vertical="center" wrapText="1" indent="2"/>
      <protection hidden="1"/>
    </xf>
    <xf numFmtId="0" fontId="73" fillId="4" borderId="6" xfId="0" applyFont="1" applyFill="1" applyBorder="1" applyAlignment="1" applyProtection="1">
      <alignment horizontal="left" vertical="center" wrapText="1" indent="2"/>
      <protection hidden="1"/>
    </xf>
    <xf numFmtId="0" fontId="73" fillId="4" borderId="13" xfId="0" applyFont="1" applyFill="1" applyBorder="1" applyAlignment="1" applyProtection="1">
      <alignment horizontal="left" vertical="center" wrapText="1" indent="2"/>
      <protection hidden="1"/>
    </xf>
    <xf numFmtId="0" fontId="108" fillId="13" borderId="17" xfId="0" applyFont="1" applyFill="1" applyBorder="1" applyAlignment="1">
      <alignment horizontal="center" vertical="center"/>
    </xf>
    <xf numFmtId="0" fontId="108" fillId="13" borderId="18" xfId="0" applyFont="1" applyFill="1" applyBorder="1" applyAlignment="1">
      <alignment horizontal="center" vertical="center"/>
    </xf>
    <xf numFmtId="0" fontId="108" fillId="13" borderId="19" xfId="0" applyFont="1" applyFill="1" applyBorder="1" applyAlignment="1">
      <alignment horizontal="center" vertical="center"/>
    </xf>
    <xf numFmtId="0" fontId="73" fillId="4" borderId="14" xfId="0" quotePrefix="1" applyFont="1" applyFill="1" applyBorder="1" applyAlignment="1" applyProtection="1">
      <alignment horizontal="left" vertical="center" wrapText="1" indent="2"/>
      <protection hidden="1"/>
    </xf>
    <xf numFmtId="2" fontId="73" fillId="4" borderId="14" xfId="0" quotePrefix="1" applyNumberFormat="1" applyFont="1" applyFill="1" applyBorder="1" applyAlignment="1" applyProtection="1">
      <alignment horizontal="center" vertical="center" wrapText="1"/>
      <protection locked="0"/>
    </xf>
    <xf numFmtId="2" fontId="73" fillId="4" borderId="14" xfId="0" applyNumberFormat="1" applyFont="1" applyFill="1" applyBorder="1" applyAlignment="1" applyProtection="1">
      <alignment horizontal="center" vertical="center" wrapText="1"/>
      <protection locked="0"/>
    </xf>
    <xf numFmtId="2" fontId="73" fillId="4" borderId="17" xfId="0" quotePrefix="1" applyNumberFormat="1" applyFont="1" applyFill="1" applyBorder="1" applyAlignment="1" applyProtection="1">
      <alignment horizontal="center" vertical="center" wrapText="1"/>
      <protection locked="0"/>
    </xf>
    <xf numFmtId="2" fontId="73" fillId="4" borderId="18" xfId="0" quotePrefix="1" applyNumberFormat="1" applyFont="1" applyFill="1" applyBorder="1" applyAlignment="1" applyProtection="1">
      <alignment horizontal="center" vertical="center" wrapText="1"/>
      <protection locked="0"/>
    </xf>
    <xf numFmtId="2" fontId="73" fillId="4" borderId="19" xfId="0" quotePrefix="1" applyNumberFormat="1" applyFont="1" applyFill="1" applyBorder="1" applyAlignment="1" applyProtection="1">
      <alignment horizontal="center" vertical="center" wrapText="1"/>
      <protection locked="0"/>
    </xf>
    <xf numFmtId="0" fontId="79" fillId="11" borderId="14" xfId="0" applyFont="1" applyFill="1" applyBorder="1" applyAlignment="1">
      <alignment horizontal="center" vertical="center" wrapText="1"/>
    </xf>
    <xf numFmtId="0" fontId="73" fillId="0" borderId="8" xfId="0" quotePrefix="1" applyFont="1" applyBorder="1" applyAlignment="1" applyProtection="1">
      <alignment horizontal="left" vertical="center" wrapText="1" indent="2"/>
      <protection hidden="1"/>
    </xf>
    <xf numFmtId="0" fontId="73" fillId="0" borderId="4" xfId="0" quotePrefix="1" applyFont="1" applyBorder="1" applyAlignment="1" applyProtection="1">
      <alignment horizontal="left" vertical="center" wrapText="1" indent="2"/>
      <protection hidden="1"/>
    </xf>
    <xf numFmtId="0" fontId="73" fillId="0" borderId="9" xfId="0" quotePrefix="1" applyFont="1" applyBorder="1" applyAlignment="1" applyProtection="1">
      <alignment horizontal="left" vertical="center" wrapText="1" indent="2"/>
      <protection hidden="1"/>
    </xf>
    <xf numFmtId="0" fontId="73" fillId="0" borderId="12" xfId="0" quotePrefix="1" applyFont="1" applyBorder="1" applyAlignment="1" applyProtection="1">
      <alignment horizontal="left" vertical="center" wrapText="1" indent="2"/>
      <protection hidden="1"/>
    </xf>
    <xf numFmtId="0" fontId="73" fillId="0" borderId="6" xfId="0" quotePrefix="1" applyFont="1" applyBorder="1" applyAlignment="1" applyProtection="1">
      <alignment horizontal="left" vertical="center" wrapText="1" indent="2"/>
      <protection hidden="1"/>
    </xf>
    <xf numFmtId="0" fontId="73" fillId="0" borderId="13" xfId="0" quotePrefix="1" applyFont="1" applyBorder="1" applyAlignment="1" applyProtection="1">
      <alignment horizontal="left" vertical="center" wrapText="1" indent="2"/>
      <protection hidden="1"/>
    </xf>
    <xf numFmtId="0" fontId="72" fillId="11" borderId="10" xfId="0" applyFont="1" applyFill="1" applyBorder="1" applyAlignment="1">
      <alignment horizontal="center" vertical="center"/>
    </xf>
    <xf numFmtId="0" fontId="72" fillId="11" borderId="0" xfId="0" applyFont="1" applyFill="1" applyAlignment="1">
      <alignment horizontal="center" vertical="center"/>
    </xf>
    <xf numFmtId="0" fontId="78" fillId="4" borderId="14" xfId="0" applyFont="1" applyFill="1" applyBorder="1" applyAlignment="1" applyProtection="1">
      <alignment horizontal="center" vertical="center" wrapText="1"/>
      <protection locked="0"/>
    </xf>
    <xf numFmtId="0" fontId="73" fillId="4" borderId="14" xfId="0" applyFont="1" applyFill="1" applyBorder="1" applyAlignment="1" applyProtection="1">
      <alignment horizontal="center" vertical="center" wrapText="1"/>
      <protection locked="0"/>
    </xf>
    <xf numFmtId="0" fontId="73" fillId="4" borderId="14" xfId="0" quotePrefix="1" applyFont="1" applyFill="1" applyBorder="1" applyAlignment="1" applyProtection="1">
      <alignment horizontal="center" vertical="center" wrapText="1"/>
      <protection hidden="1"/>
    </xf>
    <xf numFmtId="0" fontId="73" fillId="4" borderId="14" xfId="0" applyFont="1" applyFill="1" applyBorder="1" applyAlignment="1" applyProtection="1">
      <alignment horizontal="center" vertical="center" wrapText="1"/>
      <protection hidden="1"/>
    </xf>
    <xf numFmtId="0" fontId="35" fillId="7" borderId="14" xfId="0" applyFont="1" applyFill="1" applyBorder="1" applyAlignment="1">
      <alignment horizontal="center" vertical="center" wrapText="1"/>
    </xf>
    <xf numFmtId="0" fontId="30" fillId="5" borderId="14" xfId="0" applyFont="1" applyFill="1" applyBorder="1" applyAlignment="1">
      <alignment horizontal="left" vertical="center" wrapText="1" indent="2"/>
    </xf>
    <xf numFmtId="0" fontId="37" fillId="0" borderId="14" xfId="0" applyFont="1" applyBorder="1" applyAlignment="1">
      <alignment horizontal="left" vertical="center" wrapText="1" indent="2"/>
    </xf>
    <xf numFmtId="0" fontId="22" fillId="3" borderId="0" xfId="0" applyFont="1" applyFill="1" applyAlignment="1">
      <alignment horizontal="center" vertical="center" wrapText="1"/>
    </xf>
    <xf numFmtId="0" fontId="23" fillId="3" borderId="0" xfId="0" applyFont="1" applyFill="1" applyAlignment="1">
      <alignment horizontal="center" vertical="center" wrapText="1"/>
    </xf>
    <xf numFmtId="0" fontId="64" fillId="0" borderId="3" xfId="0" applyFont="1" applyBorder="1" applyAlignment="1">
      <alignment horizontal="center" vertical="center"/>
    </xf>
    <xf numFmtId="0" fontId="64" fillId="0" borderId="4" xfId="0" applyFont="1" applyBorder="1" applyAlignment="1">
      <alignment horizontal="center" vertical="center"/>
    </xf>
    <xf numFmtId="0" fontId="27" fillId="16" borderId="3" xfId="0" applyFont="1" applyFill="1" applyBorder="1" applyAlignment="1" applyProtection="1">
      <alignment horizontal="center" vertical="center"/>
      <protection hidden="1"/>
    </xf>
    <xf numFmtId="0" fontId="27" fillId="16" borderId="4" xfId="0" applyFont="1" applyFill="1" applyBorder="1" applyAlignment="1" applyProtection="1">
      <alignment horizontal="center" vertical="center"/>
      <protection hidden="1"/>
    </xf>
    <xf numFmtId="0" fontId="29" fillId="7" borderId="14" xfId="0" applyFont="1" applyFill="1" applyBorder="1" applyAlignment="1">
      <alignment horizontal="center" vertical="center" wrapText="1"/>
    </xf>
    <xf numFmtId="0" fontId="29" fillId="11" borderId="14" xfId="0" applyFont="1" applyFill="1" applyBorder="1" applyAlignment="1">
      <alignment horizontal="center"/>
    </xf>
    <xf numFmtId="0" fontId="26" fillId="7" borderId="14" xfId="0" applyFont="1" applyFill="1" applyBorder="1" applyAlignment="1">
      <alignment horizontal="center" vertical="center" wrapText="1"/>
    </xf>
    <xf numFmtId="0" fontId="31" fillId="4" borderId="14" xfId="0" applyFont="1" applyFill="1" applyBorder="1" applyAlignment="1">
      <alignment horizontal="left" indent="2"/>
    </xf>
    <xf numFmtId="170" fontId="33" fillId="18" borderId="14" xfId="0" applyNumberFormat="1" applyFont="1" applyFill="1" applyBorder="1" applyAlignment="1">
      <alignment horizontal="center" vertical="center"/>
    </xf>
    <xf numFmtId="0" fontId="30" fillId="5" borderId="17" xfId="0" applyFont="1" applyFill="1" applyBorder="1" applyAlignment="1" applyProtection="1">
      <alignment horizontal="center" vertical="center" wrapText="1"/>
      <protection locked="0"/>
    </xf>
    <xf numFmtId="0" fontId="30" fillId="5" borderId="18" xfId="0" applyFont="1" applyFill="1" applyBorder="1" applyAlignment="1" applyProtection="1">
      <alignment horizontal="center" vertical="center" wrapText="1"/>
      <protection locked="0"/>
    </xf>
    <xf numFmtId="0" fontId="30" fillId="5" borderId="19" xfId="0" applyFont="1" applyFill="1" applyBorder="1" applyAlignment="1" applyProtection="1">
      <alignment horizontal="center" vertical="center" wrapText="1"/>
      <protection locked="0"/>
    </xf>
    <xf numFmtId="0" fontId="37" fillId="2" borderId="10" xfId="0" applyFont="1" applyFill="1" applyBorder="1" applyAlignment="1">
      <alignment horizontal="center" vertical="center" wrapText="1"/>
    </xf>
    <xf numFmtId="0" fontId="37" fillId="2" borderId="0" xfId="0" applyFont="1" applyFill="1" applyAlignment="1">
      <alignment horizontal="center" vertical="center" wrapText="1"/>
    </xf>
    <xf numFmtId="0" fontId="30" fillId="5" borderId="14" xfId="0" applyFont="1" applyFill="1" applyBorder="1" applyAlignment="1">
      <alignment horizontal="left" vertical="top" wrapText="1" indent="2"/>
    </xf>
    <xf numFmtId="0" fontId="30" fillId="5" borderId="14" xfId="0" applyFont="1" applyFill="1" applyBorder="1" applyAlignment="1">
      <alignment horizontal="center" vertical="center" wrapText="1"/>
    </xf>
    <xf numFmtId="0" fontId="21" fillId="2" borderId="10" xfId="0" applyFont="1" applyFill="1" applyBorder="1" applyAlignment="1">
      <alignment horizontal="center"/>
    </xf>
    <xf numFmtId="0" fontId="21" fillId="2" borderId="0" xfId="0" applyFont="1" applyFill="1" applyAlignment="1">
      <alignment horizontal="center"/>
    </xf>
    <xf numFmtId="0" fontId="26" fillId="11" borderId="14" xfId="0" applyFont="1" applyFill="1" applyBorder="1" applyAlignment="1">
      <alignment horizontal="center"/>
    </xf>
    <xf numFmtId="0" fontId="38" fillId="7" borderId="14" xfId="0" applyFont="1" applyFill="1" applyBorder="1" applyAlignment="1">
      <alignment horizontal="center" vertical="center" wrapText="1"/>
    </xf>
    <xf numFmtId="0" fontId="38" fillId="11" borderId="14" xfId="0" applyFont="1" applyFill="1" applyBorder="1" applyAlignment="1">
      <alignment horizontal="center"/>
    </xf>
    <xf numFmtId="0" fontId="26" fillId="7" borderId="14" xfId="0" applyFont="1" applyFill="1" applyBorder="1" applyAlignment="1">
      <alignment horizontal="left" vertical="center" wrapText="1" indent="2"/>
    </xf>
    <xf numFmtId="170" fontId="32" fillId="17" borderId="14" xfId="0" applyNumberFormat="1" applyFont="1" applyFill="1" applyBorder="1" applyAlignment="1">
      <alignment horizontal="center" vertical="center" wrapText="1"/>
    </xf>
    <xf numFmtId="0" fontId="30" fillId="5" borderId="14" xfId="0" applyFont="1" applyFill="1" applyBorder="1" applyAlignment="1">
      <alignment horizontal="left" vertical="center" wrapText="1" indent="9"/>
    </xf>
    <xf numFmtId="0" fontId="26" fillId="11" borderId="14" xfId="0" applyFont="1" applyFill="1" applyBorder="1" applyAlignment="1">
      <alignment horizontal="left" indent="2"/>
    </xf>
    <xf numFmtId="0" fontId="36" fillId="5" borderId="14" xfId="0" applyFont="1" applyFill="1" applyBorder="1" applyAlignment="1">
      <alignment horizontal="left" vertical="center" wrapText="1" indent="2"/>
    </xf>
    <xf numFmtId="0" fontId="26" fillId="4" borderId="14" xfId="0" applyFont="1" applyFill="1" applyBorder="1" applyAlignment="1">
      <alignment horizontal="left" indent="2"/>
    </xf>
    <xf numFmtId="0" fontId="35" fillId="5" borderId="17" xfId="0" applyFont="1" applyFill="1" applyBorder="1" applyAlignment="1">
      <alignment horizontal="center" vertical="center" wrapText="1"/>
    </xf>
    <xf numFmtId="0" fontId="35" fillId="5" borderId="18" xfId="0" applyFont="1" applyFill="1" applyBorder="1" applyAlignment="1">
      <alignment horizontal="center" vertical="center" wrapText="1"/>
    </xf>
    <xf numFmtId="0" fontId="35" fillId="5" borderId="19" xfId="0" applyFont="1" applyFill="1" applyBorder="1" applyAlignment="1">
      <alignment horizontal="center" vertical="center" wrapText="1"/>
    </xf>
    <xf numFmtId="0" fontId="26" fillId="17" borderId="14" xfId="0" applyFont="1" applyFill="1" applyBorder="1" applyAlignment="1">
      <alignment horizontal="center" vertical="center"/>
    </xf>
    <xf numFmtId="0" fontId="33" fillId="3" borderId="10" xfId="0" applyFont="1" applyFill="1" applyBorder="1" applyAlignment="1">
      <alignment horizontal="center" vertical="center" wrapText="1"/>
    </xf>
    <xf numFmtId="0" fontId="33" fillId="3" borderId="0" xfId="0" applyFont="1" applyFill="1" applyAlignment="1">
      <alignment horizontal="center" vertical="center" wrapText="1"/>
    </xf>
    <xf numFmtId="0" fontId="31" fillId="7" borderId="14" xfId="0" applyFont="1" applyFill="1" applyBorder="1" applyAlignment="1">
      <alignment horizontal="left" vertical="center" wrapText="1" indent="2"/>
    </xf>
    <xf numFmtId="0" fontId="31" fillId="11" borderId="14" xfId="0" applyFont="1" applyFill="1" applyBorder="1" applyAlignment="1">
      <alignment horizontal="left" indent="2"/>
    </xf>
    <xf numFmtId="0" fontId="37" fillId="5" borderId="14" xfId="0" applyFont="1" applyFill="1" applyBorder="1" applyAlignment="1">
      <alignment horizontal="left" vertical="center" wrapText="1" indent="2"/>
    </xf>
    <xf numFmtId="0" fontId="21" fillId="6" borderId="17" xfId="0" applyFont="1" applyFill="1" applyBorder="1" applyAlignment="1">
      <alignment horizontal="center"/>
    </xf>
    <xf numFmtId="0" fontId="21" fillId="6" borderId="18" xfId="0" applyFont="1" applyFill="1" applyBorder="1" applyAlignment="1">
      <alignment horizontal="center"/>
    </xf>
    <xf numFmtId="0" fontId="21" fillId="6" borderId="19" xfId="0" applyFont="1" applyFill="1" applyBorder="1" applyAlignment="1">
      <alignment horizontal="center"/>
    </xf>
    <xf numFmtId="0" fontId="36" fillId="17" borderId="14" xfId="0" applyFont="1" applyFill="1" applyBorder="1" applyAlignment="1">
      <alignment horizontal="left" vertical="center" wrapText="1"/>
    </xf>
    <xf numFmtId="0" fontId="27" fillId="4" borderId="14" xfId="0" applyFont="1" applyFill="1" applyBorder="1" applyAlignment="1">
      <alignment horizontal="center" vertical="center" wrapText="1"/>
    </xf>
    <xf numFmtId="0" fontId="27" fillId="13" borderId="14" xfId="0" quotePrefix="1" applyFont="1" applyFill="1" applyBorder="1" applyAlignment="1" applyProtection="1">
      <alignment horizontal="center" vertical="center"/>
      <protection locked="0" hidden="1"/>
    </xf>
    <xf numFmtId="0" fontId="27" fillId="13" borderId="14" xfId="0" applyFont="1" applyFill="1" applyBorder="1" applyAlignment="1" applyProtection="1">
      <alignment horizontal="center" vertical="center"/>
      <protection locked="0" hidden="1"/>
    </xf>
    <xf numFmtId="0" fontId="27" fillId="21" borderId="14" xfId="0" applyFont="1" applyFill="1" applyBorder="1" applyAlignment="1">
      <alignment horizontal="center" vertical="center" wrapText="1"/>
    </xf>
    <xf numFmtId="0" fontId="40" fillId="14" borderId="14" xfId="0" applyFont="1" applyFill="1" applyBorder="1" applyAlignment="1">
      <alignment horizontal="center" vertical="center"/>
    </xf>
    <xf numFmtId="0" fontId="30" fillId="5" borderId="14" xfId="0" applyFont="1" applyFill="1" applyBorder="1" applyAlignment="1">
      <alignment horizontal="left" vertical="center" wrapText="1" indent="3"/>
    </xf>
    <xf numFmtId="0" fontId="30" fillId="5" borderId="14" xfId="0" quotePrefix="1" applyFont="1" applyFill="1" applyBorder="1" applyAlignment="1">
      <alignment horizontal="left" vertical="center" wrapText="1" indent="3"/>
    </xf>
    <xf numFmtId="0" fontId="37" fillId="5" borderId="14" xfId="0" applyFont="1" applyFill="1" applyBorder="1" applyAlignment="1">
      <alignment horizontal="left" vertical="center" wrapText="1" indent="3"/>
    </xf>
    <xf numFmtId="170" fontId="33" fillId="18" borderId="14" xfId="0" applyNumberFormat="1" applyFont="1" applyFill="1" applyBorder="1" applyAlignment="1" applyProtection="1">
      <alignment horizontal="center" vertical="center"/>
      <protection hidden="1"/>
    </xf>
    <xf numFmtId="0" fontId="37" fillId="5" borderId="14" xfId="0" applyFont="1" applyFill="1" applyBorder="1" applyAlignment="1">
      <alignment horizontal="center" vertical="center" wrapText="1"/>
    </xf>
    <xf numFmtId="170" fontId="32" fillId="22" borderId="14" xfId="0" applyNumberFormat="1" applyFont="1" applyFill="1" applyBorder="1" applyAlignment="1">
      <alignment horizontal="center" vertical="center" wrapText="1"/>
    </xf>
    <xf numFmtId="0" fontId="37" fillId="5" borderId="14" xfId="0" applyFont="1" applyFill="1" applyBorder="1" applyAlignment="1">
      <alignment horizontal="left" vertical="center" wrapText="1"/>
    </xf>
    <xf numFmtId="0" fontId="32" fillId="22" borderId="17" xfId="0" applyFont="1" applyFill="1" applyBorder="1" applyAlignment="1">
      <alignment horizontal="center" vertical="center" wrapText="1"/>
    </xf>
    <xf numFmtId="0" fontId="32" fillId="22" borderId="18" xfId="0" applyFont="1" applyFill="1" applyBorder="1" applyAlignment="1">
      <alignment horizontal="center" vertical="center" wrapText="1"/>
    </xf>
    <xf numFmtId="0" fontId="32" fillId="22" borderId="19" xfId="0" applyFont="1" applyFill="1" applyBorder="1" applyAlignment="1">
      <alignment horizontal="center" vertical="center" wrapText="1"/>
    </xf>
    <xf numFmtId="0" fontId="44" fillId="6" borderId="17" xfId="0" applyFont="1" applyFill="1" applyBorder="1" applyAlignment="1">
      <alignment horizontal="center"/>
    </xf>
    <xf numFmtId="0" fontId="44" fillId="6" borderId="18" xfId="0" applyFont="1" applyFill="1" applyBorder="1" applyAlignment="1">
      <alignment horizontal="center"/>
    </xf>
    <xf numFmtId="0" fontId="44" fillId="6" borderId="19" xfId="0" applyFont="1" applyFill="1" applyBorder="1" applyAlignment="1">
      <alignment horizontal="center"/>
    </xf>
    <xf numFmtId="0" fontId="21" fillId="0" borderId="14" xfId="0" applyFont="1" applyBorder="1" applyAlignment="1" applyProtection="1">
      <alignment horizontal="center"/>
      <protection locked="0"/>
    </xf>
    <xf numFmtId="0" fontId="111" fillId="23" borderId="14" xfId="0" applyFont="1" applyFill="1" applyBorder="1" applyAlignment="1" applyProtection="1">
      <alignment horizontal="center" vertical="center"/>
      <protection locked="0" hidden="1"/>
    </xf>
    <xf numFmtId="0" fontId="45" fillId="7" borderId="14" xfId="0" applyFont="1" applyFill="1" applyBorder="1" applyAlignment="1">
      <alignment horizontal="center" vertical="center" wrapText="1"/>
    </xf>
    <xf numFmtId="0" fontId="45" fillId="11" borderId="14" xfId="0" applyFont="1" applyFill="1" applyBorder="1" applyAlignment="1">
      <alignment horizontal="center"/>
    </xf>
    <xf numFmtId="0" fontId="32" fillId="3" borderId="10" xfId="0" applyFont="1" applyFill="1" applyBorder="1" applyAlignment="1">
      <alignment horizontal="center" vertical="center" wrapText="1"/>
    </xf>
    <xf numFmtId="0" fontId="32" fillId="3" borderId="0" xfId="0" applyFont="1" applyFill="1" applyAlignment="1">
      <alignment horizontal="center" vertical="center" wrapText="1"/>
    </xf>
    <xf numFmtId="0" fontId="71" fillId="11" borderId="14" xfId="0" applyFont="1" applyFill="1" applyBorder="1" applyAlignment="1">
      <alignment horizontal="center" vertical="center" wrapText="1"/>
    </xf>
    <xf numFmtId="0" fontId="46" fillId="2" borderId="0" xfId="0" applyFont="1" applyFill="1" applyAlignment="1">
      <alignment horizontal="center"/>
    </xf>
    <xf numFmtId="0" fontId="47" fillId="2" borderId="0" xfId="0" applyFont="1" applyFill="1" applyAlignment="1">
      <alignment horizontal="center" vertical="center" wrapText="1"/>
    </xf>
    <xf numFmtId="0" fontId="63" fillId="5" borderId="3" xfId="0" applyFont="1" applyFill="1" applyBorder="1" applyAlignment="1">
      <alignment horizontal="center" vertical="center"/>
    </xf>
    <xf numFmtId="0" fontId="63" fillId="5" borderId="4" xfId="0" applyFont="1" applyFill="1" applyBorder="1" applyAlignment="1">
      <alignment horizontal="center" vertical="center"/>
    </xf>
    <xf numFmtId="0" fontId="35" fillId="2" borderId="0" xfId="0" applyFont="1" applyFill="1" applyAlignment="1">
      <alignment horizontal="right" vertical="center" wrapText="1"/>
    </xf>
    <xf numFmtId="0" fontId="49" fillId="2" borderId="0" xfId="0" applyFont="1" applyFill="1" applyAlignment="1">
      <alignment horizontal="center" vertical="center" wrapText="1"/>
    </xf>
    <xf numFmtId="171" fontId="23" fillId="4" borderId="17" xfId="0" applyNumberFormat="1" applyFont="1" applyFill="1" applyBorder="1" applyAlignment="1">
      <alignment horizontal="center" vertical="center"/>
    </xf>
    <xf numFmtId="171" fontId="23" fillId="4" borderId="19" xfId="0" applyNumberFormat="1" applyFont="1" applyFill="1" applyBorder="1" applyAlignment="1">
      <alignment horizontal="center" vertical="center"/>
    </xf>
    <xf numFmtId="0" fontId="35" fillId="11" borderId="31" xfId="0" applyFont="1" applyFill="1" applyBorder="1" applyAlignment="1">
      <alignment horizontal="center" vertical="center" wrapText="1"/>
    </xf>
    <xf numFmtId="0" fontId="35" fillId="11" borderId="27" xfId="0" applyFont="1" applyFill="1" applyBorder="1" applyAlignment="1">
      <alignment horizontal="center" vertical="center" wrapText="1"/>
    </xf>
    <xf numFmtId="0" fontId="52" fillId="11" borderId="38" xfId="0" applyFont="1" applyFill="1" applyBorder="1" applyAlignment="1">
      <alignment horizontal="center" vertical="center"/>
    </xf>
    <xf numFmtId="0" fontId="52" fillId="11" borderId="39" xfId="0" applyFont="1" applyFill="1" applyBorder="1" applyAlignment="1">
      <alignment horizontal="center" vertical="center"/>
    </xf>
    <xf numFmtId="0" fontId="35" fillId="11" borderId="30" xfId="0" applyFont="1" applyFill="1" applyBorder="1" applyAlignment="1">
      <alignment horizontal="center" vertical="center" wrapText="1"/>
    </xf>
    <xf numFmtId="0" fontId="35" fillId="11" borderId="26" xfId="0" applyFont="1" applyFill="1" applyBorder="1" applyAlignment="1">
      <alignment horizontal="center" vertical="center" wrapText="1"/>
    </xf>
    <xf numFmtId="0" fontId="46" fillId="4" borderId="42" xfId="0" applyFont="1" applyFill="1" applyBorder="1" applyAlignment="1">
      <alignment horizontal="center" vertical="center"/>
    </xf>
    <xf numFmtId="0" fontId="46" fillId="4" borderId="43" xfId="0" applyFont="1" applyFill="1" applyBorder="1" applyAlignment="1">
      <alignment horizontal="center" vertical="center"/>
    </xf>
    <xf numFmtId="0" fontId="53" fillId="4" borderId="44" xfId="0" applyFont="1" applyFill="1" applyBorder="1" applyAlignment="1">
      <alignment horizontal="center" vertical="center" wrapText="1"/>
    </xf>
    <xf numFmtId="0" fontId="53" fillId="4" borderId="45" xfId="0" applyFont="1" applyFill="1" applyBorder="1" applyAlignment="1">
      <alignment horizontal="center" vertical="center" wrapText="1"/>
    </xf>
    <xf numFmtId="0" fontId="40" fillId="2" borderId="14" xfId="0" applyFont="1" applyFill="1" applyBorder="1" applyAlignment="1" applyProtection="1">
      <alignment horizontal="center" vertical="center"/>
      <protection locked="0"/>
    </xf>
    <xf numFmtId="0" fontId="46" fillId="4" borderId="17" xfId="0" applyFont="1" applyFill="1" applyBorder="1" applyAlignment="1" applyProtection="1">
      <alignment horizontal="left" vertical="center" indent="2"/>
      <protection locked="0"/>
    </xf>
    <xf numFmtId="0" fontId="46" fillId="4" borderId="18" xfId="0" applyFont="1" applyFill="1" applyBorder="1" applyAlignment="1" applyProtection="1">
      <alignment horizontal="left" vertical="center" indent="2"/>
      <protection locked="0"/>
    </xf>
    <xf numFmtId="0" fontId="46" fillId="4" borderId="19" xfId="0" applyFont="1" applyFill="1" applyBorder="1" applyAlignment="1" applyProtection="1">
      <alignment horizontal="left" vertical="center" indent="2"/>
      <protection locked="0"/>
    </xf>
    <xf numFmtId="0" fontId="54" fillId="11" borderId="17" xfId="0" applyFont="1" applyFill="1" applyBorder="1" applyAlignment="1">
      <alignment horizontal="center" vertical="center"/>
    </xf>
    <xf numFmtId="0" fontId="54" fillId="11" borderId="18" xfId="0" applyFont="1" applyFill="1" applyBorder="1" applyAlignment="1">
      <alignment horizontal="center" vertical="center"/>
    </xf>
    <xf numFmtId="0" fontId="54" fillId="11" borderId="19" xfId="0" applyFont="1" applyFill="1" applyBorder="1" applyAlignment="1">
      <alignment horizontal="center" vertical="center"/>
    </xf>
    <xf numFmtId="0" fontId="29" fillId="11" borderId="47" xfId="0" applyFont="1" applyFill="1" applyBorder="1" applyAlignment="1">
      <alignment horizontal="center" vertical="center"/>
    </xf>
    <xf numFmtId="0" fontId="29" fillId="11" borderId="48" xfId="0" applyFont="1" applyFill="1" applyBorder="1" applyAlignment="1">
      <alignment horizontal="center" vertical="center"/>
    </xf>
    <xf numFmtId="0" fontId="29" fillId="11" borderId="39" xfId="0" applyFont="1" applyFill="1" applyBorder="1" applyAlignment="1">
      <alignment horizontal="center" vertical="center"/>
    </xf>
    <xf numFmtId="0" fontId="46" fillId="4" borderId="10" xfId="0" applyFont="1" applyFill="1" applyBorder="1" applyAlignment="1">
      <alignment horizontal="center" vertical="center"/>
    </xf>
    <xf numFmtId="0" fontId="46" fillId="4" borderId="11" xfId="0" applyFont="1" applyFill="1" applyBorder="1" applyAlignment="1">
      <alignment horizontal="center" vertical="center"/>
    </xf>
    <xf numFmtId="0" fontId="46" fillId="4" borderId="44" xfId="0" applyFont="1" applyFill="1" applyBorder="1" applyAlignment="1">
      <alignment horizontal="center" vertical="center"/>
    </xf>
    <xf numFmtId="0" fontId="46" fillId="4" borderId="45" xfId="0" applyFont="1" applyFill="1" applyBorder="1" applyAlignment="1">
      <alignment horizontal="center" vertical="center"/>
    </xf>
    <xf numFmtId="0" fontId="46" fillId="2" borderId="17" xfId="0" applyFont="1" applyFill="1" applyBorder="1" applyAlignment="1" applyProtection="1">
      <alignment horizontal="left" vertical="center" wrapText="1"/>
      <protection locked="0"/>
    </xf>
    <xf numFmtId="0" fontId="46" fillId="2" borderId="18" xfId="0" applyFont="1" applyFill="1" applyBorder="1" applyAlignment="1" applyProtection="1">
      <alignment horizontal="left" vertical="center" wrapText="1"/>
      <protection locked="0"/>
    </xf>
    <xf numFmtId="0" fontId="46" fillId="2" borderId="19" xfId="0" applyFont="1" applyFill="1" applyBorder="1" applyAlignment="1" applyProtection="1">
      <alignment horizontal="left" vertical="center" wrapText="1"/>
      <protection locked="0"/>
    </xf>
    <xf numFmtId="0" fontId="33" fillId="2" borderId="17" xfId="0" applyFont="1" applyFill="1" applyBorder="1" applyAlignment="1" applyProtection="1">
      <alignment horizontal="center" vertical="center"/>
      <protection locked="0"/>
    </xf>
    <xf numFmtId="0" fontId="33" fillId="2" borderId="18" xfId="0" applyFont="1" applyFill="1" applyBorder="1" applyAlignment="1" applyProtection="1">
      <alignment horizontal="center" vertical="center"/>
      <protection locked="0"/>
    </xf>
    <xf numFmtId="0" fontId="33" fillId="2" borderId="19" xfId="0" applyFont="1" applyFill="1" applyBorder="1" applyAlignment="1" applyProtection="1">
      <alignment horizontal="center" vertical="center"/>
      <protection locked="0"/>
    </xf>
    <xf numFmtId="0" fontId="33" fillId="2" borderId="47" xfId="0" applyFont="1" applyFill="1" applyBorder="1" applyAlignment="1" applyProtection="1">
      <alignment horizontal="center" vertical="center"/>
      <protection locked="0"/>
    </xf>
    <xf numFmtId="0" fontId="33" fillId="2" borderId="48" xfId="0" applyFont="1" applyFill="1" applyBorder="1" applyAlignment="1" applyProtection="1">
      <alignment horizontal="center" vertical="center"/>
      <protection locked="0"/>
    </xf>
    <xf numFmtId="0" fontId="33" fillId="2" borderId="54" xfId="0" applyFont="1" applyFill="1" applyBorder="1" applyAlignment="1" applyProtection="1">
      <alignment horizontal="center" vertical="center"/>
      <protection locked="0"/>
    </xf>
    <xf numFmtId="0" fontId="46" fillId="2" borderId="14" xfId="0" applyFont="1" applyFill="1" applyBorder="1" applyAlignment="1" applyProtection="1">
      <alignment horizontal="center" vertical="center"/>
      <protection locked="0"/>
    </xf>
    <xf numFmtId="0" fontId="40" fillId="2" borderId="55" xfId="0" applyFont="1" applyFill="1" applyBorder="1" applyAlignment="1" applyProtection="1">
      <alignment horizontal="center" vertical="center" wrapText="1"/>
      <protection locked="0"/>
    </xf>
    <xf numFmtId="0" fontId="40" fillId="2" borderId="56" xfId="0" applyFont="1" applyFill="1" applyBorder="1" applyAlignment="1" applyProtection="1">
      <alignment horizontal="center" vertical="center" wrapText="1"/>
      <protection locked="0"/>
    </xf>
    <xf numFmtId="0" fontId="40" fillId="2" borderId="57" xfId="0" applyFont="1" applyFill="1" applyBorder="1" applyAlignment="1" applyProtection="1">
      <alignment horizontal="center" vertical="center" wrapText="1"/>
      <protection locked="0"/>
    </xf>
    <xf numFmtId="0" fontId="46" fillId="2" borderId="55" xfId="0" applyFont="1" applyFill="1" applyBorder="1" applyAlignment="1" applyProtection="1">
      <alignment horizontal="center" vertical="center" wrapText="1"/>
      <protection locked="0"/>
    </xf>
    <xf numFmtId="0" fontId="46" fillId="2" borderId="56" xfId="0" applyFont="1" applyFill="1" applyBorder="1" applyAlignment="1" applyProtection="1">
      <alignment horizontal="center" vertical="center" wrapText="1"/>
      <protection locked="0"/>
    </xf>
    <xf numFmtId="0" fontId="46" fillId="2" borderId="57" xfId="0" applyFont="1" applyFill="1" applyBorder="1" applyAlignment="1" applyProtection="1">
      <alignment horizontal="center" vertical="center" wrapText="1"/>
      <protection locked="0"/>
    </xf>
    <xf numFmtId="171" fontId="40" fillId="2" borderId="14" xfId="2" applyNumberFormat="1" applyFont="1" applyFill="1" applyBorder="1" applyAlignment="1" applyProtection="1">
      <alignment horizontal="center" vertical="center"/>
      <protection locked="0"/>
    </xf>
    <xf numFmtId="1" fontId="50" fillId="2" borderId="14" xfId="0" applyNumberFormat="1" applyFont="1" applyFill="1" applyBorder="1" applyAlignment="1" applyProtection="1">
      <alignment horizontal="center" vertical="center"/>
      <protection locked="0"/>
    </xf>
    <xf numFmtId="0" fontId="22" fillId="2" borderId="14" xfId="0" applyFont="1" applyFill="1" applyBorder="1" applyAlignment="1" applyProtection="1">
      <alignment horizontal="center" vertical="center"/>
      <protection locked="0"/>
    </xf>
    <xf numFmtId="0" fontId="46" fillId="2" borderId="0" xfId="0" applyFont="1" applyFill="1" applyAlignment="1" applyProtection="1">
      <alignment horizontal="center"/>
      <protection locked="0"/>
    </xf>
    <xf numFmtId="2" fontId="40" fillId="2" borderId="14" xfId="0" applyNumberFormat="1" applyFont="1" applyFill="1" applyBorder="1" applyAlignment="1" applyProtection="1">
      <alignment horizontal="center" vertical="center"/>
      <protection locked="0"/>
    </xf>
    <xf numFmtId="0" fontId="46" fillId="2" borderId="17" xfId="0" applyFont="1" applyFill="1" applyBorder="1" applyAlignment="1" applyProtection="1">
      <alignment horizontal="center" vertical="center" wrapText="1"/>
      <protection locked="0"/>
    </xf>
    <xf numFmtId="0" fontId="46" fillId="2" borderId="18" xfId="0" applyFont="1" applyFill="1" applyBorder="1" applyAlignment="1" applyProtection="1">
      <alignment horizontal="center" vertical="center" wrapText="1"/>
      <protection locked="0"/>
    </xf>
    <xf numFmtId="0" fontId="40" fillId="2" borderId="17" xfId="0" applyFont="1" applyFill="1" applyBorder="1" applyAlignment="1" applyProtection="1">
      <alignment horizontal="center" vertical="center" wrapText="1"/>
      <protection locked="0"/>
    </xf>
    <xf numFmtId="0" fontId="40" fillId="2" borderId="18" xfId="0" applyFont="1" applyFill="1" applyBorder="1" applyAlignment="1" applyProtection="1">
      <alignment horizontal="center" vertical="center" wrapText="1"/>
      <protection locked="0"/>
    </xf>
    <xf numFmtId="0" fontId="40" fillId="2" borderId="19" xfId="0" applyFont="1" applyFill="1" applyBorder="1" applyAlignment="1" applyProtection="1">
      <alignment horizontal="center" vertical="center" wrapText="1"/>
      <protection locked="0"/>
    </xf>
    <xf numFmtId="0" fontId="33" fillId="2" borderId="14" xfId="0" applyFont="1" applyFill="1" applyBorder="1" applyAlignment="1" applyProtection="1">
      <alignment horizontal="center" vertical="center" wrapText="1"/>
      <protection locked="0"/>
    </xf>
    <xf numFmtId="1" fontId="58" fillId="2" borderId="14" xfId="0" applyNumberFormat="1" applyFont="1" applyFill="1" applyBorder="1" applyAlignment="1" applyProtection="1">
      <alignment horizontal="center" vertical="center"/>
      <protection locked="0"/>
    </xf>
    <xf numFmtId="0" fontId="58" fillId="2" borderId="14" xfId="0" applyFont="1" applyFill="1" applyBorder="1" applyAlignment="1" applyProtection="1">
      <alignment horizontal="center" vertical="center"/>
      <protection locked="0"/>
    </xf>
    <xf numFmtId="0" fontId="59" fillId="2" borderId="17" xfId="0" applyFont="1" applyFill="1" applyBorder="1" applyAlignment="1" applyProtection="1">
      <alignment horizontal="center" vertical="center" wrapText="1"/>
      <protection locked="0"/>
    </xf>
    <xf numFmtId="0" fontId="59"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3">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rgb="FFFFFF99"/>
        </patternFill>
      </fill>
    </dxf>
    <dxf>
      <font>
        <b/>
        <i val="0"/>
        <color auto="1"/>
      </font>
      <fill>
        <patternFill>
          <bgColor theme="7" tint="0.3999450666829432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5.png"/><Relationship Id="rId7" Type="http://schemas.openxmlformats.org/officeDocument/2006/relationships/image" Target="../media/image10.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9.png"/><Relationship Id="rId5" Type="http://schemas.openxmlformats.org/officeDocument/2006/relationships/image" Target="../media/image8.png"/><Relationship Id="rId4" Type="http://schemas.microsoft.com/office/2007/relationships/hdphoto" Target="../media/hdphoto1.wdp"/><Relationship Id="rId9" Type="http://schemas.openxmlformats.org/officeDocument/2006/relationships/image" Target="../media/image1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xdr:col>
      <xdr:colOff>182880</xdr:colOff>
      <xdr:row>24</xdr:row>
      <xdr:rowOff>91440</xdr:rowOff>
    </xdr:from>
    <xdr:to>
      <xdr:col>6</xdr:col>
      <xdr:colOff>663009</xdr:colOff>
      <xdr:row>41</xdr:row>
      <xdr:rowOff>4903</xdr:rowOff>
    </xdr:to>
    <xdr:pic>
      <xdr:nvPicPr>
        <xdr:cNvPr id="2" name="Imagen 1">
          <a:extLst>
            <a:ext uri="{FF2B5EF4-FFF2-40B4-BE49-F238E27FC236}">
              <a16:creationId xmlns:a16="http://schemas.microsoft.com/office/drawing/2014/main" id="{2E173A53-5619-BD9D-6200-7B361EBC05FC}"/>
            </a:ext>
          </a:extLst>
        </xdr:cNvPr>
        <xdr:cNvPicPr>
          <a:picLocks noChangeAspect="1"/>
        </xdr:cNvPicPr>
      </xdr:nvPicPr>
      <xdr:blipFill>
        <a:blip xmlns:r="http://schemas.openxmlformats.org/officeDocument/2006/relationships" r:embed="rId1"/>
        <a:stretch>
          <a:fillRect/>
        </a:stretch>
      </xdr:blipFill>
      <xdr:spPr>
        <a:xfrm>
          <a:off x="365760" y="7200900"/>
          <a:ext cx="3619569" cy="4447363"/>
        </a:xfrm>
        <a:prstGeom prst="rect">
          <a:avLst/>
        </a:prstGeom>
      </xdr:spPr>
    </xdr:pic>
    <xdr:clientData/>
  </xdr:twoCellAnchor>
  <xdr:twoCellAnchor editAs="oneCell">
    <xdr:from>
      <xdr:col>7</xdr:col>
      <xdr:colOff>182880</xdr:colOff>
      <xdr:row>27</xdr:row>
      <xdr:rowOff>8266</xdr:rowOff>
    </xdr:from>
    <xdr:to>
      <xdr:col>12</xdr:col>
      <xdr:colOff>99060</xdr:colOff>
      <xdr:row>36</xdr:row>
      <xdr:rowOff>175861</xdr:rowOff>
    </xdr:to>
    <xdr:pic>
      <xdr:nvPicPr>
        <xdr:cNvPr id="3" name="Imagen 2">
          <a:extLst>
            <a:ext uri="{FF2B5EF4-FFF2-40B4-BE49-F238E27FC236}">
              <a16:creationId xmlns:a16="http://schemas.microsoft.com/office/drawing/2014/main" id="{6A0D9717-533F-AAB6-07A4-ED74DD44D2E2}"/>
            </a:ext>
          </a:extLst>
        </xdr:cNvPr>
        <xdr:cNvPicPr>
          <a:picLocks noChangeAspect="1"/>
        </xdr:cNvPicPr>
      </xdr:nvPicPr>
      <xdr:blipFill>
        <a:blip xmlns:r="http://schemas.openxmlformats.org/officeDocument/2006/relationships" r:embed="rId2"/>
        <a:stretch>
          <a:fillRect/>
        </a:stretch>
      </xdr:blipFill>
      <xdr:spPr>
        <a:xfrm>
          <a:off x="4290060" y="7917826"/>
          <a:ext cx="3840480" cy="25678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4</xdr:col>
      <xdr:colOff>1663521</xdr:colOff>
      <xdr:row>18</xdr:row>
      <xdr:rowOff>1640913</xdr:rowOff>
    </xdr:from>
    <xdr:to>
      <xdr:col>7</xdr:col>
      <xdr:colOff>954695</xdr:colOff>
      <xdr:row>18</xdr:row>
      <xdr:rowOff>5019848</xdr:rowOff>
    </xdr:to>
    <xdr:pic>
      <xdr:nvPicPr>
        <xdr:cNvPr id="15"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0678732" y="21160455"/>
          <a:ext cx="4305134" cy="3378935"/>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4</xdr:col>
      <xdr:colOff>1711344</xdr:colOff>
      <xdr:row>18</xdr:row>
      <xdr:rowOff>478538</xdr:rowOff>
    </xdr:from>
    <xdr:to>
      <xdr:col>7</xdr:col>
      <xdr:colOff>979331</xdr:colOff>
      <xdr:row>18</xdr:row>
      <xdr:rowOff>1609859</xdr:rowOff>
    </xdr:to>
    <xdr:sp macro="" textlink="">
      <xdr:nvSpPr>
        <xdr:cNvPr id="16" name="Rectángulo 8">
          <a:extLst>
            <a:ext uri="{FF2B5EF4-FFF2-40B4-BE49-F238E27FC236}">
              <a16:creationId xmlns:a16="http://schemas.microsoft.com/office/drawing/2014/main" id="{FA60CC06-7C65-4513-B0A9-D0ABC7FF582C}"/>
            </a:ext>
          </a:extLst>
        </xdr:cNvPr>
        <xdr:cNvSpPr/>
      </xdr:nvSpPr>
      <xdr:spPr>
        <a:xfrm>
          <a:off x="10726555" y="19998080"/>
          <a:ext cx="4151227" cy="113132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800" kern="1200"/>
            <a:t>ESTE</a:t>
          </a:r>
          <a:r>
            <a:rPr lang="es-CO" sz="2800" kern="1200" baseline="0"/>
            <a:t> PUNTO SE ACLARO</a:t>
          </a:r>
        </a:p>
        <a:p>
          <a:pPr algn="ctr"/>
          <a:r>
            <a:rPr lang="es-CO" sz="2800" kern="1200" baseline="0"/>
            <a:t> POR ADENDA 2 </a:t>
          </a:r>
          <a:endParaRPr lang="es-CO" sz="2800" kern="1200"/>
        </a:p>
      </xdr:txBody>
    </xdr:sp>
    <xdr:clientData/>
  </xdr:twoCellAnchor>
  <xdr:twoCellAnchor editAs="oneCell">
    <xdr:from>
      <xdr:col>1</xdr:col>
      <xdr:colOff>1996226</xdr:colOff>
      <xdr:row>80</xdr:row>
      <xdr:rowOff>268311</xdr:rowOff>
    </xdr:from>
    <xdr:to>
      <xdr:col>4</xdr:col>
      <xdr:colOff>626056</xdr:colOff>
      <xdr:row>80</xdr:row>
      <xdr:rowOff>3746441</xdr:rowOff>
    </xdr:to>
    <xdr:pic>
      <xdr:nvPicPr>
        <xdr:cNvPr id="11" name="Imagen 10">
          <a:extLst>
            <a:ext uri="{FF2B5EF4-FFF2-40B4-BE49-F238E27FC236}">
              <a16:creationId xmlns:a16="http://schemas.microsoft.com/office/drawing/2014/main" id="{1C52BFF3-70F0-0606-6F27-D64B75352603}"/>
            </a:ext>
          </a:extLst>
        </xdr:cNvPr>
        <xdr:cNvPicPr>
          <a:picLocks noChangeAspect="1"/>
        </xdr:cNvPicPr>
      </xdr:nvPicPr>
      <xdr:blipFill>
        <a:blip xmlns:r="http://schemas.openxmlformats.org/officeDocument/2006/relationships" r:embed="rId7"/>
        <a:stretch>
          <a:fillRect/>
        </a:stretch>
      </xdr:blipFill>
      <xdr:spPr>
        <a:xfrm>
          <a:off x="4926170" y="65510536"/>
          <a:ext cx="4961942" cy="3478130"/>
        </a:xfrm>
        <a:prstGeom prst="rect">
          <a:avLst/>
        </a:prstGeom>
      </xdr:spPr>
    </xdr:pic>
    <xdr:clientData/>
  </xdr:twoCellAnchor>
  <xdr:twoCellAnchor editAs="oneCell">
    <xdr:from>
      <xdr:col>2</xdr:col>
      <xdr:colOff>67077</xdr:colOff>
      <xdr:row>18</xdr:row>
      <xdr:rowOff>576866</xdr:rowOff>
    </xdr:from>
    <xdr:to>
      <xdr:col>4</xdr:col>
      <xdr:colOff>1485900</xdr:colOff>
      <xdr:row>18</xdr:row>
      <xdr:rowOff>2965901</xdr:rowOff>
    </xdr:to>
    <xdr:pic>
      <xdr:nvPicPr>
        <xdr:cNvPr id="17" name="Imagen 11">
          <a:extLst>
            <a:ext uri="{FF2B5EF4-FFF2-40B4-BE49-F238E27FC236}">
              <a16:creationId xmlns:a16="http://schemas.microsoft.com/office/drawing/2014/main" id="{30DB0680-F604-FA47-26BB-46030B451991}"/>
            </a:ext>
          </a:extLst>
        </xdr:cNvPr>
        <xdr:cNvPicPr>
          <a:picLocks noChangeAspect="1"/>
        </xdr:cNvPicPr>
      </xdr:nvPicPr>
      <xdr:blipFill>
        <a:blip xmlns:r="http://schemas.openxmlformats.org/officeDocument/2006/relationships" r:embed="rId8"/>
        <a:stretch>
          <a:fillRect/>
        </a:stretch>
      </xdr:blipFill>
      <xdr:spPr>
        <a:xfrm>
          <a:off x="4963732" y="20096408"/>
          <a:ext cx="5647923" cy="2389035"/>
        </a:xfrm>
        <a:prstGeom prst="rect">
          <a:avLst/>
        </a:prstGeom>
      </xdr:spPr>
    </xdr:pic>
    <xdr:clientData/>
  </xdr:twoCellAnchor>
  <xdr:twoCellAnchor editAs="oneCell">
    <xdr:from>
      <xdr:col>1</xdr:col>
      <xdr:colOff>1760113</xdr:colOff>
      <xdr:row>10</xdr:row>
      <xdr:rowOff>672386</xdr:rowOff>
    </xdr:from>
    <xdr:to>
      <xdr:col>5</xdr:col>
      <xdr:colOff>182450</xdr:colOff>
      <xdr:row>10</xdr:row>
      <xdr:rowOff>4459098</xdr:rowOff>
    </xdr:to>
    <xdr:pic>
      <xdr:nvPicPr>
        <xdr:cNvPr id="19" name="Imagen 18">
          <a:extLst>
            <a:ext uri="{FF2B5EF4-FFF2-40B4-BE49-F238E27FC236}">
              <a16:creationId xmlns:a16="http://schemas.microsoft.com/office/drawing/2014/main" id="{A5911410-9A7F-CC60-0A09-7940C40EEAA8}"/>
            </a:ext>
          </a:extLst>
        </xdr:cNvPr>
        <xdr:cNvPicPr>
          <a:picLocks noChangeAspect="1"/>
        </xdr:cNvPicPr>
      </xdr:nvPicPr>
      <xdr:blipFill>
        <a:blip xmlns:r="http://schemas.openxmlformats.org/officeDocument/2006/relationships" r:embed="rId9"/>
        <a:stretch>
          <a:fillRect/>
        </a:stretch>
      </xdr:blipFill>
      <xdr:spPr>
        <a:xfrm>
          <a:off x="4690057" y="5802471"/>
          <a:ext cx="6611154" cy="37867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1313400</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121226</xdr:colOff>
      <xdr:row>24</xdr:row>
      <xdr:rowOff>329048</xdr:rowOff>
    </xdr:from>
    <xdr:to>
      <xdr:col>13</xdr:col>
      <xdr:colOff>2219497</xdr:colOff>
      <xdr:row>38</xdr:row>
      <xdr:rowOff>264685</xdr:rowOff>
    </xdr:to>
    <xdr:pic>
      <xdr:nvPicPr>
        <xdr:cNvPr id="3" name="Imagen 2">
          <a:extLst>
            <a:ext uri="{FF2B5EF4-FFF2-40B4-BE49-F238E27FC236}">
              <a16:creationId xmlns:a16="http://schemas.microsoft.com/office/drawing/2014/main" id="{7FFC131E-9EF5-AE6B-5E29-A10FBC8A3D21}"/>
            </a:ext>
          </a:extLst>
        </xdr:cNvPr>
        <xdr:cNvPicPr>
          <a:picLocks noChangeAspect="1"/>
        </xdr:cNvPicPr>
      </xdr:nvPicPr>
      <xdr:blipFill>
        <a:blip xmlns:r="http://schemas.openxmlformats.org/officeDocument/2006/relationships" r:embed="rId2"/>
        <a:stretch>
          <a:fillRect/>
        </a:stretch>
      </xdr:blipFill>
      <xdr:spPr>
        <a:xfrm>
          <a:off x="11204862" y="13040593"/>
          <a:ext cx="13199226" cy="59970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17" zoomScaleNormal="130" zoomScaleSheetLayoutView="100" workbookViewId="0">
      <selection activeCell="K27" sqref="K27"/>
    </sheetView>
  </sheetViews>
  <sheetFormatPr baseColWidth="10" defaultColWidth="11.42578125" defaultRowHeight="16.5" x14ac:dyDescent="0.3"/>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x14ac:dyDescent="0.65">
      <c r="A1" s="1"/>
      <c r="B1" s="434" t="e" vm="1">
        <v>#VALUE!</v>
      </c>
      <c r="C1" s="434"/>
      <c r="D1" s="435" t="s">
        <v>0</v>
      </c>
      <c r="E1" s="435"/>
      <c r="F1" s="435"/>
      <c r="G1" s="435"/>
      <c r="H1" s="435"/>
      <c r="I1" s="435"/>
      <c r="J1" s="435"/>
      <c r="K1" s="435"/>
      <c r="L1" s="435"/>
      <c r="M1" s="435"/>
      <c r="N1" s="435"/>
    </row>
    <row r="2" spans="1:14" x14ac:dyDescent="0.3">
      <c r="A2" s="1"/>
      <c r="B2" s="1"/>
      <c r="C2" s="1"/>
      <c r="D2" s="1"/>
      <c r="E2" s="1"/>
      <c r="F2" s="1"/>
      <c r="G2" s="1"/>
      <c r="H2" s="1"/>
      <c r="I2" s="1"/>
      <c r="J2" s="1"/>
      <c r="M2" s="1"/>
      <c r="N2" s="1"/>
    </row>
    <row r="3" spans="1:14" x14ac:dyDescent="0.3">
      <c r="A3" s="1"/>
      <c r="B3" s="1"/>
      <c r="C3" s="1"/>
      <c r="D3" s="1"/>
      <c r="E3" s="1"/>
      <c r="F3" s="1"/>
      <c r="G3" s="1"/>
      <c r="H3" s="1"/>
      <c r="I3" s="1"/>
      <c r="J3" s="1"/>
      <c r="M3" s="1"/>
      <c r="N3" s="1"/>
    </row>
    <row r="4" spans="1:14" x14ac:dyDescent="0.3">
      <c r="A4" s="1"/>
      <c r="B4" s="1"/>
      <c r="C4" s="1"/>
      <c r="D4" s="1"/>
      <c r="E4" s="1"/>
      <c r="F4" s="1"/>
      <c r="G4" s="1"/>
      <c r="H4" s="1"/>
      <c r="I4" s="1"/>
      <c r="J4" s="1"/>
      <c r="M4" s="1"/>
      <c r="N4" s="1"/>
    </row>
    <row r="5" spans="1:14" ht="27.75" customHeight="1" x14ac:dyDescent="0.3">
      <c r="A5" s="1"/>
      <c r="B5" s="2" t="s">
        <v>1</v>
      </c>
      <c r="C5" s="221">
        <f>+EXPERIENCIA!D15</f>
        <v>35</v>
      </c>
      <c r="D5" s="3"/>
      <c r="E5" s="436" t="str">
        <f>IF($C$5&gt;0,(VLOOKUP($C$5,[1]OFERENTES!$A$8:$W$1027,2,FALSE)),"")</f>
        <v>GESTION RURAL Y URBANA SAS</v>
      </c>
      <c r="F5" s="437"/>
      <c r="G5" s="437"/>
      <c r="H5" s="437"/>
      <c r="I5" s="437"/>
      <c r="J5" s="437"/>
      <c r="K5" s="438" t="s">
        <v>2</v>
      </c>
      <c r="L5" s="439"/>
      <c r="M5" s="440" t="str">
        <f>IFERROR(VLOOKUP($C$5,[1]OFERENTES!$A$8:$AA$1027,26,FALSE),"")</f>
        <v>Proponente Individual</v>
      </c>
      <c r="N5" s="441"/>
    </row>
    <row r="6" spans="1:14" x14ac:dyDescent="0.3">
      <c r="A6" s="1"/>
      <c r="B6" s="1"/>
      <c r="C6" s="1"/>
      <c r="D6" s="1"/>
      <c r="E6" s="1"/>
      <c r="F6" s="1"/>
      <c r="G6" s="1"/>
      <c r="H6" s="1"/>
      <c r="I6" s="1"/>
      <c r="J6" s="1"/>
      <c r="M6" s="1"/>
      <c r="N6" s="1"/>
    </row>
    <row r="7" spans="1:14" x14ac:dyDescent="0.3">
      <c r="A7" s="1"/>
      <c r="B7" s="1"/>
      <c r="C7" s="1"/>
      <c r="D7" s="1"/>
      <c r="E7" s="1"/>
      <c r="F7" s="1"/>
      <c r="G7" s="1"/>
      <c r="H7" s="1"/>
      <c r="I7" s="1"/>
      <c r="J7" s="1"/>
      <c r="M7" s="1"/>
      <c r="N7" s="1"/>
    </row>
    <row r="8" spans="1:14" s="1" customFormat="1" ht="23.25" x14ac:dyDescent="0.35">
      <c r="B8" s="4" t="s">
        <v>3</v>
      </c>
    </row>
    <row r="9" spans="1:14" s="1" customFormat="1" x14ac:dyDescent="0.3"/>
    <row r="10" spans="1:14" s="1" customFormat="1" ht="18.75" x14ac:dyDescent="0.3">
      <c r="B10" s="5" t="s">
        <v>4</v>
      </c>
    </row>
    <row r="11" spans="1:14" s="1" customFormat="1" x14ac:dyDescent="0.3"/>
    <row r="12" spans="1:14" ht="30.75" customHeight="1" x14ac:dyDescent="0.3">
      <c r="A12" s="1"/>
      <c r="B12" s="432" t="s">
        <v>5</v>
      </c>
      <c r="C12" s="432"/>
      <c r="D12" s="432"/>
      <c r="E12" s="432"/>
      <c r="F12" s="432"/>
      <c r="G12" s="432"/>
      <c r="H12" s="432"/>
      <c r="I12" s="432"/>
      <c r="J12" s="432"/>
      <c r="K12" s="432"/>
      <c r="L12" s="432"/>
      <c r="M12" s="433" t="s">
        <v>6</v>
      </c>
      <c r="N12" s="433"/>
    </row>
    <row r="13" spans="1:14" x14ac:dyDescent="0.3">
      <c r="A13" s="1"/>
      <c r="B13" s="1"/>
      <c r="C13" s="1"/>
      <c r="D13" s="1"/>
      <c r="E13" s="1"/>
      <c r="F13" s="1"/>
      <c r="G13" s="1"/>
      <c r="H13" s="1"/>
      <c r="I13" s="1"/>
      <c r="J13" s="1"/>
      <c r="M13" s="1"/>
      <c r="N13" s="1"/>
    </row>
    <row r="14" spans="1:14" x14ac:dyDescent="0.3">
      <c r="A14" s="1"/>
      <c r="B14" s="6" t="s">
        <v>7</v>
      </c>
      <c r="C14" s="1"/>
      <c r="D14" s="1"/>
      <c r="E14" s="1"/>
      <c r="F14" s="1"/>
      <c r="G14" s="1"/>
      <c r="H14" s="1"/>
      <c r="I14" s="1"/>
      <c r="J14" s="1"/>
      <c r="M14" s="1"/>
      <c r="N14" s="1"/>
    </row>
    <row r="15" spans="1:14" ht="30" customHeight="1" x14ac:dyDescent="0.3">
      <c r="A15" s="1"/>
      <c r="B15" s="442" t="s">
        <v>8</v>
      </c>
      <c r="C15" s="442"/>
      <c r="D15" s="442"/>
      <c r="E15" s="442"/>
      <c r="F15" s="442"/>
      <c r="G15" s="442"/>
      <c r="H15" s="442"/>
      <c r="I15" s="442"/>
      <c r="J15" s="442"/>
      <c r="K15" s="442"/>
      <c r="L15" s="442"/>
      <c r="M15" s="433" t="s">
        <v>6</v>
      </c>
      <c r="N15" s="433"/>
    </row>
    <row r="16" spans="1:14" x14ac:dyDescent="0.3">
      <c r="A16" s="1"/>
      <c r="B16" s="1"/>
      <c r="C16" s="1"/>
      <c r="D16" s="1"/>
      <c r="E16" s="1"/>
      <c r="F16" s="1"/>
      <c r="G16" s="1"/>
      <c r="H16" s="1"/>
      <c r="I16" s="1"/>
      <c r="J16" s="1"/>
      <c r="M16" s="1"/>
      <c r="N16" s="1"/>
    </row>
    <row r="17" spans="1:14" ht="30.75" customHeight="1" x14ac:dyDescent="0.3">
      <c r="A17" s="1"/>
      <c r="B17" s="442" t="s">
        <v>9</v>
      </c>
      <c r="C17" s="442"/>
      <c r="D17" s="442"/>
      <c r="E17" s="442"/>
      <c r="F17" s="442"/>
      <c r="G17" s="442"/>
      <c r="H17" s="442"/>
      <c r="I17" s="442"/>
      <c r="J17" s="442"/>
      <c r="K17" s="442"/>
      <c r="L17" s="442"/>
      <c r="M17" s="433" t="s">
        <v>6</v>
      </c>
      <c r="N17" s="433"/>
    </row>
    <row r="18" spans="1:14" x14ac:dyDescent="0.3">
      <c r="A18" s="1"/>
      <c r="B18" s="1"/>
      <c r="C18" s="1"/>
      <c r="D18" s="1"/>
      <c r="E18" s="1"/>
      <c r="F18" s="1"/>
      <c r="G18" s="1"/>
      <c r="H18" s="1"/>
      <c r="I18" s="1"/>
      <c r="J18" s="1"/>
      <c r="M18" s="1"/>
      <c r="N18" s="1"/>
    </row>
    <row r="19" spans="1:14" ht="30.75" customHeight="1" x14ac:dyDescent="0.3">
      <c r="A19" s="1"/>
      <c r="B19" s="442" t="s">
        <v>10</v>
      </c>
      <c r="C19" s="442"/>
      <c r="D19" s="442"/>
      <c r="E19" s="442"/>
      <c r="F19" s="442"/>
      <c r="G19" s="442"/>
      <c r="H19" s="442"/>
      <c r="I19" s="442"/>
      <c r="J19" s="442"/>
      <c r="K19" s="442"/>
      <c r="L19" s="442"/>
      <c r="M19" s="433" t="s">
        <v>6</v>
      </c>
      <c r="N19" s="433"/>
    </row>
    <row r="20" spans="1:14" x14ac:dyDescent="0.3">
      <c r="A20" s="1"/>
      <c r="B20" s="1"/>
      <c r="C20" s="1"/>
      <c r="D20" s="1"/>
      <c r="E20" s="1"/>
      <c r="F20" s="1"/>
      <c r="G20" s="1"/>
      <c r="H20" s="1"/>
      <c r="I20" s="1"/>
      <c r="J20" s="1"/>
      <c r="M20" s="1"/>
      <c r="N20" s="1"/>
    </row>
    <row r="21" spans="1:14" ht="32.25" customHeight="1" x14ac:dyDescent="0.3">
      <c r="A21" s="1"/>
      <c r="B21" s="442" t="s">
        <v>11</v>
      </c>
      <c r="C21" s="442"/>
      <c r="D21" s="442"/>
      <c r="E21" s="442"/>
      <c r="F21" s="442"/>
      <c r="G21" s="442"/>
      <c r="H21" s="442"/>
      <c r="I21" s="442"/>
      <c r="J21" s="442"/>
      <c r="K21" s="442"/>
      <c r="L21" s="442"/>
      <c r="M21" s="433" t="s">
        <v>6</v>
      </c>
      <c r="N21" s="433"/>
    </row>
    <row r="22" spans="1:14" x14ac:dyDescent="0.3">
      <c r="A22" s="1"/>
      <c r="B22" s="1"/>
      <c r="C22" s="1"/>
      <c r="D22" s="1"/>
      <c r="E22" s="1"/>
      <c r="F22" s="1"/>
      <c r="G22" s="1"/>
      <c r="H22" s="1"/>
      <c r="I22" s="1"/>
      <c r="J22" s="1"/>
      <c r="M22" s="1"/>
      <c r="N22" s="1"/>
    </row>
    <row r="23" spans="1:14" ht="33" customHeight="1" x14ac:dyDescent="0.3">
      <c r="A23" s="1"/>
      <c r="B23" s="443" t="s">
        <v>12</v>
      </c>
      <c r="C23" s="443"/>
      <c r="D23" s="443"/>
      <c r="E23" s="443"/>
      <c r="F23" s="443"/>
      <c r="G23" s="443"/>
      <c r="H23" s="443"/>
      <c r="I23" s="443"/>
      <c r="J23" s="443"/>
      <c r="K23" s="443"/>
      <c r="L23" s="443"/>
      <c r="M23" s="444" t="str">
        <f>IF($M$12="","",IF(COUNTIF(M12:M21,"si")&gt;4,"CUMPLE","NO CUMPLE"))</f>
        <v>CUMPLE</v>
      </c>
      <c r="N23" s="444"/>
    </row>
    <row r="24" spans="1:14" ht="32.25" customHeight="1" x14ac:dyDescent="0.3">
      <c r="A24" s="1"/>
      <c r="B24" s="6" t="s">
        <v>13</v>
      </c>
      <c r="C24" s="1"/>
      <c r="D24" s="1"/>
      <c r="E24" s="1"/>
      <c r="F24" s="1"/>
      <c r="G24" s="1"/>
      <c r="H24" s="1"/>
      <c r="I24" s="1"/>
      <c r="J24" s="1"/>
      <c r="M24" s="1"/>
      <c r="N24" s="1"/>
    </row>
    <row r="25" spans="1:14" ht="21" customHeight="1" x14ac:dyDescent="0.35">
      <c r="A25" s="1"/>
      <c r="B25" s="7"/>
      <c r="C25" s="8"/>
      <c r="D25" s="8"/>
      <c r="E25" s="8"/>
      <c r="F25" s="8"/>
      <c r="G25" s="8"/>
      <c r="H25" s="8"/>
      <c r="I25" s="8"/>
      <c r="J25" s="8"/>
      <c r="K25" s="8"/>
      <c r="L25" s="8"/>
      <c r="M25" s="8"/>
      <c r="N25" s="9"/>
    </row>
    <row r="26" spans="1:14" ht="21" customHeight="1" x14ac:dyDescent="0.3">
      <c r="A26" s="1"/>
      <c r="B26" s="10"/>
      <c r="C26" s="11"/>
      <c r="D26" s="11"/>
      <c r="E26" s="11"/>
      <c r="F26" s="11"/>
      <c r="G26" s="11"/>
      <c r="H26" s="11"/>
      <c r="I26" s="11"/>
      <c r="J26" s="11"/>
      <c r="K26" s="11"/>
      <c r="L26" s="11"/>
      <c r="M26" s="11"/>
      <c r="N26" s="12"/>
    </row>
    <row r="27" spans="1:14" ht="21" customHeight="1" x14ac:dyDescent="0.3">
      <c r="A27" s="1"/>
      <c r="B27" s="13"/>
      <c r="C27" s="11"/>
      <c r="D27" s="11"/>
      <c r="E27" s="11"/>
      <c r="F27" s="11"/>
      <c r="G27" s="11"/>
      <c r="H27" s="11"/>
      <c r="I27" s="11"/>
      <c r="J27" s="11"/>
      <c r="K27" s="11"/>
      <c r="L27" s="11"/>
      <c r="M27" s="11"/>
      <c r="N27" s="12"/>
    </row>
    <row r="28" spans="1:14" ht="21" customHeight="1" x14ac:dyDescent="0.3">
      <c r="A28" s="1"/>
      <c r="B28" s="10"/>
      <c r="C28" s="11"/>
      <c r="D28" s="11"/>
      <c r="E28" s="11"/>
      <c r="F28" s="11"/>
      <c r="G28" s="11"/>
      <c r="H28" s="11"/>
      <c r="I28" s="11"/>
      <c r="J28" s="11"/>
      <c r="K28" s="11"/>
      <c r="L28" s="11"/>
      <c r="M28" s="11"/>
      <c r="N28" s="12"/>
    </row>
    <row r="29" spans="1:14" ht="21" customHeight="1" x14ac:dyDescent="0.3">
      <c r="A29" s="1"/>
      <c r="B29" s="10"/>
      <c r="C29" s="11"/>
      <c r="D29" s="11"/>
      <c r="E29" s="11"/>
      <c r="F29" s="11"/>
      <c r="G29" s="11"/>
      <c r="H29" s="11"/>
      <c r="I29" s="11"/>
      <c r="J29" s="11"/>
      <c r="K29" s="11"/>
      <c r="L29" s="11"/>
      <c r="M29" s="11"/>
      <c r="N29" s="12"/>
    </row>
    <row r="30" spans="1:14" ht="21" customHeight="1" x14ac:dyDescent="0.3">
      <c r="A30" s="1"/>
      <c r="B30" s="10"/>
      <c r="C30" s="11"/>
      <c r="D30" s="11"/>
      <c r="E30" s="11"/>
      <c r="F30" s="11"/>
      <c r="G30" s="11"/>
      <c r="H30" s="11"/>
      <c r="I30" s="11"/>
      <c r="J30" s="11"/>
      <c r="K30" s="11"/>
      <c r="L30" s="11"/>
      <c r="M30" s="11"/>
      <c r="N30" s="12"/>
    </row>
    <row r="31" spans="1:14" ht="21" customHeight="1" x14ac:dyDescent="0.3">
      <c r="A31" s="1"/>
      <c r="B31" s="10"/>
      <c r="C31" s="11"/>
      <c r="D31" s="11"/>
      <c r="E31" s="11"/>
      <c r="F31" s="11"/>
      <c r="G31" s="11"/>
      <c r="H31" s="11"/>
      <c r="I31" s="11"/>
      <c r="J31" s="11"/>
      <c r="K31" s="11"/>
      <c r="L31" s="11"/>
      <c r="M31" s="11"/>
      <c r="N31" s="12"/>
    </row>
    <row r="32" spans="1:14" ht="21" customHeight="1" x14ac:dyDescent="0.3">
      <c r="A32" s="1"/>
      <c r="B32" s="10"/>
      <c r="C32" s="11"/>
      <c r="D32" s="11"/>
      <c r="E32" s="11"/>
      <c r="F32" s="11"/>
      <c r="G32" s="11"/>
      <c r="H32" s="11"/>
      <c r="I32" s="11"/>
      <c r="J32" s="11"/>
      <c r="K32" s="11"/>
      <c r="L32" s="11"/>
      <c r="M32" s="11"/>
      <c r="N32" s="12"/>
    </row>
    <row r="33" spans="1:14" ht="21" customHeight="1" x14ac:dyDescent="0.3">
      <c r="A33" s="1"/>
      <c r="B33" s="10"/>
      <c r="C33" s="11"/>
      <c r="D33" s="11"/>
      <c r="E33" s="11"/>
      <c r="F33" s="11"/>
      <c r="G33" s="11"/>
      <c r="H33" s="11"/>
      <c r="I33" s="11"/>
      <c r="J33" s="11"/>
      <c r="K33" s="11"/>
      <c r="L33" s="11"/>
      <c r="M33" s="11"/>
      <c r="N33" s="12"/>
    </row>
    <row r="34" spans="1:14" ht="21" customHeight="1" x14ac:dyDescent="0.3">
      <c r="A34" s="1"/>
      <c r="B34" s="10"/>
      <c r="C34" s="11"/>
      <c r="D34" s="11"/>
      <c r="E34" s="11"/>
      <c r="F34" s="11"/>
      <c r="G34" s="11"/>
      <c r="H34" s="11"/>
      <c r="I34" s="11"/>
      <c r="J34" s="11"/>
      <c r="K34" s="11"/>
      <c r="L34" s="11"/>
      <c r="M34" s="11"/>
      <c r="N34" s="12"/>
    </row>
    <row r="35" spans="1:14" ht="21" customHeight="1" x14ac:dyDescent="0.3">
      <c r="A35" s="1"/>
      <c r="B35" s="10"/>
      <c r="C35" s="11"/>
      <c r="D35" s="11"/>
      <c r="E35" s="11"/>
      <c r="F35" s="11"/>
      <c r="G35" s="11"/>
      <c r="H35" s="11"/>
      <c r="I35" s="11"/>
      <c r="J35" s="11"/>
      <c r="K35" s="11"/>
      <c r="L35" s="11"/>
      <c r="M35" s="11"/>
      <c r="N35" s="12"/>
    </row>
    <row r="36" spans="1:14" ht="21" customHeight="1" x14ac:dyDescent="0.3">
      <c r="A36" s="1"/>
      <c r="B36" s="10"/>
      <c r="C36" s="11"/>
      <c r="D36" s="11"/>
      <c r="E36" s="11"/>
      <c r="F36" s="11"/>
      <c r="G36" s="11"/>
      <c r="H36" s="11"/>
      <c r="I36" s="11"/>
      <c r="J36" s="11"/>
      <c r="K36" s="11"/>
      <c r="L36" s="11"/>
      <c r="M36" s="11"/>
      <c r="N36" s="12"/>
    </row>
    <row r="37" spans="1:14" ht="21" customHeight="1" x14ac:dyDescent="0.3">
      <c r="A37" s="1"/>
      <c r="B37" s="10"/>
      <c r="C37" s="11"/>
      <c r="D37" s="11"/>
      <c r="E37" s="11"/>
      <c r="F37" s="11"/>
      <c r="G37" s="11"/>
      <c r="H37" s="11"/>
      <c r="I37" s="11"/>
      <c r="J37" s="11"/>
      <c r="K37" s="11"/>
      <c r="L37" s="11"/>
      <c r="M37" s="11"/>
      <c r="N37" s="12"/>
    </row>
    <row r="38" spans="1:14" ht="21" customHeight="1" x14ac:dyDescent="0.3">
      <c r="A38" s="1"/>
      <c r="B38" s="10"/>
      <c r="C38" s="11"/>
      <c r="D38" s="11"/>
      <c r="E38" s="11"/>
      <c r="F38" s="11"/>
      <c r="G38" s="11"/>
      <c r="H38" s="11"/>
      <c r="I38" s="11"/>
      <c r="J38" s="11"/>
      <c r="K38" s="11"/>
      <c r="L38" s="11"/>
      <c r="M38" s="11"/>
      <c r="N38" s="12"/>
    </row>
    <row r="39" spans="1:14" ht="21" customHeight="1" x14ac:dyDescent="0.3">
      <c r="A39" s="1"/>
      <c r="B39" s="10"/>
      <c r="C39" s="11"/>
      <c r="D39" s="11"/>
      <c r="E39" s="11"/>
      <c r="F39" s="11"/>
      <c r="G39" s="11"/>
      <c r="H39" s="11"/>
      <c r="I39" s="11"/>
      <c r="J39" s="11"/>
      <c r="K39" s="11"/>
      <c r="L39" s="11"/>
      <c r="M39" s="11"/>
      <c r="N39" s="12"/>
    </row>
    <row r="40" spans="1:14" ht="21" customHeight="1" x14ac:dyDescent="0.3">
      <c r="A40" s="1"/>
      <c r="B40" s="10"/>
      <c r="C40" s="11"/>
      <c r="D40" s="11"/>
      <c r="E40" s="11"/>
      <c r="F40" s="11"/>
      <c r="G40" s="11"/>
      <c r="H40" s="11"/>
      <c r="I40" s="11"/>
      <c r="J40" s="11"/>
      <c r="K40" s="11"/>
      <c r="L40" s="11"/>
      <c r="M40" s="11"/>
      <c r="N40" s="12"/>
    </row>
    <row r="41" spans="1:14" ht="21" customHeight="1" x14ac:dyDescent="0.3">
      <c r="A41" s="1"/>
      <c r="B41" s="10"/>
      <c r="C41" s="11"/>
      <c r="D41" s="11"/>
      <c r="E41" s="11"/>
      <c r="F41" s="11"/>
      <c r="G41" s="11"/>
      <c r="H41" s="11"/>
      <c r="I41" s="11"/>
      <c r="J41" s="11"/>
      <c r="K41" s="11"/>
      <c r="L41" s="11"/>
      <c r="M41" s="11"/>
      <c r="N41" s="12"/>
    </row>
    <row r="42" spans="1:14" ht="21" customHeight="1" x14ac:dyDescent="0.3">
      <c r="A42" s="1"/>
      <c r="B42" s="10"/>
      <c r="C42" s="11"/>
      <c r="D42" s="11"/>
      <c r="E42" s="11"/>
      <c r="F42" s="11"/>
      <c r="G42" s="11"/>
      <c r="H42" s="11"/>
      <c r="I42" s="11"/>
      <c r="J42" s="11"/>
      <c r="K42" s="11"/>
      <c r="L42" s="11"/>
      <c r="M42" s="11"/>
      <c r="N42" s="12"/>
    </row>
    <row r="43" spans="1:14" ht="21" customHeight="1" x14ac:dyDescent="0.3">
      <c r="A43" s="1"/>
      <c r="B43" s="14"/>
      <c r="C43" s="15"/>
      <c r="D43" s="15"/>
      <c r="E43" s="15"/>
      <c r="F43" s="15"/>
      <c r="G43" s="15"/>
      <c r="H43" s="15"/>
      <c r="I43" s="15"/>
      <c r="J43" s="15"/>
      <c r="K43" s="15"/>
      <c r="L43" s="15"/>
      <c r="M43" s="15"/>
      <c r="N43" s="16"/>
    </row>
    <row r="44" spans="1:14" x14ac:dyDescent="0.3">
      <c r="A44" s="1"/>
      <c r="B44" s="1"/>
      <c r="C44" s="1"/>
      <c r="D44" s="1"/>
      <c r="E44" s="1"/>
      <c r="F44" s="1"/>
      <c r="G44" s="1"/>
      <c r="H44" s="1"/>
      <c r="I44" s="1"/>
      <c r="J44" s="1"/>
      <c r="M44" s="1"/>
      <c r="N44" s="1"/>
    </row>
  </sheetData>
  <sheetProtection sheet="1" formatRows="0"/>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2" priority="3" operator="containsText" text="SI">
      <formula>NOT(ISERROR(SEARCH("SI",M12)))</formula>
    </cfRule>
  </conditionalFormatting>
  <conditionalFormatting sqref="M12:N12 M19:N19">
    <cfRule type="containsText" dxfId="111" priority="7" operator="containsText" text="NO">
      <formula>NOT(ISERROR(SEARCH("NO",M12)))</formula>
    </cfRule>
  </conditionalFormatting>
  <conditionalFormatting sqref="M15:N15">
    <cfRule type="containsText" dxfId="110" priority="5" operator="containsText" text="NO">
      <formula>NOT(ISERROR(SEARCH("NO",M15)))</formula>
    </cfRule>
    <cfRule type="containsText" dxfId="109" priority="6" operator="containsText" text="SI">
      <formula>NOT(ISERROR(SEARCH("SI",M15)))</formula>
    </cfRule>
  </conditionalFormatting>
  <conditionalFormatting sqref="M17:N17">
    <cfRule type="containsText" dxfId="108" priority="4" operator="containsText" text="NO">
      <formula>NOT(ISERROR(SEARCH("NO",M17)))</formula>
    </cfRule>
  </conditionalFormatting>
  <conditionalFormatting sqref="M21:N21">
    <cfRule type="containsText" dxfId="107" priority="2" operator="containsText" text="NO">
      <formula>NOT(ISERROR(SEARCH("NO",M21)))</formula>
    </cfRule>
  </conditionalFormatting>
  <conditionalFormatting sqref="M23:N23">
    <cfRule type="containsText" dxfId="106"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topLeftCell="B36" zoomScale="43" zoomScaleNormal="100" zoomScaleSheetLayoutView="55" zoomScalePageLayoutView="70" workbookViewId="0">
      <selection activeCell="K27" sqref="K27"/>
    </sheetView>
  </sheetViews>
  <sheetFormatPr baseColWidth="10" defaultColWidth="14.42578125" defaultRowHeight="15" customHeight="1" outlineLevelRow="1" x14ac:dyDescent="0.3"/>
  <cols>
    <col min="1" max="1" width="2.140625" style="19" customWidth="1"/>
    <col min="2" max="2" width="38.140625" style="20" customWidth="1"/>
    <col min="3" max="3" width="1.5703125" style="20" customWidth="1"/>
    <col min="4" max="4" width="44.7109375" style="20" customWidth="1"/>
    <col min="5" max="5" width="39.140625" style="20" customWidth="1"/>
    <col min="6" max="6" width="21.5703125" style="20" customWidth="1"/>
    <col min="7" max="7" width="21.7109375" style="20" customWidth="1"/>
    <col min="8" max="8" width="22.7109375" style="20" customWidth="1"/>
    <col min="9" max="9" width="25.85546875" style="20" customWidth="1"/>
    <col min="10" max="10" width="33.7109375" style="20" customWidth="1"/>
    <col min="11" max="11" width="30.42578125" style="20" customWidth="1"/>
    <col min="12" max="12" width="24.85546875" style="20" customWidth="1"/>
    <col min="13" max="13" width="30.140625" style="20" customWidth="1"/>
    <col min="14" max="14" width="32.42578125" style="20" customWidth="1"/>
    <col min="15" max="15" width="38.7109375" style="20" customWidth="1"/>
    <col min="16" max="16" width="3.85546875" style="34" customWidth="1"/>
    <col min="17" max="17" width="39.140625" style="20" customWidth="1"/>
    <col min="18" max="18" width="35.7109375" style="20" customWidth="1"/>
    <col min="19" max="19" width="34.5703125" style="20" customWidth="1"/>
    <col min="20" max="20" width="6.42578125" style="20" customWidth="1"/>
    <col min="21" max="21" width="31.5703125" style="20" customWidth="1"/>
    <col min="22" max="22" width="33.85546875" style="24" customWidth="1"/>
    <col min="23" max="23" width="18.7109375" style="24" customWidth="1"/>
    <col min="24" max="26" width="9.140625" style="24" customWidth="1"/>
    <col min="27" max="27" width="42.140625" style="24" customWidth="1"/>
    <col min="28" max="36" width="9.140625" style="24" customWidth="1"/>
    <col min="37" max="39" width="10.7109375" style="24" customWidth="1"/>
    <col min="40" max="16384" width="14.42578125" style="24"/>
  </cols>
  <sheetData>
    <row r="1" spans="1:20" ht="15" customHeight="1" x14ac:dyDescent="0.3">
      <c r="A1" s="222"/>
      <c r="B1" s="223"/>
      <c r="C1" s="222"/>
      <c r="D1" s="222"/>
      <c r="E1" s="222"/>
      <c r="F1" s="222"/>
      <c r="G1" s="222"/>
      <c r="H1" s="222"/>
      <c r="I1" s="222"/>
      <c r="J1" s="222"/>
      <c r="K1" s="222"/>
      <c r="L1" s="222"/>
      <c r="M1" s="222"/>
      <c r="N1" s="222"/>
      <c r="O1" s="222"/>
      <c r="P1" s="18"/>
      <c r="Q1" s="222"/>
      <c r="R1" s="222"/>
      <c r="S1" s="222"/>
      <c r="T1" s="224"/>
    </row>
    <row r="2" spans="1:20" ht="57.75" customHeight="1" x14ac:dyDescent="0.3">
      <c r="A2" s="222"/>
      <c r="B2" s="449" t="e" vm="2">
        <v>#VALUE!</v>
      </c>
      <c r="C2" s="450" t="s">
        <v>14</v>
      </c>
      <c r="D2" s="451"/>
      <c r="E2" s="451"/>
      <c r="F2" s="451"/>
      <c r="G2" s="451"/>
      <c r="H2" s="451"/>
      <c r="I2" s="451"/>
      <c r="J2" s="451"/>
      <c r="K2" s="451"/>
      <c r="L2" s="451"/>
      <c r="M2" s="451"/>
      <c r="N2" s="451"/>
      <c r="O2" s="451"/>
      <c r="P2" s="452"/>
      <c r="Q2" s="456" t="s">
        <v>15</v>
      </c>
      <c r="R2" s="456"/>
      <c r="S2" s="456"/>
      <c r="T2" s="224"/>
    </row>
    <row r="3" spans="1:20" ht="58.5" customHeight="1" x14ac:dyDescent="0.3">
      <c r="A3" s="222"/>
      <c r="B3" s="449"/>
      <c r="C3" s="453"/>
      <c r="D3" s="454"/>
      <c r="E3" s="454"/>
      <c r="F3" s="454"/>
      <c r="G3" s="454"/>
      <c r="H3" s="454"/>
      <c r="I3" s="454"/>
      <c r="J3" s="454"/>
      <c r="K3" s="454"/>
      <c r="L3" s="454"/>
      <c r="M3" s="454"/>
      <c r="N3" s="454"/>
      <c r="O3" s="454"/>
      <c r="P3" s="455"/>
      <c r="Q3" s="457" t="str">
        <f>IF($J$25="NO CUMPLE","OFERTA RECHAZADA",IF(COUNTIF(L65:$M$70,"CUMPLE")=6,"CUMPLE","NO CUMPLE"))</f>
        <v>CUMPLE</v>
      </c>
      <c r="R3" s="457"/>
      <c r="S3" s="457"/>
      <c r="T3" s="224"/>
    </row>
    <row r="4" spans="1:20" ht="39" customHeight="1" x14ac:dyDescent="0.3">
      <c r="A4" s="222"/>
      <c r="B4" s="225"/>
      <c r="C4" s="225"/>
      <c r="D4" s="225"/>
      <c r="E4" s="225"/>
      <c r="F4" s="226"/>
      <c r="G4" s="225"/>
      <c r="H4" s="225"/>
      <c r="I4" s="225"/>
      <c r="J4" s="225"/>
      <c r="K4" s="225"/>
      <c r="L4" s="225"/>
      <c r="M4" s="225"/>
      <c r="N4" s="225"/>
      <c r="O4" s="225"/>
      <c r="P4" s="18"/>
      <c r="Q4" s="227"/>
      <c r="R4" s="227"/>
      <c r="S4" s="225"/>
      <c r="T4" s="224"/>
    </row>
    <row r="5" spans="1:20" ht="33.75" x14ac:dyDescent="0.3">
      <c r="A5" s="222"/>
      <c r="B5" s="228" t="s">
        <v>16</v>
      </c>
      <c r="C5" s="229"/>
      <c r="D5" s="229"/>
      <c r="E5" s="229"/>
      <c r="F5" s="229"/>
      <c r="G5" s="229"/>
      <c r="H5" s="229"/>
      <c r="I5" s="229"/>
      <c r="J5" s="229"/>
      <c r="K5" s="229"/>
      <c r="L5" s="229"/>
      <c r="M5" s="230"/>
      <c r="N5" s="230"/>
      <c r="O5" s="230"/>
      <c r="P5" s="18"/>
      <c r="Q5" s="230"/>
      <c r="R5" s="230"/>
      <c r="S5" s="230"/>
      <c r="T5" s="224"/>
    </row>
    <row r="6" spans="1:20" ht="24" customHeight="1" x14ac:dyDescent="0.3">
      <c r="A6" s="222"/>
      <c r="B6" s="228"/>
      <c r="C6" s="229"/>
      <c r="D6" s="229"/>
      <c r="E6" s="229"/>
      <c r="F6" s="229"/>
      <c r="G6" s="229"/>
      <c r="H6" s="229"/>
      <c r="I6" s="229"/>
      <c r="J6" s="229"/>
      <c r="K6" s="229"/>
      <c r="L6" s="229"/>
      <c r="M6" s="230"/>
      <c r="N6" s="230"/>
      <c r="O6" s="230"/>
      <c r="P6" s="18"/>
      <c r="Q6" s="230"/>
      <c r="R6" s="230"/>
      <c r="S6" s="230"/>
      <c r="T6" s="224"/>
    </row>
    <row r="7" spans="1:20" ht="18" x14ac:dyDescent="0.3">
      <c r="A7" s="222"/>
      <c r="B7" s="231"/>
      <c r="C7" s="232"/>
      <c r="D7" s="233"/>
      <c r="E7" s="233"/>
      <c r="F7" s="233"/>
      <c r="G7" s="233"/>
      <c r="H7" s="233"/>
      <c r="I7" s="233"/>
      <c r="J7" s="233"/>
      <c r="K7" s="233"/>
      <c r="L7" s="233"/>
      <c r="M7" s="233"/>
      <c r="N7" s="233"/>
      <c r="O7" s="233"/>
      <c r="P7" s="21"/>
      <c r="Q7" s="233"/>
      <c r="R7" s="233"/>
      <c r="S7" s="234"/>
      <c r="T7" s="224"/>
    </row>
    <row r="8" spans="1:20" ht="79.5" customHeight="1" x14ac:dyDescent="0.3">
      <c r="A8" s="222"/>
      <c r="B8" s="235" t="s">
        <v>17</v>
      </c>
      <c r="C8" s="236"/>
      <c r="D8" s="458" t="str">
        <f>+'[1]DATOS DEL PROCESO'!D3</f>
        <v>CONSTRUCCIÓN DE LA CASA DE LA CULTURA – CENTRO CULTURAL RROM DEL MUNICIPIO DE SAMPUÉS, DEPARTAMENTO DE SUCRE.</v>
      </c>
      <c r="E8" s="459"/>
      <c r="F8" s="459"/>
      <c r="G8" s="459"/>
      <c r="H8" s="459"/>
      <c r="I8" s="459"/>
      <c r="J8" s="459"/>
      <c r="K8" s="459"/>
      <c r="L8" s="459"/>
      <c r="M8" s="459"/>
      <c r="N8" s="459"/>
      <c r="O8" s="459"/>
      <c r="P8" s="459"/>
      <c r="Q8" s="459"/>
      <c r="R8" s="459"/>
      <c r="S8" s="237"/>
      <c r="T8" s="224"/>
    </row>
    <row r="9" spans="1:20" s="19" customFormat="1" ht="45" customHeight="1" x14ac:dyDescent="0.3">
      <c r="A9" s="222"/>
      <c r="B9" s="238"/>
      <c r="C9" s="239"/>
      <c r="D9" s="240"/>
      <c r="E9" s="240"/>
      <c r="F9" s="240"/>
      <c r="G9" s="240"/>
      <c r="H9" s="240"/>
      <c r="I9" s="240"/>
      <c r="J9" s="240"/>
      <c r="K9" s="240"/>
      <c r="L9" s="240"/>
      <c r="M9" s="240"/>
      <c r="N9" s="240"/>
      <c r="O9" s="240"/>
      <c r="P9" s="22"/>
      <c r="Q9" s="241"/>
      <c r="R9" s="241"/>
      <c r="S9" s="237"/>
      <c r="T9" s="224"/>
    </row>
    <row r="10" spans="1:20" ht="52.5" customHeight="1" x14ac:dyDescent="0.3">
      <c r="A10" s="222"/>
      <c r="B10" s="235" t="s">
        <v>18</v>
      </c>
      <c r="C10" s="236"/>
      <c r="D10" s="242" t="str">
        <f>+'[1]DATOS DEL PROCESO'!D2</f>
        <v>MC-LP-010-2024</v>
      </c>
      <c r="E10" s="243" t="s">
        <v>19</v>
      </c>
      <c r="F10" s="244">
        <f>+'[1]DATOS DEL PROCESO'!D4</f>
        <v>45632</v>
      </c>
      <c r="G10" s="243" t="s">
        <v>20</v>
      </c>
      <c r="H10" s="245">
        <f>+'[1]DATOS DEL PROCESO'!D7</f>
        <v>6</v>
      </c>
      <c r="I10" s="243" t="s">
        <v>21</v>
      </c>
      <c r="J10" s="246">
        <f>+'[1]DATOS DEL PROCESO'!D5</f>
        <v>1501251043</v>
      </c>
      <c r="K10" s="243" t="s">
        <v>22</v>
      </c>
      <c r="L10" s="242">
        <f>+J10/1300000</f>
        <v>1154.8084946153847</v>
      </c>
      <c r="M10" s="243" t="s">
        <v>23</v>
      </c>
      <c r="N10" s="247">
        <f>+'[1]DATOS DEL PROCESO'!D12</f>
        <v>0.5</v>
      </c>
      <c r="O10" s="243" t="s">
        <v>24</v>
      </c>
      <c r="P10" s="22"/>
      <c r="Q10" s="248">
        <f>+'[1]DATOS DEL PROCESO'!D8</f>
        <v>240</v>
      </c>
      <c r="R10" s="248">
        <f>+Q10*'[1]DATOS DEL PROCESO'!D10</f>
        <v>120</v>
      </c>
      <c r="S10" s="237"/>
      <c r="T10" s="224"/>
    </row>
    <row r="11" spans="1:20" s="19" customFormat="1" ht="25.5" customHeight="1" x14ac:dyDescent="0.3">
      <c r="A11" s="222"/>
      <c r="B11" s="249"/>
      <c r="C11" s="250"/>
      <c r="D11" s="250"/>
      <c r="E11" s="250"/>
      <c r="F11" s="251">
        <f>+F10-30</f>
        <v>45602</v>
      </c>
      <c r="G11" s="250"/>
      <c r="H11" s="250"/>
      <c r="I11" s="250"/>
      <c r="J11" s="250"/>
      <c r="K11" s="250"/>
      <c r="L11" s="250"/>
      <c r="M11" s="250"/>
      <c r="N11" s="252"/>
      <c r="O11" s="252"/>
      <c r="P11" s="252"/>
      <c r="Q11" s="252"/>
      <c r="R11" s="252"/>
      <c r="S11" s="253"/>
      <c r="T11" s="224"/>
    </row>
    <row r="12" spans="1:20" s="19" customFormat="1" ht="53.25" customHeight="1" x14ac:dyDescent="0.3">
      <c r="A12" s="222"/>
      <c r="B12" s="225"/>
      <c r="C12" s="225"/>
      <c r="D12" s="225"/>
      <c r="E12" s="225"/>
      <c r="F12" s="226"/>
      <c r="G12" s="225"/>
      <c r="H12" s="225"/>
      <c r="I12" s="225"/>
      <c r="J12" s="225"/>
      <c r="K12" s="224"/>
      <c r="L12" s="225"/>
      <c r="M12" s="225"/>
      <c r="N12" s="230"/>
      <c r="O12" s="225"/>
      <c r="P12" s="18"/>
      <c r="Q12" s="225"/>
      <c r="R12" s="225"/>
      <c r="S12" s="225"/>
      <c r="T12" s="224"/>
    </row>
    <row r="13" spans="1:20" s="19" customFormat="1" ht="60" customHeight="1" x14ac:dyDescent="0.3">
      <c r="A13" s="222"/>
      <c r="B13" s="228" t="s">
        <v>25</v>
      </c>
      <c r="C13" s="229"/>
      <c r="D13" s="229"/>
      <c r="E13" s="229"/>
      <c r="F13" s="229"/>
      <c r="G13" s="229"/>
      <c r="H13" s="229"/>
      <c r="I13" s="229"/>
      <c r="J13" s="229"/>
      <c r="K13" s="229"/>
      <c r="L13" s="229"/>
      <c r="M13" s="230"/>
      <c r="N13" s="230"/>
      <c r="O13" s="230"/>
      <c r="P13" s="18"/>
      <c r="Q13" s="230"/>
      <c r="R13" s="230"/>
      <c r="S13" s="230"/>
      <c r="T13" s="224"/>
    </row>
    <row r="14" spans="1:20" s="19" customFormat="1" ht="16.5" customHeight="1" x14ac:dyDescent="0.3">
      <c r="A14" s="222"/>
      <c r="B14" s="254"/>
      <c r="C14" s="255"/>
      <c r="D14" s="255"/>
      <c r="E14" s="255"/>
      <c r="F14" s="255"/>
      <c r="G14" s="255"/>
      <c r="H14" s="255"/>
      <c r="I14" s="255"/>
      <c r="J14" s="255"/>
      <c r="K14" s="255"/>
      <c r="L14" s="255"/>
      <c r="M14" s="256"/>
      <c r="N14" s="256"/>
      <c r="O14" s="233"/>
      <c r="P14" s="21"/>
      <c r="Q14" s="233"/>
      <c r="R14" s="233"/>
      <c r="S14" s="234"/>
      <c r="T14" s="224"/>
    </row>
    <row r="15" spans="1:20" ht="37.5" customHeight="1" x14ac:dyDescent="0.3">
      <c r="A15" s="222"/>
      <c r="B15" s="257" t="s">
        <v>1</v>
      </c>
      <c r="C15" s="258"/>
      <c r="D15" s="259">
        <v>35</v>
      </c>
      <c r="E15" s="260"/>
      <c r="F15" s="460" t="str">
        <f>IF($D$15&gt;0,(VLOOKUP($D$15,[1]OFERENTES!$A$8:$W$1027,2,FALSE)),"")</f>
        <v>GESTION RURAL Y URBANA SAS</v>
      </c>
      <c r="G15" s="461"/>
      <c r="H15" s="461"/>
      <c r="I15" s="461"/>
      <c r="J15" s="461"/>
      <c r="K15" s="461"/>
      <c r="L15" s="462" t="s">
        <v>2</v>
      </c>
      <c r="M15" s="463"/>
      <c r="N15" s="464" t="str">
        <f>IFERROR(VLOOKUP(EXPERIENCIA!$D$15,[1]OFERENTES!$A$8:$AA$1027,26,FALSE),"")</f>
        <v>Proponente Individual</v>
      </c>
      <c r="O15" s="465"/>
      <c r="P15" s="22"/>
      <c r="Q15" s="261"/>
      <c r="R15" s="261"/>
      <c r="S15" s="237"/>
      <c r="T15" s="224"/>
    </row>
    <row r="16" spans="1:20" s="19" customFormat="1" ht="37.5" customHeight="1" x14ac:dyDescent="0.3">
      <c r="A16" s="222"/>
      <c r="B16" s="262"/>
      <c r="C16" s="258"/>
      <c r="D16" s="258"/>
      <c r="E16" s="258"/>
      <c r="F16" s="258"/>
      <c r="G16" s="258"/>
      <c r="H16" s="258"/>
      <c r="I16" s="258"/>
      <c r="J16" s="258"/>
      <c r="K16" s="258"/>
      <c r="L16" s="258"/>
      <c r="M16" s="263"/>
      <c r="N16" s="264"/>
      <c r="O16" s="240"/>
      <c r="P16" s="22"/>
      <c r="Q16" s="261"/>
      <c r="R16" s="261"/>
      <c r="S16" s="237"/>
      <c r="T16" s="224"/>
    </row>
    <row r="17" spans="1:21" ht="66" customHeight="1" x14ac:dyDescent="0.3">
      <c r="A17" s="222"/>
      <c r="B17" s="262"/>
      <c r="C17" s="258"/>
      <c r="D17" s="474" t="s">
        <v>26</v>
      </c>
      <c r="E17" s="474"/>
      <c r="F17" s="474"/>
      <c r="G17" s="474"/>
      <c r="H17" s="474"/>
      <c r="I17" s="265" t="s">
        <v>27</v>
      </c>
      <c r="J17" s="265" t="s">
        <v>28</v>
      </c>
      <c r="K17" s="265" t="s">
        <v>29</v>
      </c>
      <c r="L17" s="266" t="s">
        <v>30</v>
      </c>
      <c r="M17" s="266" t="s">
        <v>31</v>
      </c>
      <c r="N17" s="267" t="s">
        <v>32</v>
      </c>
      <c r="O17" s="266" t="s">
        <v>33</v>
      </c>
      <c r="P17" s="268"/>
      <c r="Q17" s="265" t="s">
        <v>34</v>
      </c>
      <c r="R17" s="269" t="s">
        <v>35</v>
      </c>
      <c r="S17" s="237"/>
      <c r="T17" s="270"/>
      <c r="U17" s="23"/>
    </row>
    <row r="18" spans="1:21" ht="9" customHeight="1" x14ac:dyDescent="0.3">
      <c r="A18" s="261"/>
      <c r="B18" s="271"/>
      <c r="C18" s="272"/>
      <c r="D18" s="272"/>
      <c r="E18" s="272"/>
      <c r="F18" s="272"/>
      <c r="G18" s="272"/>
      <c r="H18" s="272"/>
      <c r="I18" s="272"/>
      <c r="J18" s="273"/>
      <c r="K18" s="273"/>
      <c r="L18" s="273"/>
      <c r="M18" s="274"/>
      <c r="N18" s="273"/>
      <c r="O18" s="275"/>
      <c r="P18" s="25"/>
      <c r="Q18" s="276"/>
      <c r="R18" s="276"/>
      <c r="S18" s="234"/>
      <c r="T18" s="224"/>
    </row>
    <row r="19" spans="1:21" ht="50.25" customHeight="1" x14ac:dyDescent="0.3">
      <c r="A19" s="26" t="str">
        <f>IF(AND($I19&gt;=10%,$N19="CUMPLE"),"V","F")</f>
        <v>V</v>
      </c>
      <c r="B19" s="277" t="s">
        <v>36</v>
      </c>
      <c r="C19" s="278" t="str">
        <f>IF(AND($I19&gt;=10%,$J19="CUMPLE",$L19="SE CLASIFICA"),"V","F")</f>
        <v>V</v>
      </c>
      <c r="D19" s="446" t="str">
        <f>IFERROR(IF(EXPERIENCIA!$N$15="Proponente Plural",IF(ISBLANK((VLOOKUP(EXPERIENCIA!$D$15,[1]OFERENTES!$A$8:$H$101027,3,FALSE))),"",VLOOKUP(EXPERIENCIA!$D$15,[1]OFERENTES!$A$8:$H$101027,3,FALSE)),VLOOKUP(EXPERIENCIA!$D$15,[1]OFERENTES!$A$8:$H$1027,3,FALSE)),"")</f>
        <v>GESTION RURAL Y URBANA SAS</v>
      </c>
      <c r="E19" s="447"/>
      <c r="F19" s="447"/>
      <c r="G19" s="447"/>
      <c r="H19" s="448"/>
      <c r="I19" s="279">
        <f>IF(EXPERIENCIA!$D$15&gt;0,IF(ISBLANK((VLOOKUP(EXPERIENCIA!$D$15,[1]OFERENTES!$A$8:$AH$1027,4,FALSE))),"",(VLOOKUP(EXPERIENCIA!$D$15,[1]OFERENTES!$A$8:$AH$1027,4,FALSE))),"")</f>
        <v>1</v>
      </c>
      <c r="J19" s="280" t="s">
        <v>271</v>
      </c>
      <c r="K19" s="280">
        <v>45603</v>
      </c>
      <c r="L19" s="281" t="s">
        <v>272</v>
      </c>
      <c r="M19" s="282" t="s">
        <v>273</v>
      </c>
      <c r="N19" s="283" t="str">
        <f>IF(EXPERIENCIA!M19="","",IF(EXPERIENCIA!M19="SE ANEXA","CUMPLE","NO CUMPLE"))</f>
        <v>CUMPLE</v>
      </c>
      <c r="O19" s="475" t="s">
        <v>271</v>
      </c>
      <c r="P19" s="27"/>
      <c r="Q19" s="445" t="str">
        <f>IF($J$25="","",IF(COUNTIFS(EXPERIENCIA!$I$19:$I$24,"&gt;=0,1",EXPERIENCIA!$J$19:$J$24,"CUMPLE",EXPERIENCIA!$L$19:$L$24,"SE CLASIFICA"),"APLICA","NO CUMPLE"))</f>
        <v>APLICA</v>
      </c>
      <c r="R19" s="445" t="str">
        <f>IF($N$19="","",IF(COUNTIFS($I$19:$I$24,"&gt;=0,1",$N$19:$N$24,"CUMPLE"),"CUMPLE","NO CUMPLE"))</f>
        <v>CUMPLE</v>
      </c>
      <c r="S19" s="284"/>
      <c r="T19" s="270"/>
      <c r="U19" s="28"/>
    </row>
    <row r="20" spans="1:21" ht="49.5" customHeight="1" x14ac:dyDescent="0.3">
      <c r="A20" s="26" t="str">
        <f t="shared" ref="A20:A24" si="0">IF(AND($I20&gt;=10%,$N20="CUMPLE"),"V","F")</f>
        <v>F</v>
      </c>
      <c r="B20" s="285" t="s">
        <v>37</v>
      </c>
      <c r="C20" s="278" t="str">
        <f t="shared" ref="C20:C24" si="1">IF(AND($I20&gt;=10%,$J20="CUMPLE",$L20="SE CLASIFICA"),"V","F")</f>
        <v>F</v>
      </c>
      <c r="D20" s="446" t="str">
        <f>IF(EXPERIENCIA!$N$15="Proponente Plural",IF(ISBLANK((VLOOKUP(EXPERIENCIA!$D$15,[1]OFERENTES!$A$8:$H$1027,5,FALSE))),"",VLOOKUP(EXPERIENCIA!$D$15,[1]OFERENTES!$A$8:$H$1027,5,FALSE)),"")</f>
        <v/>
      </c>
      <c r="E20" s="447"/>
      <c r="F20" s="447"/>
      <c r="G20" s="447"/>
      <c r="H20" s="448"/>
      <c r="I20" s="279" t="str">
        <f>IF(EXPERIENCIA!$D$15&gt;0,IF(ISBLANK((VLOOKUP(EXPERIENCIA!$D$15,[1]OFERENTES!$A$8:$AH$1027,6,FALSE))),"",(VLOOKUP(EXPERIENCIA!$D$15,[1]OFERENTES!$A$8:$AH$1027,6,FALSE))),"")</f>
        <v/>
      </c>
      <c r="J20" s="280"/>
      <c r="K20" s="280"/>
      <c r="L20" s="281"/>
      <c r="M20" s="282"/>
      <c r="N20" s="283" t="str">
        <f>IF(EXPERIENCIA!M20="","",IF(EXPERIENCIA!M20="SE ANEXA","CUMPLE","NO CUMPLE"))</f>
        <v/>
      </c>
      <c r="O20" s="475"/>
      <c r="P20" s="27"/>
      <c r="Q20" s="445"/>
      <c r="R20" s="445"/>
      <c r="S20" s="284"/>
      <c r="T20" s="286"/>
      <c r="U20" s="28"/>
    </row>
    <row r="21" spans="1:21" ht="49.5" customHeight="1" x14ac:dyDescent="0.3">
      <c r="A21" s="26" t="str">
        <f t="shared" si="0"/>
        <v>F</v>
      </c>
      <c r="B21" s="285" t="s">
        <v>38</v>
      </c>
      <c r="C21" s="278" t="str">
        <f t="shared" si="1"/>
        <v>F</v>
      </c>
      <c r="D21" s="446" t="str">
        <f>IF(EXPERIENCIA!$N$15="Proponente Plural",IF(ISBLANK((VLOOKUP(EXPERIENCIA!$D$15,[1]OFERENTES!$A$8:$H$1027,7,FALSE))),"",VLOOKUP(EXPERIENCIA!$D$15,[1]OFERENTES!$A$8:$H$1027,7,FALSE)),"")</f>
        <v/>
      </c>
      <c r="E21" s="447"/>
      <c r="F21" s="447"/>
      <c r="G21" s="447"/>
      <c r="H21" s="448"/>
      <c r="I21" s="279" t="str">
        <f>IF(EXPERIENCIA!$D$15&gt;0,IF(ISBLANK((VLOOKUP(EXPERIENCIA!$D$15,[1]OFERENTES!$A$8:$AH$1027,8,FALSE))),"",(VLOOKUP(EXPERIENCIA!$D$15,[1]OFERENTES!$A$8:$AH$1027,8,FALSE))),"")</f>
        <v/>
      </c>
      <c r="J21" s="280"/>
      <c r="K21" s="280"/>
      <c r="L21" s="281"/>
      <c r="M21" s="282"/>
      <c r="N21" s="283" t="str">
        <f>IF(EXPERIENCIA!M21="","",IF(EXPERIENCIA!M21="SE ANEXA","CUMPLE","NO CUMPLE"))</f>
        <v/>
      </c>
      <c r="O21" s="475"/>
      <c r="P21" s="27"/>
      <c r="Q21" s="445"/>
      <c r="R21" s="445"/>
      <c r="S21" s="284"/>
      <c r="T21" s="286"/>
      <c r="U21" s="28"/>
    </row>
    <row r="22" spans="1:21" ht="49.5" customHeight="1" x14ac:dyDescent="0.3">
      <c r="A22" s="26" t="str">
        <f t="shared" si="0"/>
        <v>F</v>
      </c>
      <c r="B22" s="285" t="s">
        <v>39</v>
      </c>
      <c r="C22" s="278" t="str">
        <f t="shared" si="1"/>
        <v>F</v>
      </c>
      <c r="D22" s="446" t="str">
        <f>IF(EXPERIENCIA!$N$15="Proponente Plural",IF(ISBLANK((VLOOKUP(EXPERIENCIA!$D$15,[1]OFERENTES!$A$8:$AA$1027,9,FALSE))),"",VLOOKUP(EXPERIENCIA!$D$15,[1]OFERENTES!$A$8:$AA$1027,9,FALSE)),"")</f>
        <v/>
      </c>
      <c r="E22" s="447"/>
      <c r="F22" s="447"/>
      <c r="G22" s="447"/>
      <c r="H22" s="448"/>
      <c r="I22" s="279" t="str">
        <f>IF(EXPERIENCIA!$D$15&gt;0,IF(ISBLANK((VLOOKUP(EXPERIENCIA!$D$15,[1]OFERENTES!$A$8:$AH$1027,10,FALSE))),"",(VLOOKUP(EXPERIENCIA!$D$15,[1]OFERENTES!$A$8:$AH$1027,10,FALSE))),"")</f>
        <v/>
      </c>
      <c r="J22" s="280"/>
      <c r="K22" s="280"/>
      <c r="L22" s="281"/>
      <c r="M22" s="282"/>
      <c r="N22" s="283" t="str">
        <f>IF(EXPERIENCIA!M22="","",IF(EXPERIENCIA!M22="SE ANEXA","CUMPLE","NO CUMPLE"))</f>
        <v/>
      </c>
      <c r="O22" s="475"/>
      <c r="P22" s="27"/>
      <c r="Q22" s="445"/>
      <c r="R22" s="445"/>
      <c r="S22" s="284"/>
      <c r="T22" s="286"/>
      <c r="U22" s="28"/>
    </row>
    <row r="23" spans="1:21" ht="49.5" customHeight="1" x14ac:dyDescent="0.3">
      <c r="A23" s="26" t="str">
        <f t="shared" si="0"/>
        <v>F</v>
      </c>
      <c r="B23" s="285" t="s">
        <v>40</v>
      </c>
      <c r="C23" s="278" t="str">
        <f t="shared" si="1"/>
        <v>F</v>
      </c>
      <c r="D23" s="446" t="str">
        <f>IF(EXPERIENCIA!$N$15="Proponente Plural",IF(ISBLANK((VLOOKUP(EXPERIENCIA!$D$15,[1]OFERENTES!$A$8:$AA$1027,11,FALSE))),"",VLOOKUP(EXPERIENCIA!$D$15,[1]OFERENTES!$A$8:$AA$1027,11,FALSE)),"")</f>
        <v/>
      </c>
      <c r="E23" s="447"/>
      <c r="F23" s="447"/>
      <c r="G23" s="447"/>
      <c r="H23" s="448"/>
      <c r="I23" s="279" t="str">
        <f>IF(EXPERIENCIA!$N$15="Proponente Plural",IF(ISBLANK((VLOOKUP(EXPERIENCIA!$D$15,[1]OFERENTES!$A$8:$AA$1027,11,FALSE))),"",VLOOKUP(EXPERIENCIA!$D$15,[1]OFERENTES!$A$8:$AA$1027,11,FALSE)),"")</f>
        <v/>
      </c>
      <c r="J23" s="280"/>
      <c r="K23" s="280"/>
      <c r="L23" s="281"/>
      <c r="M23" s="282"/>
      <c r="N23" s="283" t="str">
        <f>IF(EXPERIENCIA!M23="","",IF(EXPERIENCIA!M23="SE ANEXA","CUMPLE","NO CUMPLE"))</f>
        <v/>
      </c>
      <c r="O23" s="475"/>
      <c r="P23" s="27"/>
      <c r="Q23" s="445"/>
      <c r="R23" s="445"/>
      <c r="S23" s="284"/>
      <c r="T23" s="270"/>
      <c r="U23" s="28"/>
    </row>
    <row r="24" spans="1:21" ht="49.5" customHeight="1" x14ac:dyDescent="0.3">
      <c r="A24" s="26" t="str">
        <f t="shared" si="0"/>
        <v>F</v>
      </c>
      <c r="B24" s="285" t="s">
        <v>41</v>
      </c>
      <c r="C24" s="278" t="str">
        <f t="shared" si="1"/>
        <v>F</v>
      </c>
      <c r="D24" s="446" t="str">
        <f>IF(EXPERIENCIA!$N$15="Proponente Plural",IF(ISBLANK((VLOOKUP(EXPERIENCIA!$D$15,[1]OFERENTES!$A$8:$AA$1027,13,FALSE))),"",VLOOKUP(EXPERIENCIA!$D$15,[1]OFERENTES!$A$8:$AA$1027,13,FALSE)),"")</f>
        <v/>
      </c>
      <c r="E24" s="447"/>
      <c r="F24" s="447"/>
      <c r="G24" s="447"/>
      <c r="H24" s="448"/>
      <c r="I24" s="279" t="str">
        <f>IF(EXPERIENCIA!$D$15&gt;0,IF(ISBLANK((VLOOKUP(EXPERIENCIA!$D$15,[1]OFERENTES!$A$8:$AH$1027,14,FALSE))),"",(VLOOKUP(EXPERIENCIA!$D$15,[1]OFERENTES!$A$8:$AH$1027,14,FALSE))),"")</f>
        <v/>
      </c>
      <c r="J24" s="280"/>
      <c r="K24" s="280"/>
      <c r="L24" s="281"/>
      <c r="M24" s="282"/>
      <c r="N24" s="283" t="str">
        <f>IF(EXPERIENCIA!M24="","",IF(EXPERIENCIA!M24="SE ANEXA","CUMPLE","NO CUMPLE"))</f>
        <v/>
      </c>
      <c r="O24" s="475"/>
      <c r="P24" s="27"/>
      <c r="Q24" s="445"/>
      <c r="R24" s="445"/>
      <c r="S24" s="284"/>
      <c r="T24" s="270"/>
      <c r="U24" s="28"/>
    </row>
    <row r="25" spans="1:21" ht="29.25" customHeight="1" x14ac:dyDescent="0.3">
      <c r="A25" s="261"/>
      <c r="B25" s="287"/>
      <c r="C25" s="288"/>
      <c r="D25" s="289"/>
      <c r="E25" s="290"/>
      <c r="F25" s="289"/>
      <c r="G25" s="289"/>
      <c r="H25" s="289"/>
      <c r="I25" s="291">
        <f>IF(I19="","",SUM(I19:I24))</f>
        <v>1</v>
      </c>
      <c r="J25" s="292" t="str">
        <f>IF(J19="","",IF(COUNTIF($J$19:$J$24,"NO CUMPLE"),"NO CUMPLE","CUMPLE"))</f>
        <v>CUMPLE</v>
      </c>
      <c r="K25" s="292" t="str">
        <f>IF(K19="","",IF(COUNTIF($K$19:$K$24,"&lt;2/11/2024")&gt;=1,"NO CUMPLE","CUMPLE"))</f>
        <v>CUMPLE</v>
      </c>
      <c r="L25" s="222"/>
      <c r="M25" s="222"/>
      <c r="N25" s="222"/>
      <c r="O25" s="222"/>
      <c r="P25" s="18"/>
      <c r="Q25" s="261"/>
      <c r="R25" s="261"/>
      <c r="S25" s="284"/>
      <c r="T25" s="224"/>
    </row>
    <row r="26" spans="1:21" ht="18.75" customHeight="1" x14ac:dyDescent="0.3">
      <c r="A26" s="261"/>
      <c r="B26" s="287"/>
      <c r="C26" s="288"/>
      <c r="D26" s="289"/>
      <c r="E26" s="289"/>
      <c r="F26" s="289"/>
      <c r="G26" s="289"/>
      <c r="H26" s="289"/>
      <c r="I26" s="289"/>
      <c r="J26" s="293"/>
      <c r="K26" s="293"/>
      <c r="L26" s="222"/>
      <c r="M26" s="222"/>
      <c r="N26" s="222"/>
      <c r="O26" s="222"/>
      <c r="P26" s="18"/>
      <c r="Q26" s="261"/>
      <c r="R26" s="261"/>
      <c r="S26" s="284"/>
      <c r="T26" s="224"/>
    </row>
    <row r="27" spans="1:21" ht="18.75" customHeight="1" x14ac:dyDescent="0.3">
      <c r="A27" s="261"/>
      <c r="B27" s="294"/>
      <c r="C27" s="295"/>
      <c r="D27" s="296"/>
      <c r="E27" s="296"/>
      <c r="F27" s="296"/>
      <c r="G27" s="296"/>
      <c r="H27" s="296"/>
      <c r="I27" s="296"/>
      <c r="J27" s="297"/>
      <c r="K27" s="298"/>
      <c r="L27" s="297"/>
      <c r="M27" s="299"/>
      <c r="N27" s="300"/>
      <c r="O27" s="301"/>
      <c r="P27" s="29"/>
      <c r="Q27" s="302"/>
      <c r="R27" s="302"/>
      <c r="S27" s="303"/>
      <c r="T27" s="224"/>
    </row>
    <row r="28" spans="1:21" s="19" customFormat="1" ht="57" customHeight="1" x14ac:dyDescent="0.3">
      <c r="A28" s="222"/>
      <c r="B28" s="304"/>
      <c r="C28" s="304"/>
      <c r="D28" s="305"/>
      <c r="E28" s="306" t="str">
        <f>IF(J19="NO",D19,"")</f>
        <v/>
      </c>
      <c r="F28" s="304"/>
      <c r="G28" s="225"/>
      <c r="H28" s="225"/>
      <c r="I28" s="225"/>
      <c r="J28" s="225"/>
      <c r="K28" s="225"/>
      <c r="L28" s="225"/>
      <c r="M28" s="225"/>
      <c r="N28" s="225"/>
      <c r="O28" s="225"/>
      <c r="P28" s="18"/>
      <c r="Q28" s="225"/>
      <c r="R28" s="225"/>
      <c r="S28" s="225"/>
      <c r="T28" s="224"/>
    </row>
    <row r="29" spans="1:21" s="19" customFormat="1" ht="42.75" customHeight="1" x14ac:dyDescent="0.3">
      <c r="A29" s="222"/>
      <c r="B29" s="228" t="s">
        <v>42</v>
      </c>
      <c r="C29" s="306"/>
      <c r="D29" s="306"/>
      <c r="E29" s="222"/>
      <c r="F29" s="306"/>
      <c r="G29" s="306"/>
      <c r="H29" s="306"/>
      <c r="I29" s="306"/>
      <c r="J29" s="306"/>
      <c r="K29" s="306"/>
      <c r="L29" s="306"/>
      <c r="M29" s="230"/>
      <c r="N29" s="230"/>
      <c r="O29" s="230"/>
      <c r="P29" s="18"/>
      <c r="Q29" s="230"/>
      <c r="R29" s="230"/>
      <c r="S29" s="230"/>
      <c r="T29" s="224"/>
    </row>
    <row r="30" spans="1:21" s="19" customFormat="1" ht="18" x14ac:dyDescent="0.3">
      <c r="A30" s="222"/>
      <c r="B30" s="307"/>
      <c r="C30" s="308"/>
      <c r="D30" s="309"/>
      <c r="E30" s="309"/>
      <c r="F30" s="309"/>
      <c r="G30" s="309"/>
      <c r="H30" s="309"/>
      <c r="I30" s="309"/>
      <c r="J30" s="309"/>
      <c r="K30" s="309"/>
      <c r="L30" s="275"/>
      <c r="M30" s="275"/>
      <c r="N30" s="275"/>
      <c r="O30" s="275"/>
      <c r="P30" s="25"/>
      <c r="Q30" s="275"/>
      <c r="R30" s="275"/>
      <c r="S30" s="310"/>
      <c r="T30" s="224"/>
    </row>
    <row r="31" spans="1:21" ht="90.75" customHeight="1" x14ac:dyDescent="0.3">
      <c r="A31" s="222"/>
      <c r="B31" s="311" t="s">
        <v>43</v>
      </c>
      <c r="C31" s="312"/>
      <c r="D31" s="466" t="s">
        <v>44</v>
      </c>
      <c r="E31" s="466"/>
      <c r="F31" s="466"/>
      <c r="G31" s="466"/>
      <c r="H31" s="466"/>
      <c r="I31" s="466"/>
      <c r="J31" s="466"/>
      <c r="K31" s="466"/>
      <c r="L31" s="466"/>
      <c r="M31" s="466"/>
      <c r="N31" s="466"/>
      <c r="O31" s="466"/>
      <c r="P31" s="466"/>
      <c r="Q31" s="466"/>
      <c r="R31" s="313"/>
      <c r="S31" s="314"/>
      <c r="T31" s="224"/>
    </row>
    <row r="32" spans="1:21" ht="65.25" customHeight="1" x14ac:dyDescent="0.3">
      <c r="A32" s="222"/>
      <c r="B32" s="315"/>
      <c r="C32" s="225"/>
      <c r="D32" s="467" t="s">
        <v>45</v>
      </c>
      <c r="E32" s="467"/>
      <c r="F32" s="468" t="s">
        <v>46</v>
      </c>
      <c r="G32" s="468"/>
      <c r="H32" s="468"/>
      <c r="I32" s="468"/>
      <c r="J32" s="468" t="s">
        <v>47</v>
      </c>
      <c r="K32" s="468"/>
      <c r="L32" s="468"/>
      <c r="M32" s="468"/>
      <c r="N32" s="468"/>
      <c r="O32" s="469" t="s">
        <v>48</v>
      </c>
      <c r="P32" s="470"/>
      <c r="Q32" s="316" t="s">
        <v>49</v>
      </c>
      <c r="R32" s="313"/>
      <c r="S32" s="317"/>
      <c r="T32" s="224"/>
    </row>
    <row r="33" spans="1:21" ht="288.75" customHeight="1" x14ac:dyDescent="0.3">
      <c r="A33" s="222"/>
      <c r="B33" s="315"/>
      <c r="C33" s="225"/>
      <c r="D33" s="467"/>
      <c r="E33" s="467"/>
      <c r="F33" s="471" t="s">
        <v>50</v>
      </c>
      <c r="G33" s="471"/>
      <c r="H33" s="471"/>
      <c r="I33" s="471"/>
      <c r="J33" s="471" t="s">
        <v>51</v>
      </c>
      <c r="K33" s="471"/>
      <c r="L33" s="471"/>
      <c r="M33" s="471"/>
      <c r="N33" s="471"/>
      <c r="O33" s="472" t="s">
        <v>52</v>
      </c>
      <c r="P33" s="473"/>
      <c r="Q33" s="318" t="s">
        <v>53</v>
      </c>
      <c r="R33" s="315"/>
      <c r="S33" s="317"/>
      <c r="T33" s="224"/>
    </row>
    <row r="34" spans="1:21" s="19" customFormat="1" ht="18" x14ac:dyDescent="0.3">
      <c r="A34" s="222"/>
      <c r="B34" s="319"/>
      <c r="C34" s="320"/>
      <c r="D34" s="301"/>
      <c r="E34" s="320"/>
      <c r="F34" s="301"/>
      <c r="G34" s="301"/>
      <c r="H34" s="301"/>
      <c r="I34" s="301"/>
      <c r="J34" s="301"/>
      <c r="K34" s="301"/>
      <c r="L34" s="301"/>
      <c r="M34" s="301"/>
      <c r="N34" s="321"/>
      <c r="O34" s="321"/>
      <c r="P34" s="29"/>
      <c r="Q34" s="321"/>
      <c r="R34" s="321"/>
      <c r="S34" s="322"/>
      <c r="T34" s="224"/>
    </row>
    <row r="35" spans="1:21" s="19" customFormat="1" ht="18" x14ac:dyDescent="0.3">
      <c r="A35" s="222"/>
      <c r="B35" s="222"/>
      <c r="C35" s="323"/>
      <c r="D35" s="222"/>
      <c r="E35" s="323"/>
      <c r="F35" s="222"/>
      <c r="G35" s="222"/>
      <c r="H35" s="222"/>
      <c r="I35" s="222"/>
      <c r="J35" s="222"/>
      <c r="K35" s="222"/>
      <c r="L35" s="222"/>
      <c r="M35" s="222"/>
      <c r="N35" s="324"/>
      <c r="O35" s="324"/>
      <c r="P35" s="18"/>
      <c r="Q35" s="324"/>
      <c r="R35" s="324"/>
      <c r="S35" s="324"/>
      <c r="T35" s="224"/>
    </row>
    <row r="36" spans="1:21" ht="64.5" customHeight="1" x14ac:dyDescent="0.3">
      <c r="A36" s="222"/>
      <c r="B36" s="476" t="s">
        <v>54</v>
      </c>
      <c r="C36" s="477"/>
      <c r="D36" s="477"/>
      <c r="E36" s="477"/>
      <c r="F36" s="477"/>
      <c r="G36" s="477"/>
      <c r="H36" s="477"/>
      <c r="I36" s="477"/>
      <c r="J36" s="477"/>
      <c r="K36" s="477"/>
      <c r="L36" s="477"/>
      <c r="M36" s="477"/>
      <c r="N36" s="477"/>
      <c r="O36" s="477"/>
      <c r="P36" s="477"/>
      <c r="Q36" s="477"/>
      <c r="R36" s="477"/>
      <c r="S36" s="478"/>
      <c r="T36" s="224"/>
    </row>
    <row r="37" spans="1:21" s="19" customFormat="1" ht="18" x14ac:dyDescent="0.3">
      <c r="A37" s="222"/>
      <c r="B37" s="222"/>
      <c r="C37" s="323"/>
      <c r="D37" s="222"/>
      <c r="E37" s="323"/>
      <c r="F37" s="222"/>
      <c r="G37" s="222"/>
      <c r="H37" s="222"/>
      <c r="I37" s="222"/>
      <c r="J37" s="222"/>
      <c r="K37" s="222"/>
      <c r="L37" s="222"/>
      <c r="M37" s="222"/>
      <c r="N37" s="324"/>
      <c r="O37" s="324"/>
      <c r="P37" s="18"/>
      <c r="Q37" s="324"/>
      <c r="R37" s="324"/>
      <c r="S37" s="324"/>
      <c r="T37" s="224"/>
    </row>
    <row r="38" spans="1:21" s="19" customFormat="1" ht="23.25" customHeight="1" thickBot="1" x14ac:dyDescent="0.35">
      <c r="A38" s="222"/>
      <c r="B38" s="222"/>
      <c r="C38" s="323"/>
      <c r="D38" s="320"/>
      <c r="E38" s="320"/>
      <c r="F38" s="320"/>
      <c r="G38" s="320"/>
      <c r="H38" s="320"/>
      <c r="I38" s="320"/>
      <c r="J38" s="320"/>
      <c r="K38" s="320"/>
      <c r="L38" s="320"/>
      <c r="M38" s="320"/>
      <c r="N38" s="320"/>
      <c r="O38" s="320"/>
      <c r="P38" s="18"/>
      <c r="Q38" s="324"/>
      <c r="R38" s="324"/>
      <c r="S38" s="324"/>
      <c r="T38" s="224"/>
    </row>
    <row r="39" spans="1:21" ht="75.75" customHeight="1" thickBot="1" x14ac:dyDescent="0.35">
      <c r="A39" s="222"/>
      <c r="B39" s="222"/>
      <c r="C39" s="323"/>
      <c r="D39" s="325" t="s">
        <v>55</v>
      </c>
      <c r="E39" s="325" t="s">
        <v>56</v>
      </c>
      <c r="F39" s="325" t="s">
        <v>57</v>
      </c>
      <c r="G39" s="325" t="s">
        <v>58</v>
      </c>
      <c r="H39" s="325" t="s">
        <v>59</v>
      </c>
      <c r="I39" s="325" t="s">
        <v>60</v>
      </c>
      <c r="J39" s="326" t="s">
        <v>61</v>
      </c>
      <c r="K39" s="326" t="s">
        <v>62</v>
      </c>
      <c r="L39" s="326" t="s">
        <v>63</v>
      </c>
      <c r="M39" s="325" t="s">
        <v>64</v>
      </c>
      <c r="N39" s="325" t="s">
        <v>65</v>
      </c>
      <c r="O39" s="327" t="s">
        <v>66</v>
      </c>
      <c r="P39" s="30"/>
      <c r="Q39" s="328" t="s">
        <v>67</v>
      </c>
      <c r="R39" s="328" t="s">
        <v>68</v>
      </c>
      <c r="S39" s="328" t="s">
        <v>69</v>
      </c>
      <c r="T39" s="224"/>
    </row>
    <row r="40" spans="1:21" ht="39" customHeight="1" x14ac:dyDescent="0.3">
      <c r="A40" s="222"/>
      <c r="B40" s="479" t="s">
        <v>70</v>
      </c>
      <c r="C40" s="329"/>
      <c r="D40" s="481" t="s">
        <v>274</v>
      </c>
      <c r="E40" s="330" t="s">
        <v>275</v>
      </c>
      <c r="F40" s="330" t="s">
        <v>276</v>
      </c>
      <c r="G40" s="331">
        <v>1</v>
      </c>
      <c r="H40" s="332">
        <v>183</v>
      </c>
      <c r="I40" s="484">
        <v>8106.9</v>
      </c>
      <c r="J40" s="487">
        <v>43857</v>
      </c>
      <c r="K40" s="487">
        <v>44721</v>
      </c>
      <c r="L40" s="490">
        <v>2149.67</v>
      </c>
      <c r="M40" s="493" t="s">
        <v>71</v>
      </c>
      <c r="N40" s="493" t="s">
        <v>71</v>
      </c>
      <c r="O40" s="496" t="str">
        <f>IF(D40="","",IF(AND($M40="CUMPLE",$N40="CUMPLE",$K40&lt;$F$10),"VALIDA","NO VALIDA"))</f>
        <v>VALIDA</v>
      </c>
      <c r="P40" s="30"/>
      <c r="Q40" s="499">
        <f>IF($D40="","",IF($O40="NO VALIDA","",($L40*SUM($G$40:$G$42))))</f>
        <v>2149.67</v>
      </c>
      <c r="R40" s="333">
        <f>IFERROR(ROUND(IF($D40="","",IF(AND($L$65="CUMPLE",$O40="VALIDA"),$I40*$G40,IF(AND($O40="VALIDA",$J40&gt;35804),I40*$G40,""))),0),"")</f>
        <v>8107</v>
      </c>
      <c r="S40" s="501">
        <f>IF(SUM(R40:R42)=0,"",SUM(R40:R42))</f>
        <v>8107</v>
      </c>
      <c r="T40" s="224"/>
      <c r="U40" s="31"/>
    </row>
    <row r="41" spans="1:21" ht="39" customHeight="1" x14ac:dyDescent="0.3">
      <c r="A41" s="222"/>
      <c r="B41" s="479"/>
      <c r="C41" s="329"/>
      <c r="D41" s="482"/>
      <c r="E41" s="330"/>
      <c r="F41" s="330"/>
      <c r="G41" s="331"/>
      <c r="H41" s="332"/>
      <c r="I41" s="485"/>
      <c r="J41" s="488"/>
      <c r="K41" s="488"/>
      <c r="L41" s="491"/>
      <c r="M41" s="494"/>
      <c r="N41" s="494"/>
      <c r="O41" s="497"/>
      <c r="P41" s="30"/>
      <c r="Q41" s="499"/>
      <c r="R41" s="333">
        <f>IFERROR(ROUND(IF($D40="","",IF(AND($L$65="CUMPLE",$O40="VALIDA"),$I40*$G41,IF(AND($O40="VALIDA",$J40&gt;35804),I40*$G41,""))),0),"")</f>
        <v>0</v>
      </c>
      <c r="S41" s="502"/>
      <c r="T41" s="224"/>
      <c r="U41" s="31"/>
    </row>
    <row r="42" spans="1:21" ht="39" customHeight="1" thickBot="1" x14ac:dyDescent="0.35">
      <c r="A42" s="222"/>
      <c r="B42" s="480"/>
      <c r="C42" s="329"/>
      <c r="D42" s="483"/>
      <c r="E42" s="334"/>
      <c r="F42" s="334"/>
      <c r="G42" s="335"/>
      <c r="H42" s="336"/>
      <c r="I42" s="486"/>
      <c r="J42" s="489"/>
      <c r="K42" s="489"/>
      <c r="L42" s="492"/>
      <c r="M42" s="495"/>
      <c r="N42" s="495"/>
      <c r="O42" s="498"/>
      <c r="P42" s="30"/>
      <c r="Q42" s="500"/>
      <c r="R42" s="337">
        <f>IFERROR(ROUND(IF($D40="","",IF(AND($L$65="CUMPLE",$O40="VALIDA"),$I40*$G42,IF(AND($O40="VALIDA",$J40&gt;35804),I40*$G42,""))),0),"")</f>
        <v>0</v>
      </c>
      <c r="S42" s="503"/>
      <c r="T42" s="224"/>
      <c r="U42" s="31"/>
    </row>
    <row r="43" spans="1:21" ht="39" customHeight="1" thickTop="1" x14ac:dyDescent="0.3">
      <c r="A43" s="222"/>
      <c r="B43" s="510" t="s">
        <v>72</v>
      </c>
      <c r="C43" s="329"/>
      <c r="D43" s="513"/>
      <c r="E43" s="338"/>
      <c r="F43" s="338"/>
      <c r="G43" s="339"/>
      <c r="H43" s="340"/>
      <c r="I43" s="505"/>
      <c r="J43" s="506"/>
      <c r="K43" s="506"/>
      <c r="L43" s="509"/>
      <c r="M43" s="504"/>
      <c r="N43" s="514"/>
      <c r="O43" s="517" t="str">
        <f t="shared" ref="O43" si="2">IF(D43="","",IF(AND($M43="CUMPLE",$N43="CUMPLE",$K43&lt;$F$10),"VALIDA","NO VALIDA"))</f>
        <v/>
      </c>
      <c r="P43" s="30"/>
      <c r="Q43" s="499" t="str">
        <f>IF($D43="","",IF($O43="NO VALIDA","",($L43*SUM($G$43:$G$45))))</f>
        <v/>
      </c>
      <c r="R43" s="333" t="str">
        <f>IFERROR(ROUND(IF($D43="","",IF(AND($L$65="CUMPLE",$O43="VALIDA"),$I43*$G43,IF(AND($O43="VALIDA",$J43&gt;35804),I43*$G43,""))),0),"")</f>
        <v/>
      </c>
      <c r="S43" s="501" t="str">
        <f>IF(SUM(R43:R45)=0,"",SUM(R43:R45))</f>
        <v/>
      </c>
      <c r="T43" s="341"/>
    </row>
    <row r="44" spans="1:21" ht="39" customHeight="1" x14ac:dyDescent="0.3">
      <c r="A44" s="222"/>
      <c r="B44" s="511"/>
      <c r="C44" s="329"/>
      <c r="D44" s="482"/>
      <c r="E44" s="330"/>
      <c r="F44" s="330"/>
      <c r="G44" s="331"/>
      <c r="H44" s="332"/>
      <c r="I44" s="485"/>
      <c r="J44" s="507"/>
      <c r="K44" s="507"/>
      <c r="L44" s="491"/>
      <c r="M44" s="494"/>
      <c r="N44" s="515"/>
      <c r="O44" s="497"/>
      <c r="P44" s="30"/>
      <c r="Q44" s="499"/>
      <c r="R44" s="333" t="str">
        <f>IFERROR(ROUND(IF($D43="","",IF(AND($L$65="CUMPLE",$O43="VALIDA"),$I43*$G44,IF(AND($O43="VALIDA",$J43&gt;35804),I43*$G44,""))),0),"")</f>
        <v/>
      </c>
      <c r="S44" s="502"/>
      <c r="T44" s="341"/>
    </row>
    <row r="45" spans="1:21" ht="39" customHeight="1" thickBot="1" x14ac:dyDescent="0.35">
      <c r="A45" s="222"/>
      <c r="B45" s="512"/>
      <c r="C45" s="329"/>
      <c r="D45" s="483"/>
      <c r="E45" s="334"/>
      <c r="F45" s="334"/>
      <c r="G45" s="335"/>
      <c r="H45" s="336"/>
      <c r="I45" s="486"/>
      <c r="J45" s="508"/>
      <c r="K45" s="508"/>
      <c r="L45" s="492"/>
      <c r="M45" s="495"/>
      <c r="N45" s="516"/>
      <c r="O45" s="498"/>
      <c r="P45" s="30"/>
      <c r="Q45" s="500"/>
      <c r="R45" s="337" t="str">
        <f>IFERROR(ROUND(IF($D43="","",IF(AND($L$65="CUMPLE",$O43="VALIDA"),$I43*$G45,IF(AND($O43="VALIDA",$J43&gt;35804),I43*$G45,""))),0),"")</f>
        <v/>
      </c>
      <c r="S45" s="503"/>
      <c r="T45" s="341"/>
    </row>
    <row r="46" spans="1:21" ht="39" customHeight="1" thickTop="1" x14ac:dyDescent="0.3">
      <c r="A46" s="222"/>
      <c r="B46" s="479" t="s">
        <v>73</v>
      </c>
      <c r="C46" s="329"/>
      <c r="D46" s="504"/>
      <c r="E46" s="342"/>
      <c r="F46" s="342"/>
      <c r="G46" s="343"/>
      <c r="H46" s="344"/>
      <c r="I46" s="505"/>
      <c r="J46" s="506"/>
      <c r="K46" s="506"/>
      <c r="L46" s="509"/>
      <c r="M46" s="504"/>
      <c r="N46" s="514"/>
      <c r="O46" s="517" t="str">
        <f t="shared" ref="O46" si="3">IF(D46="","",IF(AND($M46="CUMPLE",$N46="CUMPLE",$K46&lt;$F$10),"VALIDA","NO VALIDA"))</f>
        <v/>
      </c>
      <c r="P46" s="30"/>
      <c r="Q46" s="499" t="str">
        <f>IF($D46="","",IF($O46="NO VALIDA","",($L46*SUM($G$46:$G$48))))</f>
        <v/>
      </c>
      <c r="R46" s="333" t="str">
        <f>IFERROR(ROUND(IF($D46="","",IF(AND($L$65="CUMPLE",$O46="VALIDA"),$I46*$G46,IF(AND($O46="VALIDA",$J46&gt;35804),I46*$G46,""))),0),"")</f>
        <v/>
      </c>
      <c r="S46" s="501" t="str">
        <f>IF(SUM(R46:R48)=0,"",SUM(R46:R48))</f>
        <v/>
      </c>
      <c r="T46" s="345"/>
    </row>
    <row r="47" spans="1:21" ht="39" customHeight="1" x14ac:dyDescent="0.3">
      <c r="A47" s="222"/>
      <c r="B47" s="479"/>
      <c r="C47" s="329"/>
      <c r="D47" s="494"/>
      <c r="E47" s="330"/>
      <c r="F47" s="330"/>
      <c r="G47" s="331"/>
      <c r="H47" s="332"/>
      <c r="I47" s="485"/>
      <c r="J47" s="507"/>
      <c r="K47" s="507"/>
      <c r="L47" s="491"/>
      <c r="M47" s="494"/>
      <c r="N47" s="515"/>
      <c r="O47" s="497"/>
      <c r="P47" s="30"/>
      <c r="Q47" s="499"/>
      <c r="R47" s="333" t="str">
        <f>IFERROR(ROUND(IF($D46="","",IF(AND($L$65="CUMPLE",$O46="VALIDA"),$I46*$G47,IF(AND($O46="VALIDA",$J46&gt;35804),I46*$G47,""))),0),"")</f>
        <v/>
      </c>
      <c r="S47" s="502"/>
      <c r="T47" s="345"/>
    </row>
    <row r="48" spans="1:21" ht="39" customHeight="1" thickBot="1" x14ac:dyDescent="0.35">
      <c r="A48" s="222"/>
      <c r="B48" s="480"/>
      <c r="C48" s="329"/>
      <c r="D48" s="495"/>
      <c r="E48" s="334"/>
      <c r="F48" s="334"/>
      <c r="G48" s="335"/>
      <c r="H48" s="336"/>
      <c r="I48" s="486"/>
      <c r="J48" s="508"/>
      <c r="K48" s="508"/>
      <c r="L48" s="492"/>
      <c r="M48" s="495"/>
      <c r="N48" s="516"/>
      <c r="O48" s="498"/>
      <c r="P48" s="30"/>
      <c r="Q48" s="500"/>
      <c r="R48" s="337" t="str">
        <f>IFERROR(ROUND(IF($D46="","",IF(AND($L$65="CUMPLE",$O46="VALIDA"),$I46*$G48,IF(AND($O46="VALIDA",$J46&gt;35804),I46*$G48,""))),0),"")</f>
        <v/>
      </c>
      <c r="S48" s="503"/>
      <c r="T48" s="345"/>
    </row>
    <row r="49" spans="1:20" ht="39" customHeight="1" thickTop="1" x14ac:dyDescent="0.3">
      <c r="A49" s="222"/>
      <c r="B49" s="510" t="s">
        <v>74</v>
      </c>
      <c r="C49" s="329"/>
      <c r="D49" s="513"/>
      <c r="E49" s="342"/>
      <c r="F49" s="342"/>
      <c r="G49" s="343"/>
      <c r="H49" s="344"/>
      <c r="I49" s="505"/>
      <c r="J49" s="506"/>
      <c r="K49" s="506"/>
      <c r="L49" s="509"/>
      <c r="M49" s="504"/>
      <c r="N49" s="514"/>
      <c r="O49" s="517" t="str">
        <f t="shared" ref="O49" si="4">IF(D49="","",IF(AND($M49="CUMPLE",$N49="CUMPLE",$K49&lt;$F$10),"VALIDA","NO VALIDA"))</f>
        <v/>
      </c>
      <c r="P49" s="30"/>
      <c r="Q49" s="499" t="str">
        <f>IF($D49="","",IF($O49="NO VALIDA","",($L49*SUM($G$49:$G$51))))</f>
        <v/>
      </c>
      <c r="R49" s="333" t="str">
        <f>IFERROR(ROUND(IF($D49="","",IF(AND($L$65="CUMPLE",$O49="VALIDA"),$I49*$G49,IF(AND($O49="VALIDA",$J49&gt;35804),I49*$G49,""))),0),"")</f>
        <v/>
      </c>
      <c r="S49" s="501" t="str">
        <f>IF(SUM(R49:R51)=0,"",SUM(R49:R51))</f>
        <v/>
      </c>
      <c r="T49" s="346"/>
    </row>
    <row r="50" spans="1:20" ht="39" customHeight="1" x14ac:dyDescent="0.3">
      <c r="A50" s="222"/>
      <c r="B50" s="511"/>
      <c r="C50" s="329"/>
      <c r="D50" s="482"/>
      <c r="E50" s="330"/>
      <c r="F50" s="330"/>
      <c r="G50" s="331"/>
      <c r="H50" s="332"/>
      <c r="I50" s="485"/>
      <c r="J50" s="507"/>
      <c r="K50" s="507"/>
      <c r="L50" s="491"/>
      <c r="M50" s="494"/>
      <c r="N50" s="515"/>
      <c r="O50" s="497"/>
      <c r="P50" s="30"/>
      <c r="Q50" s="499"/>
      <c r="R50" s="333" t="str">
        <f>IFERROR(ROUND(IF($D49="","",IF(AND($L$65="CUMPLE",$O49="VALIDA"),$I49*$G50,IF(AND($O49="VALIDA",$J49&gt;35804),I49*$G50,""))),0),"")</f>
        <v/>
      </c>
      <c r="S50" s="502"/>
      <c r="T50" s="346"/>
    </row>
    <row r="51" spans="1:20" ht="39" customHeight="1" thickBot="1" x14ac:dyDescent="0.35">
      <c r="A51" s="222"/>
      <c r="B51" s="512"/>
      <c r="C51" s="329"/>
      <c r="D51" s="483"/>
      <c r="E51" s="334"/>
      <c r="F51" s="334"/>
      <c r="G51" s="335"/>
      <c r="H51" s="336"/>
      <c r="I51" s="486"/>
      <c r="J51" s="508"/>
      <c r="K51" s="508"/>
      <c r="L51" s="492"/>
      <c r="M51" s="495"/>
      <c r="N51" s="516"/>
      <c r="O51" s="498"/>
      <c r="P51" s="30"/>
      <c r="Q51" s="500"/>
      <c r="R51" s="337" t="str">
        <f>IFERROR(ROUND(IF($D49="","",IF(AND($L$65="CUMPLE",$O49="VALIDA"),$I49*$G51,IF(AND($O49="VALIDA",$J49&gt;35804),I49*$G51,""))),0),"")</f>
        <v/>
      </c>
      <c r="S51" s="503"/>
      <c r="T51" s="346"/>
    </row>
    <row r="52" spans="1:20" ht="39" customHeight="1" thickTop="1" x14ac:dyDescent="0.3">
      <c r="A52" s="222"/>
      <c r="B52" s="479" t="s">
        <v>75</v>
      </c>
      <c r="C52" s="329"/>
      <c r="D52" s="513"/>
      <c r="E52" s="342"/>
      <c r="F52" s="342"/>
      <c r="G52" s="343"/>
      <c r="H52" s="344"/>
      <c r="I52" s="505"/>
      <c r="J52" s="506"/>
      <c r="K52" s="506"/>
      <c r="L52" s="509"/>
      <c r="M52" s="504"/>
      <c r="N52" s="514"/>
      <c r="O52" s="517" t="str">
        <f t="shared" ref="O52" si="5">IF(D52="","",IF(AND($M52="CUMPLE",$N52="CUMPLE",$K52&lt;$F$10),"VALIDA","NO VALIDA"))</f>
        <v/>
      </c>
      <c r="P52" s="30"/>
      <c r="Q52" s="499" t="str">
        <f>IF($D52="","",IF($O52="NO VALIDA","",($L52*SUM($G$52:$G$54))))</f>
        <v/>
      </c>
      <c r="R52" s="333" t="str">
        <f>IFERROR(ROUND(IF($D52="","",IF(AND($L$65="CUMPLE",$O52="VALIDA"),$I52*$G52,IF(AND($O52="VALIDA",$J52&gt;35804),I52*$G52,""))),0),"")</f>
        <v/>
      </c>
      <c r="S52" s="501" t="str">
        <f>IF(SUM(R52:R54)=0,"",SUM(R52:R54))</f>
        <v/>
      </c>
      <c r="T52" s="347"/>
    </row>
    <row r="53" spans="1:20" ht="39" customHeight="1" x14ac:dyDescent="0.3">
      <c r="A53" s="222"/>
      <c r="B53" s="479"/>
      <c r="C53" s="329"/>
      <c r="D53" s="482"/>
      <c r="E53" s="330"/>
      <c r="F53" s="330"/>
      <c r="G53" s="331"/>
      <c r="H53" s="332"/>
      <c r="I53" s="485"/>
      <c r="J53" s="507"/>
      <c r="K53" s="507"/>
      <c r="L53" s="491"/>
      <c r="M53" s="494"/>
      <c r="N53" s="515"/>
      <c r="O53" s="497"/>
      <c r="P53" s="30"/>
      <c r="Q53" s="499"/>
      <c r="R53" s="333" t="str">
        <f>IFERROR(ROUND(IF($D52="","",IF(AND($L$65="CUMPLE",$O52="VALIDA"),$I52*$G53,IF(AND($O52="VALIDA",$J52&gt;35804),I52*$G53,""))),0),"")</f>
        <v/>
      </c>
      <c r="S53" s="502"/>
      <c r="T53" s="347"/>
    </row>
    <row r="54" spans="1:20" ht="39" customHeight="1" thickBot="1" x14ac:dyDescent="0.35">
      <c r="A54" s="222"/>
      <c r="B54" s="480"/>
      <c r="C54" s="329"/>
      <c r="D54" s="483"/>
      <c r="E54" s="334"/>
      <c r="F54" s="334"/>
      <c r="G54" s="335"/>
      <c r="H54" s="336"/>
      <c r="I54" s="486"/>
      <c r="J54" s="508"/>
      <c r="K54" s="508"/>
      <c r="L54" s="492"/>
      <c r="M54" s="495"/>
      <c r="N54" s="516"/>
      <c r="O54" s="498"/>
      <c r="P54" s="30"/>
      <c r="Q54" s="500"/>
      <c r="R54" s="337" t="str">
        <f>IFERROR(ROUND(IF($D52="","",IF(AND($L$65="CUMPLE",$O52="VALIDA"),$I52*$G54,IF(AND($O52="VALIDA",$J52&gt;35804),I52*$G54,""))),0),"")</f>
        <v/>
      </c>
      <c r="S54" s="503"/>
      <c r="T54" s="347"/>
    </row>
    <row r="55" spans="1:20" ht="39" customHeight="1" thickTop="1" x14ac:dyDescent="0.3">
      <c r="A55" s="222"/>
      <c r="B55" s="510" t="s">
        <v>76</v>
      </c>
      <c r="C55" s="329"/>
      <c r="D55" s="524"/>
      <c r="E55" s="348"/>
      <c r="F55" s="348"/>
      <c r="G55" s="348"/>
      <c r="H55" s="348"/>
      <c r="I55" s="521"/>
      <c r="J55" s="521"/>
      <c r="K55" s="521"/>
      <c r="L55" s="521"/>
      <c r="M55" s="521"/>
      <c r="N55" s="521"/>
      <c r="O55" s="536" t="str">
        <f t="shared" ref="O55" si="6">IF(D55="","",IF(AND($M55="CUMPLE",$N55="CUMPLE",$K55&lt;$F$10),"VALIDA","NO VALIDA"))</f>
        <v/>
      </c>
      <c r="P55" s="30"/>
      <c r="Q55" s="530" t="str">
        <f>IF($D55="","",IF($O55="NO VALIDA","",($L55*SUM($G$55:$G$57))))</f>
        <v/>
      </c>
      <c r="R55" s="348" t="str">
        <f>IFERROR(ROUND(IF($D55="","",IF(AND($L$65="CUMPLE",$O55="VALIDA"),$I55*$G55,IF(AND($O55="VALIDA",$J55&gt;35804),I55*$G55,""))),0),"")</f>
        <v/>
      </c>
      <c r="S55" s="533" t="str">
        <f>IF(SUM(R55:R57)=0,"",SUM(R55:R57))</f>
        <v/>
      </c>
      <c r="T55" s="346"/>
    </row>
    <row r="56" spans="1:20" ht="39" customHeight="1" x14ac:dyDescent="0.3">
      <c r="A56" s="222"/>
      <c r="B56" s="511"/>
      <c r="C56" s="329"/>
      <c r="D56" s="525"/>
      <c r="E56" s="349"/>
      <c r="F56" s="349"/>
      <c r="G56" s="349"/>
      <c r="H56" s="349"/>
      <c r="I56" s="522"/>
      <c r="J56" s="522"/>
      <c r="K56" s="522"/>
      <c r="L56" s="522"/>
      <c r="M56" s="522"/>
      <c r="N56" s="522"/>
      <c r="O56" s="537"/>
      <c r="P56" s="30"/>
      <c r="Q56" s="531"/>
      <c r="R56" s="349" t="str">
        <f>IFERROR(ROUND(IF($D55="","",IF(AND($L$65="CUMPLE",$O55="VALIDA"),$I55*$G56,IF(AND($O55="VALIDA",$J55&gt;35804),I55*$G56,""))),0),"")</f>
        <v/>
      </c>
      <c r="S56" s="534"/>
      <c r="T56" s="346"/>
    </row>
    <row r="57" spans="1:20" ht="39" customHeight="1" thickBot="1" x14ac:dyDescent="0.35">
      <c r="A57" s="222"/>
      <c r="B57" s="512"/>
      <c r="C57" s="329"/>
      <c r="D57" s="526"/>
      <c r="E57" s="350"/>
      <c r="F57" s="350"/>
      <c r="G57" s="350"/>
      <c r="H57" s="350"/>
      <c r="I57" s="523"/>
      <c r="J57" s="523"/>
      <c r="K57" s="523"/>
      <c r="L57" s="523"/>
      <c r="M57" s="523"/>
      <c r="N57" s="523"/>
      <c r="O57" s="538"/>
      <c r="P57" s="30"/>
      <c r="Q57" s="532"/>
      <c r="R57" s="350" t="str">
        <f>IFERROR(ROUND(IF($D55="","",IF(AND($L$65="CUMPLE",$O55="VALIDA"),$I55*$G57,IF(AND($O55="VALIDA",$J55&gt;35804),I55*$G57,""))),0),"")</f>
        <v/>
      </c>
      <c r="S57" s="535"/>
      <c r="T57" s="346"/>
    </row>
    <row r="58" spans="1:20" ht="39" customHeight="1" thickTop="1" x14ac:dyDescent="0.3">
      <c r="A58" s="222"/>
      <c r="B58" s="479" t="s">
        <v>77</v>
      </c>
      <c r="C58" s="329"/>
      <c r="D58" s="518"/>
      <c r="E58" s="348"/>
      <c r="F58" s="348"/>
      <c r="G58" s="348"/>
      <c r="H58" s="348"/>
      <c r="I58" s="521"/>
      <c r="J58" s="521"/>
      <c r="K58" s="521"/>
      <c r="L58" s="521"/>
      <c r="M58" s="521"/>
      <c r="N58" s="521"/>
      <c r="O58" s="527" t="str">
        <f t="shared" ref="O58" si="7">IF(D58="","",IF(AND($M58="CUMPLE",$N58="CUMPLE",$K58&lt;$F$10),"VALIDA","NO VALIDA"))</f>
        <v/>
      </c>
      <c r="P58" s="30"/>
      <c r="Q58" s="530" t="str">
        <f>IF($D58="","",IF($O58="NO VALIDA","",($L58*SUM($G$58:$G$60))))</f>
        <v/>
      </c>
      <c r="R58" s="348" t="str">
        <f>IFERROR(ROUND(IF($D58="","",IF(AND($L$65="CUMPLE",$O58="VALIDA"),$I58*$G58,IF(AND($O58="VALIDA",$J58&gt;35804),I58*$G58,""))),0),"")</f>
        <v/>
      </c>
      <c r="S58" s="533" t="str">
        <f>IF(SUM(R58:R60)=0,"",SUM(R58:R60))</f>
        <v/>
      </c>
      <c r="T58" s="347"/>
    </row>
    <row r="59" spans="1:20" ht="39" customHeight="1" x14ac:dyDescent="0.3">
      <c r="A59" s="222"/>
      <c r="B59" s="479"/>
      <c r="C59" s="329"/>
      <c r="D59" s="519"/>
      <c r="E59" s="349"/>
      <c r="F59" s="349"/>
      <c r="G59" s="349"/>
      <c r="H59" s="349"/>
      <c r="I59" s="522"/>
      <c r="J59" s="522"/>
      <c r="K59" s="522"/>
      <c r="L59" s="522"/>
      <c r="M59" s="522"/>
      <c r="N59" s="522"/>
      <c r="O59" s="528"/>
      <c r="P59" s="30"/>
      <c r="Q59" s="531"/>
      <c r="R59" s="349" t="str">
        <f>IFERROR(ROUND(IF($D58="","",IF(AND($L$65="CUMPLE",$O58="VALIDA"),$I58*$G59,IF(AND($O58="VALIDA",$J58&gt;35804),I58*$G59,""))),0),"")</f>
        <v/>
      </c>
      <c r="S59" s="534"/>
      <c r="T59" s="347"/>
    </row>
    <row r="60" spans="1:20" ht="39" customHeight="1" thickBot="1" x14ac:dyDescent="0.35">
      <c r="A60" s="222"/>
      <c r="B60" s="480"/>
      <c r="C60" s="329"/>
      <c r="D60" s="520"/>
      <c r="E60" s="350"/>
      <c r="F60" s="350"/>
      <c r="G60" s="350"/>
      <c r="H60" s="350"/>
      <c r="I60" s="523"/>
      <c r="J60" s="523"/>
      <c r="K60" s="523"/>
      <c r="L60" s="523"/>
      <c r="M60" s="523"/>
      <c r="N60" s="523"/>
      <c r="O60" s="529"/>
      <c r="P60" s="351"/>
      <c r="Q60" s="532"/>
      <c r="R60" s="350" t="str">
        <f>IFERROR(ROUND(IF($D58="","",IF(AND($L$65="CUMPLE",$O58="VALIDA"),$I58*$G60,IF(AND($O58="VALIDA",$J58&gt;35804),I58*$G60,""))),0),"")</f>
        <v/>
      </c>
      <c r="S60" s="535"/>
      <c r="T60" s="347"/>
    </row>
    <row r="61" spans="1:20" s="19" customFormat="1" ht="35.25" customHeight="1" thickTop="1" x14ac:dyDescent="0.3">
      <c r="A61" s="222"/>
      <c r="B61" s="329"/>
      <c r="C61" s="329"/>
      <c r="D61" s="539" t="s">
        <v>78</v>
      </c>
      <c r="E61" s="539"/>
      <c r="F61" s="539"/>
      <c r="G61" s="539"/>
      <c r="H61" s="539"/>
      <c r="I61" s="539"/>
      <c r="J61" s="539"/>
      <c r="K61" s="539"/>
      <c r="L61" s="539"/>
      <c r="M61" s="539"/>
      <c r="N61" s="539"/>
      <c r="O61" s="539"/>
      <c r="P61" s="351"/>
      <c r="Q61" s="352"/>
      <c r="R61" s="353"/>
      <c r="S61" s="353"/>
      <c r="T61" s="224"/>
    </row>
    <row r="62" spans="1:20" s="20" customFormat="1" ht="58.5" customHeight="1" x14ac:dyDescent="0.3">
      <c r="A62" s="222"/>
      <c r="B62" s="329"/>
      <c r="C62" s="329"/>
      <c r="D62" s="540" t="s">
        <v>79</v>
      </c>
      <c r="E62" s="540"/>
      <c r="F62" s="540"/>
      <c r="G62" s="540"/>
      <c r="H62" s="540"/>
      <c r="I62" s="540"/>
      <c r="J62" s="540"/>
      <c r="K62" s="540"/>
      <c r="L62" s="540"/>
      <c r="M62" s="540"/>
      <c r="N62" s="540"/>
      <c r="O62" s="540"/>
      <c r="P62" s="351"/>
      <c r="Q62" s="541" t="s">
        <v>80</v>
      </c>
      <c r="R62" s="541"/>
      <c r="S62" s="354">
        <f>SUM(S40:S58)</f>
        <v>8107</v>
      </c>
      <c r="T62" s="224"/>
    </row>
    <row r="63" spans="1:20" s="20" customFormat="1" ht="58.5" customHeight="1" x14ac:dyDescent="0.3">
      <c r="A63" s="222"/>
      <c r="B63" s="329"/>
      <c r="C63" s="329"/>
      <c r="D63" s="355"/>
      <c r="E63" s="355"/>
      <c r="F63" s="355"/>
      <c r="G63" s="355"/>
      <c r="H63" s="355"/>
      <c r="I63" s="355"/>
      <c r="J63" s="355"/>
      <c r="K63" s="355"/>
      <c r="L63" s="355"/>
      <c r="M63" s="355"/>
      <c r="N63" s="355"/>
      <c r="O63" s="355"/>
      <c r="P63" s="355"/>
      <c r="Q63" s="542" t="s">
        <v>81</v>
      </c>
      <c r="R63" s="542"/>
      <c r="S63" s="542"/>
      <c r="T63" s="224"/>
    </row>
    <row r="64" spans="1:20" s="20" customFormat="1" ht="111" customHeight="1" x14ac:dyDescent="0.35">
      <c r="A64" s="222"/>
      <c r="B64" s="329"/>
      <c r="C64" s="329"/>
      <c r="D64" s="356" t="s">
        <v>82</v>
      </c>
      <c r="E64" s="356" t="s">
        <v>83</v>
      </c>
      <c r="F64" s="222"/>
      <c r="G64" s="222"/>
      <c r="H64" s="222"/>
      <c r="I64" s="222"/>
      <c r="J64" s="222"/>
      <c r="K64" s="222"/>
      <c r="L64" s="222"/>
      <c r="M64" s="222"/>
      <c r="N64" s="222"/>
      <c r="O64" s="352"/>
      <c r="P64" s="18"/>
      <c r="Q64" s="542"/>
      <c r="R64" s="542"/>
      <c r="S64" s="542"/>
      <c r="T64" s="224"/>
    </row>
    <row r="65" spans="1:21" s="20" customFormat="1" ht="61.5" customHeight="1" x14ac:dyDescent="0.3">
      <c r="A65" s="222"/>
      <c r="B65" s="222"/>
      <c r="C65" s="222"/>
      <c r="D65" s="543" t="s">
        <v>84</v>
      </c>
      <c r="E65" s="357" t="s">
        <v>85</v>
      </c>
      <c r="F65" s="546" t="s">
        <v>86</v>
      </c>
      <c r="G65" s="547"/>
      <c r="H65" s="547"/>
      <c r="I65" s="547"/>
      <c r="J65" s="547"/>
      <c r="K65" s="548"/>
      <c r="L65" s="549" t="str">
        <f>IF($J$40="","",IF(COUNTIFS(EXPERIENCIA!$O$40:$O$60,"valida",EXPERIENCIA!$J$40:$J$60,"&gt;35804")&gt;=COUNTIFS(EXPERIENCIA!$O$40:$O$60,"VALIDA")-1,"CUMPLE","NO CUMPLE"))</f>
        <v>CUMPLE</v>
      </c>
      <c r="M65" s="550"/>
      <c r="N65" s="222"/>
      <c r="O65" s="222"/>
      <c r="P65" s="222"/>
      <c r="Q65" s="222"/>
      <c r="R65" s="222"/>
      <c r="S65" s="353"/>
      <c r="T65" s="358"/>
    </row>
    <row r="66" spans="1:21" s="20" customFormat="1" ht="61.5" customHeight="1" x14ac:dyDescent="0.3">
      <c r="A66" s="222"/>
      <c r="B66" s="222"/>
      <c r="C66" s="222"/>
      <c r="D66" s="544"/>
      <c r="E66" s="357" t="s">
        <v>87</v>
      </c>
      <c r="F66" s="546" t="s">
        <v>88</v>
      </c>
      <c r="G66" s="547"/>
      <c r="H66" s="547"/>
      <c r="I66" s="547"/>
      <c r="J66" s="547"/>
      <c r="K66" s="548"/>
      <c r="L66" s="549" t="str">
        <f>IF($J$40="","",IF(COUNTIFS(EXPERIENCIA!$O$40:$O$60,"VALIDA",EXPERIENCIA!$J$40:$J$60,"&gt;15/7/2010")&gt;=1,"CUMPLE","NO CUMPLE"))</f>
        <v>CUMPLE</v>
      </c>
      <c r="M66" s="550"/>
      <c r="N66" s="359"/>
      <c r="O66" s="222"/>
      <c r="P66" s="222"/>
      <c r="Q66" s="222"/>
      <c r="R66" s="222"/>
      <c r="S66" s="353"/>
      <c r="T66" s="224"/>
    </row>
    <row r="67" spans="1:21" s="20" customFormat="1" ht="61.5" customHeight="1" x14ac:dyDescent="0.3">
      <c r="A67" s="222"/>
      <c r="B67" s="222"/>
      <c r="C67" s="222"/>
      <c r="D67" s="544"/>
      <c r="E67" s="551" t="s">
        <v>89</v>
      </c>
      <c r="F67" s="562" t="s">
        <v>90</v>
      </c>
      <c r="G67" s="563"/>
      <c r="H67" s="563"/>
      <c r="I67" s="563"/>
      <c r="J67" s="360">
        <v>0.5</v>
      </c>
      <c r="K67" s="361">
        <f>+R10</f>
        <v>120</v>
      </c>
      <c r="L67" s="549" t="str">
        <f>IF(O40="","",IF(GESTEP(_xlfn.MAXIFS($Q$40:$Q$60,$O$40:$O$60,"VALIDA"),$K$67)&gt;=1,"CUMPLE","NO CUMPLE"))</f>
        <v>CUMPLE</v>
      </c>
      <c r="M67" s="550"/>
      <c r="N67" s="222"/>
      <c r="O67" s="222"/>
      <c r="P67" s="222"/>
      <c r="Q67" s="362"/>
      <c r="R67" s="362"/>
      <c r="S67" s="353"/>
      <c r="T67" s="224"/>
    </row>
    <row r="68" spans="1:21" s="20" customFormat="1" ht="61.5" customHeight="1" x14ac:dyDescent="0.3">
      <c r="A68" s="222"/>
      <c r="B68" s="222"/>
      <c r="C68" s="222"/>
      <c r="D68" s="545"/>
      <c r="E68" s="552"/>
      <c r="F68" s="562" t="s">
        <v>91</v>
      </c>
      <c r="G68" s="563"/>
      <c r="H68" s="563"/>
      <c r="I68" s="360">
        <v>0</v>
      </c>
      <c r="J68" s="363" t="s">
        <v>92</v>
      </c>
      <c r="K68" s="364">
        <f>ROUND(L10*I68,0)</f>
        <v>0</v>
      </c>
      <c r="L68" s="549" t="str">
        <f>IF(O40="","",IF(GESTEP(_xlfn.MAXIFS($S$40:$S$60,$O$40:$O$60,"VALIDA"),$K$68)&gt;=1,"CUMPLE","NO CUMPLE"))</f>
        <v>CUMPLE</v>
      </c>
      <c r="M68" s="550"/>
      <c r="N68" s="224"/>
      <c r="O68" s="222"/>
      <c r="P68" s="365"/>
      <c r="Q68" s="362"/>
      <c r="R68" s="362"/>
      <c r="S68" s="353"/>
      <c r="T68" s="224"/>
    </row>
    <row r="69" spans="1:21" s="20" customFormat="1" ht="61.5" customHeight="1" x14ac:dyDescent="0.3">
      <c r="A69" s="222"/>
      <c r="B69" s="366"/>
      <c r="C69" s="366"/>
      <c r="D69" s="367" t="s">
        <v>93</v>
      </c>
      <c r="E69" s="357" t="s">
        <v>87</v>
      </c>
      <c r="F69" s="546" t="s">
        <v>94</v>
      </c>
      <c r="G69" s="547"/>
      <c r="H69" s="547"/>
      <c r="I69" s="547"/>
      <c r="J69" s="547"/>
      <c r="K69" s="548"/>
      <c r="L69" s="549" t="str">
        <f>IF($D$80="","",IF(COUNTIF($J$80:$J$85,"CUMPLE")= (COUNTA($D$80:$D$85)-COUNTBLANK($D$80:$D$85)),"CUMPLE","NO CUMPLE"))</f>
        <v>CUMPLE</v>
      </c>
      <c r="M69" s="550"/>
      <c r="N69" s="222"/>
      <c r="O69" s="222"/>
      <c r="P69" s="222"/>
      <c r="Q69" s="362"/>
      <c r="R69" s="362"/>
      <c r="S69" s="353"/>
      <c r="T69" s="224"/>
    </row>
    <row r="70" spans="1:21" s="20" customFormat="1" ht="61.5" customHeight="1" x14ac:dyDescent="0.3">
      <c r="A70" s="222"/>
      <c r="B70" s="366"/>
      <c r="C70" s="366"/>
      <c r="D70" s="367" t="s">
        <v>95</v>
      </c>
      <c r="E70" s="357"/>
      <c r="F70" s="546" t="s">
        <v>96</v>
      </c>
      <c r="G70" s="547"/>
      <c r="H70" s="547"/>
      <c r="I70" s="547"/>
      <c r="J70" s="547"/>
      <c r="K70" s="548"/>
      <c r="L70" s="549" t="str">
        <f>IF($J$76=0,"",IF(GESTEP(I77,J76)&gt;=1,"CUMPLE","NO CUMPLE"))</f>
        <v>CUMPLE</v>
      </c>
      <c r="M70" s="550"/>
      <c r="N70" s="222"/>
      <c r="O70" s="222"/>
      <c r="P70" s="222"/>
      <c r="Q70" s="362"/>
      <c r="R70" s="362"/>
      <c r="S70" s="353"/>
      <c r="T70" s="224"/>
    </row>
    <row r="71" spans="1:21" s="19" customFormat="1" ht="23.25" customHeight="1" x14ac:dyDescent="0.3">
      <c r="A71" s="222"/>
      <c r="B71" s="329"/>
      <c r="C71" s="329"/>
      <c r="D71" s="222"/>
      <c r="E71" s="222"/>
      <c r="F71" s="222"/>
      <c r="G71" s="222"/>
      <c r="H71" s="222"/>
      <c r="I71" s="222"/>
      <c r="J71" s="222"/>
      <c r="K71" s="222"/>
      <c r="L71" s="222"/>
      <c r="M71" s="222"/>
      <c r="N71" s="222"/>
      <c r="O71" s="353"/>
      <c r="P71" s="18"/>
      <c r="Q71" s="353"/>
      <c r="R71" s="353"/>
      <c r="S71" s="353"/>
      <c r="T71" s="224"/>
    </row>
    <row r="72" spans="1:21" s="20" customFormat="1" ht="55.5" customHeight="1" x14ac:dyDescent="0.3">
      <c r="A72" s="222"/>
      <c r="B72" s="476" t="s">
        <v>95</v>
      </c>
      <c r="C72" s="477"/>
      <c r="D72" s="477"/>
      <c r="E72" s="477"/>
      <c r="F72" s="477"/>
      <c r="G72" s="477"/>
      <c r="H72" s="477"/>
      <c r="I72" s="477"/>
      <c r="J72" s="477"/>
      <c r="K72" s="477"/>
      <c r="L72" s="477"/>
      <c r="M72" s="477"/>
      <c r="N72" s="477"/>
      <c r="O72" s="477"/>
      <c r="P72" s="477"/>
      <c r="Q72" s="477"/>
      <c r="R72" s="477"/>
      <c r="S72" s="478"/>
      <c r="T72" s="224"/>
    </row>
    <row r="73" spans="1:21" s="19" customFormat="1" ht="36.75" customHeight="1" x14ac:dyDescent="0.3">
      <c r="A73" s="222"/>
      <c r="B73" s="329"/>
      <c r="C73" s="329"/>
      <c r="D73" s="222"/>
      <c r="E73" s="222"/>
      <c r="F73" s="222"/>
      <c r="G73" s="222"/>
      <c r="H73" s="222"/>
      <c r="I73" s="222"/>
      <c r="J73" s="222"/>
      <c r="K73" s="222"/>
      <c r="L73" s="222"/>
      <c r="M73" s="222"/>
      <c r="N73" s="222"/>
      <c r="O73" s="353"/>
      <c r="P73" s="18"/>
      <c r="Q73" s="353"/>
      <c r="R73" s="353"/>
      <c r="S73" s="353"/>
      <c r="T73" s="224"/>
    </row>
    <row r="74" spans="1:21" s="20" customFormat="1" ht="51.75" customHeight="1" x14ac:dyDescent="0.3">
      <c r="A74" s="222"/>
      <c r="B74" s="222"/>
      <c r="C74" s="222"/>
      <c r="D74" s="553" t="s">
        <v>97</v>
      </c>
      <c r="E74" s="554"/>
      <c r="F74" s="554"/>
      <c r="G74" s="554"/>
      <c r="H74" s="554"/>
      <c r="I74" s="554"/>
      <c r="J74" s="555"/>
      <c r="K74" s="222"/>
      <c r="L74" s="556" t="s">
        <v>98</v>
      </c>
      <c r="M74" s="557"/>
      <c r="N74" s="558"/>
      <c r="O74" s="559" t="s">
        <v>99</v>
      </c>
      <c r="P74" s="560"/>
      <c r="Q74" s="561"/>
      <c r="R74" s="353"/>
      <c r="S74" s="225"/>
      <c r="T74" s="224"/>
    </row>
    <row r="75" spans="1:21" s="20" customFormat="1" ht="51.75" customHeight="1" x14ac:dyDescent="0.35">
      <c r="A75" s="222"/>
      <c r="B75" s="222"/>
      <c r="C75" s="222"/>
      <c r="D75" s="564" t="s">
        <v>100</v>
      </c>
      <c r="E75" s="564"/>
      <c r="F75" s="564"/>
      <c r="G75" s="564"/>
      <c r="H75" s="564"/>
      <c r="I75" s="575">
        <f>COUNTA($D$40:$D$60)</f>
        <v>1</v>
      </c>
      <c r="J75" s="576"/>
      <c r="K75" s="368"/>
      <c r="L75" s="566" t="s">
        <v>101</v>
      </c>
      <c r="M75" s="567"/>
      <c r="N75" s="568"/>
      <c r="O75" s="569">
        <v>0.75</v>
      </c>
      <c r="P75" s="567"/>
      <c r="Q75" s="568"/>
      <c r="R75" s="353"/>
      <c r="S75" s="225"/>
      <c r="T75" s="224"/>
    </row>
    <row r="76" spans="1:21" s="20" customFormat="1" ht="51.75" customHeight="1" x14ac:dyDescent="0.3">
      <c r="A76" s="222"/>
      <c r="B76" s="222"/>
      <c r="C76" s="222"/>
      <c r="D76" s="577" t="s">
        <v>96</v>
      </c>
      <c r="E76" s="577"/>
      <c r="F76" s="577"/>
      <c r="G76" s="577"/>
      <c r="H76" s="577"/>
      <c r="I76" s="369">
        <f>IF($I$75&gt;=5,$O$77,IF($I$75&gt;=3,$O$76,IF($I$75&gt;=1,$O$75,"0")))</f>
        <v>0.75</v>
      </c>
      <c r="J76" s="370">
        <f>ROUND(I76*L10,2)</f>
        <v>866.11</v>
      </c>
      <c r="K76" s="222"/>
      <c r="L76" s="566" t="s">
        <v>102</v>
      </c>
      <c r="M76" s="567"/>
      <c r="N76" s="568"/>
      <c r="O76" s="569">
        <v>1.2</v>
      </c>
      <c r="P76" s="567"/>
      <c r="Q76" s="568"/>
      <c r="R76" s="353"/>
      <c r="S76" s="225"/>
      <c r="T76" s="224"/>
    </row>
    <row r="77" spans="1:21" s="20" customFormat="1" ht="51.75" customHeight="1" x14ac:dyDescent="0.3">
      <c r="A77" s="222"/>
      <c r="B77" s="222"/>
      <c r="C77" s="222"/>
      <c r="D77" s="564" t="s">
        <v>103</v>
      </c>
      <c r="E77" s="564"/>
      <c r="F77" s="564"/>
      <c r="G77" s="564"/>
      <c r="H77" s="564"/>
      <c r="I77" s="565">
        <f>+S62</f>
        <v>8107</v>
      </c>
      <c r="J77" s="565"/>
      <c r="K77" s="222"/>
      <c r="L77" s="566" t="s">
        <v>104</v>
      </c>
      <c r="M77" s="567"/>
      <c r="N77" s="568"/>
      <c r="O77" s="569">
        <v>1.5</v>
      </c>
      <c r="P77" s="567"/>
      <c r="Q77" s="568"/>
      <c r="R77" s="353"/>
      <c r="S77" s="225"/>
      <c r="T77" s="224"/>
      <c r="U77" s="20">
        <f>COUNTIF(O40:O58,"VALIDA")</f>
        <v>1</v>
      </c>
    </row>
    <row r="78" spans="1:21" s="19" customFormat="1" ht="19.5" customHeight="1" x14ac:dyDescent="0.3">
      <c r="A78" s="222"/>
      <c r="B78" s="371"/>
      <c r="C78" s="371"/>
      <c r="D78" s="372"/>
      <c r="E78" s="372"/>
      <c r="F78" s="372"/>
      <c r="G78" s="372"/>
      <c r="H78" s="372"/>
      <c r="I78" s="373"/>
      <c r="J78" s="373"/>
      <c r="K78" s="222"/>
      <c r="L78" s="227"/>
      <c r="M78" s="227"/>
      <c r="N78" s="222"/>
      <c r="O78" s="353"/>
      <c r="P78" s="353"/>
      <c r="Q78" s="353"/>
      <c r="R78" s="353"/>
      <c r="S78" s="225"/>
      <c r="T78" s="224"/>
    </row>
    <row r="79" spans="1:21" s="20" customFormat="1" ht="46.5" customHeight="1" x14ac:dyDescent="0.3">
      <c r="A79" s="222"/>
      <c r="B79" s="329"/>
      <c r="C79" s="329"/>
      <c r="D79" s="570" t="s">
        <v>105</v>
      </c>
      <c r="E79" s="571"/>
      <c r="F79" s="571"/>
      <c r="G79" s="571"/>
      <c r="H79" s="374" t="s">
        <v>106</v>
      </c>
      <c r="I79" s="375" t="s">
        <v>107</v>
      </c>
      <c r="J79" s="376" t="s">
        <v>108</v>
      </c>
      <c r="K79" s="222"/>
      <c r="L79" s="377"/>
      <c r="M79" s="353"/>
      <c r="N79" s="353"/>
      <c r="O79" s="353"/>
      <c r="P79" s="353"/>
      <c r="Q79" s="353"/>
      <c r="R79" s="225"/>
      <c r="S79" s="225"/>
      <c r="T79" s="224"/>
      <c r="U79" s="19"/>
    </row>
    <row r="80" spans="1:21" s="20" customFormat="1" ht="36.75" customHeight="1" x14ac:dyDescent="0.3">
      <c r="A80" s="222"/>
      <c r="B80" s="329"/>
      <c r="C80" s="329"/>
      <c r="D80" s="378" t="str">
        <f>IFERROR(IF(EXPERIENCIA!$N$15="Proponente Plural",IF(ISBLANK((VLOOKUP(EXPERIENCIA!$D$15,[1]OFERENTES!$A$8:$H$1027,3,FALSE))),"",VLOOKUP(EXPERIENCIA!$D$15,[1]OFERENTES!$A$8:$H$1027,3,FALSE)),VLOOKUP(EXPERIENCIA!$D$15,[1]OFERENTES!$A$8:$H$1027,3,FALSE)),"")</f>
        <v>GESTION RURAL Y URBANA SAS</v>
      </c>
      <c r="E80" s="379"/>
      <c r="F80" s="379"/>
      <c r="G80" s="380"/>
      <c r="H80" s="279">
        <f>IF(EXPERIENCIA!$D$15&gt;0,IF(ISBLANK((VLOOKUP(EXPERIENCIA!$D$15,[1]OFERENTES!$A$8:$AH$1027,4,FALSE))),"",(VLOOKUP(EXPERIENCIA!$D$15,[1]OFERENTES!$A$8:$AH$1027,4,FALSE))),"")</f>
        <v>1</v>
      </c>
      <c r="I80" s="381">
        <f>IFERROR(ROUND((SUMIFS($R$40:$R$60,$E$40:$E$60,$D80)/$J$76),2),"")</f>
        <v>9.36</v>
      </c>
      <c r="J80" s="382" t="str">
        <f>IF($H80="","",IF(COUNTIF($I$80:$I$85,"&gt;=50%")&lt;1,"NO CUMPLE",IF($I80&gt;=50%,"CUMPLE",IF($I80&gt;=5%,"CUMPLE",IF(AND($I80=0%,$H80&lt;10%),"CUMPLE","NO CUMPLE")))))</f>
        <v>CUMPLE</v>
      </c>
      <c r="K80" s="222"/>
      <c r="L80" s="227"/>
      <c r="M80" s="383"/>
      <c r="N80" s="384"/>
      <c r="O80" s="353"/>
      <c r="P80" s="353"/>
      <c r="Q80" s="353"/>
      <c r="R80" s="225"/>
      <c r="S80" s="225"/>
      <c r="T80" s="224"/>
      <c r="U80" s="19"/>
    </row>
    <row r="81" spans="1:21" s="20" customFormat="1" ht="36.75" customHeight="1" x14ac:dyDescent="0.3">
      <c r="A81" s="222"/>
      <c r="B81" s="329"/>
      <c r="C81" s="329"/>
      <c r="D81" s="378" t="str">
        <f>IF(EXPERIENCIA!$N$15="Proponente Plural",IF(ISBLANK((VLOOKUP(EXPERIENCIA!$D$15,[1]OFERENTES!$A$8:$H$1027,5,FALSE))),"",VLOOKUP(EXPERIENCIA!$D$15,[1]OFERENTES!$A$8:$H$1027,5,FALSE)),"")</f>
        <v/>
      </c>
      <c r="E81" s="379"/>
      <c r="F81" s="379"/>
      <c r="G81" s="380"/>
      <c r="H81" s="279" t="str">
        <f>IF(EXPERIENCIA!$D$15&gt;0,IF(ISBLANK((VLOOKUP(EXPERIENCIA!$D$15,[1]OFERENTES!$A$8:$AH$1027,6,FALSE))),"",(VLOOKUP(EXPERIENCIA!$D$15,[1]OFERENTES!$A$8:$AH$1027,6,FALSE))),"")</f>
        <v/>
      </c>
      <c r="I81" s="381">
        <f t="shared" ref="I81:I85" si="8">IFERROR(ROUND((SUMIFS($R$40:$R$60,$E$40:$E$60,$D81)/$J$76),2),"")</f>
        <v>0</v>
      </c>
      <c r="J81" s="382" t="str">
        <f>IF($H81="","",IF(COUNTIF($I$80:$I$85,"&gt;=50%")&lt;1,"NO CUMPLE",IF($I81&gt;=50%,"CUMPLE",IF($I81&gt;=5%,"CUMPLE",IF(AND($I81=0%,$H81&lt;10%),"CUMPLE","NO CUMPLE")))))</f>
        <v/>
      </c>
      <c r="K81" s="222"/>
      <c r="L81" s="371"/>
      <c r="M81" s="385"/>
      <c r="N81" s="353"/>
      <c r="O81" s="353"/>
      <c r="P81" s="353"/>
      <c r="Q81" s="353"/>
      <c r="R81" s="225"/>
      <c r="S81" s="225"/>
      <c r="T81" s="224"/>
      <c r="U81" s="19"/>
    </row>
    <row r="82" spans="1:21" s="20" customFormat="1" ht="36.75" customHeight="1" x14ac:dyDescent="0.3">
      <c r="A82" s="222"/>
      <c r="B82" s="329"/>
      <c r="C82" s="329"/>
      <c r="D82" s="378" t="str">
        <f>IF(EXPERIENCIA!$N$15="Proponente Plural",IF(ISBLANK((VLOOKUP(EXPERIENCIA!$D$15,[1]OFERENTES!$A$8:$H$1027,7,FALSE))),"",VLOOKUP(EXPERIENCIA!$D$15,[1]OFERENTES!$A$8:$H$1027,7,FALSE)),"")</f>
        <v/>
      </c>
      <c r="E82" s="379"/>
      <c r="F82" s="379"/>
      <c r="G82" s="380"/>
      <c r="H82" s="279" t="str">
        <f>IF(EXPERIENCIA!$D$15&gt;0,IF(ISBLANK((VLOOKUP(EXPERIENCIA!$D$15,[1]OFERENTES!$A$8:$AH$1027,8,FALSE))),"",(VLOOKUP(EXPERIENCIA!$D$15,[1]OFERENTES!$A$8:$AH$1027,8,FALSE))),"")</f>
        <v/>
      </c>
      <c r="I82" s="381">
        <f t="shared" si="8"/>
        <v>0</v>
      </c>
      <c r="J82" s="382" t="str">
        <f t="shared" ref="J82:J85" si="9">IF($H82="","",IF(COUNTIF($I$80:$I$85,"&gt;=50%")&lt;1,"NO CUMPLE",IF($I82&gt;=50%,"CUMPLE",IF($I82&gt;=5%,"CUMPLE",IF(AND($I82=0%,$H82&lt;10%),"CUMPLE","NO CUMPLE")))))</f>
        <v/>
      </c>
      <c r="K82" s="222"/>
      <c r="L82" s="386"/>
      <c r="M82" s="353"/>
      <c r="N82" s="353"/>
      <c r="O82" s="353"/>
      <c r="P82" s="353"/>
      <c r="Q82" s="353"/>
      <c r="R82" s="225"/>
      <c r="S82" s="225"/>
      <c r="T82" s="224"/>
      <c r="U82" s="19"/>
    </row>
    <row r="83" spans="1:21" s="20" customFormat="1" ht="36.75" customHeight="1" x14ac:dyDescent="0.3">
      <c r="A83" s="222"/>
      <c r="B83" s="329"/>
      <c r="C83" s="329"/>
      <c r="D83" s="378" t="str">
        <f>IF(EXPERIENCIA!$N$15="Proponente Plural",IF(ISBLANK((VLOOKUP(EXPERIENCIA!$D$15,[1]OFERENTES!$A$8:$AA$1027,9,FALSE))),"",VLOOKUP(EXPERIENCIA!$D$15,[1]OFERENTES!$A$8:$AA$1027,9,FALSE)),"")</f>
        <v/>
      </c>
      <c r="E83" s="379"/>
      <c r="F83" s="379"/>
      <c r="G83" s="380"/>
      <c r="H83" s="279" t="str">
        <f>IF(EXPERIENCIA!$D$15&gt;0,IF(ISBLANK((VLOOKUP(EXPERIENCIA!$D$15,[1]OFERENTES!$A$8:$AH$1027,10,FALSE))),"",(VLOOKUP(EXPERIENCIA!$D$15,[1]OFERENTES!$A$8:$AH$1027,10,FALSE))),"")</f>
        <v/>
      </c>
      <c r="I83" s="381">
        <f t="shared" si="8"/>
        <v>0</v>
      </c>
      <c r="J83" s="382" t="str">
        <f t="shared" si="9"/>
        <v/>
      </c>
      <c r="K83" s="222"/>
      <c r="L83" s="222"/>
      <c r="M83" s="353"/>
      <c r="N83" s="353"/>
      <c r="O83" s="353"/>
      <c r="P83" s="353"/>
      <c r="Q83" s="353"/>
      <c r="R83" s="225"/>
      <c r="S83" s="225"/>
      <c r="T83" s="224"/>
      <c r="U83" s="19"/>
    </row>
    <row r="84" spans="1:21" s="20" customFormat="1" ht="36.75" customHeight="1" x14ac:dyDescent="0.3">
      <c r="A84" s="222"/>
      <c r="B84" s="329"/>
      <c r="C84" s="329"/>
      <c r="D84" s="378" t="str">
        <f>IF(EXPERIENCIA!$N$15="Proponente Plural",IF(ISBLANK((VLOOKUP(EXPERIENCIA!$D$15,[1]OFERENTES!$A$8:$AA$1027,11,FALSE))),"",VLOOKUP(EXPERIENCIA!$D$15,[1]OFERENTES!$A$8:$AA$1027,11,FALSE)),"")</f>
        <v/>
      </c>
      <c r="E84" s="379"/>
      <c r="F84" s="379"/>
      <c r="G84" s="380"/>
      <c r="H84" s="279" t="str">
        <f>IF(EXPERIENCIA!$N$15="Proponente Plural",IF(ISBLANK((VLOOKUP(EXPERIENCIA!$D$15,[1]OFERENTES!$A$8:$AA$1027,11,FALSE))),"",VLOOKUP(EXPERIENCIA!$D$15,[1]OFERENTES!$A$8:$AA$1027,11,FALSE)),"")</f>
        <v/>
      </c>
      <c r="I84" s="381">
        <f t="shared" si="8"/>
        <v>0</v>
      </c>
      <c r="J84" s="382" t="str">
        <f t="shared" si="9"/>
        <v/>
      </c>
      <c r="K84" s="222"/>
      <c r="L84" s="222"/>
      <c r="M84" s="353"/>
      <c r="N84" s="353"/>
      <c r="O84" s="353"/>
      <c r="P84" s="353"/>
      <c r="Q84" s="353"/>
      <c r="R84" s="225"/>
      <c r="S84" s="225"/>
      <c r="T84" s="224"/>
      <c r="U84" s="19"/>
    </row>
    <row r="85" spans="1:21" s="20" customFormat="1" ht="44.25" customHeight="1" x14ac:dyDescent="0.3">
      <c r="A85" s="222"/>
      <c r="B85" s="329"/>
      <c r="C85" s="329"/>
      <c r="D85" s="378" t="str">
        <f>IF(EXPERIENCIA!$N$15="Proponente Plural",IF(ISBLANK((VLOOKUP(EXPERIENCIA!$D$15,[1]OFERENTES!$A$8:$AA$1027,13,FALSE))),"",VLOOKUP(EXPERIENCIA!$D$15,[1]OFERENTES!$A$8:$AA$1027,13,FALSE)),"")</f>
        <v/>
      </c>
      <c r="E85" s="379"/>
      <c r="F85" s="379"/>
      <c r="G85" s="380"/>
      <c r="H85" s="279" t="str">
        <f>IF(EXPERIENCIA!$D$15&gt;0,IF(ISBLANK((VLOOKUP(EXPERIENCIA!$D$15,[1]OFERENTES!$A$8:$AH$1027,14,FALSE))),"",(VLOOKUP(EXPERIENCIA!$D$15,[1]OFERENTES!$A$8:$AH$1027,14,FALSE))),"")</f>
        <v/>
      </c>
      <c r="I85" s="381">
        <f t="shared" si="8"/>
        <v>0</v>
      </c>
      <c r="J85" s="382" t="str">
        <f t="shared" si="9"/>
        <v/>
      </c>
      <c r="K85" s="222"/>
      <c r="L85" s="222"/>
      <c r="M85" s="353"/>
      <c r="N85" s="353"/>
      <c r="O85" s="353"/>
      <c r="P85" s="353"/>
      <c r="Q85" s="353"/>
      <c r="R85" s="225"/>
      <c r="S85" s="225"/>
      <c r="T85" s="224"/>
      <c r="U85" s="19"/>
    </row>
    <row r="86" spans="1:21" s="20" customFormat="1" ht="36.75" customHeight="1" x14ac:dyDescent="0.3">
      <c r="A86" s="222"/>
      <c r="B86" s="329"/>
      <c r="C86" s="329"/>
      <c r="D86" s="222"/>
      <c r="E86" s="222"/>
      <c r="F86" s="222"/>
      <c r="G86" s="222"/>
      <c r="H86" s="387">
        <f>SUM(H80:H85)</f>
        <v>1</v>
      </c>
      <c r="I86" s="387">
        <f>SUM(I80:I85)</f>
        <v>9.36</v>
      </c>
      <c r="J86" s="222"/>
      <c r="K86" s="222"/>
      <c r="L86" s="388"/>
      <c r="M86" s="353"/>
      <c r="N86" s="353"/>
      <c r="O86" s="353"/>
      <c r="P86" s="353"/>
      <c r="Q86" s="353"/>
      <c r="R86" s="353"/>
      <c r="S86" s="225"/>
      <c r="T86" s="224"/>
      <c r="U86" s="19"/>
    </row>
    <row r="87" spans="1:21" s="20" customFormat="1" ht="36.75" customHeight="1" x14ac:dyDescent="0.3">
      <c r="A87" s="222"/>
      <c r="B87" s="329"/>
      <c r="C87" s="329"/>
      <c r="D87" s="222"/>
      <c r="E87" s="222"/>
      <c r="F87" s="222"/>
      <c r="G87" s="222"/>
      <c r="H87" s="222"/>
      <c r="I87" s="222"/>
      <c r="J87" s="353"/>
      <c r="K87" s="18"/>
      <c r="L87" s="227"/>
      <c r="M87" s="353"/>
      <c r="N87" s="353"/>
      <c r="O87" s="353"/>
      <c r="P87" s="353"/>
      <c r="Q87" s="353"/>
      <c r="R87" s="353"/>
      <c r="S87" s="225"/>
      <c r="T87" s="224"/>
      <c r="U87" s="19"/>
    </row>
    <row r="88" spans="1:21" ht="71.25" customHeight="1" x14ac:dyDescent="0.3">
      <c r="A88" s="222"/>
      <c r="B88" s="572" t="s">
        <v>109</v>
      </c>
      <c r="C88" s="573"/>
      <c r="D88" s="573"/>
      <c r="E88" s="573"/>
      <c r="F88" s="573"/>
      <c r="G88" s="573"/>
      <c r="H88" s="573"/>
      <c r="I88" s="573"/>
      <c r="J88" s="573"/>
      <c r="K88" s="573"/>
      <c r="L88" s="573"/>
      <c r="M88" s="573"/>
      <c r="N88" s="573"/>
      <c r="O88" s="573"/>
      <c r="P88" s="573"/>
      <c r="Q88" s="573"/>
      <c r="R88" s="573"/>
      <c r="S88" s="574"/>
      <c r="T88" s="224"/>
    </row>
    <row r="89" spans="1:21" s="19" customFormat="1" ht="24" customHeight="1" x14ac:dyDescent="0.3">
      <c r="A89" s="222"/>
      <c r="B89" s="366"/>
      <c r="C89" s="355"/>
      <c r="D89" s="366"/>
      <c r="E89" s="366"/>
      <c r="F89" s="366"/>
      <c r="G89" s="366"/>
      <c r="H89" s="222"/>
      <c r="I89" s="366"/>
      <c r="J89" s="389"/>
      <c r="K89" s="366"/>
      <c r="L89" s="366"/>
      <c r="M89" s="225"/>
      <c r="N89" s="225"/>
      <c r="O89" s="225"/>
      <c r="P89" s="18"/>
      <c r="Q89" s="225"/>
      <c r="R89" s="225"/>
      <c r="S89" s="225"/>
      <c r="T89" s="224"/>
    </row>
    <row r="90" spans="1:21" s="33" customFormat="1" ht="69.75" customHeight="1" x14ac:dyDescent="0.4">
      <c r="A90" s="390"/>
      <c r="B90" s="391" t="s">
        <v>110</v>
      </c>
      <c r="C90" s="392"/>
      <c r="D90" s="588" t="s">
        <v>111</v>
      </c>
      <c r="E90" s="589"/>
      <c r="F90" s="589"/>
      <c r="G90" s="589"/>
      <c r="H90" s="589"/>
      <c r="I90" s="590"/>
      <c r="J90" s="588" t="s">
        <v>112</v>
      </c>
      <c r="K90" s="589"/>
      <c r="L90" s="589"/>
      <c r="M90" s="589"/>
      <c r="N90" s="589"/>
      <c r="O90" s="590"/>
      <c r="P90" s="32"/>
      <c r="Q90" s="393" t="s">
        <v>113</v>
      </c>
      <c r="R90" s="393" t="s">
        <v>114</v>
      </c>
      <c r="S90" s="393" t="s">
        <v>115</v>
      </c>
      <c r="T90" s="224"/>
    </row>
    <row r="91" spans="1:21" s="19" customFormat="1" ht="12.75" customHeight="1" x14ac:dyDescent="0.3">
      <c r="A91" s="222"/>
      <c r="B91" s="226"/>
      <c r="C91" s="225"/>
      <c r="D91" s="226"/>
      <c r="E91" s="226"/>
      <c r="F91" s="226"/>
      <c r="G91" s="226"/>
      <c r="H91" s="226"/>
      <c r="I91" s="226"/>
      <c r="J91" s="226"/>
      <c r="K91" s="226"/>
      <c r="L91" s="226"/>
      <c r="M91" s="225"/>
      <c r="N91" s="225"/>
      <c r="O91" s="225"/>
      <c r="P91" s="18"/>
      <c r="Q91" s="225"/>
      <c r="R91" s="225"/>
      <c r="S91" s="225"/>
      <c r="T91" s="224"/>
    </row>
    <row r="92" spans="1:21" ht="254.25" customHeight="1" outlineLevel="1" x14ac:dyDescent="0.3">
      <c r="A92" s="222"/>
      <c r="B92" s="394" t="s">
        <v>116</v>
      </c>
      <c r="C92" s="225"/>
      <c r="D92" s="579" t="str">
        <f>IFERROR(IF($O$19="NO CUMPLE",[1]RESPUESTAS!$D$3,[1]RESPUESTAS!$C$3),"")</f>
        <v>SIN OBSERVACIONES</v>
      </c>
      <c r="E92" s="579"/>
      <c r="F92" s="579"/>
      <c r="G92" s="579"/>
      <c r="H92" s="579"/>
      <c r="I92" s="579"/>
      <c r="J92" s="579"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9"/>
      <c r="L92" s="579"/>
      <c r="M92" s="579"/>
      <c r="N92" s="579"/>
      <c r="O92" s="579"/>
      <c r="P92" s="22"/>
      <c r="Q92" s="395" t="str">
        <f>IF($O$19="NO","SUBSANAR DOCUMENTO","SIN OBSERVACIONES")</f>
        <v>SIN OBSERVACIONES</v>
      </c>
      <c r="R92" s="396"/>
      <c r="S92" s="397"/>
      <c r="T92" s="224"/>
    </row>
    <row r="93" spans="1:21" ht="221.25" customHeight="1" outlineLevel="1" x14ac:dyDescent="0.3">
      <c r="A93" s="222"/>
      <c r="B93" s="375" t="s">
        <v>117</v>
      </c>
      <c r="C93" s="225"/>
      <c r="D93" s="578" t="str">
        <f>IFERROR(IF($J$25="NO CUMPLE",[1]RESPUESTAS!$E$4,[1]RESPUESTAS!$C$4),"")</f>
        <v>SIN OBSERVACIONES</v>
      </c>
      <c r="E93" s="578"/>
      <c r="F93" s="578"/>
      <c r="G93" s="578"/>
      <c r="H93" s="578"/>
      <c r="I93" s="578"/>
      <c r="J93" s="579"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9"/>
      <c r="L93" s="579"/>
      <c r="M93" s="579"/>
      <c r="N93" s="579"/>
      <c r="O93" s="579"/>
      <c r="P93" s="22"/>
      <c r="Q93" s="398" t="str">
        <f>IF(D93="SIN OBSERVACIONES","SIN OBSERVACIONES","OFERTA RECHAZADA")</f>
        <v>SIN OBSERVACIONES</v>
      </c>
      <c r="R93" s="399"/>
      <c r="S93" s="397"/>
      <c r="T93" s="224"/>
    </row>
    <row r="94" spans="1:21" ht="244.5" customHeight="1" outlineLevel="1" x14ac:dyDescent="0.3">
      <c r="A94" s="222"/>
      <c r="B94" s="375" t="s">
        <v>118</v>
      </c>
      <c r="C94" s="225"/>
      <c r="D94" s="578" t="str">
        <f>IFERROR(IF($K$25="NO CUMPLE",[1]RESPUESTAS!$E$5,[1]RESPUESTAS!$C$5),"")</f>
        <v>SIN OBSERVACIONES</v>
      </c>
      <c r="E94" s="578"/>
      <c r="F94" s="578"/>
      <c r="G94" s="578"/>
      <c r="H94" s="578"/>
      <c r="I94" s="578"/>
      <c r="J94" s="579"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9"/>
      <c r="L94" s="579"/>
      <c r="M94" s="579"/>
      <c r="N94" s="579"/>
      <c r="O94" s="579"/>
      <c r="P94" s="22"/>
      <c r="Q94" s="395" t="str">
        <f>IF($D94="sin observaciones","SIN OBSERVACIONES","SUBSANAR DOCUMENTO")</f>
        <v>SIN OBSERVACIONES</v>
      </c>
      <c r="R94" s="396"/>
      <c r="S94" s="397"/>
      <c r="T94" s="224"/>
    </row>
    <row r="95" spans="1:21" ht="117.75" customHeight="1" outlineLevel="1" collapsed="1" x14ac:dyDescent="0.3">
      <c r="A95" s="222"/>
      <c r="B95" s="580" t="s">
        <v>30</v>
      </c>
      <c r="C95" s="225"/>
      <c r="D95" s="400" t="s">
        <v>119</v>
      </c>
      <c r="E95" s="581" t="str">
        <f>IFERROR(IF(AND($Q$19="NO",COUNTIFS(EXPERIENCIA!$I$19:$I$24,"&lt;10%",EXPERIENCIA!$L$19:$L$24,"SE CLASIFICA")&gt;0),[1]RESPUESTAS!$F$6,[1]RESPUESTAS!$C$6),"")</f>
        <v>SIN OBSERVACIONES</v>
      </c>
      <c r="F95" s="578"/>
      <c r="G95" s="578"/>
      <c r="H95" s="578"/>
      <c r="I95" s="578"/>
      <c r="J95" s="582"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3"/>
      <c r="L95" s="583"/>
      <c r="M95" s="583"/>
      <c r="N95" s="583"/>
      <c r="O95" s="584"/>
      <c r="P95" s="22"/>
      <c r="Q95" s="395" t="str">
        <f>IF(E95="SIN OBSERVACIONES","SIN OBSERVACIONES","NO SE OTORGA CONDICION MIPYME")</f>
        <v>SIN OBSERVACIONES</v>
      </c>
      <c r="R95" s="396"/>
      <c r="S95" s="397"/>
      <c r="T95" s="224"/>
    </row>
    <row r="96" spans="1:21" ht="120.75" customHeight="1" outlineLevel="1" x14ac:dyDescent="0.3">
      <c r="A96" s="222"/>
      <c r="B96" s="580"/>
      <c r="C96" s="225"/>
      <c r="D96" s="400" t="s">
        <v>120</v>
      </c>
      <c r="E96" s="578"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8"/>
      <c r="G96" s="578"/>
      <c r="H96" s="578"/>
      <c r="I96" s="578"/>
      <c r="J96" s="585"/>
      <c r="K96" s="586"/>
      <c r="L96" s="586"/>
      <c r="M96" s="586"/>
      <c r="N96" s="586"/>
      <c r="O96" s="587"/>
      <c r="P96" s="22"/>
      <c r="Q96" s="395" t="str">
        <f>IF(E96="SIN OBSERVACIONES","SIN OBSERVACIONES","OFERTA RECHAZADA")</f>
        <v>SIN OBSERVACIONES</v>
      </c>
      <c r="R96" s="396"/>
      <c r="S96" s="397"/>
      <c r="T96" s="224"/>
    </row>
    <row r="97" spans="1:20" ht="161.25" customHeight="1" outlineLevel="1" x14ac:dyDescent="0.3">
      <c r="A97" s="222"/>
      <c r="B97" s="597" t="s">
        <v>121</v>
      </c>
      <c r="C97" s="225"/>
      <c r="D97" s="400" t="s">
        <v>119</v>
      </c>
      <c r="E97" s="581"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8"/>
      <c r="G97" s="578"/>
      <c r="H97" s="578"/>
      <c r="I97" s="578"/>
      <c r="J97" s="598"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9"/>
      <c r="L97" s="599"/>
      <c r="M97" s="599"/>
      <c r="N97" s="599"/>
      <c r="O97" s="600"/>
      <c r="P97" s="22"/>
      <c r="Q97" s="395" t="str">
        <f>IF(E97="SIN OBSERVACIONES","SIN OBSERVACIONES","NO SE OTORGA CONDICION EMPRENDIMIENTO O EMPRESA MUJER")</f>
        <v>SIN OBSERVACIONES</v>
      </c>
      <c r="R97" s="396"/>
      <c r="S97" s="397"/>
      <c r="T97" s="224"/>
    </row>
    <row r="98" spans="1:20" ht="161.25" customHeight="1" outlineLevel="1" x14ac:dyDescent="0.3">
      <c r="A98" s="222"/>
      <c r="B98" s="597"/>
      <c r="C98" s="225"/>
      <c r="D98" s="400" t="s">
        <v>120</v>
      </c>
      <c r="E98" s="578" t="str">
        <f>IFERROR(IF($R$19="NO CUMPLE",[1]RESPUESTAS!$F$7,[1]RESPUESTAS!$C$7),"")</f>
        <v>SIN OBSERVACIONES</v>
      </c>
      <c r="F98" s="578"/>
      <c r="G98" s="578"/>
      <c r="H98" s="578"/>
      <c r="I98" s="578"/>
      <c r="J98" s="601"/>
      <c r="K98" s="602"/>
      <c r="L98" s="602"/>
      <c r="M98" s="602"/>
      <c r="N98" s="602"/>
      <c r="O98" s="603"/>
      <c r="P98" s="22"/>
      <c r="Q98" s="395" t="str">
        <f>IF(E98="SIN OBSERVACIONES","SIN OBSERVACIONES","NO SE OTORGA CONDICION EMPRENDIMIENTO O EMPRESA MUJER")</f>
        <v>SIN OBSERVACIONES</v>
      </c>
      <c r="R98" s="396"/>
      <c r="S98" s="397"/>
      <c r="T98" s="224"/>
    </row>
    <row r="99" spans="1:20" s="20" customFormat="1" ht="48.75" customHeight="1" outlineLevel="1" x14ac:dyDescent="0.3">
      <c r="A99" s="222"/>
      <c r="B99" s="401"/>
      <c r="C99" s="225"/>
      <c r="D99" s="402"/>
      <c r="E99" s="403"/>
      <c r="F99" s="403"/>
      <c r="G99" s="403"/>
      <c r="H99" s="403"/>
      <c r="I99" s="403"/>
      <c r="J99" s="402"/>
      <c r="K99" s="403"/>
      <c r="L99" s="403"/>
      <c r="M99" s="403"/>
      <c r="N99" s="403"/>
      <c r="O99" s="403"/>
      <c r="P99" s="18"/>
      <c r="Q99" s="404"/>
      <c r="R99" s="404"/>
      <c r="S99" s="225"/>
      <c r="T99" s="224"/>
    </row>
    <row r="100" spans="1:20" ht="69.75" customHeight="1" x14ac:dyDescent="0.3">
      <c r="A100" s="222"/>
      <c r="B100" s="604" t="s">
        <v>122</v>
      </c>
      <c r="C100" s="605"/>
      <c r="D100" s="605"/>
      <c r="E100" s="605"/>
      <c r="F100" s="605"/>
      <c r="G100" s="605"/>
      <c r="H100" s="605"/>
      <c r="I100" s="605"/>
      <c r="J100" s="605"/>
      <c r="K100" s="605"/>
      <c r="L100" s="605"/>
      <c r="M100" s="605"/>
      <c r="N100" s="605"/>
      <c r="O100" s="605"/>
      <c r="P100" s="605"/>
      <c r="Q100" s="605"/>
      <c r="R100" s="605"/>
      <c r="S100" s="605"/>
      <c r="T100" s="224"/>
    </row>
    <row r="101" spans="1:20" s="34" customFormat="1" ht="39.75" customHeight="1" x14ac:dyDescent="0.3">
      <c r="A101" s="18"/>
      <c r="B101" s="18"/>
      <c r="C101" s="18"/>
      <c r="D101" s="18"/>
      <c r="E101" s="18"/>
      <c r="F101" s="18"/>
      <c r="G101" s="18"/>
      <c r="H101" s="18"/>
      <c r="I101" s="18"/>
      <c r="J101" s="18"/>
      <c r="K101" s="18"/>
      <c r="L101" s="18"/>
      <c r="M101" s="18"/>
      <c r="N101" s="18"/>
      <c r="O101" s="18"/>
      <c r="P101" s="18"/>
      <c r="Q101" s="18"/>
      <c r="R101" s="18"/>
      <c r="S101" s="18"/>
      <c r="T101" s="224"/>
    </row>
    <row r="102" spans="1:20" ht="59.25" customHeight="1" x14ac:dyDescent="0.4">
      <c r="A102" s="222"/>
      <c r="B102" s="391" t="s">
        <v>110</v>
      </c>
      <c r="C102" s="392"/>
      <c r="D102" s="588" t="s">
        <v>111</v>
      </c>
      <c r="E102" s="589"/>
      <c r="F102" s="589"/>
      <c r="G102" s="589"/>
      <c r="H102" s="589"/>
      <c r="I102" s="590"/>
      <c r="J102" s="588" t="s">
        <v>123</v>
      </c>
      <c r="K102" s="589"/>
      <c r="L102" s="589"/>
      <c r="M102" s="589"/>
      <c r="N102" s="589"/>
      <c r="O102" s="590"/>
      <c r="P102" s="32"/>
      <c r="Q102" s="393" t="s">
        <v>113</v>
      </c>
      <c r="R102" s="393" t="s">
        <v>114</v>
      </c>
      <c r="S102" s="393" t="s">
        <v>115</v>
      </c>
      <c r="T102" s="224"/>
    </row>
    <row r="103" spans="1:20" s="30" customFormat="1" ht="13.5" customHeight="1" x14ac:dyDescent="0.3">
      <c r="A103" s="18"/>
      <c r="B103" s="18"/>
      <c r="C103" s="18"/>
      <c r="D103" s="18"/>
      <c r="E103" s="18"/>
      <c r="F103" s="18"/>
      <c r="G103" s="18"/>
      <c r="H103" s="18"/>
      <c r="I103" s="18"/>
      <c r="J103" s="18"/>
      <c r="K103" s="18"/>
      <c r="L103" s="18"/>
      <c r="M103" s="18"/>
      <c r="N103" s="18"/>
      <c r="O103" s="18"/>
      <c r="P103" s="18"/>
      <c r="Q103" s="18"/>
      <c r="R103" s="18"/>
      <c r="S103" s="225"/>
      <c r="T103" s="224"/>
    </row>
    <row r="104" spans="1:20" ht="229.5" customHeight="1" outlineLevel="1" x14ac:dyDescent="0.3">
      <c r="A104" s="222"/>
      <c r="B104" s="479" t="s">
        <v>70</v>
      </c>
      <c r="C104" s="225"/>
      <c r="D104" s="405" t="s">
        <v>124</v>
      </c>
      <c r="E104" s="591" t="str">
        <f>IFERROR(IF($O$40="NO VALIDA",IF(OR($M$40="NO CUMPLE",$N40="NO CUMPLE"),[1]RESPUESTAS!$D$8,"SIN OBSERVACIONES"),"SIN OBSERVACIONES"),"")</f>
        <v>SIN OBSERVACIONES</v>
      </c>
      <c r="F104" s="591"/>
      <c r="G104" s="591"/>
      <c r="H104" s="591"/>
      <c r="I104" s="591"/>
      <c r="J104" s="592"/>
      <c r="K104" s="593"/>
      <c r="L104" s="593"/>
      <c r="M104" s="593"/>
      <c r="N104" s="593"/>
      <c r="O104" s="593"/>
      <c r="P104" s="18"/>
      <c r="Q104" s="395" t="str">
        <f>IF($E104="sin observaciones","SIN OBSERVACIONES","SUBSANAR DOCUMENTO")</f>
        <v>SIN OBSERVACIONES</v>
      </c>
      <c r="R104" s="406"/>
      <c r="S104" s="397"/>
      <c r="T104" s="224"/>
    </row>
    <row r="105" spans="1:20" ht="195" customHeight="1" outlineLevel="1" x14ac:dyDescent="0.3">
      <c r="A105" s="222"/>
      <c r="B105" s="479"/>
      <c r="C105" s="225"/>
      <c r="D105" s="405" t="s">
        <v>125</v>
      </c>
      <c r="E105" s="591" t="str">
        <f>IFERROR(IF($O$40="NO VALIDA",IF(OR($M$40="NO CUMPLE",$N$40="NO CUMPLE"),[1]RESPUESTAS!$D$8,"SIN OBSERVACIONES"),"SIN OBSERVACIONES"),"")</f>
        <v>SIN OBSERVACIONES</v>
      </c>
      <c r="F105" s="591"/>
      <c r="G105" s="591"/>
      <c r="H105" s="591"/>
      <c r="I105" s="591"/>
      <c r="J105" s="594"/>
      <c r="K105" s="595"/>
      <c r="L105" s="595"/>
      <c r="M105" s="595"/>
      <c r="N105" s="595"/>
      <c r="O105" s="596"/>
      <c r="P105" s="18"/>
      <c r="Q105" s="395" t="str">
        <f t="shared" ref="Q105:Q124" si="10">IF($E105="sin observaciones","SIN OBSERVACIONES","SUBSANAR DOCUMENTO")</f>
        <v>SIN OBSERVACIONES</v>
      </c>
      <c r="R105" s="406"/>
      <c r="S105" s="397"/>
      <c r="T105" s="224"/>
    </row>
    <row r="106" spans="1:20" ht="195" customHeight="1" outlineLevel="1" x14ac:dyDescent="0.3">
      <c r="A106" s="222"/>
      <c r="B106" s="480"/>
      <c r="C106" s="225"/>
      <c r="D106" s="405" t="s">
        <v>126</v>
      </c>
      <c r="E106" s="591" t="str">
        <f>IFERROR(IF($O$40="NO VALIDA",IF($K$40&gt;$F$10,[1]RESPUESTAS!$D$10,"SIN OBSERVACIONES"),"SIN OBSERVACIONES"),"")</f>
        <v>SIN OBSERVACIONES</v>
      </c>
      <c r="F106" s="591"/>
      <c r="G106" s="591"/>
      <c r="H106" s="591"/>
      <c r="I106" s="591"/>
      <c r="J106" s="594"/>
      <c r="K106" s="595"/>
      <c r="L106" s="595"/>
      <c r="M106" s="595"/>
      <c r="N106" s="595"/>
      <c r="O106" s="596"/>
      <c r="P106" s="18"/>
      <c r="Q106" s="395" t="str">
        <f t="shared" si="10"/>
        <v>SIN OBSERVACIONES</v>
      </c>
      <c r="R106" s="406"/>
      <c r="S106" s="397"/>
      <c r="T106" s="224"/>
    </row>
    <row r="107" spans="1:20" ht="195" customHeight="1" outlineLevel="1" x14ac:dyDescent="0.3">
      <c r="A107" s="222"/>
      <c r="B107" s="510" t="s">
        <v>72</v>
      </c>
      <c r="C107" s="225"/>
      <c r="D107" s="405" t="s">
        <v>124</v>
      </c>
      <c r="E107" s="591" t="str">
        <f>IFERROR(IF($O$43="NO VALIDA",IF(OR($M$43="NO CUMPLE",$N$43="NO CUMPLE"),[1]RESPUESTAS!$D$8,"SIN OBSERVACIONES"),"SIN OBSERVACIONES"),"")</f>
        <v>SIN OBSERVACIONES</v>
      </c>
      <c r="F107" s="591"/>
      <c r="G107" s="591"/>
      <c r="H107" s="591"/>
      <c r="I107" s="591"/>
      <c r="J107" s="607"/>
      <c r="K107" s="607"/>
      <c r="L107" s="607"/>
      <c r="M107" s="607"/>
      <c r="N107" s="607"/>
      <c r="O107" s="607"/>
      <c r="P107" s="18"/>
      <c r="Q107" s="395" t="str">
        <f t="shared" si="10"/>
        <v>SIN OBSERVACIONES</v>
      </c>
      <c r="R107" s="406"/>
      <c r="S107" s="397"/>
      <c r="T107" s="224"/>
    </row>
    <row r="108" spans="1:20" ht="195" customHeight="1" outlineLevel="1" x14ac:dyDescent="0.3">
      <c r="A108" s="222"/>
      <c r="B108" s="511"/>
      <c r="C108" s="225"/>
      <c r="D108" s="405" t="s">
        <v>125</v>
      </c>
      <c r="E108" s="591" t="str">
        <f>IFERROR(IF($O$43="NO VALIDA",IF(OR($M$43="NO CUMPLE",$N$43="NO CUMPLE"),[1]RESPUESTAS!$D$8,"SIN OBSERVACIONES"),"SIN OBSERVACIONES"),"")</f>
        <v>SIN OBSERVACIONES</v>
      </c>
      <c r="F108" s="591"/>
      <c r="G108" s="591"/>
      <c r="H108" s="591"/>
      <c r="I108" s="591"/>
      <c r="J108" s="607"/>
      <c r="K108" s="607"/>
      <c r="L108" s="607"/>
      <c r="M108" s="607"/>
      <c r="N108" s="607"/>
      <c r="O108" s="607"/>
      <c r="P108" s="18"/>
      <c r="Q108" s="395" t="str">
        <f t="shared" si="10"/>
        <v>SIN OBSERVACIONES</v>
      </c>
      <c r="R108" s="406"/>
      <c r="S108" s="397"/>
      <c r="T108" s="224"/>
    </row>
    <row r="109" spans="1:20" ht="195" customHeight="1" outlineLevel="1" x14ac:dyDescent="0.3">
      <c r="A109" s="222"/>
      <c r="B109" s="512"/>
      <c r="C109" s="225"/>
      <c r="D109" s="405" t="s">
        <v>126</v>
      </c>
      <c r="E109" s="591" t="str">
        <f>IFERROR(IF($O$43="NO VALIDA",IF($K$43&gt;$F$10,[1]RESPUESTAS!$D$10,"SIN OBSERVACIONES"),"SIN OBSERVACIONES"),"")</f>
        <v>SIN OBSERVACIONES</v>
      </c>
      <c r="F109" s="591"/>
      <c r="G109" s="591"/>
      <c r="H109" s="591"/>
      <c r="I109" s="591"/>
      <c r="J109" s="607"/>
      <c r="K109" s="607"/>
      <c r="L109" s="607"/>
      <c r="M109" s="607"/>
      <c r="N109" s="607"/>
      <c r="O109" s="607"/>
      <c r="P109" s="18"/>
      <c r="Q109" s="395" t="str">
        <f t="shared" si="10"/>
        <v>SIN OBSERVACIONES</v>
      </c>
      <c r="R109" s="406"/>
      <c r="S109" s="397"/>
      <c r="T109" s="224"/>
    </row>
    <row r="110" spans="1:20" ht="195" customHeight="1" outlineLevel="1" x14ac:dyDescent="0.3">
      <c r="A110" s="222"/>
      <c r="B110" s="479" t="s">
        <v>73</v>
      </c>
      <c r="C110" s="225"/>
      <c r="D110" s="405" t="s">
        <v>124</v>
      </c>
      <c r="E110" s="591" t="str">
        <f>IFERROR(IF($O$46="NO VALIDA",IF(OR($M$46="NO CUMPLE",$N$46="NO CUMPLE"),[1]RESPUESTAS!$D$8,"SIN OBSERVACIONES"),"SIN OBSERVACIONES"),"")</f>
        <v>SIN OBSERVACIONES</v>
      </c>
      <c r="F110" s="591"/>
      <c r="G110" s="591"/>
      <c r="H110" s="591"/>
      <c r="I110" s="591"/>
      <c r="J110" s="606"/>
      <c r="K110" s="606"/>
      <c r="L110" s="606"/>
      <c r="M110" s="606"/>
      <c r="N110" s="606"/>
      <c r="O110" s="606"/>
      <c r="P110" s="18"/>
      <c r="Q110" s="395" t="str">
        <f t="shared" si="10"/>
        <v>SIN OBSERVACIONES</v>
      </c>
      <c r="R110" s="406"/>
      <c r="S110" s="397"/>
      <c r="T110" s="224"/>
    </row>
    <row r="111" spans="1:20" ht="195" customHeight="1" outlineLevel="1" x14ac:dyDescent="0.3">
      <c r="A111" s="222"/>
      <c r="B111" s="479"/>
      <c r="C111" s="225"/>
      <c r="D111" s="405" t="s">
        <v>125</v>
      </c>
      <c r="E111" s="591" t="str">
        <f>IFERROR(IF($O$46="NO VALIDA",IF(OR($M$46="NO CUMPLE",$N$46="NO CUMPLE"),[1]RESPUESTAS!$D$8,"SIN OBSERVACIONES"),"SIN OBSERVACIONES"),"")</f>
        <v>SIN OBSERVACIONES</v>
      </c>
      <c r="F111" s="591"/>
      <c r="G111" s="591"/>
      <c r="H111" s="591"/>
      <c r="I111" s="591"/>
      <c r="J111" s="606"/>
      <c r="K111" s="606"/>
      <c r="L111" s="606"/>
      <c r="M111" s="606"/>
      <c r="N111" s="606"/>
      <c r="O111" s="606"/>
      <c r="P111" s="18"/>
      <c r="Q111" s="395" t="str">
        <f t="shared" si="10"/>
        <v>SIN OBSERVACIONES</v>
      </c>
      <c r="R111" s="406"/>
      <c r="S111" s="397"/>
      <c r="T111" s="224"/>
    </row>
    <row r="112" spans="1:20" ht="195" customHeight="1" outlineLevel="1" x14ac:dyDescent="0.3">
      <c r="A112" s="222"/>
      <c r="B112" s="480"/>
      <c r="C112" s="225"/>
      <c r="D112" s="405" t="s">
        <v>126</v>
      </c>
      <c r="E112" s="591" t="str">
        <f>IFERROR(IF($O$46="NO VALIDA",IF($K$46&gt;$F$10,[1]RESPUESTAS!$D$10,"SIN OBSERVACIONES"),"SIN OBSERVACIONES"),"")</f>
        <v>SIN OBSERVACIONES</v>
      </c>
      <c r="F112" s="591"/>
      <c r="G112" s="591"/>
      <c r="H112" s="591"/>
      <c r="I112" s="591"/>
      <c r="J112" s="606"/>
      <c r="K112" s="606"/>
      <c r="L112" s="606"/>
      <c r="M112" s="606"/>
      <c r="N112" s="606"/>
      <c r="O112" s="606"/>
      <c r="P112" s="18"/>
      <c r="Q112" s="395" t="str">
        <f t="shared" si="10"/>
        <v>SIN OBSERVACIONES</v>
      </c>
      <c r="R112" s="406"/>
      <c r="S112" s="397"/>
      <c r="T112" s="224"/>
    </row>
    <row r="113" spans="1:20" ht="195" customHeight="1" outlineLevel="1" x14ac:dyDescent="0.3">
      <c r="A113" s="222"/>
      <c r="B113" s="510" t="s">
        <v>74</v>
      </c>
      <c r="C113" s="225"/>
      <c r="D113" s="405" t="s">
        <v>124</v>
      </c>
      <c r="E113" s="591" t="str">
        <f>IFERROR(IF($O$49="NO VALIDA",IF(OR($M$49="NO CUMPLE",$N$49="NO CUMPLE"),[1]RESPUESTAS!$D$8,"SIN OBSERVACIONES"),"SIN OBSERVACIONES"),"")</f>
        <v>SIN OBSERVACIONES</v>
      </c>
      <c r="F113" s="591"/>
      <c r="G113" s="591"/>
      <c r="H113" s="591"/>
      <c r="I113" s="591"/>
      <c r="J113" s="606"/>
      <c r="K113" s="606"/>
      <c r="L113" s="606"/>
      <c r="M113" s="606"/>
      <c r="N113" s="606"/>
      <c r="O113" s="606"/>
      <c r="P113" s="18"/>
      <c r="Q113" s="395" t="str">
        <f t="shared" si="10"/>
        <v>SIN OBSERVACIONES</v>
      </c>
      <c r="R113" s="406"/>
      <c r="S113" s="397"/>
      <c r="T113" s="224"/>
    </row>
    <row r="114" spans="1:20" ht="195" customHeight="1" outlineLevel="1" x14ac:dyDescent="0.3">
      <c r="A114" s="222"/>
      <c r="B114" s="511"/>
      <c r="C114" s="225"/>
      <c r="D114" s="405" t="s">
        <v>125</v>
      </c>
      <c r="E114" s="591" t="str">
        <f>IFERROR(IF($O$49="NO VALIDA",IF(OR($M$49="NO CUMPLE",$N$49="NO CUMPLE"),[1]RESPUESTAS!$D$8,"SIN OBSERVACIONES"),"SIN OBSERVACIONES"),"")</f>
        <v>SIN OBSERVACIONES</v>
      </c>
      <c r="F114" s="591"/>
      <c r="G114" s="591"/>
      <c r="H114" s="591"/>
      <c r="I114" s="591"/>
      <c r="J114" s="606"/>
      <c r="K114" s="606"/>
      <c r="L114" s="606"/>
      <c r="M114" s="606"/>
      <c r="N114" s="606"/>
      <c r="O114" s="606"/>
      <c r="P114" s="18"/>
      <c r="Q114" s="395" t="str">
        <f t="shared" si="10"/>
        <v>SIN OBSERVACIONES</v>
      </c>
      <c r="R114" s="406"/>
      <c r="S114" s="397"/>
      <c r="T114" s="224"/>
    </row>
    <row r="115" spans="1:20" ht="195" customHeight="1" outlineLevel="1" x14ac:dyDescent="0.3">
      <c r="A115" s="222"/>
      <c r="B115" s="512"/>
      <c r="C115" s="225"/>
      <c r="D115" s="405" t="s">
        <v>126</v>
      </c>
      <c r="E115" s="591" t="str">
        <f>IFERROR(IF($O$49="NO VALIDA",IF($K$49&gt;$F$10,[1]RESPUESTAS!$D$10,"SIN OBSERVACIONES"),"SIN OBSERVACIONES"),"")</f>
        <v>SIN OBSERVACIONES</v>
      </c>
      <c r="F115" s="591"/>
      <c r="G115" s="591"/>
      <c r="H115" s="591"/>
      <c r="I115" s="591"/>
      <c r="J115" s="606"/>
      <c r="K115" s="606"/>
      <c r="L115" s="606"/>
      <c r="M115" s="606"/>
      <c r="N115" s="606"/>
      <c r="O115" s="606"/>
      <c r="P115" s="18"/>
      <c r="Q115" s="395" t="str">
        <f t="shared" si="10"/>
        <v>SIN OBSERVACIONES</v>
      </c>
      <c r="R115" s="406"/>
      <c r="S115" s="397"/>
      <c r="T115" s="224"/>
    </row>
    <row r="116" spans="1:20" ht="195" customHeight="1" outlineLevel="1" x14ac:dyDescent="0.3">
      <c r="A116" s="222"/>
      <c r="B116" s="479" t="s">
        <v>75</v>
      </c>
      <c r="C116" s="225"/>
      <c r="D116" s="405" t="s">
        <v>124</v>
      </c>
      <c r="E116" s="591" t="str">
        <f>IFERROR(IF($O$52="NO VALIDA",IF(OR($M$52="NO CUMPLE",$N$52="NO CUMPLE"),[1]RESPUESTAS!$D$8,"SIN OBSERVACIONES"),"SIN OBSERVACIONES"),"")</f>
        <v>SIN OBSERVACIONES</v>
      </c>
      <c r="F116" s="591"/>
      <c r="G116" s="591"/>
      <c r="H116" s="591"/>
      <c r="I116" s="591"/>
      <c r="J116" s="606"/>
      <c r="K116" s="606"/>
      <c r="L116" s="606"/>
      <c r="M116" s="606"/>
      <c r="N116" s="606"/>
      <c r="O116" s="606"/>
      <c r="P116" s="18"/>
      <c r="Q116" s="395" t="str">
        <f t="shared" si="10"/>
        <v>SIN OBSERVACIONES</v>
      </c>
      <c r="R116" s="406"/>
      <c r="S116" s="397"/>
      <c r="T116" s="224"/>
    </row>
    <row r="117" spans="1:20" ht="195" customHeight="1" outlineLevel="1" x14ac:dyDescent="0.3">
      <c r="A117" s="222"/>
      <c r="B117" s="479"/>
      <c r="C117" s="225"/>
      <c r="D117" s="405" t="s">
        <v>125</v>
      </c>
      <c r="E117" s="591" t="str">
        <f>IFERROR(IF($O$52="NO VALIDA",IF(OR($M$52="NO CUMPLE",$N$52="NO CUMPLE"),[1]RESPUESTAS!$D$8,"SIN OBSERVACIONES"),"SIN OBSERVACIONES"),"")</f>
        <v>SIN OBSERVACIONES</v>
      </c>
      <c r="F117" s="591"/>
      <c r="G117" s="591"/>
      <c r="H117" s="591"/>
      <c r="I117" s="591"/>
      <c r="J117" s="606"/>
      <c r="K117" s="606"/>
      <c r="L117" s="606"/>
      <c r="M117" s="606"/>
      <c r="N117" s="606"/>
      <c r="O117" s="606"/>
      <c r="P117" s="18"/>
      <c r="Q117" s="395" t="str">
        <f t="shared" si="10"/>
        <v>SIN OBSERVACIONES</v>
      </c>
      <c r="R117" s="406"/>
      <c r="S117" s="397"/>
      <c r="T117" s="224"/>
    </row>
    <row r="118" spans="1:20" ht="195" customHeight="1" outlineLevel="1" x14ac:dyDescent="0.3">
      <c r="A118" s="222"/>
      <c r="B118" s="480"/>
      <c r="C118" s="225"/>
      <c r="D118" s="405" t="s">
        <v>126</v>
      </c>
      <c r="E118" s="591" t="str">
        <f>IFERROR(IF($O$52="NO VALIDA",IF($K$52&gt;$F$10,[1]RESPUESTAS!$D$10,"SIN OBSERVACIONES"),"SIN OBSERVACIONES"),"")</f>
        <v>SIN OBSERVACIONES</v>
      </c>
      <c r="F118" s="591"/>
      <c r="G118" s="591"/>
      <c r="H118" s="591"/>
      <c r="I118" s="591"/>
      <c r="J118" s="606"/>
      <c r="K118" s="606"/>
      <c r="L118" s="606"/>
      <c r="M118" s="606"/>
      <c r="N118" s="606"/>
      <c r="O118" s="606"/>
      <c r="P118" s="18"/>
      <c r="Q118" s="395" t="str">
        <f t="shared" si="10"/>
        <v>SIN OBSERVACIONES</v>
      </c>
      <c r="R118" s="406"/>
      <c r="S118" s="397"/>
      <c r="T118" s="224"/>
    </row>
    <row r="119" spans="1:20" ht="195" customHeight="1" outlineLevel="1" x14ac:dyDescent="0.3">
      <c r="A119" s="222"/>
      <c r="B119" s="510" t="s">
        <v>76</v>
      </c>
      <c r="C119" s="225"/>
      <c r="D119" s="405" t="s">
        <v>124</v>
      </c>
      <c r="E119" s="591" t="str">
        <f>IFERROR(IF($O$55="NO VALIDA",IF(OR($M$55="NO CUMPLE",$N$55="NO CUMPLE"),[1]RESPUESTAS!$D$8,"SIN OBSERVACIONES"),"SIN OBSERVACIONES"),"")</f>
        <v>SIN OBSERVACIONES</v>
      </c>
      <c r="F119" s="591"/>
      <c r="G119" s="591"/>
      <c r="H119" s="591"/>
      <c r="I119" s="591"/>
      <c r="J119" s="606"/>
      <c r="K119" s="606"/>
      <c r="L119" s="606"/>
      <c r="M119" s="606"/>
      <c r="N119" s="606"/>
      <c r="O119" s="606"/>
      <c r="P119" s="18"/>
      <c r="Q119" s="395" t="str">
        <f t="shared" si="10"/>
        <v>SIN OBSERVACIONES</v>
      </c>
      <c r="R119" s="406"/>
      <c r="S119" s="397"/>
      <c r="T119" s="224"/>
    </row>
    <row r="120" spans="1:20" ht="195" customHeight="1" outlineLevel="1" x14ac:dyDescent="0.3">
      <c r="A120" s="222"/>
      <c r="B120" s="511"/>
      <c r="C120" s="225"/>
      <c r="D120" s="405" t="s">
        <v>125</v>
      </c>
      <c r="E120" s="591" t="str">
        <f>IFERROR(IF($O$55="NO VALIDA",IF(OR($M$55="NO CUMPLE",$N$55="NO CUMPLE"),[1]RESPUESTAS!$D$8,"SIN OBSERVACIONES"),"SIN OBSERVACIONES"),"")</f>
        <v>SIN OBSERVACIONES</v>
      </c>
      <c r="F120" s="591"/>
      <c r="G120" s="591"/>
      <c r="H120" s="591"/>
      <c r="I120" s="591"/>
      <c r="J120" s="606"/>
      <c r="K120" s="606"/>
      <c r="L120" s="606"/>
      <c r="M120" s="606"/>
      <c r="N120" s="606"/>
      <c r="O120" s="606"/>
      <c r="P120" s="18"/>
      <c r="Q120" s="395" t="str">
        <f t="shared" si="10"/>
        <v>SIN OBSERVACIONES</v>
      </c>
      <c r="R120" s="406"/>
      <c r="S120" s="397"/>
      <c r="T120" s="224"/>
    </row>
    <row r="121" spans="1:20" ht="195" customHeight="1" outlineLevel="1" x14ac:dyDescent="0.3">
      <c r="A121" s="222"/>
      <c r="B121" s="512"/>
      <c r="C121" s="225"/>
      <c r="D121" s="405" t="s">
        <v>126</v>
      </c>
      <c r="E121" s="591" t="str">
        <f>IFERROR(IF($O$55="NO VALIDA",IF($K$55&gt;$F$10,[1]RESPUESTAS!$D$10,"SIN OBSERVACIONES"),"SIN OBSERVACIONES"),"")</f>
        <v>SIN OBSERVACIONES</v>
      </c>
      <c r="F121" s="591"/>
      <c r="G121" s="591"/>
      <c r="H121" s="591"/>
      <c r="I121" s="591"/>
      <c r="J121" s="606"/>
      <c r="K121" s="606"/>
      <c r="L121" s="606"/>
      <c r="M121" s="606"/>
      <c r="N121" s="606"/>
      <c r="O121" s="606"/>
      <c r="P121" s="18"/>
      <c r="Q121" s="395" t="str">
        <f t="shared" si="10"/>
        <v>SIN OBSERVACIONES</v>
      </c>
      <c r="R121" s="406"/>
      <c r="S121" s="397"/>
      <c r="T121" s="224"/>
    </row>
    <row r="122" spans="1:20" ht="195" customHeight="1" outlineLevel="1" x14ac:dyDescent="0.3">
      <c r="A122" s="222"/>
      <c r="B122" s="479" t="s">
        <v>77</v>
      </c>
      <c r="C122" s="225"/>
      <c r="D122" s="405" t="s">
        <v>124</v>
      </c>
      <c r="E122" s="591" t="str">
        <f>IFERROR(IF($O$58="NO VALIDA",IF(OR($M$58="NO CUMPLE",$N$58="NO CUMPLE"),[1]RESPUESTAS!$D$8,"SIN OBSERVACIONES"),"SIN OBSERVACIONES"),"")</f>
        <v>SIN OBSERVACIONES</v>
      </c>
      <c r="F122" s="591"/>
      <c r="G122" s="591"/>
      <c r="H122" s="591"/>
      <c r="I122" s="591"/>
      <c r="J122" s="606"/>
      <c r="K122" s="606"/>
      <c r="L122" s="606"/>
      <c r="M122" s="606"/>
      <c r="N122" s="606"/>
      <c r="O122" s="606"/>
      <c r="P122" s="18"/>
      <c r="Q122" s="395" t="str">
        <f t="shared" si="10"/>
        <v>SIN OBSERVACIONES</v>
      </c>
      <c r="R122" s="406"/>
      <c r="S122" s="397"/>
      <c r="T122" s="224"/>
    </row>
    <row r="123" spans="1:20" ht="195" customHeight="1" outlineLevel="1" x14ac:dyDescent="0.3">
      <c r="A123" s="222"/>
      <c r="B123" s="479"/>
      <c r="C123" s="225"/>
      <c r="D123" s="405" t="s">
        <v>125</v>
      </c>
      <c r="E123" s="591" t="str">
        <f>IFERROR(IF($O$58="NO VALIDA",IF(OR($M$58="NO CUMPLE",$N$58="NO CUMPLE"),[1]RESPUESTAS!$D$8,"SIN OBSERVACIONES"),"SIN OBSERVACIONES"),"")</f>
        <v>SIN OBSERVACIONES</v>
      </c>
      <c r="F123" s="591"/>
      <c r="G123" s="591"/>
      <c r="H123" s="591"/>
      <c r="I123" s="591"/>
      <c r="J123" s="606"/>
      <c r="K123" s="606"/>
      <c r="L123" s="606"/>
      <c r="M123" s="606"/>
      <c r="N123" s="606"/>
      <c r="O123" s="606"/>
      <c r="P123" s="18"/>
      <c r="Q123" s="395" t="str">
        <f t="shared" si="10"/>
        <v>SIN OBSERVACIONES</v>
      </c>
      <c r="R123" s="406"/>
      <c r="S123" s="397"/>
      <c r="T123" s="224"/>
    </row>
    <row r="124" spans="1:20" ht="195" customHeight="1" outlineLevel="1" x14ac:dyDescent="0.3">
      <c r="A124" s="222"/>
      <c r="B124" s="480"/>
      <c r="C124" s="225"/>
      <c r="D124" s="405" t="s">
        <v>126</v>
      </c>
      <c r="E124" s="591" t="str">
        <f>IFERROR(IF($O$58="NO VALIDA",IF($K$58&gt;$F$10,[1]RESPUESTAS!$D$10,"SIN OBSERVACIONES"),"SIN OBSERVACIONES"),"")</f>
        <v>SIN OBSERVACIONES</v>
      </c>
      <c r="F124" s="591"/>
      <c r="G124" s="591"/>
      <c r="H124" s="591"/>
      <c r="I124" s="591"/>
      <c r="J124" s="606"/>
      <c r="K124" s="606"/>
      <c r="L124" s="606"/>
      <c r="M124" s="606"/>
      <c r="N124" s="606"/>
      <c r="O124" s="606"/>
      <c r="P124" s="18"/>
      <c r="Q124" s="395" t="str">
        <f t="shared" si="10"/>
        <v>SIN OBSERVACIONES</v>
      </c>
      <c r="R124" s="406"/>
      <c r="S124" s="397"/>
      <c r="T124" s="224"/>
    </row>
    <row r="125" spans="1:20" s="19" customFormat="1" ht="30" customHeight="1" x14ac:dyDescent="0.3">
      <c r="A125" s="222"/>
      <c r="B125" s="407"/>
      <c r="C125" s="225"/>
      <c r="D125" s="408"/>
      <c r="E125" s="371"/>
      <c r="F125" s="371"/>
      <c r="G125" s="371"/>
      <c r="H125" s="371"/>
      <c r="I125" s="371"/>
      <c r="J125" s="409"/>
      <c r="K125" s="409"/>
      <c r="L125" s="409"/>
      <c r="M125" s="409"/>
      <c r="N125" s="409"/>
      <c r="O125" s="409"/>
      <c r="P125" s="18"/>
      <c r="Q125" s="409"/>
      <c r="R125" s="304"/>
      <c r="S125" s="225"/>
      <c r="T125" s="224"/>
    </row>
    <row r="126" spans="1:20" s="20" customFormat="1" ht="66" customHeight="1" x14ac:dyDescent="0.4">
      <c r="A126" s="222"/>
      <c r="B126" s="391" t="s">
        <v>110</v>
      </c>
      <c r="C126" s="392"/>
      <c r="D126" s="588" t="s">
        <v>111</v>
      </c>
      <c r="E126" s="589"/>
      <c r="F126" s="589"/>
      <c r="G126" s="589"/>
      <c r="H126" s="589"/>
      <c r="I126" s="590"/>
      <c r="J126" s="588" t="s">
        <v>112</v>
      </c>
      <c r="K126" s="589"/>
      <c r="L126" s="589"/>
      <c r="M126" s="589"/>
      <c r="N126" s="589"/>
      <c r="O126" s="590"/>
      <c r="P126" s="32"/>
      <c r="Q126" s="393" t="s">
        <v>113</v>
      </c>
      <c r="R126" s="393" t="s">
        <v>114</v>
      </c>
      <c r="S126" s="393" t="s">
        <v>115</v>
      </c>
      <c r="T126" s="224"/>
    </row>
    <row r="127" spans="1:20" s="30" customFormat="1" ht="18" customHeight="1" x14ac:dyDescent="0.25">
      <c r="A127" s="18"/>
      <c r="B127" s="18"/>
      <c r="C127" s="18"/>
      <c r="D127" s="18"/>
      <c r="E127" s="18"/>
      <c r="F127" s="18"/>
      <c r="G127" s="18"/>
      <c r="H127" s="18"/>
      <c r="I127" s="18"/>
      <c r="J127" s="18"/>
      <c r="K127" s="18"/>
      <c r="L127" s="18"/>
      <c r="M127" s="18"/>
      <c r="N127" s="18"/>
      <c r="O127" s="18"/>
      <c r="P127" s="18"/>
      <c r="Q127" s="18"/>
      <c r="R127" s="18"/>
      <c r="S127" s="225"/>
    </row>
    <row r="128" spans="1:20" ht="160.5" customHeight="1" outlineLevel="1" x14ac:dyDescent="0.3">
      <c r="A128" s="222"/>
      <c r="B128" s="410" t="s">
        <v>86</v>
      </c>
      <c r="C128" s="222"/>
      <c r="D128" s="608" t="str">
        <f>IF(EXPERIENCIA!$L$65="CUMPLE","SIN OBSERVACIONES",VLOOKUP(EXPERIENCIA!$B$128,[1]RESPUESTAS!$B$8:$H$75,3,FALSE))</f>
        <v>SIN OBSERVACIONES</v>
      </c>
      <c r="E128" s="609"/>
      <c r="F128" s="609"/>
      <c r="G128" s="609"/>
      <c r="H128" s="609"/>
      <c r="I128" s="609"/>
      <c r="J128" s="579"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9"/>
      <c r="L128" s="579"/>
      <c r="M128" s="579"/>
      <c r="N128" s="579"/>
      <c r="O128" s="579"/>
      <c r="P128" s="22"/>
      <c r="Q128" s="395" t="str">
        <f>IF($D128="sin observaciones","SIN OBSERVACIONES","SUBSANAR DOCUMENTO")</f>
        <v>SIN OBSERVACIONES</v>
      </c>
      <c r="R128" s="406"/>
      <c r="S128" s="397"/>
      <c r="T128" s="224"/>
    </row>
    <row r="129" spans="1:20" ht="245.25" customHeight="1" outlineLevel="1" x14ac:dyDescent="0.3">
      <c r="A129" s="222"/>
      <c r="B129" s="410" t="s">
        <v>88</v>
      </c>
      <c r="C129" s="222"/>
      <c r="D129" s="608" t="str">
        <f>IF(EXPERIENCIA!$L$66="CUMPLE","SIN OBSERVACIONES",VLOOKUP(EXPERIENCIA!$B$129,[1]RESPUESTAS!$B$8:$H$75,3,FALSE))</f>
        <v>SIN OBSERVACIONES</v>
      </c>
      <c r="E129" s="609"/>
      <c r="F129" s="609"/>
      <c r="G129" s="609"/>
      <c r="H129" s="609"/>
      <c r="I129" s="609"/>
      <c r="J129" s="579"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9"/>
      <c r="L129" s="579"/>
      <c r="M129" s="579"/>
      <c r="N129" s="579"/>
      <c r="O129" s="579"/>
      <c r="P129" s="22"/>
      <c r="Q129" s="395" t="str">
        <f t="shared" ref="Q129:Q133" si="11">IF($D129="sin observaciones","SIN OBSERVACIONES","SUBSANAR DOCUMENTO")</f>
        <v>SIN OBSERVACIONES</v>
      </c>
      <c r="R129" s="406"/>
      <c r="S129" s="397"/>
      <c r="T129" s="224"/>
    </row>
    <row r="130" spans="1:20" ht="114.75" customHeight="1" outlineLevel="1" x14ac:dyDescent="0.3">
      <c r="A130" s="222"/>
      <c r="B130" s="410" t="s">
        <v>127</v>
      </c>
      <c r="C130" s="222"/>
      <c r="D130" s="608" t="str">
        <f>IF(EXPERIENCIA!$L$67="CUMPLE","SIN OBSERVACIONES",VLOOKUP(EXPERIENCIA!$B$130,[1]RESPUESTAS!$B$8:$H$75,3,FALSE))</f>
        <v>SIN OBSERVACIONES</v>
      </c>
      <c r="E130" s="609"/>
      <c r="F130" s="609"/>
      <c r="G130" s="609"/>
      <c r="H130" s="609"/>
      <c r="I130" s="609"/>
      <c r="J130" s="579"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9"/>
      <c r="L130" s="579"/>
      <c r="M130" s="579"/>
      <c r="N130" s="579"/>
      <c r="O130" s="579"/>
      <c r="P130" s="22"/>
      <c r="Q130" s="395" t="str">
        <f t="shared" si="11"/>
        <v>SIN OBSERVACIONES</v>
      </c>
      <c r="R130" s="406"/>
      <c r="S130" s="397"/>
      <c r="T130" s="224"/>
    </row>
    <row r="131" spans="1:20" ht="144.75" customHeight="1" outlineLevel="1" x14ac:dyDescent="0.3">
      <c r="A131" s="222"/>
      <c r="B131" s="411" t="s">
        <v>128</v>
      </c>
      <c r="C131" s="222"/>
      <c r="D131" s="608" t="str">
        <f>IF(EXPERIENCIA!$L$68="CUMPLE","SIN OBSERVACIONES",VLOOKUP(EXPERIENCIA!$B$131,[1]RESPUESTAS!$B$8:$H$75,3,FALSE))</f>
        <v>SIN OBSERVACIONES</v>
      </c>
      <c r="E131" s="609"/>
      <c r="F131" s="609"/>
      <c r="G131" s="609"/>
      <c r="H131" s="609"/>
      <c r="I131" s="609"/>
      <c r="J131" s="579"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9"/>
      <c r="L131" s="579"/>
      <c r="M131" s="579"/>
      <c r="N131" s="579"/>
      <c r="O131" s="579"/>
      <c r="P131" s="22"/>
      <c r="Q131" s="395" t="str">
        <f t="shared" si="11"/>
        <v>SIN OBSERVACIONES</v>
      </c>
      <c r="R131" s="406"/>
      <c r="S131" s="397"/>
      <c r="T131" s="224"/>
    </row>
    <row r="132" spans="1:20" ht="409.5" customHeight="1" outlineLevel="1" x14ac:dyDescent="0.3">
      <c r="A132" s="222"/>
      <c r="B132" s="410" t="s">
        <v>94</v>
      </c>
      <c r="C132" s="222"/>
      <c r="D132" s="608" t="str">
        <f>IF(EXPERIENCIA!$L$69="CUMPLE","SIN OBSERVACIONES",VLOOKUP(EXPERIENCIA!$B$132,[1]RESPUESTAS!$B$8:$H$75,3,FALSE))</f>
        <v>SIN OBSERVACIONES</v>
      </c>
      <c r="E132" s="609"/>
      <c r="F132" s="609"/>
      <c r="G132" s="609"/>
      <c r="H132" s="609"/>
      <c r="I132" s="609"/>
      <c r="J132" s="579"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9"/>
      <c r="L132" s="579"/>
      <c r="M132" s="579"/>
      <c r="N132" s="579"/>
      <c r="O132" s="579"/>
      <c r="P132" s="22"/>
      <c r="Q132" s="395" t="str">
        <f t="shared" si="11"/>
        <v>SIN OBSERVACIONES</v>
      </c>
      <c r="R132" s="406"/>
      <c r="S132" s="397"/>
      <c r="T132" s="224"/>
    </row>
    <row r="133" spans="1:20" ht="314.25" customHeight="1" outlineLevel="1" x14ac:dyDescent="0.3">
      <c r="A133" s="222"/>
      <c r="B133" s="410" t="s">
        <v>96</v>
      </c>
      <c r="C133" s="222"/>
      <c r="D133" s="608" t="str">
        <f>IF(EXPERIENCIA!$L$70="CUMPLE","SIN OBSERVACIONES",VLOOKUP(EXPERIENCIA!$B$133,[1]RESPUESTAS!$B$8:$H$75,3,FALSE))</f>
        <v>SIN OBSERVACIONES</v>
      </c>
      <c r="E133" s="609"/>
      <c r="F133" s="609"/>
      <c r="G133" s="609"/>
      <c r="H133" s="609"/>
      <c r="I133" s="609"/>
      <c r="J133" s="579"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9"/>
      <c r="L133" s="579"/>
      <c r="M133" s="579"/>
      <c r="N133" s="579"/>
      <c r="O133" s="579"/>
      <c r="P133" s="22"/>
      <c r="Q133" s="395" t="str">
        <f t="shared" si="11"/>
        <v>SIN OBSERVACIONES</v>
      </c>
      <c r="R133" s="406"/>
      <c r="S133" s="397"/>
      <c r="T133" s="224"/>
    </row>
    <row r="134" spans="1:20" s="36" customFormat="1" ht="15" customHeight="1" x14ac:dyDescent="0.3">
      <c r="A134" s="412"/>
      <c r="B134" s="412"/>
      <c r="C134" s="412"/>
      <c r="D134" s="412"/>
      <c r="E134" s="412"/>
      <c r="F134" s="412"/>
      <c r="G134" s="412"/>
      <c r="H134" s="412"/>
      <c r="I134" s="412"/>
      <c r="J134" s="412"/>
      <c r="K134" s="412"/>
      <c r="L134" s="412"/>
      <c r="M134" s="412"/>
      <c r="N134" s="412"/>
      <c r="O134" s="412"/>
      <c r="P134" s="35"/>
      <c r="Q134" s="412"/>
      <c r="R134" s="412"/>
      <c r="S134" s="412"/>
      <c r="T134" s="224"/>
    </row>
    <row r="135" spans="1:20" ht="15" customHeight="1" x14ac:dyDescent="0.3">
      <c r="A135" s="222"/>
      <c r="B135" s="413"/>
      <c r="C135" s="413"/>
      <c r="D135" s="413"/>
      <c r="E135" s="413"/>
      <c r="F135" s="413"/>
      <c r="G135" s="413"/>
      <c r="H135" s="413"/>
      <c r="I135" s="413"/>
      <c r="J135" s="413"/>
      <c r="K135" s="413"/>
      <c r="L135" s="413"/>
      <c r="M135" s="413"/>
      <c r="N135" s="413"/>
      <c r="O135" s="413"/>
      <c r="P135" s="37"/>
      <c r="Q135" s="413"/>
      <c r="R135" s="413"/>
      <c r="S135" s="413"/>
      <c r="T135" s="224"/>
    </row>
    <row r="136" spans="1:20" ht="15" customHeight="1" x14ac:dyDescent="0.3">
      <c r="A136" s="222"/>
      <c r="B136" s="413"/>
      <c r="C136" s="413"/>
      <c r="D136" s="413"/>
      <c r="E136" s="413"/>
      <c r="F136" s="413"/>
      <c r="G136" s="413"/>
      <c r="H136" s="413"/>
      <c r="I136" s="413"/>
      <c r="J136" s="413"/>
      <c r="K136" s="413"/>
      <c r="L136" s="413"/>
      <c r="M136" s="413"/>
      <c r="N136" s="413"/>
      <c r="O136" s="413"/>
      <c r="P136" s="37"/>
      <c r="Q136" s="413"/>
      <c r="R136" s="413"/>
      <c r="S136" s="413"/>
      <c r="T136" s="224"/>
    </row>
    <row r="137" spans="1:20" ht="15" customHeight="1" x14ac:dyDescent="0.3">
      <c r="A137" s="222"/>
      <c r="B137" s="413"/>
      <c r="C137" s="413"/>
      <c r="D137" s="413"/>
      <c r="E137" s="413"/>
      <c r="F137" s="413"/>
      <c r="G137" s="413"/>
      <c r="H137" s="413"/>
      <c r="I137" s="413"/>
      <c r="J137" s="413"/>
      <c r="K137" s="413"/>
      <c r="L137" s="413"/>
      <c r="M137" s="413"/>
      <c r="N137" s="413"/>
      <c r="O137" s="413"/>
      <c r="P137" s="37"/>
      <c r="Q137" s="413"/>
      <c r="R137" s="413"/>
      <c r="S137" s="413"/>
      <c r="T137" s="224"/>
    </row>
    <row r="138" spans="1:20" ht="15" customHeight="1" x14ac:dyDescent="0.3">
      <c r="A138" s="222"/>
      <c r="B138" s="413"/>
      <c r="C138" s="413"/>
      <c r="D138" s="413"/>
      <c r="E138" s="413"/>
      <c r="F138" s="413"/>
      <c r="G138" s="413"/>
      <c r="H138" s="413"/>
      <c r="I138" s="413"/>
      <c r="J138" s="413"/>
      <c r="K138" s="413"/>
      <c r="L138" s="413"/>
      <c r="M138" s="413"/>
      <c r="N138" s="413"/>
      <c r="O138" s="413"/>
      <c r="P138" s="37"/>
      <c r="Q138" s="413"/>
      <c r="R138" s="413"/>
      <c r="S138" s="413"/>
      <c r="T138" s="224"/>
    </row>
    <row r="139" spans="1:20" ht="15" customHeight="1" x14ac:dyDescent="0.3">
      <c r="A139" s="222"/>
      <c r="B139" s="413"/>
      <c r="C139" s="413"/>
      <c r="D139" s="413"/>
      <c r="E139" s="413"/>
      <c r="F139" s="413"/>
      <c r="G139" s="413"/>
      <c r="H139" s="413"/>
      <c r="I139" s="413"/>
      <c r="J139" s="413"/>
      <c r="K139" s="413"/>
      <c r="L139" s="413"/>
      <c r="M139" s="413"/>
      <c r="N139" s="413"/>
      <c r="O139" s="413"/>
      <c r="P139" s="37"/>
      <c r="Q139" s="413"/>
      <c r="R139" s="413"/>
      <c r="S139" s="413"/>
      <c r="T139" s="224"/>
    </row>
    <row r="140" spans="1:20" ht="15" customHeight="1" x14ac:dyDescent="0.3">
      <c r="A140" s="222"/>
      <c r="B140" s="413"/>
      <c r="C140" s="413"/>
      <c r="D140" s="413"/>
      <c r="E140" s="413"/>
      <c r="F140" s="413"/>
      <c r="G140" s="413"/>
      <c r="H140" s="413"/>
      <c r="I140" s="413"/>
      <c r="J140" s="413"/>
      <c r="K140" s="413"/>
      <c r="L140" s="413"/>
      <c r="M140" s="413"/>
      <c r="N140" s="413"/>
      <c r="O140" s="413"/>
      <c r="P140" s="37"/>
      <c r="Q140" s="413"/>
      <c r="R140" s="413"/>
      <c r="S140" s="413"/>
      <c r="T140" s="414"/>
    </row>
    <row r="141" spans="1:20" ht="15" customHeight="1" x14ac:dyDescent="0.3">
      <c r="A141" s="222"/>
      <c r="B141" s="413"/>
      <c r="C141" s="413"/>
      <c r="D141" s="413"/>
      <c r="E141" s="413"/>
      <c r="F141" s="413"/>
      <c r="G141" s="413"/>
      <c r="H141" s="413"/>
      <c r="I141" s="413"/>
      <c r="J141" s="413"/>
      <c r="K141" s="413"/>
      <c r="L141" s="413"/>
      <c r="M141" s="413"/>
      <c r="N141" s="413"/>
      <c r="O141" s="413"/>
      <c r="P141" s="37"/>
      <c r="Q141" s="413"/>
      <c r="R141" s="413"/>
      <c r="S141" s="413"/>
      <c r="T141" s="414"/>
    </row>
    <row r="142" spans="1:20" ht="15" customHeight="1" x14ac:dyDescent="0.3">
      <c r="A142" s="222"/>
      <c r="B142" s="413"/>
      <c r="C142" s="413"/>
      <c r="D142" s="413"/>
      <c r="E142" s="413"/>
      <c r="F142" s="413"/>
      <c r="G142" s="413"/>
      <c r="H142" s="413"/>
      <c r="I142" s="413"/>
      <c r="J142" s="413"/>
      <c r="K142" s="413"/>
      <c r="L142" s="413"/>
      <c r="M142" s="413"/>
      <c r="N142" s="413"/>
      <c r="O142" s="413"/>
      <c r="P142" s="37"/>
      <c r="Q142" s="413"/>
      <c r="R142" s="413"/>
      <c r="S142" s="413"/>
      <c r="T142" s="414"/>
    </row>
  </sheetData>
  <sheetProtection sheet="1" scenarios="1" formatCells="0" formatRows="0"/>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expression" dxfId="105" priority="11">
      <formula>AND(D55="VALIDA")</formula>
    </cfRule>
    <cfRule type="containsText" dxfId="104" priority="10" operator="containsText" text="NO">
      <formula>NOT(ISERROR(SEARCH("NO",D55)))</formula>
    </cfRule>
  </conditionalFormatting>
  <conditionalFormatting sqref="E55:H60">
    <cfRule type="cellIs" dxfId="103" priority="7" operator="between">
      <formula>$Q$10</formula>
      <formula>100000000000</formula>
    </cfRule>
  </conditionalFormatting>
  <conditionalFormatting sqref="H81:H85">
    <cfRule type="expression" dxfId="102" priority="18">
      <formula>$N$15="Proponente Individual"</formula>
    </cfRule>
  </conditionalFormatting>
  <conditionalFormatting sqref="I55:N55 I58:N58">
    <cfRule type="expression" dxfId="101" priority="9">
      <formula>AND(I55="VALIDA")</formula>
    </cfRule>
  </conditionalFormatting>
  <conditionalFormatting sqref="I55:O55 I58:O58 D55 D58 E55:H60 R56:R57 R59:R60">
    <cfRule type="expression" dxfId="100" priority="41">
      <formula>AND($Q$19="APLICA",$R$19="CUMPLE")</formula>
    </cfRule>
  </conditionalFormatting>
  <conditionalFormatting sqref="I55:O55 I58:O58">
    <cfRule type="containsText" dxfId="99" priority="8" operator="containsText" text="NO">
      <formula>NOT(ISERROR(SEARCH("NO",I55)))</formula>
    </cfRule>
  </conditionalFormatting>
  <conditionalFormatting sqref="I55:O55 Q55:S55 D55 E55:H57 R56:R57">
    <cfRule type="expression" dxfId="98" priority="39">
      <formula>AND($R$19="CUMPLE")</formula>
    </cfRule>
    <cfRule type="expression" dxfId="97" priority="40">
      <formula>AND($Q$19="CUMPLE")</formula>
    </cfRule>
  </conditionalFormatting>
  <conditionalFormatting sqref="J40 J43 J46 J49 J52">
    <cfRule type="cellIs" dxfId="96" priority="32" operator="between">
      <formula>1</formula>
      <formula>35804</formula>
    </cfRule>
  </conditionalFormatting>
  <conditionalFormatting sqref="K19:K24">
    <cfRule type="expression" dxfId="95" priority="24">
      <formula>AND(K19&lt;45602,K19&gt;1)</formula>
    </cfRule>
  </conditionalFormatting>
  <conditionalFormatting sqref="K40 K43 K46 K49 K52">
    <cfRule type="cellIs" dxfId="94" priority="34" operator="between">
      <formula>1</formula>
      <formula>$F$10</formula>
    </cfRule>
    <cfRule type="cellIs" dxfId="93" priority="35" operator="greaterThan">
      <formula>$F$10</formula>
    </cfRule>
  </conditionalFormatting>
  <conditionalFormatting sqref="L19:L24">
    <cfRule type="expression" dxfId="92" priority="12">
      <formula>$L19="SE CLASIFICA"</formula>
    </cfRule>
    <cfRule type="expression" dxfId="91" priority="13">
      <formula>$N$15="Proponente Individual"</formula>
    </cfRule>
    <cfRule type="containsText" dxfId="90" priority="14" operator="containsText" text="CUMPLE">
      <formula>NOT(ISERROR(SEARCH("CUMPLE",L19)))</formula>
    </cfRule>
  </conditionalFormatting>
  <conditionalFormatting sqref="L75:Q75">
    <cfRule type="expression" dxfId="89" priority="31">
      <formula>$I$75&lt;3</formula>
    </cfRule>
  </conditionalFormatting>
  <conditionalFormatting sqref="L76:Q76">
    <cfRule type="expression" dxfId="88" priority="30">
      <formula>$I$75=4</formula>
    </cfRule>
    <cfRule type="expression" dxfId="87" priority="28">
      <formula>$I$75=3</formula>
    </cfRule>
  </conditionalFormatting>
  <conditionalFormatting sqref="L77:Q77">
    <cfRule type="expression" dxfId="86" priority="27">
      <formula>$I$75=5</formula>
    </cfRule>
    <cfRule type="expression" dxfId="85" priority="29">
      <formula>$I$75&gt;=6</formula>
    </cfRule>
  </conditionalFormatting>
  <conditionalFormatting sqref="M40:N40 M43:N43 M46:N46 M49:N49 M52:N52 L65:M70 J80:J85">
    <cfRule type="beginsWith" dxfId="84" priority="36" operator="beginsWith" text="CUMPLE">
      <formula>LEFT(J40,LEN("CUMPLE"))="CUMPLE"</formula>
    </cfRule>
  </conditionalFormatting>
  <conditionalFormatting sqref="M40:O40 M43:O43 M46:O46 M49:O49 M52:O52 L65:M70 J80:J85 O19 J19:J24">
    <cfRule type="containsText" dxfId="83" priority="37" operator="containsText" text="NO">
      <formula>NOT(ISERROR(SEARCH("NO",J19)))</formula>
    </cfRule>
  </conditionalFormatting>
  <conditionalFormatting sqref="N19:N24">
    <cfRule type="containsText" dxfId="82" priority="33" operator="containsText" text="NO">
      <formula>NOT(ISERROR(SEARCH("NO",N19)))</formula>
    </cfRule>
  </conditionalFormatting>
  <conditionalFormatting sqref="O19 J19:J24 N19:N24 R19:R24">
    <cfRule type="containsText" dxfId="81" priority="42" operator="containsText" text="CUMPLE">
      <formula>NOT(ISERROR(SEARCH("CUMPLE",J19)))</formula>
    </cfRule>
  </conditionalFormatting>
  <conditionalFormatting sqref="O40 O43 O46 O49 O52 O55 O58">
    <cfRule type="expression" dxfId="80" priority="38">
      <formula>AND(O40="VALIDA")</formula>
    </cfRule>
  </conditionalFormatting>
  <conditionalFormatting sqref="Q19:Q24">
    <cfRule type="beginsWith" dxfId="79" priority="5" operator="beginsWith" text="NO">
      <formula>LEFT(Q19,LEN("NO"))="NO"</formula>
    </cfRule>
    <cfRule type="containsText" dxfId="78" priority="6" operator="containsText" text="APLICA">
      <formula>NOT(ISERROR(SEARCH("APLICA",Q19)))</formula>
    </cfRule>
  </conditionalFormatting>
  <conditionalFormatting sqref="Q55 Q58 Q40 Q43 Q46 Q49 Q52">
    <cfRule type="cellIs" dxfId="77" priority="17" operator="between">
      <formula>$R$10</formula>
      <formula>100000000000</formula>
    </cfRule>
  </conditionalFormatting>
  <conditionalFormatting sqref="Q92:Q98">
    <cfRule type="beginsWith" dxfId="76" priority="22" operator="beginsWith" text="SUBSANAR">
      <formula>LEFT(Q92,LEN("SUBSANAR"))="SUBSANAR"</formula>
    </cfRule>
  </conditionalFormatting>
  <conditionalFormatting sqref="Q93">
    <cfRule type="containsText" dxfId="75" priority="23" operator="containsText" text="recha">
      <formula>NOT(ISERROR(SEARCH("recha",Q93)))</formula>
    </cfRule>
  </conditionalFormatting>
  <conditionalFormatting sqref="Q96">
    <cfRule type="containsText" dxfId="74" priority="21" operator="containsText" text="recha">
      <formula>NOT(ISERROR(SEARCH("recha",Q96)))</formula>
    </cfRule>
  </conditionalFormatting>
  <conditionalFormatting sqref="Q104:Q125 Q128:Q133">
    <cfRule type="beginsWith" dxfId="73" priority="20" operator="beginsWith" text="SUBSANAR">
      <formula>LEFT(Q104,LEN("SUBSANAR"))="SUBSANAR"</formula>
    </cfRule>
  </conditionalFormatting>
  <conditionalFormatting sqref="Q19:R24">
    <cfRule type="containsText" dxfId="72" priority="4" operator="containsText" text="NO">
      <formula>NOT(ISERROR(SEARCH("NO",Q19)))</formula>
    </cfRule>
  </conditionalFormatting>
  <conditionalFormatting sqref="Q2:S2">
    <cfRule type="expression" dxfId="71" priority="2">
      <formula>$Q$3="CUMPLE"</formula>
    </cfRule>
    <cfRule type="expression" dxfId="70" priority="3">
      <formula>$Q$3="NO CUMPLE"</formula>
    </cfRule>
    <cfRule type="expression" dxfId="69" priority="1">
      <formula>$Q$3="oferta rechazada"</formula>
    </cfRule>
  </conditionalFormatting>
  <conditionalFormatting sqref="Q3:S3">
    <cfRule type="beginsWith" dxfId="68" priority="25" operator="beginsWith" text="OFERTA">
      <formula>LEFT(Q3,LEN("OFERTA"))="OFERTA"</formula>
    </cfRule>
    <cfRule type="beginsWith" dxfId="67" priority="26" operator="beginsWith" text="cumple">
      <formula>LEFT(Q3,LEN("cumple"))="cumple"</formula>
    </cfRule>
    <cfRule type="beginsWith" dxfId="66" priority="19" operator="beginsWith" text="NO">
      <formula>LEFT(Q3,LEN("NO"))="NO"</formula>
    </cfRule>
  </conditionalFormatting>
  <conditionalFormatting sqref="Q55:S55 Q58:S58">
    <cfRule type="expression" dxfId="65" priority="16">
      <formula>AND($Q$19="APLICA",$R$19="CUMPLE")</formula>
    </cfRule>
  </conditionalFormatting>
  <conditionalFormatting sqref="R40:R60">
    <cfRule type="cellIs" dxfId="64" priority="43" operator="between">
      <formula>$Q$10</formula>
      <formula>100000000000</formula>
    </cfRule>
  </conditionalFormatting>
  <conditionalFormatting sqref="S40 S43 S46 S49 S52 S55 S58">
    <cfRule type="cellIs" dxfId="63" priority="45" operator="between">
      <formula>$L$10/2</formula>
      <formula>1000000000000</formula>
    </cfRule>
  </conditionalFormatting>
  <conditionalFormatting sqref="S55 S58 S40 S43 S46 S49 S52">
    <cfRule type="expression" dxfId="62" priority="44">
      <formula>AND(J40&lt;35804,J40&gt;1)</formula>
    </cfRule>
  </conditionalFormatting>
  <conditionalFormatting sqref="S55 S58">
    <cfRule type="cellIs" dxfId="61"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81" zoomScale="71" zoomScaleNormal="100" zoomScaleSheetLayoutView="85" workbookViewId="0">
      <selection activeCell="K27" sqref="K27"/>
    </sheetView>
  </sheetViews>
  <sheetFormatPr baseColWidth="10" defaultColWidth="14.42578125" defaultRowHeight="15" customHeight="1" x14ac:dyDescent="0.2"/>
  <cols>
    <col min="1" max="1" width="42.7109375" style="42" customWidth="1"/>
    <col min="2" max="2" width="30.7109375" style="42" customWidth="1"/>
    <col min="3" max="3" width="37.140625" style="42" customWidth="1"/>
    <col min="4" max="4" width="24.5703125" style="42" customWidth="1"/>
    <col min="5" max="5" width="27.140625" style="42" customWidth="1"/>
    <col min="6" max="6" width="25.7109375" style="42" customWidth="1"/>
    <col min="7" max="7" width="20.28515625" style="42" customWidth="1"/>
    <col min="8" max="8" width="20.85546875" style="42" customWidth="1"/>
    <col min="9" max="9" width="4.85546875" style="44" customWidth="1"/>
    <col min="10" max="10" width="40.85546875" style="42" bestFit="1" customWidth="1"/>
    <col min="11" max="29" width="10.7109375" style="42" customWidth="1"/>
    <col min="30" max="16384" width="14.42578125" style="42"/>
  </cols>
  <sheetData>
    <row r="1" spans="1:12" ht="98.25" customHeight="1" x14ac:dyDescent="0.2">
      <c r="A1" s="38"/>
      <c r="B1" s="613" t="s">
        <v>129</v>
      </c>
      <c r="C1" s="613"/>
      <c r="D1" s="613"/>
      <c r="E1" s="613"/>
      <c r="F1" s="613"/>
      <c r="G1" s="614" t="str">
        <f>+[1]OFERENTES!C2</f>
        <v>MC-LP-010-2024</v>
      </c>
      <c r="H1" s="614"/>
      <c r="I1" s="39"/>
      <c r="J1" s="40"/>
      <c r="K1" s="41">
        <v>1</v>
      </c>
      <c r="L1" s="41" t="s">
        <v>130</v>
      </c>
    </row>
    <row r="2" spans="1:12" s="44" customFormat="1" ht="16.5" customHeight="1" x14ac:dyDescent="0.2">
      <c r="A2" s="39"/>
      <c r="B2" s="39"/>
      <c r="C2" s="39"/>
      <c r="D2" s="39"/>
      <c r="E2" s="38"/>
      <c r="F2" s="39"/>
      <c r="G2" s="39"/>
      <c r="H2" s="39"/>
      <c r="I2" s="39"/>
      <c r="J2" s="43" t="s">
        <v>131</v>
      </c>
      <c r="K2" s="43">
        <v>2</v>
      </c>
      <c r="L2" s="43" t="s">
        <v>132</v>
      </c>
    </row>
    <row r="3" spans="1:12" ht="40.5" customHeight="1" x14ac:dyDescent="0.2">
      <c r="A3" s="45" t="s">
        <v>133</v>
      </c>
      <c r="B3" s="415">
        <f>+EXPERIENCIA!D15</f>
        <v>35</v>
      </c>
      <c r="C3" s="46" t="s">
        <v>134</v>
      </c>
      <c r="D3" s="615" t="str">
        <f>IF($B$3&gt;0,(VLOOKUP($B$3,[1]OFERENTES!$A$8:$W$1027,2,FALSE)),"")</f>
        <v>GESTION RURAL Y URBANA SAS</v>
      </c>
      <c r="E3" s="616"/>
      <c r="F3" s="47" t="s">
        <v>2</v>
      </c>
      <c r="G3" s="615" t="str">
        <f>IFERROR(VLOOKUP($B$3,[1]OFERENTES!$A$8:$AA$1027,26,FALSE),"")</f>
        <v>Proponente Individual</v>
      </c>
      <c r="H3" s="616"/>
      <c r="I3" s="39"/>
    </row>
    <row r="4" spans="1:12" ht="17.25" customHeight="1" x14ac:dyDescent="0.2">
      <c r="A4" s="45"/>
      <c r="B4" s="45"/>
      <c r="C4" s="45"/>
      <c r="D4" s="45"/>
      <c r="E4" s="45"/>
      <c r="F4" s="45"/>
      <c r="G4" s="45"/>
      <c r="H4" s="45"/>
      <c r="I4" s="39"/>
    </row>
    <row r="5" spans="1:12" ht="40.5" customHeight="1" x14ac:dyDescent="0.2">
      <c r="A5" s="45"/>
      <c r="B5" s="45"/>
      <c r="C5" s="45"/>
      <c r="D5" s="45"/>
      <c r="E5" s="45"/>
      <c r="F5" s="48" t="s">
        <v>135</v>
      </c>
      <c r="G5" s="617" t="str">
        <f>IFERROR(VLOOKUP($B$3,[1]OFERENTES!$A$8:$S$31,19,FALSE),"")</f>
        <v/>
      </c>
      <c r="H5" s="618"/>
      <c r="I5" s="39"/>
    </row>
    <row r="6" spans="1:12" s="44" customFormat="1" ht="12" customHeight="1" x14ac:dyDescent="0.2">
      <c r="A6" s="49"/>
      <c r="B6" s="49"/>
      <c r="C6" s="49"/>
      <c r="D6" s="49"/>
      <c r="E6" s="49"/>
      <c r="F6" s="49"/>
      <c r="G6" s="49"/>
      <c r="H6" s="49"/>
      <c r="I6" s="39"/>
    </row>
    <row r="7" spans="1:12" ht="31.5" customHeight="1" x14ac:dyDescent="0.3">
      <c r="A7" s="619" t="s">
        <v>136</v>
      </c>
      <c r="B7" s="619"/>
      <c r="C7" s="619"/>
      <c r="D7" s="619"/>
      <c r="E7" s="620"/>
      <c r="F7" s="620"/>
      <c r="G7" s="620"/>
      <c r="H7" s="620"/>
      <c r="I7" s="39"/>
    </row>
    <row r="8" spans="1:12" ht="51.75" customHeight="1" x14ac:dyDescent="0.2">
      <c r="A8" s="621" t="s">
        <v>137</v>
      </c>
      <c r="B8" s="621"/>
      <c r="C8" s="621"/>
      <c r="D8" s="621"/>
      <c r="E8" s="621"/>
      <c r="F8" s="51" t="s">
        <v>138</v>
      </c>
      <c r="G8" s="52" t="s">
        <v>139</v>
      </c>
      <c r="H8" s="52" t="s">
        <v>140</v>
      </c>
      <c r="I8" s="39"/>
    </row>
    <row r="9" spans="1:12" ht="36" customHeight="1" x14ac:dyDescent="0.2">
      <c r="A9" s="611" t="s">
        <v>141</v>
      </c>
      <c r="B9" s="611"/>
      <c r="C9" s="611"/>
      <c r="D9" s="611"/>
      <c r="E9" s="622"/>
      <c r="F9" s="53" t="s">
        <v>6</v>
      </c>
      <c r="G9" s="54">
        <v>10</v>
      </c>
      <c r="H9" s="623">
        <f>IF(AND($F$9="SI",$F$10="NO")=TRUE,G9,IF(AND($F$9="si",$F$10="si"),$G$9-$G$10,0))</f>
        <v>10</v>
      </c>
      <c r="I9" s="39"/>
    </row>
    <row r="10" spans="1:12" ht="61.5" customHeight="1" x14ac:dyDescent="0.2">
      <c r="A10" s="611" t="s">
        <v>142</v>
      </c>
      <c r="B10" s="611"/>
      <c r="C10" s="611"/>
      <c r="D10" s="611"/>
      <c r="E10" s="56" t="s">
        <v>143</v>
      </c>
      <c r="F10" s="53" t="s">
        <v>277</v>
      </c>
      <c r="G10" s="54">
        <v>1</v>
      </c>
      <c r="H10" s="623"/>
      <c r="I10" s="39"/>
      <c r="J10" s="57" t="s">
        <v>143</v>
      </c>
    </row>
    <row r="11" spans="1:12" ht="409.5" customHeight="1" x14ac:dyDescent="0.2">
      <c r="A11" s="624"/>
      <c r="B11" s="625"/>
      <c r="C11" s="625"/>
      <c r="D11" s="625"/>
      <c r="E11" s="625"/>
      <c r="F11" s="625"/>
      <c r="G11" s="625"/>
      <c r="H11" s="626"/>
      <c r="I11" s="39"/>
      <c r="J11" s="57"/>
    </row>
    <row r="12" spans="1:12" ht="82.5" customHeight="1" x14ac:dyDescent="0.2">
      <c r="A12" s="610" t="s">
        <v>144</v>
      </c>
      <c r="B12" s="59" t="s">
        <v>145</v>
      </c>
      <c r="C12" s="611" t="str">
        <f>IF($F$9="NO",[1]RESPUESTAS!$D$19,[1]RESPUESTAS!$C$19)</f>
        <v>SIN OBSERVACIONES</v>
      </c>
      <c r="D12" s="611"/>
      <c r="E12" s="611"/>
      <c r="F12" s="611"/>
      <c r="G12" s="611"/>
      <c r="H12" s="611"/>
      <c r="I12" s="39"/>
    </row>
    <row r="13" spans="1:12" ht="82.5" customHeight="1" x14ac:dyDescent="0.2">
      <c r="A13" s="610"/>
      <c r="B13" s="59" t="s">
        <v>146</v>
      </c>
      <c r="C13" s="611" t="str">
        <f>IF($F$10="SI",[1]RESPUESTAS!$E$19,[1]RESPUESTAS!$C$19)</f>
        <v>SIN OBSERVACIONES</v>
      </c>
      <c r="D13" s="611"/>
      <c r="E13" s="611"/>
      <c r="F13" s="611"/>
      <c r="G13" s="611"/>
      <c r="H13" s="611"/>
      <c r="I13" s="39"/>
    </row>
    <row r="14" spans="1:12" ht="236.25" customHeight="1" x14ac:dyDescent="0.2">
      <c r="A14" s="610"/>
      <c r="B14" s="60" t="s">
        <v>147</v>
      </c>
      <c r="C14" s="612"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12"/>
      <c r="E14" s="612"/>
      <c r="F14" s="612"/>
      <c r="G14" s="612"/>
      <c r="H14" s="612"/>
      <c r="I14" s="39"/>
    </row>
    <row r="15" spans="1:12" s="44" customFormat="1" ht="86.25" customHeight="1" x14ac:dyDescent="0.2">
      <c r="A15" s="627"/>
      <c r="B15" s="628"/>
      <c r="C15" s="628"/>
      <c r="D15" s="628"/>
      <c r="E15" s="628"/>
      <c r="F15" s="628"/>
      <c r="G15" s="628"/>
      <c r="H15" s="628"/>
      <c r="I15" s="628"/>
    </row>
    <row r="16" spans="1:12" ht="32.25" customHeight="1" x14ac:dyDescent="0.3">
      <c r="A16" s="619" t="s">
        <v>148</v>
      </c>
      <c r="B16" s="619"/>
      <c r="C16" s="619"/>
      <c r="D16" s="619"/>
      <c r="E16" s="620"/>
      <c r="F16" s="620"/>
      <c r="G16" s="620"/>
      <c r="H16" s="620"/>
      <c r="I16" s="39"/>
    </row>
    <row r="17" spans="1:9" ht="52.5" customHeight="1" x14ac:dyDescent="0.2">
      <c r="A17" s="621" t="s">
        <v>137</v>
      </c>
      <c r="B17" s="621"/>
      <c r="C17" s="621"/>
      <c r="D17" s="621"/>
      <c r="E17" s="621"/>
      <c r="F17" s="51" t="s">
        <v>138</v>
      </c>
      <c r="G17" s="52" t="s">
        <v>139</v>
      </c>
      <c r="H17" s="52" t="s">
        <v>140</v>
      </c>
      <c r="I17" s="39"/>
    </row>
    <row r="18" spans="1:9" ht="148.5" customHeight="1" x14ac:dyDescent="0.2">
      <c r="A18" s="629" t="s">
        <v>149</v>
      </c>
      <c r="B18" s="629"/>
      <c r="C18" s="629"/>
      <c r="D18" s="629"/>
      <c r="E18" s="629"/>
      <c r="F18" s="53" t="s">
        <v>277</v>
      </c>
      <c r="G18" s="54">
        <v>9</v>
      </c>
      <c r="H18" s="55">
        <f>IF(F18="SI",9,0)</f>
        <v>0</v>
      </c>
      <c r="I18" s="39"/>
    </row>
    <row r="19" spans="1:9" ht="409.5" customHeight="1" x14ac:dyDescent="0.2">
      <c r="A19" s="621" t="s">
        <v>144</v>
      </c>
      <c r="B19" s="61" t="s">
        <v>150</v>
      </c>
      <c r="C19" s="629" t="str">
        <f>IF($F$18="NO",[1]RESPUESTAS!$D$20,[1]RESPUESTAS!$C$20)</f>
        <v>El Proponente no anexo el FORMATO 12 - FACTOR DE SOSTENIBILIDAD , por  lo cual no se realizará la  asignación del puntaje establecido   (9 puntos.)</v>
      </c>
      <c r="D19" s="629"/>
      <c r="E19" s="629"/>
      <c r="F19" s="629"/>
      <c r="G19" s="629"/>
      <c r="H19" s="629"/>
      <c r="I19" s="39"/>
    </row>
    <row r="20" spans="1:9" ht="144" customHeight="1" x14ac:dyDescent="0.2">
      <c r="A20" s="621"/>
      <c r="B20" s="60" t="s">
        <v>147</v>
      </c>
      <c r="C20" s="612"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12"/>
      <c r="E20" s="612"/>
      <c r="F20" s="612"/>
      <c r="G20" s="612"/>
      <c r="H20" s="612"/>
      <c r="I20" s="39"/>
    </row>
    <row r="21" spans="1:9" s="62" customFormat="1" ht="84" customHeight="1" x14ac:dyDescent="0.2">
      <c r="A21" s="631"/>
      <c r="B21" s="632"/>
      <c r="C21" s="632"/>
      <c r="D21" s="632"/>
      <c r="E21" s="632"/>
      <c r="F21" s="632"/>
      <c r="G21" s="632"/>
      <c r="H21" s="632"/>
      <c r="I21" s="632"/>
    </row>
    <row r="22" spans="1:9" ht="27" customHeight="1" x14ac:dyDescent="0.25">
      <c r="A22" s="621" t="s">
        <v>151</v>
      </c>
      <c r="B22" s="621"/>
      <c r="C22" s="621"/>
      <c r="D22" s="621"/>
      <c r="E22" s="633"/>
      <c r="F22" s="633"/>
      <c r="G22" s="633"/>
      <c r="H22" s="633"/>
      <c r="I22" s="39"/>
    </row>
    <row r="23" spans="1:9" ht="53.25" customHeight="1" x14ac:dyDescent="0.25">
      <c r="A23" s="610" t="s">
        <v>152</v>
      </c>
      <c r="B23" s="634"/>
      <c r="C23" s="634"/>
      <c r="D23" s="634"/>
      <c r="E23" s="635"/>
      <c r="F23" s="51" t="s">
        <v>138</v>
      </c>
      <c r="G23" s="52" t="s">
        <v>139</v>
      </c>
      <c r="H23" s="52" t="s">
        <v>140</v>
      </c>
      <c r="I23" s="39"/>
    </row>
    <row r="24" spans="1:9" ht="41.25" customHeight="1" x14ac:dyDescent="0.2">
      <c r="A24" s="636" t="s">
        <v>153</v>
      </c>
      <c r="B24" s="636"/>
      <c r="C24" s="636"/>
      <c r="D24" s="636"/>
      <c r="E24" s="636"/>
      <c r="F24" s="53" t="s">
        <v>6</v>
      </c>
      <c r="G24" s="637">
        <v>20</v>
      </c>
      <c r="H24" s="623">
        <f>IF($F$42="SI",$G$42,IF(AND($F$28="SI",$F$24="SI",COUNTIF($F$25:$F$27,"SI")&gt;=1,$F$29="SI"),$F$30,IF(AND($F$28="NO",$F$24="SI",COUNTIF($F$25:$F$27,"SI")&gt;=1),20,0)))</f>
        <v>20</v>
      </c>
      <c r="I24" s="39"/>
    </row>
    <row r="25" spans="1:9" ht="35.25" customHeight="1" x14ac:dyDescent="0.2">
      <c r="A25" s="638" t="s">
        <v>154</v>
      </c>
      <c r="B25" s="638"/>
      <c r="C25" s="638"/>
      <c r="D25" s="638"/>
      <c r="E25" s="638"/>
      <c r="F25" s="53"/>
      <c r="G25" s="637"/>
      <c r="H25" s="623"/>
      <c r="I25" s="39"/>
    </row>
    <row r="26" spans="1:9" ht="35.25" customHeight="1" x14ac:dyDescent="0.2">
      <c r="A26" s="638" t="s">
        <v>155</v>
      </c>
      <c r="B26" s="638"/>
      <c r="C26" s="638"/>
      <c r="D26" s="638"/>
      <c r="E26" s="638"/>
      <c r="F26" s="53"/>
      <c r="G26" s="637"/>
      <c r="H26" s="623"/>
      <c r="I26" s="39"/>
    </row>
    <row r="27" spans="1:9" ht="35.25" customHeight="1" x14ac:dyDescent="0.2">
      <c r="A27" s="638" t="s">
        <v>156</v>
      </c>
      <c r="B27" s="638"/>
      <c r="C27" s="638"/>
      <c r="D27" s="638"/>
      <c r="E27" s="638"/>
      <c r="F27" s="53" t="s">
        <v>6</v>
      </c>
      <c r="G27" s="637"/>
      <c r="H27" s="623"/>
      <c r="I27" s="39"/>
    </row>
    <row r="28" spans="1:9" ht="38.25" customHeight="1" x14ac:dyDescent="0.25">
      <c r="A28" s="636" t="s">
        <v>157</v>
      </c>
      <c r="B28" s="636"/>
      <c r="C28" s="636"/>
      <c r="D28" s="636"/>
      <c r="E28" s="639"/>
      <c r="F28" s="416" t="s">
        <v>6</v>
      </c>
      <c r="G28" s="637"/>
      <c r="H28" s="623"/>
      <c r="I28" s="39"/>
    </row>
    <row r="29" spans="1:9" ht="38.25" customHeight="1" x14ac:dyDescent="0.25">
      <c r="A29" s="640" t="s">
        <v>158</v>
      </c>
      <c r="B29" s="640"/>
      <c r="C29" s="640"/>
      <c r="D29" s="640"/>
      <c r="E29" s="641"/>
      <c r="F29" s="64" t="s">
        <v>6</v>
      </c>
      <c r="G29" s="637"/>
      <c r="H29" s="623"/>
      <c r="I29" s="39"/>
    </row>
    <row r="30" spans="1:9" ht="47.25" x14ac:dyDescent="0.2">
      <c r="A30" s="65" t="s">
        <v>159</v>
      </c>
      <c r="B30" s="66">
        <f>COUNTA(B34:D41)</f>
        <v>3</v>
      </c>
      <c r="C30" s="65" t="s">
        <v>160</v>
      </c>
      <c r="D30" s="66">
        <f>COUNTIF($F$34:$F$41,"SI")</f>
        <v>3</v>
      </c>
      <c r="E30" s="67" t="s">
        <v>161</v>
      </c>
      <c r="F30" s="66">
        <f>(IF(F34="SI",E34,0))+(IF(F35="SI",E35,0))+(IF(F36="SI",E36,0))+(IF(F37="SI",E37,0))</f>
        <v>20</v>
      </c>
      <c r="G30" s="637"/>
      <c r="H30" s="623"/>
      <c r="I30" s="39"/>
    </row>
    <row r="31" spans="1:9" ht="38.25" customHeight="1" x14ac:dyDescent="0.2">
      <c r="A31" s="610" t="s">
        <v>162</v>
      </c>
      <c r="B31" s="610"/>
      <c r="C31" s="610"/>
      <c r="D31" s="610"/>
      <c r="E31" s="610"/>
      <c r="F31" s="610"/>
      <c r="G31" s="637"/>
      <c r="H31" s="623"/>
      <c r="I31" s="39"/>
    </row>
    <row r="32" spans="1:9" ht="339.75" customHeight="1" x14ac:dyDescent="0.2">
      <c r="A32" s="642"/>
      <c r="B32" s="643"/>
      <c r="C32" s="643"/>
      <c r="D32" s="643"/>
      <c r="E32" s="643"/>
      <c r="F32" s="644"/>
      <c r="G32" s="637"/>
      <c r="H32" s="623"/>
      <c r="I32" s="39"/>
    </row>
    <row r="33" spans="1:9" ht="31.5" x14ac:dyDescent="0.2">
      <c r="A33" s="68" t="s">
        <v>163</v>
      </c>
      <c r="B33" s="645" t="s">
        <v>164</v>
      </c>
      <c r="C33" s="645"/>
      <c r="D33" s="645"/>
      <c r="E33" s="68" t="s">
        <v>165</v>
      </c>
      <c r="F33" s="69" t="s">
        <v>166</v>
      </c>
      <c r="G33" s="637"/>
      <c r="H33" s="623"/>
      <c r="I33" s="39"/>
    </row>
    <row r="34" spans="1:9" ht="25.5" customHeight="1" x14ac:dyDescent="0.2">
      <c r="A34" s="65" t="s">
        <v>167</v>
      </c>
      <c r="B34" s="630" t="s">
        <v>168</v>
      </c>
      <c r="C34" s="630"/>
      <c r="D34" s="630"/>
      <c r="E34" s="70">
        <v>8.4700000000000006</v>
      </c>
      <c r="F34" s="53" t="s">
        <v>6</v>
      </c>
      <c r="G34" s="637"/>
      <c r="H34" s="623"/>
      <c r="I34" s="39"/>
    </row>
    <row r="35" spans="1:9" ht="34.5" customHeight="1" x14ac:dyDescent="0.2">
      <c r="A35" s="65" t="s">
        <v>169</v>
      </c>
      <c r="B35" s="630" t="s">
        <v>170</v>
      </c>
      <c r="C35" s="630"/>
      <c r="D35" s="630"/>
      <c r="E35" s="70">
        <v>8.4700000000000006</v>
      </c>
      <c r="F35" s="53" t="s">
        <v>6</v>
      </c>
      <c r="G35" s="637"/>
      <c r="H35" s="623"/>
      <c r="I35" s="39"/>
    </row>
    <row r="36" spans="1:9" ht="25.5" customHeight="1" x14ac:dyDescent="0.2">
      <c r="A36" s="65">
        <v>3</v>
      </c>
      <c r="B36" s="630" t="s">
        <v>171</v>
      </c>
      <c r="C36" s="630"/>
      <c r="D36" s="630"/>
      <c r="E36" s="70">
        <v>3.06</v>
      </c>
      <c r="F36" s="53" t="s">
        <v>6</v>
      </c>
      <c r="G36" s="637"/>
      <c r="H36" s="623"/>
      <c r="I36" s="39"/>
    </row>
    <row r="37" spans="1:9" ht="25.5" hidden="1" customHeight="1" x14ac:dyDescent="0.2">
      <c r="A37" s="65"/>
      <c r="B37" s="630"/>
      <c r="C37" s="630"/>
      <c r="D37" s="630"/>
      <c r="E37" s="70"/>
      <c r="F37" s="71"/>
      <c r="G37" s="637"/>
      <c r="H37" s="623"/>
      <c r="I37" s="39"/>
    </row>
    <row r="38" spans="1:9" ht="25.5" hidden="1" customHeight="1" x14ac:dyDescent="0.2">
      <c r="A38" s="65"/>
      <c r="B38" s="630"/>
      <c r="C38" s="630"/>
      <c r="D38" s="630"/>
      <c r="E38" s="70"/>
      <c r="F38" s="71"/>
      <c r="G38" s="637"/>
      <c r="H38" s="623"/>
      <c r="I38" s="39"/>
    </row>
    <row r="39" spans="1:9" ht="25.5" hidden="1" customHeight="1" x14ac:dyDescent="0.2">
      <c r="A39" s="65"/>
      <c r="B39" s="630"/>
      <c r="C39" s="630"/>
      <c r="D39" s="630"/>
      <c r="E39" s="70"/>
      <c r="F39" s="71"/>
      <c r="G39" s="637"/>
      <c r="H39" s="623"/>
      <c r="I39" s="39"/>
    </row>
    <row r="40" spans="1:9" ht="25.5" hidden="1" customHeight="1" x14ac:dyDescent="0.2">
      <c r="A40" s="65"/>
      <c r="B40" s="630"/>
      <c r="C40" s="630"/>
      <c r="D40" s="630"/>
      <c r="E40" s="70"/>
      <c r="F40" s="71"/>
      <c r="G40" s="637"/>
      <c r="H40" s="623"/>
      <c r="I40" s="39"/>
    </row>
    <row r="41" spans="1:9" ht="25.5" hidden="1" customHeight="1" x14ac:dyDescent="0.2">
      <c r="A41" s="65"/>
      <c r="B41" s="630"/>
      <c r="C41" s="630"/>
      <c r="D41" s="630"/>
      <c r="E41" s="70"/>
      <c r="F41" s="71"/>
      <c r="G41" s="637"/>
      <c r="H41" s="623"/>
      <c r="I41" s="39"/>
    </row>
    <row r="42" spans="1:9" ht="99.75" customHeight="1" x14ac:dyDescent="0.2">
      <c r="A42" s="648" t="s">
        <v>172</v>
      </c>
      <c r="B42" s="648"/>
      <c r="C42" s="648"/>
      <c r="D42" s="648"/>
      <c r="E42" s="649"/>
      <c r="F42" s="72"/>
      <c r="G42" s="54">
        <v>5</v>
      </c>
      <c r="H42" s="623"/>
      <c r="I42" s="39"/>
    </row>
    <row r="43" spans="1:9" ht="70.5" customHeight="1" x14ac:dyDescent="0.2">
      <c r="A43" s="610" t="s">
        <v>144</v>
      </c>
      <c r="B43" s="63" t="s">
        <v>173</v>
      </c>
      <c r="C43" s="611" t="str">
        <f>IF(AND($F$24="",$F$42=""),"",IF(AND($F$24="NO",$F$42="NO"),[1]RESPUESTAS!$E$21,IF($F$24="NO",[1]RESPUESTAS!$D$21,IF(AND($F$24="SI",COUNTIF($F$25:$F$27,"SI")=0),[1]RESPUESTAS!$G$21,IF($F$42="NO",[1]RESPUESTAS!$F$21,[1]RESPUESTAS!$C$21)))))</f>
        <v>SIN OBSERVACIONES</v>
      </c>
      <c r="D43" s="611"/>
      <c r="E43" s="611"/>
      <c r="F43" s="611"/>
      <c r="G43" s="611"/>
      <c r="H43" s="611"/>
      <c r="I43" s="39"/>
    </row>
    <row r="44" spans="1:9" ht="70.5" customHeight="1" x14ac:dyDescent="0.2">
      <c r="A44" s="610"/>
      <c r="B44" s="63" t="s">
        <v>174</v>
      </c>
      <c r="C44" s="611" t="str">
        <f>IF(F28="NO",[1]RESPUESTAS!E22,[1]RESPUESTAS!D22)</f>
        <v>SIN OBSERVACIONES</v>
      </c>
      <c r="D44" s="611"/>
      <c r="E44" s="611"/>
      <c r="F44" s="611"/>
      <c r="G44" s="611"/>
      <c r="H44" s="611"/>
      <c r="I44" s="39"/>
    </row>
    <row r="45" spans="1:9" ht="354.75" customHeight="1" x14ac:dyDescent="0.2">
      <c r="A45" s="610"/>
      <c r="B45" s="60" t="s">
        <v>175</v>
      </c>
      <c r="C45" s="650"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50"/>
      <c r="E45" s="650"/>
      <c r="F45" s="650"/>
      <c r="G45" s="650"/>
      <c r="H45" s="650"/>
      <c r="I45" s="39"/>
    </row>
    <row r="46" spans="1:9" s="62" customFormat="1" ht="46.5" customHeight="1" x14ac:dyDescent="0.2">
      <c r="A46" s="646"/>
      <c r="B46" s="647"/>
      <c r="C46" s="647"/>
      <c r="D46" s="647"/>
      <c r="E46" s="647"/>
      <c r="F46" s="647"/>
      <c r="G46" s="647"/>
      <c r="H46" s="647"/>
      <c r="I46" s="647"/>
    </row>
    <row r="47" spans="1:9" ht="42" customHeight="1" x14ac:dyDescent="0.25">
      <c r="A47" s="621" t="s">
        <v>176</v>
      </c>
      <c r="B47" s="621"/>
      <c r="C47" s="621"/>
      <c r="D47" s="621"/>
      <c r="E47" s="633"/>
      <c r="F47" s="633"/>
      <c r="G47" s="633"/>
      <c r="H47" s="633"/>
      <c r="I47" s="39"/>
    </row>
    <row r="48" spans="1:9" ht="51.75" customHeight="1" x14ac:dyDescent="0.2">
      <c r="A48" s="621" t="s">
        <v>137</v>
      </c>
      <c r="B48" s="621"/>
      <c r="C48" s="621"/>
      <c r="D48" s="621"/>
      <c r="E48" s="621"/>
      <c r="F48" s="51" t="s">
        <v>138</v>
      </c>
      <c r="G48" s="52" t="s">
        <v>139</v>
      </c>
      <c r="H48" s="52" t="s">
        <v>140</v>
      </c>
      <c r="I48" s="39"/>
    </row>
    <row r="49" spans="1:9" ht="54.75" customHeight="1" x14ac:dyDescent="0.2">
      <c r="A49" s="654" t="s">
        <v>177</v>
      </c>
      <c r="B49" s="654"/>
      <c r="C49" s="654"/>
      <c r="D49" s="654"/>
      <c r="E49" s="654"/>
      <c r="F49" s="73" t="s">
        <v>6</v>
      </c>
      <c r="G49" s="637">
        <v>1</v>
      </c>
      <c r="H49" s="623">
        <f>IF(COUNTIF($F$49:$F$53,"SI")=2,G49,0)</f>
        <v>1</v>
      </c>
      <c r="I49" s="39"/>
    </row>
    <row r="50" spans="1:9" ht="54.75" customHeight="1" x14ac:dyDescent="0.2">
      <c r="A50" s="654" t="s">
        <v>178</v>
      </c>
      <c r="B50" s="654"/>
      <c r="C50" s="654"/>
      <c r="D50" s="654"/>
      <c r="E50" s="654"/>
      <c r="F50" s="74" t="s">
        <v>179</v>
      </c>
      <c r="G50" s="637"/>
      <c r="H50" s="623"/>
      <c r="I50" s="39"/>
    </row>
    <row r="51" spans="1:9" ht="54.75" customHeight="1" x14ac:dyDescent="0.2">
      <c r="A51" s="655" t="s">
        <v>180</v>
      </c>
      <c r="B51" s="655"/>
      <c r="C51" s="655"/>
      <c r="D51" s="656" t="s">
        <v>275</v>
      </c>
      <c r="E51" s="657"/>
      <c r="F51" s="75">
        <f>IFERROR(VLOOKUP($D$51,EXPERIENCIA!$D$80:$J$85,6,FALSE),0)</f>
        <v>9.36</v>
      </c>
      <c r="G51" s="637"/>
      <c r="H51" s="623"/>
      <c r="I51" s="39"/>
    </row>
    <row r="52" spans="1:9" ht="98.25" customHeight="1" x14ac:dyDescent="0.2">
      <c r="A52" s="658" t="s">
        <v>181</v>
      </c>
      <c r="B52" s="418" t="s">
        <v>182</v>
      </c>
      <c r="C52" s="418" t="s">
        <v>183</v>
      </c>
      <c r="D52" s="418" t="s">
        <v>184</v>
      </c>
      <c r="E52" s="419" t="s">
        <v>185</v>
      </c>
      <c r="F52" s="659" t="str">
        <f>IF(AND(D53="SI",C53&gt;=E53),"SI","NO")</f>
        <v>SI</v>
      </c>
      <c r="G52" s="637"/>
      <c r="H52" s="623"/>
      <c r="I52" s="39"/>
    </row>
    <row r="53" spans="1:9" ht="59.25" customHeight="1" x14ac:dyDescent="0.2">
      <c r="A53" s="658"/>
      <c r="B53" s="76">
        <v>21</v>
      </c>
      <c r="C53" s="76">
        <v>2</v>
      </c>
      <c r="D53" s="73" t="s">
        <v>6</v>
      </c>
      <c r="E53" s="77">
        <f>IF($B$53&gt;200,5,IF($B$53&gt;150,4,IF($B$53&gt;100,3,IF($B$53&gt;30,2,IF($B$53&gt;=1,1,0)))))</f>
        <v>1</v>
      </c>
      <c r="F53" s="659"/>
      <c r="G53" s="637"/>
      <c r="H53" s="623"/>
      <c r="I53" s="39"/>
    </row>
    <row r="54" spans="1:9" ht="50.25" customHeight="1" x14ac:dyDescent="0.2">
      <c r="A54" s="610" t="s">
        <v>144</v>
      </c>
      <c r="B54" s="59" t="s">
        <v>186</v>
      </c>
      <c r="C54" s="660" t="str">
        <f>IF($F$49="no",[1]RESPUESTAS!$D$23,[1]RESPUESTAS!$C$23)</f>
        <v>SIN OBSERVACIONES</v>
      </c>
      <c r="D54" s="660"/>
      <c r="E54" s="660"/>
      <c r="F54" s="660"/>
      <c r="G54" s="660"/>
      <c r="H54" s="660"/>
      <c r="I54" s="39"/>
    </row>
    <row r="55" spans="1:9" ht="69.75" customHeight="1" x14ac:dyDescent="0.2">
      <c r="A55" s="610"/>
      <c r="B55" s="59" t="s">
        <v>187</v>
      </c>
      <c r="C55" s="660" t="str">
        <f>IF($F$49="no",[1]RESPUESTAS!$E$23,[1]RESPUESTAS!$C$23)</f>
        <v>SIN OBSERVACIONES</v>
      </c>
      <c r="D55" s="660"/>
      <c r="E55" s="660"/>
      <c r="F55" s="660"/>
      <c r="G55" s="660"/>
      <c r="H55" s="660"/>
      <c r="I55" s="39"/>
    </row>
    <row r="56" spans="1:9" ht="106.5" customHeight="1" x14ac:dyDescent="0.2">
      <c r="A56" s="610"/>
      <c r="B56" s="59" t="s">
        <v>188</v>
      </c>
      <c r="C56" s="661" t="str">
        <f>IF(AND($D$53="no",$C$53&lt;$E$53),CONCATENATE([1]RESPUESTAS!$F$23,"
",[1]RESPUESTAS!$G$23),IF(AND($D$53="SI",$C$53&lt;$E$53),[1]RESPUESTAS!$G$23,IF(AND($D$53="NO",$C$53&gt;=$E$53),[1]RESPUESTAS!$F$23,[1]RESPUESTAS!$C$23)))</f>
        <v>SIN OBSERVACIONES</v>
      </c>
      <c r="D56" s="660"/>
      <c r="E56" s="660"/>
      <c r="F56" s="660"/>
      <c r="G56" s="660"/>
      <c r="H56" s="660"/>
      <c r="I56" s="39"/>
    </row>
    <row r="57" spans="1:9" ht="276" customHeight="1" x14ac:dyDescent="0.2">
      <c r="A57" s="610"/>
      <c r="B57" s="60" t="s">
        <v>175</v>
      </c>
      <c r="C57" s="662"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62"/>
      <c r="E57" s="662"/>
      <c r="F57" s="662"/>
      <c r="G57" s="662"/>
      <c r="H57" s="662"/>
      <c r="I57" s="39"/>
    </row>
    <row r="58" spans="1:9" ht="31.5" customHeight="1" x14ac:dyDescent="0.2">
      <c r="A58" s="651"/>
      <c r="B58" s="652"/>
      <c r="C58" s="652"/>
      <c r="D58" s="652"/>
      <c r="E58" s="652"/>
      <c r="F58" s="652"/>
      <c r="G58" s="652"/>
      <c r="H58" s="653"/>
      <c r="I58" s="39"/>
    </row>
    <row r="59" spans="1:9" ht="36.75" customHeight="1" x14ac:dyDescent="0.25">
      <c r="A59" s="621" t="s">
        <v>189</v>
      </c>
      <c r="B59" s="621"/>
      <c r="C59" s="621"/>
      <c r="D59" s="621"/>
      <c r="E59" s="633"/>
      <c r="F59" s="633"/>
      <c r="G59" s="633"/>
      <c r="H59" s="633"/>
      <c r="I59" s="39"/>
    </row>
    <row r="60" spans="1:9" ht="47.25" x14ac:dyDescent="0.2">
      <c r="A60" s="78" t="s">
        <v>190</v>
      </c>
      <c r="B60" s="79" t="s">
        <v>191</v>
      </c>
      <c r="C60" s="79" t="s">
        <v>192</v>
      </c>
      <c r="D60" s="79" t="s">
        <v>193</v>
      </c>
      <c r="E60" s="79" t="s">
        <v>31</v>
      </c>
      <c r="F60" s="80" t="s">
        <v>194</v>
      </c>
      <c r="G60" s="52" t="s">
        <v>139</v>
      </c>
      <c r="H60" s="52" t="s">
        <v>140</v>
      </c>
      <c r="I60" s="39"/>
    </row>
    <row r="61" spans="1:9" ht="46.5" customHeight="1" x14ac:dyDescent="0.2">
      <c r="A61" s="81" t="str" cm="1">
        <f t="array" ref="A61">IFERROR(_xlfn._xlws.FILTER(EXPERIENCIA!$D$19:$D$24,EXPERIENCIA!$A$19:$A$24="v"),"")</f>
        <v>GESTION RURAL Y URBANA SAS</v>
      </c>
      <c r="B61" s="417" t="s">
        <v>277</v>
      </c>
      <c r="C61" s="417" t="s">
        <v>6</v>
      </c>
      <c r="D61" s="82" cm="1">
        <f t="array" ref="D61">IFERROR(_xlfn._xlws.FILTER(EXPERIENCIA!$I$19:$I$24,EXPERIENCIA!$A$19:$A$24="v"),"")</f>
        <v>1</v>
      </c>
      <c r="E61" s="83" t="str" cm="1">
        <f t="array" ref="E61">IFERROR(_xlfn._xlws.FILTER(EXPERIENCIA!$N$19:$N$24,EXPERIENCIA!$A$19:$A$24="v"),"")</f>
        <v>CUMPLE</v>
      </c>
      <c r="F61" s="84" t="str">
        <f>IF(A61="","",IF(OR(B61="SI",C61="SI",D61&gt;=10%,E61="SE ANEXA"),"SI","""NO"))</f>
        <v>SI</v>
      </c>
      <c r="G61" s="637">
        <v>0.25</v>
      </c>
      <c r="H61" s="663">
        <f>IF(COUNTIF($F$61:$F$66,"SI")&gt;=1,G61,0)</f>
        <v>0.25</v>
      </c>
      <c r="I61" s="39"/>
    </row>
    <row r="62" spans="1:9" ht="46.5" customHeight="1" x14ac:dyDescent="0.2">
      <c r="A62" s="85"/>
      <c r="B62" s="417"/>
      <c r="C62" s="417"/>
      <c r="D62" s="86"/>
      <c r="E62" s="87"/>
      <c r="F62" s="84" t="str">
        <f t="shared" ref="F62:F66" si="0">IF(A62="","",IF(OR(B62="SI",C62="SI",D62&gt;=10%,E62="SE ANEXA"),"SI","""NO"))</f>
        <v/>
      </c>
      <c r="G62" s="637"/>
      <c r="H62" s="663"/>
      <c r="I62" s="39"/>
    </row>
    <row r="63" spans="1:9" ht="46.5" customHeight="1" x14ac:dyDescent="0.2">
      <c r="A63" s="85"/>
      <c r="B63" s="417"/>
      <c r="C63" s="417"/>
      <c r="D63" s="86"/>
      <c r="E63" s="87"/>
      <c r="F63" s="84" t="str">
        <f t="shared" si="0"/>
        <v/>
      </c>
      <c r="G63" s="637"/>
      <c r="H63" s="663"/>
      <c r="I63" s="39"/>
    </row>
    <row r="64" spans="1:9" ht="46.5" customHeight="1" x14ac:dyDescent="0.2">
      <c r="A64" s="85"/>
      <c r="B64" s="417"/>
      <c r="C64" s="417"/>
      <c r="D64" s="86"/>
      <c r="E64" s="87"/>
      <c r="F64" s="84" t="str">
        <f t="shared" si="0"/>
        <v/>
      </c>
      <c r="G64" s="637"/>
      <c r="H64" s="663"/>
      <c r="I64" s="39"/>
    </row>
    <row r="65" spans="1:10" ht="46.5" customHeight="1" x14ac:dyDescent="0.2">
      <c r="A65" s="85"/>
      <c r="B65" s="417"/>
      <c r="C65" s="417"/>
      <c r="D65" s="86"/>
      <c r="E65" s="87"/>
      <c r="F65" s="84" t="str">
        <f t="shared" si="0"/>
        <v/>
      </c>
      <c r="G65" s="637"/>
      <c r="H65" s="663"/>
      <c r="I65" s="39"/>
    </row>
    <row r="66" spans="1:10" ht="46.5" customHeight="1" x14ac:dyDescent="0.2">
      <c r="A66" s="85"/>
      <c r="B66" s="417"/>
      <c r="C66" s="417"/>
      <c r="D66" s="86"/>
      <c r="E66" s="87"/>
      <c r="F66" s="84" t="str">
        <f t="shared" si="0"/>
        <v/>
      </c>
      <c r="G66" s="637"/>
      <c r="H66" s="663"/>
      <c r="I66" s="39"/>
    </row>
    <row r="67" spans="1:10" ht="53.25" customHeight="1" x14ac:dyDescent="0.2">
      <c r="A67" s="58" t="s">
        <v>144</v>
      </c>
      <c r="B67" s="664"/>
      <c r="C67" s="664"/>
      <c r="D67" s="664"/>
      <c r="E67" s="664"/>
      <c r="F67" s="664"/>
      <c r="G67" s="664"/>
      <c r="H67" s="664"/>
      <c r="I67" s="39"/>
    </row>
    <row r="68" spans="1:10" ht="38.25" customHeight="1" x14ac:dyDescent="0.2">
      <c r="A68" s="651"/>
      <c r="B68" s="652"/>
      <c r="C68" s="652"/>
      <c r="D68" s="652"/>
      <c r="E68" s="652"/>
      <c r="F68" s="652"/>
      <c r="G68" s="652"/>
      <c r="H68" s="653"/>
      <c r="I68" s="39"/>
    </row>
    <row r="69" spans="1:10" ht="39.75" customHeight="1" x14ac:dyDescent="0.25">
      <c r="A69" s="621" t="s">
        <v>195</v>
      </c>
      <c r="B69" s="621"/>
      <c r="C69" s="621"/>
      <c r="D69" s="621"/>
      <c r="E69" s="633"/>
      <c r="F69" s="633"/>
      <c r="G69" s="633"/>
      <c r="H69" s="633"/>
      <c r="I69" s="39"/>
    </row>
    <row r="70" spans="1:10" ht="57" customHeight="1" x14ac:dyDescent="0.2">
      <c r="A70" s="621" t="s">
        <v>196</v>
      </c>
      <c r="B70" s="621"/>
      <c r="C70" s="621"/>
      <c r="D70" s="621"/>
      <c r="E70" s="50" t="s">
        <v>193</v>
      </c>
      <c r="F70" s="51" t="s">
        <v>194</v>
      </c>
      <c r="G70" s="52" t="s">
        <v>139</v>
      </c>
      <c r="H70" s="52" t="s">
        <v>140</v>
      </c>
      <c r="I70" s="39"/>
    </row>
    <row r="71" spans="1:10" ht="36" customHeight="1" x14ac:dyDescent="0.2">
      <c r="A71" s="88" t="str" cm="1">
        <f t="array" ref="A71">IFERROR(_xlfn._xlws.FILTER(EXPERIENCIA!$D$19:$D$24,EXPERIENCIA!$C$19:$C$24="v"),"")</f>
        <v>GESTION RURAL Y URBANA SAS</v>
      </c>
      <c r="B71" s="89"/>
      <c r="C71" s="89"/>
      <c r="D71" s="89"/>
      <c r="E71" s="90" cm="1">
        <f t="array" ref="E71">IFERROR(_xlfn._xlws.FILTER(EXPERIENCIA!$I$19:$I$24,EXPERIENCIA!$C$19:$C$24="v"),"")</f>
        <v>1</v>
      </c>
      <c r="F71" s="87" t="str">
        <f>IF($A$71="","",IF($E$71&gt;=10%,"SI","NO"))</f>
        <v>SI</v>
      </c>
      <c r="G71" s="665">
        <v>0.25</v>
      </c>
      <c r="H71" s="663">
        <f>IF(COUNTIF($F$71:$F$76,"SI")&gt;0,$G$71,0)</f>
        <v>0.25</v>
      </c>
      <c r="I71" s="39"/>
    </row>
    <row r="72" spans="1:10" ht="36" customHeight="1" x14ac:dyDescent="0.2">
      <c r="A72" s="89"/>
      <c r="B72" s="89"/>
      <c r="C72" s="89"/>
      <c r="D72" s="89"/>
      <c r="E72" s="91"/>
      <c r="F72" s="87" t="str">
        <f>IF($A$72="","",IF($E$72&gt;=10%,"SI","NO"))</f>
        <v/>
      </c>
      <c r="G72" s="665"/>
      <c r="H72" s="663"/>
      <c r="I72" s="39"/>
    </row>
    <row r="73" spans="1:10" ht="36" customHeight="1" x14ac:dyDescent="0.2">
      <c r="A73" s="89"/>
      <c r="B73" s="89"/>
      <c r="C73" s="89"/>
      <c r="D73" s="89"/>
      <c r="E73" s="91"/>
      <c r="F73" s="87" t="str">
        <f>IF($A$73="","",IF($E$73&gt;=10%,"SI","NO"))</f>
        <v/>
      </c>
      <c r="G73" s="665"/>
      <c r="H73" s="663"/>
      <c r="I73" s="39"/>
    </row>
    <row r="74" spans="1:10" ht="36" customHeight="1" x14ac:dyDescent="0.2">
      <c r="A74" s="89"/>
      <c r="B74" s="89"/>
      <c r="C74" s="89"/>
      <c r="D74" s="89"/>
      <c r="E74" s="91"/>
      <c r="F74" s="87" t="str">
        <f>IF($A$74="","",IF($E$74&gt;=10%,"SI","NO"))</f>
        <v/>
      </c>
      <c r="G74" s="665"/>
      <c r="H74" s="663"/>
      <c r="I74" s="39"/>
    </row>
    <row r="75" spans="1:10" ht="36" customHeight="1" x14ac:dyDescent="0.2">
      <c r="A75" s="89"/>
      <c r="B75" s="89"/>
      <c r="C75" s="89"/>
      <c r="D75" s="89"/>
      <c r="E75" s="91"/>
      <c r="F75" s="87" t="str">
        <f>IF($A$75="","",IF($E$75&gt;=10%,"SI","NO"))</f>
        <v/>
      </c>
      <c r="G75" s="665"/>
      <c r="H75" s="663"/>
      <c r="I75" s="39"/>
    </row>
    <row r="76" spans="1:10" ht="36" customHeight="1" x14ac:dyDescent="0.2">
      <c r="A76" s="89"/>
      <c r="B76" s="89"/>
      <c r="C76" s="89"/>
      <c r="D76" s="89"/>
      <c r="E76" s="91"/>
      <c r="F76" s="87" t="str">
        <f>IF($A$76="","",IF($E$76&gt;=10%,"SI","NO"))</f>
        <v/>
      </c>
      <c r="G76" s="665"/>
      <c r="H76" s="663"/>
      <c r="I76" s="39"/>
    </row>
    <row r="77" spans="1:10" s="44" customFormat="1" ht="37.5" customHeight="1" x14ac:dyDescent="0.25">
      <c r="A77" s="58" t="s">
        <v>144</v>
      </c>
      <c r="B77" s="666"/>
      <c r="C77" s="666"/>
      <c r="D77" s="666"/>
      <c r="E77" s="666"/>
      <c r="F77" s="666"/>
      <c r="G77" s="666"/>
      <c r="H77" s="666"/>
      <c r="I77" s="39"/>
      <c r="J77"/>
    </row>
    <row r="78" spans="1:10" s="44" customFormat="1" ht="37.5" customHeight="1" x14ac:dyDescent="0.2">
      <c r="A78" s="667"/>
      <c r="B78" s="668"/>
      <c r="C78" s="668"/>
      <c r="D78" s="668"/>
      <c r="E78" s="668"/>
      <c r="F78" s="668"/>
      <c r="G78" s="668"/>
      <c r="H78" s="669"/>
      <c r="I78" s="39"/>
    </row>
    <row r="79" spans="1:10" ht="57.75" customHeight="1" x14ac:dyDescent="0.2">
      <c r="A79" s="621" t="s">
        <v>197</v>
      </c>
      <c r="B79" s="621"/>
      <c r="C79" s="621"/>
      <c r="D79" s="621"/>
      <c r="E79" s="621"/>
      <c r="F79" s="92" t="s">
        <v>198</v>
      </c>
      <c r="G79" s="93" t="s">
        <v>131</v>
      </c>
      <c r="H79" s="420">
        <f>IF(G79="Si",-2,0)</f>
        <v>0</v>
      </c>
      <c r="I79" s="39"/>
      <c r="J79" s="94" t="s">
        <v>198</v>
      </c>
    </row>
    <row r="80" spans="1:10" s="44" customFormat="1" ht="15.75" customHeight="1" x14ac:dyDescent="0.25">
      <c r="A80" s="95" t="s">
        <v>144</v>
      </c>
      <c r="B80" s="670"/>
      <c r="C80" s="671"/>
      <c r="D80" s="671"/>
      <c r="E80" s="671"/>
      <c r="F80" s="671"/>
      <c r="G80" s="671"/>
      <c r="H80" s="672"/>
      <c r="I80" s="39"/>
    </row>
    <row r="81" spans="1:10" ht="332.25" customHeight="1" x14ac:dyDescent="0.2">
      <c r="A81" s="673"/>
      <c r="B81" s="673"/>
      <c r="C81" s="673"/>
      <c r="D81" s="673"/>
      <c r="E81" s="673"/>
      <c r="F81" s="673"/>
      <c r="G81" s="673"/>
      <c r="H81" s="673"/>
      <c r="I81" s="39"/>
    </row>
    <row r="82" spans="1:10" s="44" customFormat="1" ht="52.5" customHeight="1" x14ac:dyDescent="0.2">
      <c r="A82" s="677"/>
      <c r="B82" s="678"/>
      <c r="C82" s="678"/>
      <c r="D82" s="678"/>
      <c r="E82" s="678"/>
      <c r="F82" s="678"/>
      <c r="G82" s="678"/>
      <c r="H82" s="678"/>
      <c r="I82" s="678"/>
    </row>
    <row r="83" spans="1:10" s="44" customFormat="1" ht="33.75" x14ac:dyDescent="0.2">
      <c r="A83" s="674" t="s">
        <v>199</v>
      </c>
      <c r="B83" s="674"/>
      <c r="C83" s="674"/>
      <c r="D83" s="674"/>
      <c r="E83" s="674"/>
      <c r="F83" s="674"/>
      <c r="G83" s="674"/>
      <c r="H83" s="674"/>
      <c r="I83" s="39"/>
    </row>
    <row r="84" spans="1:10" ht="42" customHeight="1" x14ac:dyDescent="0.4">
      <c r="A84" s="675" t="str">
        <f>CONCATENATE("TOTAL PUNTAJE OFERENTE ",$D$3)</f>
        <v>TOTAL PUNTAJE OFERENTE GESTION RURAL Y URBANA SAS</v>
      </c>
      <c r="B84" s="675"/>
      <c r="C84" s="675"/>
      <c r="D84" s="675"/>
      <c r="E84" s="676"/>
      <c r="F84" s="676"/>
      <c r="G84" s="676"/>
      <c r="H84" s="421" t="str">
        <f>IF($G$5="HABILITADO",(H79+H71+H61+H49+H24+H18+H9),"")</f>
        <v/>
      </c>
      <c r="I84" s="39"/>
      <c r="J84" s="421">
        <f>+H79+H71+H61+H49+H24+H18+H9</f>
        <v>31.5</v>
      </c>
    </row>
    <row r="85" spans="1:10" s="44" customFormat="1" ht="8.25" customHeight="1" x14ac:dyDescent="0.2">
      <c r="A85" s="39"/>
      <c r="B85" s="39"/>
      <c r="C85" s="39"/>
      <c r="D85" s="39"/>
      <c r="E85" s="39"/>
      <c r="F85" s="39"/>
      <c r="G85" s="39"/>
      <c r="H85" s="39"/>
      <c r="I85" s="39"/>
    </row>
    <row r="86" spans="1:10" s="44" customFormat="1" ht="15" customHeight="1" x14ac:dyDescent="0.2">
      <c r="A86" s="62"/>
      <c r="B86" s="62"/>
      <c r="C86" s="62"/>
      <c r="D86" s="62"/>
      <c r="E86" s="62"/>
      <c r="F86" s="62"/>
      <c r="G86" s="62"/>
      <c r="H86" s="62"/>
      <c r="I86" s="39"/>
    </row>
    <row r="87" spans="1:10" s="44" customFormat="1" ht="15" customHeight="1" x14ac:dyDescent="0.2">
      <c r="A87" s="62"/>
      <c r="B87" s="62"/>
      <c r="C87" s="62"/>
      <c r="D87" s="62"/>
      <c r="E87" s="62"/>
      <c r="F87" s="62"/>
      <c r="G87" s="62"/>
      <c r="H87" s="62"/>
      <c r="I87" s="62"/>
    </row>
    <row r="88" spans="1:10" s="44" customFormat="1" ht="9" customHeight="1" x14ac:dyDescent="0.2">
      <c r="A88" s="39"/>
      <c r="B88" s="39"/>
      <c r="C88" s="39"/>
      <c r="D88" s="39"/>
      <c r="E88" s="39"/>
      <c r="F88" s="39"/>
      <c r="G88" s="39"/>
      <c r="H88" s="39"/>
      <c r="I88" s="39"/>
    </row>
    <row r="89" spans="1:10" s="44" customFormat="1" ht="15.75" customHeight="1" x14ac:dyDescent="0.2">
      <c r="A89" s="96"/>
      <c r="B89" s="96"/>
      <c r="C89" s="96"/>
      <c r="D89" s="96"/>
      <c r="E89" s="96"/>
      <c r="F89" s="96"/>
      <c r="G89" s="96"/>
      <c r="H89" s="96"/>
      <c r="I89" s="96"/>
    </row>
    <row r="90" spans="1:10" s="44" customFormat="1" ht="15.75" customHeight="1" x14ac:dyDescent="0.2">
      <c r="A90" s="96"/>
      <c r="B90" s="96"/>
      <c r="C90" s="96"/>
      <c r="D90" s="96"/>
      <c r="E90" s="96"/>
      <c r="F90" s="96"/>
      <c r="G90" s="96"/>
      <c r="H90" s="96"/>
      <c r="I90" s="96"/>
    </row>
    <row r="91" spans="1:10" s="44" customFormat="1" ht="15.75" customHeight="1" x14ac:dyDescent="0.2">
      <c r="A91" s="96"/>
      <c r="B91" s="96"/>
      <c r="C91" s="96"/>
      <c r="D91" s="96"/>
      <c r="E91" s="96"/>
      <c r="F91" s="96"/>
      <c r="G91" s="96"/>
      <c r="H91" s="96"/>
      <c r="I91" s="96"/>
    </row>
    <row r="92" spans="1:10" s="44" customFormat="1" ht="15.75" customHeight="1" x14ac:dyDescent="0.2">
      <c r="A92" s="96"/>
      <c r="B92" s="96"/>
      <c r="C92" s="96"/>
      <c r="D92" s="96"/>
      <c r="E92" s="96"/>
      <c r="F92" s="96"/>
      <c r="G92" s="96"/>
      <c r="H92" s="96"/>
      <c r="I92" s="96"/>
    </row>
    <row r="93" spans="1:10" s="44" customFormat="1" ht="15.75" customHeight="1" x14ac:dyDescent="0.2">
      <c r="A93" s="96"/>
      <c r="B93" s="96"/>
      <c r="C93" s="96"/>
      <c r="D93" s="96"/>
      <c r="E93" s="96"/>
      <c r="F93" s="96"/>
      <c r="G93" s="96"/>
      <c r="H93" s="96"/>
      <c r="I93" s="96"/>
    </row>
  </sheetData>
  <sheetProtection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60" priority="15">
      <formula>$F$28="NO"</formula>
    </cfRule>
  </conditionalFormatting>
  <conditionalFormatting sqref="A34:F41">
    <cfRule type="expression" dxfId="59" priority="11">
      <formula>$F$29="no"</formula>
    </cfRule>
  </conditionalFormatting>
  <conditionalFormatting sqref="A71:F71 F72:F76">
    <cfRule type="expression" dxfId="58" priority="5">
      <formula>$F$71=""</formula>
    </cfRule>
  </conditionalFormatting>
  <conditionalFormatting sqref="A72:F72 F73:F76">
    <cfRule type="expression" dxfId="57" priority="6">
      <formula>$F$72=""</formula>
    </cfRule>
  </conditionalFormatting>
  <conditionalFormatting sqref="A73:F73">
    <cfRule type="expression" dxfId="56" priority="10">
      <formula>$F$73=""</formula>
    </cfRule>
  </conditionalFormatting>
  <conditionalFormatting sqref="A74:F74">
    <cfRule type="expression" dxfId="55" priority="9">
      <formula>$F$74=""</formula>
    </cfRule>
  </conditionalFormatting>
  <conditionalFormatting sqref="A75:F75">
    <cfRule type="expression" dxfId="54" priority="8">
      <formula>$F$75=""</formula>
    </cfRule>
  </conditionalFormatting>
  <conditionalFormatting sqref="A76:F76">
    <cfRule type="expression" dxfId="53" priority="7">
      <formula>$F$76=""</formula>
    </cfRule>
  </conditionalFormatting>
  <conditionalFormatting sqref="B53:C53">
    <cfRule type="expression" dxfId="52" priority="25">
      <formula>$F$49="NO"</formula>
    </cfRule>
  </conditionalFormatting>
  <conditionalFormatting sqref="D53">
    <cfRule type="expression" dxfId="51" priority="26">
      <formula>$F$42="si"</formula>
    </cfRule>
    <cfRule type="cellIs" dxfId="50" priority="27" operator="equal">
      <formula>"NO"</formula>
    </cfRule>
    <cfRule type="cellIs" dxfId="49" priority="28" operator="equal">
      <formula>"SI"</formula>
    </cfRule>
  </conditionalFormatting>
  <conditionalFormatting sqref="F5">
    <cfRule type="cellIs" dxfId="48" priority="4" operator="equal">
      <formula>0</formula>
    </cfRule>
  </conditionalFormatting>
  <conditionalFormatting sqref="F9">
    <cfRule type="cellIs" dxfId="47" priority="52" operator="equal">
      <formula>"SI"</formula>
    </cfRule>
    <cfRule type="cellIs" dxfId="46" priority="51" operator="equal">
      <formula>"NO"</formula>
    </cfRule>
  </conditionalFormatting>
  <conditionalFormatting sqref="F10">
    <cfRule type="cellIs" dxfId="45" priority="46" operator="equal">
      <formula>"SI"</formula>
    </cfRule>
    <cfRule type="cellIs" dxfId="44" priority="45" operator="equal">
      <formula>"NO"</formula>
    </cfRule>
  </conditionalFormatting>
  <conditionalFormatting sqref="F18">
    <cfRule type="cellIs" dxfId="43" priority="43" operator="equal">
      <formula>"SI"</formula>
    </cfRule>
    <cfRule type="cellIs" dxfId="42" priority="42" operator="equal">
      <formula>"NO"</formula>
    </cfRule>
  </conditionalFormatting>
  <conditionalFormatting sqref="F24">
    <cfRule type="cellIs" dxfId="41" priority="38" operator="equal">
      <formula>"NO"</formula>
    </cfRule>
  </conditionalFormatting>
  <conditionalFormatting sqref="F24:F27 F42 F33">
    <cfRule type="cellIs" dxfId="40" priority="39" operator="equal">
      <formula>"SI"</formula>
    </cfRule>
  </conditionalFormatting>
  <conditionalFormatting sqref="F25 F27">
    <cfRule type="expression" dxfId="39" priority="36">
      <formula>$F$26="si"</formula>
    </cfRule>
  </conditionalFormatting>
  <conditionalFormatting sqref="F25:F26">
    <cfRule type="expression" dxfId="38" priority="37">
      <formula>$F$27="si"</formula>
    </cfRule>
  </conditionalFormatting>
  <conditionalFormatting sqref="F25:F27">
    <cfRule type="expression" dxfId="37" priority="40">
      <formula>$F$24="NO"</formula>
    </cfRule>
  </conditionalFormatting>
  <conditionalFormatting sqref="F26:F27">
    <cfRule type="expression" dxfId="36" priority="41">
      <formula>$F$25="SI"</formula>
    </cfRule>
  </conditionalFormatting>
  <conditionalFormatting sqref="F29">
    <cfRule type="expression" dxfId="35" priority="12">
      <formula>$F$28="NO"</formula>
    </cfRule>
    <cfRule type="cellIs" dxfId="34" priority="16" operator="equal">
      <formula>"NO"</formula>
    </cfRule>
    <cfRule type="cellIs" dxfId="33" priority="17" operator="equal">
      <formula>"SI"</formula>
    </cfRule>
  </conditionalFormatting>
  <conditionalFormatting sqref="F34:F41">
    <cfRule type="cellIs" dxfId="32" priority="13" operator="equal">
      <formula>"NO"</formula>
    </cfRule>
    <cfRule type="cellIs" dxfId="31" priority="14" operator="equal">
      <formula>"SI"</formula>
    </cfRule>
  </conditionalFormatting>
  <conditionalFormatting sqref="F42">
    <cfRule type="expression" dxfId="30" priority="34">
      <formula>$F$24="si"</formula>
    </cfRule>
    <cfRule type="cellIs" dxfId="29" priority="35" operator="equal">
      <formula>"NO"</formula>
    </cfRule>
  </conditionalFormatting>
  <conditionalFormatting sqref="F49 F52">
    <cfRule type="cellIs" dxfId="28" priority="31" operator="equal">
      <formula>"SI"</formula>
    </cfRule>
    <cfRule type="cellIs" dxfId="27" priority="30" operator="equal">
      <formula>"NO"</formula>
    </cfRule>
  </conditionalFormatting>
  <conditionalFormatting sqref="F49">
    <cfRule type="expression" dxfId="26" priority="29">
      <formula>$F$42="si"</formula>
    </cfRule>
  </conditionalFormatting>
  <conditionalFormatting sqref="F51">
    <cfRule type="cellIs" dxfId="25" priority="3" operator="greaterThan">
      <formula>0.4</formula>
    </cfRule>
    <cfRule type="cellIs" dxfId="24" priority="2" operator="lessThan">
      <formula>0.4</formula>
    </cfRule>
  </conditionalFormatting>
  <conditionalFormatting sqref="F52 F29:F30 B30 D30 A33:F41 F24:F27">
    <cfRule type="expression" dxfId="23" priority="33">
      <formula>$F$42="si"</formula>
    </cfRule>
  </conditionalFormatting>
  <conditionalFormatting sqref="F61:F66">
    <cfRule type="cellIs" dxfId="22" priority="23" operator="equal">
      <formula>"SI"</formula>
    </cfRule>
    <cfRule type="cellIs" dxfId="21" priority="22" operator="equal">
      <formula>"NO"</formula>
    </cfRule>
  </conditionalFormatting>
  <conditionalFormatting sqref="F71:F76">
    <cfRule type="cellIs" dxfId="20" priority="20" operator="equal">
      <formula>"SI"</formula>
    </cfRule>
    <cfRule type="cellIs" dxfId="19" priority="19" operator="equal">
      <formula>"NO"</formula>
    </cfRule>
    <cfRule type="expression" dxfId="18" priority="18">
      <formula>$F$42="si"</formula>
    </cfRule>
  </conditionalFormatting>
  <conditionalFormatting sqref="G79">
    <cfRule type="cellIs" dxfId="17" priority="47" operator="equal">
      <formula>"Si"</formula>
    </cfRule>
    <cfRule type="cellIs" dxfId="16" priority="48" operator="equal">
      <formula>"No"</formula>
    </cfRule>
  </conditionalFormatting>
  <conditionalFormatting sqref="H8">
    <cfRule type="cellIs" dxfId="15" priority="50" operator="equal">
      <formula>0</formula>
    </cfRule>
  </conditionalFormatting>
  <conditionalFormatting sqref="H17">
    <cfRule type="cellIs" dxfId="14" priority="44" operator="equal">
      <formula>0</formula>
    </cfRule>
  </conditionalFormatting>
  <conditionalFormatting sqref="H48">
    <cfRule type="cellIs" dxfId="13" priority="32" operator="equal">
      <formula>0</formula>
    </cfRule>
  </conditionalFormatting>
  <conditionalFormatting sqref="H60">
    <cfRule type="cellIs" dxfId="12" priority="24" operator="equal">
      <formula>0</formula>
    </cfRule>
  </conditionalFormatting>
  <conditionalFormatting sqref="H70">
    <cfRule type="cellIs" dxfId="11" priority="21" operator="equal">
      <formula>0</formula>
    </cfRule>
  </conditionalFormatting>
  <conditionalFormatting sqref="H84">
    <cfRule type="cellIs" dxfId="10" priority="49" operator="greaterThan">
      <formula>41</formula>
    </cfRule>
  </conditionalFormatting>
  <conditionalFormatting sqref="J84">
    <cfRule type="cellIs" dxfId="9" priority="1"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17" zoomScale="55" zoomScaleNormal="70" zoomScaleSheetLayoutView="55" workbookViewId="0">
      <selection activeCell="K27" sqref="K27"/>
    </sheetView>
  </sheetViews>
  <sheetFormatPr baseColWidth="10" defaultColWidth="11.42578125" defaultRowHeight="18" outlineLevelRow="1" x14ac:dyDescent="0.25"/>
  <cols>
    <col min="1" max="1" width="3" style="166" customWidth="1"/>
    <col min="2" max="2" width="9.140625" style="166" customWidth="1"/>
    <col min="3" max="3" width="37" style="166" customWidth="1"/>
    <col min="4" max="5" width="32.42578125" style="166" customWidth="1"/>
    <col min="6" max="6" width="36.7109375" style="166" customWidth="1"/>
    <col min="7" max="7" width="15.5703125" style="166" customWidth="1"/>
    <col min="8" max="8" width="23.140625" style="166" customWidth="1"/>
    <col min="9" max="9" width="6.42578125" style="166" customWidth="1"/>
    <col min="10" max="11" width="41.140625" style="166" customWidth="1"/>
    <col min="12" max="12" width="29.28515625" style="166" bestFit="1" customWidth="1"/>
    <col min="13" max="13" width="25.42578125" style="166" customWidth="1"/>
    <col min="14" max="14" width="34.28515625" style="166" customWidth="1"/>
    <col min="15" max="15" width="3" style="166" customWidth="1"/>
    <col min="16" max="16" width="2.85546875" style="166" customWidth="1"/>
    <col min="17" max="17" width="11.42578125" style="101"/>
    <col min="18" max="18" width="20.140625" style="101" customWidth="1"/>
    <col min="19" max="19" width="15.42578125" style="101" bestFit="1" customWidth="1"/>
    <col min="20" max="16384" width="11.42578125" style="101"/>
  </cols>
  <sheetData>
    <row r="1" spans="1:16" s="98" customFormat="1" x14ac:dyDescent="0.25">
      <c r="A1" s="97"/>
      <c r="B1" s="97"/>
      <c r="C1" s="97"/>
      <c r="D1" s="97"/>
      <c r="E1" s="97"/>
      <c r="F1" s="97"/>
      <c r="G1" s="97"/>
      <c r="H1" s="97"/>
      <c r="I1" s="97"/>
      <c r="J1" s="97"/>
      <c r="K1" s="97"/>
      <c r="L1" s="97"/>
      <c r="M1" s="97"/>
      <c r="N1" s="97"/>
      <c r="O1" s="97"/>
      <c r="P1" s="97"/>
    </row>
    <row r="2" spans="1:16" s="98" customFormat="1" ht="117" customHeight="1" x14ac:dyDescent="0.25">
      <c r="A2" s="97"/>
      <c r="B2" s="680"/>
      <c r="C2" s="680"/>
      <c r="D2" s="681" t="s">
        <v>200</v>
      </c>
      <c r="E2" s="681"/>
      <c r="F2" s="681"/>
      <c r="G2" s="681"/>
      <c r="H2" s="681"/>
      <c r="I2" s="681"/>
      <c r="J2" s="681"/>
      <c r="K2" s="681"/>
      <c r="L2" s="681"/>
      <c r="M2" s="681"/>
      <c r="N2" s="680"/>
      <c r="O2" s="680"/>
      <c r="P2" s="97"/>
    </row>
    <row r="3" spans="1:16" ht="15.75" customHeight="1" x14ac:dyDescent="0.25">
      <c r="A3" s="97"/>
      <c r="B3" s="99"/>
      <c r="C3" s="99"/>
      <c r="D3" s="100"/>
      <c r="E3" s="100"/>
      <c r="F3" s="99"/>
      <c r="G3" s="99"/>
      <c r="H3" s="99"/>
      <c r="I3" s="99"/>
      <c r="J3" s="99"/>
      <c r="K3" s="99"/>
      <c r="L3" s="99"/>
      <c r="M3" s="99"/>
      <c r="N3" s="99"/>
      <c r="O3" s="99"/>
      <c r="P3" s="99"/>
    </row>
    <row r="4" spans="1:16" ht="15.75" customHeight="1" x14ac:dyDescent="0.25">
      <c r="A4" s="97"/>
      <c r="B4" s="102"/>
      <c r="C4" s="103"/>
      <c r="D4" s="104"/>
      <c r="E4" s="104"/>
      <c r="F4" s="103"/>
      <c r="G4" s="103"/>
      <c r="H4" s="103"/>
      <c r="I4" s="103"/>
      <c r="J4" s="103"/>
      <c r="K4" s="103"/>
      <c r="L4" s="103"/>
      <c r="M4" s="103"/>
      <c r="N4" s="103"/>
      <c r="O4" s="105"/>
      <c r="P4" s="99"/>
    </row>
    <row r="5" spans="1:16" ht="15.75" customHeight="1" x14ac:dyDescent="0.25">
      <c r="A5" s="97"/>
      <c r="B5" s="106" t="s">
        <v>201</v>
      </c>
      <c r="C5" s="99"/>
      <c r="D5" s="100"/>
      <c r="E5" s="100"/>
      <c r="F5" s="99"/>
      <c r="G5" s="99"/>
      <c r="H5" s="99"/>
      <c r="I5" s="99"/>
      <c r="J5" s="99"/>
      <c r="K5" s="99"/>
      <c r="L5" s="99"/>
      <c r="M5" s="99"/>
      <c r="N5" s="99"/>
      <c r="O5" s="107"/>
      <c r="P5" s="99"/>
    </row>
    <row r="6" spans="1:16" ht="15.75" customHeight="1" x14ac:dyDescent="0.25">
      <c r="A6" s="97"/>
      <c r="B6" s="108"/>
      <c r="C6" s="109"/>
      <c r="D6" s="109"/>
      <c r="E6" s="109"/>
      <c r="F6" s="109"/>
      <c r="G6" s="109"/>
      <c r="H6" s="109"/>
      <c r="I6" s="109"/>
      <c r="J6" s="109"/>
      <c r="K6" s="109"/>
      <c r="L6" s="109"/>
      <c r="M6" s="109"/>
      <c r="N6" s="109"/>
      <c r="O6" s="110"/>
      <c r="P6" s="97"/>
    </row>
    <row r="7" spans="1:16" ht="42" customHeight="1" x14ac:dyDescent="0.25">
      <c r="A7" s="97"/>
      <c r="B7" s="111"/>
      <c r="C7" s="112" t="s">
        <v>1</v>
      </c>
      <c r="D7" s="422">
        <f>+PONDERACIÓN!B3</f>
        <v>35</v>
      </c>
      <c r="E7" s="423" t="s">
        <v>202</v>
      </c>
      <c r="F7" s="682" t="str">
        <f>IF($D$7&gt;0,(VLOOKUP($D$7,[1]OFERENTES!$A$8:$W$1027,2,FALSE)),"")</f>
        <v>GESTION RURAL Y URBANA SAS</v>
      </c>
      <c r="G7" s="683"/>
      <c r="H7" s="683"/>
      <c r="I7" s="683"/>
      <c r="J7" s="683"/>
      <c r="K7" s="683"/>
      <c r="L7" s="684" t="s">
        <v>203</v>
      </c>
      <c r="M7" s="684"/>
      <c r="N7" s="220" t="str">
        <f>IFERROR(VLOOKUP($D$7,[1]OFERENTES!$A$8:$AA$1027,26,FALSE),"")</f>
        <v>Proponente Individual</v>
      </c>
      <c r="O7" s="113"/>
      <c r="P7" s="97"/>
    </row>
    <row r="8" spans="1:16" ht="21.75" customHeight="1" x14ac:dyDescent="0.25">
      <c r="A8" s="97"/>
      <c r="B8" s="114"/>
      <c r="C8" s="424"/>
      <c r="D8" s="424"/>
      <c r="E8" s="424"/>
      <c r="F8" s="115"/>
      <c r="G8" s="116"/>
      <c r="H8" s="115"/>
      <c r="I8" s="115"/>
      <c r="J8" s="115"/>
      <c r="K8" s="115"/>
      <c r="L8" s="115"/>
      <c r="M8" s="115"/>
      <c r="N8" s="115"/>
      <c r="O8" s="117"/>
      <c r="P8" s="118"/>
    </row>
    <row r="9" spans="1:16" ht="27" customHeight="1" x14ac:dyDescent="0.25">
      <c r="A9" s="97"/>
      <c r="B9" s="99"/>
      <c r="C9" s="99"/>
      <c r="D9" s="100"/>
      <c r="E9" s="100"/>
      <c r="F9" s="99"/>
      <c r="G9" s="99"/>
      <c r="H9" s="99"/>
      <c r="I9" s="99"/>
      <c r="J9" s="99"/>
      <c r="K9" s="99"/>
      <c r="L9" s="99"/>
      <c r="M9" s="99"/>
      <c r="N9" s="99"/>
      <c r="O9" s="99"/>
      <c r="P9" s="99"/>
    </row>
    <row r="10" spans="1:16" ht="27" customHeight="1" x14ac:dyDescent="0.25">
      <c r="A10" s="97"/>
      <c r="B10" s="119" t="s">
        <v>204</v>
      </c>
      <c r="C10" s="103"/>
      <c r="D10" s="104"/>
      <c r="E10" s="104"/>
      <c r="F10" s="103"/>
      <c r="G10" s="103"/>
      <c r="H10" s="103"/>
      <c r="I10" s="103"/>
      <c r="J10" s="103"/>
      <c r="K10" s="103"/>
      <c r="L10" s="103"/>
      <c r="M10" s="103"/>
      <c r="N10" s="103"/>
      <c r="O10" s="105"/>
      <c r="P10" s="99"/>
    </row>
    <row r="11" spans="1:16" s="98" customFormat="1" ht="75.75" customHeight="1" x14ac:dyDescent="0.25">
      <c r="A11" s="97"/>
      <c r="B11" s="120"/>
      <c r="C11" s="97"/>
      <c r="D11" s="97"/>
      <c r="E11" s="97"/>
      <c r="F11" s="97"/>
      <c r="G11" s="97"/>
      <c r="H11" s="97"/>
      <c r="I11" s="99"/>
      <c r="J11" s="77" t="s">
        <v>205</v>
      </c>
      <c r="K11" s="77" t="s">
        <v>206</v>
      </c>
      <c r="L11" s="121" t="s">
        <v>207</v>
      </c>
      <c r="M11" s="679" t="s">
        <v>208</v>
      </c>
      <c r="N11" s="679"/>
      <c r="O11" s="107"/>
      <c r="P11" s="99"/>
    </row>
    <row r="12" spans="1:16" ht="69.75" customHeight="1" x14ac:dyDescent="0.25">
      <c r="A12" s="97"/>
      <c r="B12" s="120"/>
      <c r="C12" s="685" t="s">
        <v>209</v>
      </c>
      <c r="D12" s="685"/>
      <c r="E12" s="685"/>
      <c r="F12" s="685"/>
      <c r="G12" s="685"/>
      <c r="H12" s="685"/>
      <c r="I12" s="99"/>
      <c r="J12" s="122">
        <v>28911074854</v>
      </c>
      <c r="K12" s="123">
        <f>+N17</f>
        <v>750625521.5</v>
      </c>
      <c r="L12" s="124" t="str">
        <f>IF(M12="habilitado","SI","NO")</f>
        <v>SI</v>
      </c>
      <c r="M12" s="686" t="str">
        <f>IF(J12="","",IF(J12&gt;=K12,"HABILITADO","NO HABILITADO"))</f>
        <v>HABILITADO</v>
      </c>
      <c r="N12" s="687"/>
      <c r="O12" s="107"/>
      <c r="P12" s="99"/>
    </row>
    <row r="13" spans="1:16" ht="27" customHeight="1" x14ac:dyDescent="0.25">
      <c r="A13" s="97"/>
      <c r="B13" s="125"/>
      <c r="C13" s="126"/>
      <c r="D13" s="127"/>
      <c r="E13" s="127"/>
      <c r="F13" s="126"/>
      <c r="G13" s="126"/>
      <c r="H13" s="126"/>
      <c r="I13" s="126"/>
      <c r="J13" s="126"/>
      <c r="K13" s="126"/>
      <c r="L13" s="126"/>
      <c r="M13" s="126"/>
      <c r="N13" s="126"/>
      <c r="O13" s="128"/>
      <c r="P13" s="99"/>
    </row>
    <row r="14" spans="1:16" ht="27" customHeight="1" x14ac:dyDescent="0.25">
      <c r="A14" s="97"/>
      <c r="B14" s="129"/>
      <c r="C14" s="99"/>
      <c r="D14" s="100"/>
      <c r="E14" s="100"/>
      <c r="F14" s="99"/>
      <c r="G14" s="99"/>
      <c r="H14" s="99"/>
      <c r="I14" s="99"/>
      <c r="J14" s="99"/>
      <c r="K14" s="99"/>
      <c r="L14" s="99"/>
      <c r="M14" s="99"/>
      <c r="N14" s="99"/>
      <c r="O14" s="99"/>
      <c r="P14" s="99"/>
    </row>
    <row r="15" spans="1:16" ht="26.25" customHeight="1" x14ac:dyDescent="0.25">
      <c r="A15" s="97"/>
      <c r="B15" s="119" t="s">
        <v>210</v>
      </c>
      <c r="C15" s="103"/>
      <c r="D15" s="104"/>
      <c r="E15" s="104"/>
      <c r="F15" s="103"/>
      <c r="G15" s="103"/>
      <c r="H15" s="103"/>
      <c r="I15" s="103"/>
      <c r="J15" s="103"/>
      <c r="K15" s="103"/>
      <c r="L15" s="103"/>
      <c r="M15" s="103"/>
      <c r="N15" s="103"/>
      <c r="O15" s="105"/>
      <c r="P15" s="99"/>
    </row>
    <row r="16" spans="1:16" ht="15.75" customHeight="1" thickBot="1" x14ac:dyDescent="0.3">
      <c r="A16" s="97"/>
      <c r="B16" s="130"/>
      <c r="C16" s="99"/>
      <c r="D16" s="100"/>
      <c r="E16" s="100"/>
      <c r="F16" s="99"/>
      <c r="G16" s="99"/>
      <c r="H16" s="99"/>
      <c r="I16" s="99"/>
      <c r="J16" s="99"/>
      <c r="K16" s="99"/>
      <c r="L16" s="99"/>
      <c r="M16" s="99"/>
      <c r="N16" s="99"/>
      <c r="O16" s="107"/>
      <c r="P16" s="99"/>
    </row>
    <row r="17" spans="1:16" ht="91.5" customHeight="1" thickTop="1" x14ac:dyDescent="0.25">
      <c r="A17" s="97"/>
      <c r="B17" s="130"/>
      <c r="C17" s="131" t="s">
        <v>211</v>
      </c>
      <c r="D17" s="132" t="s">
        <v>212</v>
      </c>
      <c r="E17" s="133" t="s">
        <v>213</v>
      </c>
      <c r="F17" s="688" t="s">
        <v>214</v>
      </c>
      <c r="G17" s="134" t="s">
        <v>215</v>
      </c>
      <c r="H17" s="690" t="s">
        <v>216</v>
      </c>
      <c r="I17" s="691"/>
      <c r="J17" s="690" t="s">
        <v>217</v>
      </c>
      <c r="K17" s="691"/>
      <c r="L17" s="692" t="str">
        <f>CONCATENATE("CRPC","  ",'[1]DATOS DEL PROCESO'!D2)</f>
        <v>CRPC  MC-LP-010-2024</v>
      </c>
      <c r="M17" s="132" t="s">
        <v>218</v>
      </c>
      <c r="N17" s="135">
        <f>IF($C$18&gt;="12",($E$18-($E$18*$D$18)/$C$18)*12,($E$18-($E$18*$D$18)))</f>
        <v>750625521.5</v>
      </c>
      <c r="O17" s="107"/>
      <c r="P17" s="99"/>
    </row>
    <row r="18" spans="1:16" ht="90" customHeight="1" thickBot="1" x14ac:dyDescent="0.3">
      <c r="A18" s="97"/>
      <c r="B18" s="130"/>
      <c r="C18" s="136">
        <f>+EXPERIENCIA!H10</f>
        <v>6</v>
      </c>
      <c r="D18" s="425">
        <f>+EXPERIENCIA!N10</f>
        <v>0.5</v>
      </c>
      <c r="E18" s="137">
        <f>+EXPERIENCIA!J10</f>
        <v>1501251043</v>
      </c>
      <c r="F18" s="689"/>
      <c r="G18" s="138" t="s">
        <v>219</v>
      </c>
      <c r="H18" s="694" t="s">
        <v>220</v>
      </c>
      <c r="I18" s="695"/>
      <c r="J18" s="696" t="s">
        <v>221</v>
      </c>
      <c r="K18" s="697"/>
      <c r="L18" s="693"/>
      <c r="M18" s="139" t="s">
        <v>222</v>
      </c>
      <c r="N18" s="140">
        <f>ROUND((N17/1300000),2)</f>
        <v>577.4</v>
      </c>
      <c r="O18" s="107"/>
      <c r="P18" s="99"/>
    </row>
    <row r="19" spans="1:16" ht="15.75" customHeight="1" thickTop="1" x14ac:dyDescent="0.25">
      <c r="A19" s="97"/>
      <c r="B19" s="130"/>
      <c r="C19" s="97"/>
      <c r="D19" s="100"/>
      <c r="E19" s="100"/>
      <c r="F19" s="99"/>
      <c r="G19" s="99"/>
      <c r="H19" s="97"/>
      <c r="I19" s="97"/>
      <c r="J19" s="97"/>
      <c r="K19" s="97"/>
      <c r="L19" s="97"/>
      <c r="M19" s="97"/>
      <c r="N19" s="97"/>
      <c r="O19" s="107"/>
      <c r="P19" s="99"/>
    </row>
    <row r="20" spans="1:16" ht="108" customHeight="1" x14ac:dyDescent="0.25">
      <c r="A20" s="97"/>
      <c r="B20" s="130"/>
      <c r="C20" s="141" t="s">
        <v>223</v>
      </c>
      <c r="D20" s="699" t="str">
        <f>IF(M12="","",IF($M$12="HABILITADO","SIN OBSERVACIONES",[1]RESPUESTAS!$E$18))</f>
        <v>SIN OBSERVACIONES</v>
      </c>
      <c r="E20" s="700"/>
      <c r="F20" s="700"/>
      <c r="G20" s="700"/>
      <c r="H20" s="700"/>
      <c r="I20" s="700"/>
      <c r="J20" s="700"/>
      <c r="K20" s="700"/>
      <c r="L20" s="700"/>
      <c r="M20" s="700"/>
      <c r="N20" s="701"/>
      <c r="O20" s="107"/>
      <c r="P20" s="99"/>
    </row>
    <row r="21" spans="1:16" ht="39" customHeight="1" x14ac:dyDescent="0.25">
      <c r="A21" s="97"/>
      <c r="B21" s="142"/>
      <c r="C21" s="126"/>
      <c r="D21" s="127"/>
      <c r="E21" s="127"/>
      <c r="F21" s="126"/>
      <c r="G21" s="126"/>
      <c r="H21" s="116"/>
      <c r="I21" s="116"/>
      <c r="J21" s="116"/>
      <c r="K21" s="116"/>
      <c r="L21" s="116"/>
      <c r="M21" s="116"/>
      <c r="N21" s="116"/>
      <c r="O21" s="128"/>
      <c r="P21" s="99"/>
    </row>
    <row r="22" spans="1:16" ht="35.25" customHeight="1" x14ac:dyDescent="0.25">
      <c r="A22" s="97"/>
      <c r="B22" s="99"/>
      <c r="C22" s="99"/>
      <c r="D22" s="100"/>
      <c r="E22" s="100"/>
      <c r="F22" s="99"/>
      <c r="G22" s="99"/>
      <c r="H22" s="97"/>
      <c r="I22" s="97"/>
      <c r="J22" s="97"/>
      <c r="K22" s="97"/>
      <c r="L22" s="97"/>
      <c r="M22" s="97"/>
      <c r="N22" s="97"/>
      <c r="O22" s="99"/>
      <c r="P22" s="99"/>
    </row>
    <row r="23" spans="1:16" ht="15.75" customHeight="1" x14ac:dyDescent="0.25">
      <c r="A23" s="97"/>
      <c r="B23" s="143"/>
      <c r="C23" s="103"/>
      <c r="D23" s="104"/>
      <c r="E23" s="104"/>
      <c r="F23" s="103"/>
      <c r="G23" s="103"/>
      <c r="H23" s="144"/>
      <c r="I23" s="144"/>
      <c r="J23" s="144"/>
      <c r="K23" s="144"/>
      <c r="L23" s="144"/>
      <c r="M23" s="144"/>
      <c r="N23" s="144"/>
      <c r="O23" s="105"/>
      <c r="P23" s="99"/>
    </row>
    <row r="24" spans="1:16" ht="42.75" customHeight="1" x14ac:dyDescent="0.25">
      <c r="A24" s="97"/>
      <c r="B24" s="106" t="s">
        <v>224</v>
      </c>
      <c r="C24" s="99"/>
      <c r="D24" s="100"/>
      <c r="E24" s="100"/>
      <c r="F24" s="99"/>
      <c r="G24" s="99"/>
      <c r="H24" s="702" t="s">
        <v>225</v>
      </c>
      <c r="I24" s="703"/>
      <c r="J24" s="703"/>
      <c r="K24" s="703"/>
      <c r="L24" s="703"/>
      <c r="M24" s="703"/>
      <c r="N24" s="704"/>
      <c r="O24" s="107"/>
      <c r="P24" s="99"/>
    </row>
    <row r="25" spans="1:16" ht="33" customHeight="1" thickBot="1" x14ac:dyDescent="0.3">
      <c r="A25" s="97"/>
      <c r="B25" s="130"/>
      <c r="C25" s="99"/>
      <c r="D25" s="100"/>
      <c r="E25" s="100"/>
      <c r="F25" s="99"/>
      <c r="G25" s="99"/>
      <c r="H25" s="145"/>
      <c r="I25" s="146"/>
      <c r="J25" s="147"/>
      <c r="K25" s="147"/>
      <c r="L25" s="147"/>
      <c r="M25" s="146"/>
      <c r="N25" s="148"/>
      <c r="O25" s="107"/>
      <c r="P25" s="99"/>
    </row>
    <row r="26" spans="1:16" ht="48.75" customHeight="1" thickTop="1" x14ac:dyDescent="0.25">
      <c r="A26" s="97"/>
      <c r="B26" s="130"/>
      <c r="C26" s="705" t="s">
        <v>226</v>
      </c>
      <c r="D26" s="706"/>
      <c r="E26" s="707"/>
      <c r="F26" s="149" t="s">
        <v>227</v>
      </c>
      <c r="G26" s="99"/>
      <c r="H26" s="145"/>
      <c r="I26" s="150"/>
      <c r="J26" s="147"/>
      <c r="K26" s="147"/>
      <c r="L26" s="147"/>
      <c r="M26" s="146"/>
      <c r="N26" s="148"/>
      <c r="O26" s="107"/>
      <c r="P26" s="99"/>
    </row>
    <row r="27" spans="1:16" ht="33" customHeight="1" x14ac:dyDescent="0.25">
      <c r="A27" s="97"/>
      <c r="B27" s="130"/>
      <c r="C27" s="151" t="s">
        <v>228</v>
      </c>
      <c r="D27" s="708" t="s">
        <v>229</v>
      </c>
      <c r="E27" s="709"/>
      <c r="F27" s="152" t="s">
        <v>230</v>
      </c>
      <c r="G27" s="99"/>
      <c r="H27" s="145"/>
      <c r="I27" s="153"/>
      <c r="J27" s="147"/>
      <c r="K27" s="147"/>
      <c r="L27" s="147"/>
      <c r="M27" s="146"/>
      <c r="N27" s="148"/>
      <c r="O27" s="107"/>
      <c r="P27" s="99"/>
    </row>
    <row r="28" spans="1:16" ht="33" customHeight="1" x14ac:dyDescent="0.25">
      <c r="A28" s="97"/>
      <c r="B28" s="130"/>
      <c r="C28" s="151" t="s">
        <v>231</v>
      </c>
      <c r="D28" s="708" t="s">
        <v>232</v>
      </c>
      <c r="E28" s="709"/>
      <c r="F28" s="154">
        <v>120</v>
      </c>
      <c r="G28" s="99"/>
      <c r="H28" s="145"/>
      <c r="I28" s="153"/>
      <c r="J28" s="147"/>
      <c r="K28" s="147"/>
      <c r="L28" s="147"/>
      <c r="M28" s="146"/>
      <c r="N28" s="148"/>
      <c r="O28" s="107"/>
      <c r="P28" s="99"/>
    </row>
    <row r="29" spans="1:16" ht="33" customHeight="1" x14ac:dyDescent="0.25">
      <c r="A29" s="97"/>
      <c r="B29" s="130"/>
      <c r="C29" s="151" t="s">
        <v>233</v>
      </c>
      <c r="D29" s="708" t="s">
        <v>234</v>
      </c>
      <c r="E29" s="709"/>
      <c r="F29" s="154">
        <v>40</v>
      </c>
      <c r="G29" s="99"/>
      <c r="H29" s="145"/>
      <c r="I29" s="153"/>
      <c r="J29" s="147"/>
      <c r="K29" s="147"/>
      <c r="L29" s="147"/>
      <c r="M29" s="146"/>
      <c r="N29" s="148"/>
      <c r="O29" s="107"/>
      <c r="P29" s="99"/>
    </row>
    <row r="30" spans="1:16" ht="33" customHeight="1" x14ac:dyDescent="0.25">
      <c r="A30" s="97"/>
      <c r="B30" s="130"/>
      <c r="C30" s="151" t="s">
        <v>235</v>
      </c>
      <c r="D30" s="708" t="s">
        <v>236</v>
      </c>
      <c r="E30" s="709"/>
      <c r="F30" s="154">
        <v>40</v>
      </c>
      <c r="G30" s="99"/>
      <c r="H30" s="145"/>
      <c r="I30" s="153"/>
      <c r="J30" s="147"/>
      <c r="K30" s="147"/>
      <c r="L30" s="147"/>
      <c r="M30" s="146"/>
      <c r="N30" s="148"/>
      <c r="O30" s="107"/>
      <c r="P30" s="99"/>
    </row>
    <row r="31" spans="1:16" ht="33" customHeight="1" thickBot="1" x14ac:dyDescent="0.3">
      <c r="A31" s="97"/>
      <c r="B31" s="130"/>
      <c r="C31" s="155" t="s">
        <v>237</v>
      </c>
      <c r="D31" s="710" t="s">
        <v>238</v>
      </c>
      <c r="E31" s="711"/>
      <c r="F31" s="156" t="s">
        <v>230</v>
      </c>
      <c r="G31" s="99"/>
      <c r="H31" s="145"/>
      <c r="I31" s="153"/>
      <c r="J31" s="147"/>
      <c r="K31" s="147"/>
      <c r="L31" s="147"/>
      <c r="M31" s="146"/>
      <c r="N31" s="148"/>
      <c r="O31" s="107"/>
      <c r="P31" s="99"/>
    </row>
    <row r="32" spans="1:16" ht="46.5" customHeight="1" thickTop="1" x14ac:dyDescent="0.25">
      <c r="A32" s="97"/>
      <c r="B32" s="130"/>
      <c r="C32" s="99"/>
      <c r="D32" s="100"/>
      <c r="E32" s="100"/>
      <c r="F32" s="99"/>
      <c r="G32" s="99"/>
      <c r="H32" s="145"/>
      <c r="I32" s="146"/>
      <c r="J32" s="147"/>
      <c r="K32" s="147"/>
      <c r="L32" s="147"/>
      <c r="M32" s="146"/>
      <c r="N32" s="148"/>
      <c r="O32" s="107"/>
      <c r="P32" s="99"/>
    </row>
    <row r="33" spans="1:16" ht="46.5" customHeight="1" x14ac:dyDescent="0.25">
      <c r="A33" s="97"/>
      <c r="B33" s="130"/>
      <c r="C33" s="97"/>
      <c r="D33" s="97"/>
      <c r="E33" s="97"/>
      <c r="F33" s="99"/>
      <c r="G33" s="99"/>
      <c r="H33" s="145"/>
      <c r="I33" s="146"/>
      <c r="J33" s="147"/>
      <c r="K33" s="147"/>
      <c r="L33" s="147"/>
      <c r="M33" s="146"/>
      <c r="N33" s="148"/>
      <c r="O33" s="107"/>
      <c r="P33" s="99"/>
    </row>
    <row r="34" spans="1:16" ht="46.5" customHeight="1" x14ac:dyDescent="0.25">
      <c r="A34" s="97"/>
      <c r="B34" s="130"/>
      <c r="C34" s="97"/>
      <c r="D34" s="97"/>
      <c r="E34" s="97"/>
      <c r="F34" s="99"/>
      <c r="G34" s="99"/>
      <c r="H34" s="145"/>
      <c r="I34" s="146"/>
      <c r="J34" s="147"/>
      <c r="K34" s="147"/>
      <c r="L34" s="147"/>
      <c r="M34" s="146"/>
      <c r="N34" s="148"/>
      <c r="O34" s="107"/>
      <c r="P34" s="99"/>
    </row>
    <row r="35" spans="1:16" x14ac:dyDescent="0.25">
      <c r="A35" s="97"/>
      <c r="B35" s="130"/>
      <c r="C35" s="97"/>
      <c r="D35" s="97"/>
      <c r="E35" s="97"/>
      <c r="F35" s="99"/>
      <c r="G35" s="99"/>
      <c r="H35" s="145"/>
      <c r="I35" s="146"/>
      <c r="J35" s="147"/>
      <c r="K35" s="147"/>
      <c r="L35" s="147"/>
      <c r="M35" s="146"/>
      <c r="N35" s="148"/>
      <c r="O35" s="107"/>
      <c r="P35" s="99"/>
    </row>
    <row r="36" spans="1:16" x14ac:dyDescent="0.25">
      <c r="A36" s="97"/>
      <c r="B36" s="130"/>
      <c r="C36" s="97"/>
      <c r="D36" s="97"/>
      <c r="E36" s="97"/>
      <c r="F36" s="99"/>
      <c r="G36" s="99"/>
      <c r="H36" s="145"/>
      <c r="I36" s="146"/>
      <c r="J36" s="147"/>
      <c r="K36" s="147"/>
      <c r="L36" s="147"/>
      <c r="M36" s="146"/>
      <c r="N36" s="148"/>
      <c r="O36" s="107"/>
      <c r="P36" s="99"/>
    </row>
    <row r="37" spans="1:16" ht="18.75" customHeight="1" x14ac:dyDescent="0.25">
      <c r="A37" s="97"/>
      <c r="B37" s="130"/>
      <c r="C37" s="97"/>
      <c r="D37" s="97"/>
      <c r="E37" s="97"/>
      <c r="F37" s="99"/>
      <c r="G37" s="99"/>
      <c r="H37" s="145"/>
      <c r="I37" s="146"/>
      <c r="J37" s="147"/>
      <c r="K37" s="147"/>
      <c r="L37" s="147"/>
      <c r="M37" s="146"/>
      <c r="N37" s="148"/>
      <c r="O37" s="107"/>
      <c r="P37" s="99"/>
    </row>
    <row r="38" spans="1:16" ht="38.25" customHeight="1" x14ac:dyDescent="0.25">
      <c r="A38" s="97"/>
      <c r="B38" s="130"/>
      <c r="C38" s="100"/>
      <c r="D38" s="100"/>
      <c r="E38" s="157"/>
      <c r="F38" s="99"/>
      <c r="G38" s="99"/>
      <c r="H38" s="145"/>
      <c r="I38" s="146"/>
      <c r="J38" s="147"/>
      <c r="K38" s="147"/>
      <c r="L38" s="147"/>
      <c r="M38" s="146"/>
      <c r="N38" s="148"/>
      <c r="O38" s="107"/>
      <c r="P38" s="99"/>
    </row>
    <row r="39" spans="1:16" ht="44.25" customHeight="1" x14ac:dyDescent="0.25">
      <c r="A39" s="97"/>
      <c r="B39" s="130"/>
      <c r="C39" s="158"/>
      <c r="D39" s="159"/>
      <c r="E39" s="160"/>
      <c r="F39" s="161"/>
      <c r="G39" s="160"/>
      <c r="H39" s="162"/>
      <c r="I39" s="163"/>
      <c r="J39" s="164"/>
      <c r="K39" s="164"/>
      <c r="L39" s="164"/>
      <c r="M39" s="163"/>
      <c r="N39" s="165"/>
      <c r="O39" s="107"/>
      <c r="P39" s="99"/>
    </row>
    <row r="40" spans="1:16" ht="31.5" customHeight="1" x14ac:dyDescent="0.25">
      <c r="A40" s="97"/>
      <c r="B40" s="130"/>
      <c r="C40" s="99"/>
      <c r="D40" s="100"/>
      <c r="E40" s="100"/>
      <c r="F40" s="99"/>
      <c r="G40" s="99"/>
      <c r="H40" s="99"/>
      <c r="I40" s="99"/>
      <c r="J40" s="99"/>
      <c r="K40" s="99"/>
      <c r="L40" s="99"/>
      <c r="M40" s="99"/>
      <c r="N40" s="99"/>
      <c r="O40" s="107"/>
      <c r="P40" s="99"/>
    </row>
    <row r="41" spans="1:16" ht="33.75" hidden="1" customHeight="1" x14ac:dyDescent="0.25">
      <c r="B41" s="167"/>
      <c r="C41" s="168" t="s">
        <v>239</v>
      </c>
      <c r="D41" s="169"/>
      <c r="E41" s="169">
        <v>120</v>
      </c>
      <c r="F41" s="170"/>
      <c r="G41" s="170"/>
      <c r="H41" s="170"/>
      <c r="I41" s="170"/>
      <c r="J41" s="170"/>
      <c r="K41" s="170"/>
      <c r="L41" s="170"/>
      <c r="M41" s="171"/>
      <c r="N41" s="169"/>
      <c r="O41" s="172"/>
      <c r="P41" s="173"/>
    </row>
    <row r="42" spans="1:16" ht="11.25" hidden="1" customHeight="1" outlineLevel="1" x14ac:dyDescent="0.25">
      <c r="B42" s="174"/>
      <c r="C42" s="173"/>
      <c r="D42" s="175"/>
      <c r="E42" s="175"/>
      <c r="F42" s="173"/>
      <c r="G42" s="173"/>
      <c r="H42" s="173"/>
      <c r="I42" s="173"/>
      <c r="J42" s="173"/>
      <c r="K42" s="173"/>
      <c r="L42" s="173"/>
      <c r="M42" s="173"/>
      <c r="N42" s="173"/>
      <c r="O42" s="172"/>
      <c r="P42" s="173"/>
    </row>
    <row r="43" spans="1:16" s="180" customFormat="1" ht="49.5" hidden="1" customHeight="1" outlineLevel="1" x14ac:dyDescent="0.25">
      <c r="A43" s="176"/>
      <c r="B43" s="177"/>
      <c r="C43" s="712" t="s">
        <v>240</v>
      </c>
      <c r="D43" s="713"/>
      <c r="E43" s="713"/>
      <c r="F43" s="713"/>
      <c r="G43" s="713"/>
      <c r="H43" s="713"/>
      <c r="I43" s="713"/>
      <c r="J43" s="713"/>
      <c r="K43" s="713"/>
      <c r="L43" s="713"/>
      <c r="M43" s="713"/>
      <c r="N43" s="714"/>
      <c r="O43" s="178"/>
      <c r="P43" s="179"/>
    </row>
    <row r="44" spans="1:16" s="180" customFormat="1" ht="42.75" hidden="1" customHeight="1" outlineLevel="1" x14ac:dyDescent="0.25">
      <c r="A44" s="176"/>
      <c r="B44" s="181"/>
      <c r="C44" s="182" t="s">
        <v>241</v>
      </c>
      <c r="D44" s="173"/>
      <c r="E44" s="173"/>
      <c r="F44" s="173"/>
      <c r="G44" s="183"/>
      <c r="H44" s="183"/>
      <c r="I44" s="183"/>
      <c r="J44" s="183"/>
      <c r="K44" s="183"/>
      <c r="L44" s="183"/>
      <c r="M44" s="183"/>
      <c r="N44" s="183"/>
      <c r="O44" s="178"/>
      <c r="P44" s="179"/>
    </row>
    <row r="45" spans="1:16" s="180" customFormat="1" ht="18.75" hidden="1" outlineLevel="1" thickBot="1" x14ac:dyDescent="0.3">
      <c r="A45" s="176"/>
      <c r="B45" s="181"/>
      <c r="C45" s="173"/>
      <c r="D45" s="173"/>
      <c r="E45" s="173"/>
      <c r="F45" s="173"/>
      <c r="G45" s="183"/>
      <c r="H45" s="183"/>
      <c r="I45" s="183"/>
      <c r="J45" s="183"/>
      <c r="K45" s="183"/>
      <c r="L45" s="183"/>
      <c r="M45" s="183"/>
      <c r="N45" s="183"/>
      <c r="O45" s="178"/>
      <c r="P45" s="179"/>
    </row>
    <row r="46" spans="1:16" s="180" customFormat="1" ht="36.75" hidden="1" outlineLevel="1" thickTop="1" x14ac:dyDescent="0.25">
      <c r="A46" s="176"/>
      <c r="B46" s="181"/>
      <c r="C46" s="184" t="s">
        <v>242</v>
      </c>
      <c r="D46" s="185" t="s">
        <v>243</v>
      </c>
      <c r="E46" s="186" t="s">
        <v>139</v>
      </c>
      <c r="F46" s="173"/>
      <c r="G46" s="183"/>
      <c r="H46" s="183"/>
      <c r="I46" s="166"/>
      <c r="J46" s="715" t="s">
        <v>244</v>
      </c>
      <c r="K46" s="716"/>
      <c r="L46" s="716"/>
      <c r="M46" s="717"/>
      <c r="N46" s="187" t="s">
        <v>245</v>
      </c>
      <c r="O46" s="178"/>
      <c r="P46" s="179"/>
    </row>
    <row r="47" spans="1:16" s="180" customFormat="1" ht="27.75" hidden="1" customHeight="1" outlineLevel="1" x14ac:dyDescent="0.25">
      <c r="A47" s="176"/>
      <c r="B47" s="181"/>
      <c r="C47" s="188">
        <v>0</v>
      </c>
      <c r="D47" s="189">
        <v>3</v>
      </c>
      <c r="E47" s="190">
        <v>60</v>
      </c>
      <c r="F47" s="173"/>
      <c r="G47" s="183"/>
      <c r="H47" s="183"/>
      <c r="I47" s="426"/>
      <c r="J47" s="427">
        <v>1</v>
      </c>
      <c r="K47" s="698" t="str" cm="1">
        <f t="array" ref="K47">UNICO_PROPONENTE_INTEGRANTE_1</f>
        <v/>
      </c>
      <c r="L47" s="698"/>
      <c r="M47" s="698"/>
      <c r="N47" s="191" t="e" cm="1">
        <f t="array" ref="N47">PORCENTAJE_INTEGRANTE1</f>
        <v>#N/A</v>
      </c>
      <c r="O47" s="178"/>
      <c r="P47" s="179"/>
    </row>
    <row r="48" spans="1:16" s="180" customFormat="1" ht="27.75" hidden="1" customHeight="1" outlineLevel="1" x14ac:dyDescent="0.25">
      <c r="A48" s="176"/>
      <c r="B48" s="181"/>
      <c r="C48" s="188">
        <v>3</v>
      </c>
      <c r="D48" s="189">
        <v>6</v>
      </c>
      <c r="E48" s="190">
        <v>80</v>
      </c>
      <c r="F48" s="173"/>
      <c r="G48" s="183"/>
      <c r="H48" s="183"/>
      <c r="I48" s="428"/>
      <c r="J48" s="429">
        <v>2</v>
      </c>
      <c r="K48" s="698" t="str" cm="1">
        <f t="array" ref="K48">INTEGRANTE_2</f>
        <v/>
      </c>
      <c r="L48" s="698"/>
      <c r="M48" s="698"/>
      <c r="N48" s="191" t="e" cm="1">
        <f t="array" ref="N48">PORCENTAJE_INTEGRANTE2</f>
        <v>#N/A</v>
      </c>
      <c r="O48" s="178"/>
      <c r="P48" s="179"/>
    </row>
    <row r="49" spans="1:16" s="180" customFormat="1" ht="27.75" hidden="1" customHeight="1" outlineLevel="1" x14ac:dyDescent="0.25">
      <c r="A49" s="176"/>
      <c r="B49" s="181"/>
      <c r="C49" s="188">
        <v>6</v>
      </c>
      <c r="D49" s="189">
        <v>10</v>
      </c>
      <c r="E49" s="190">
        <v>100</v>
      </c>
      <c r="F49" s="173"/>
      <c r="G49" s="183"/>
      <c r="H49" s="183"/>
      <c r="I49" s="428"/>
      <c r="J49" s="429">
        <v>3</v>
      </c>
      <c r="K49" s="698" t="str" cm="1">
        <f t="array" ref="K49">INTEGRANTE_3</f>
        <v/>
      </c>
      <c r="L49" s="698"/>
      <c r="M49" s="698"/>
      <c r="N49" s="191" t="e" cm="1">
        <f t="array" ref="N49">PORCENTAJE_INTEGRANTE3</f>
        <v>#N/A</v>
      </c>
      <c r="O49" s="178"/>
      <c r="P49" s="179"/>
    </row>
    <row r="50" spans="1:16" s="180" customFormat="1" ht="27.75" hidden="1" customHeight="1" outlineLevel="1" thickBot="1" x14ac:dyDescent="0.3">
      <c r="A50" s="176"/>
      <c r="B50" s="181"/>
      <c r="C50" s="192">
        <v>10</v>
      </c>
      <c r="D50" s="193" t="s">
        <v>246</v>
      </c>
      <c r="E50" s="194">
        <v>120</v>
      </c>
      <c r="F50" s="173"/>
      <c r="G50" s="183"/>
      <c r="H50" s="183"/>
      <c r="I50" s="428"/>
      <c r="J50" s="429">
        <v>4</v>
      </c>
      <c r="K50" s="698" t="str" cm="1">
        <f t="array" ref="K50">INTEGRANTE_4</f>
        <v/>
      </c>
      <c r="L50" s="698"/>
      <c r="M50" s="698"/>
      <c r="N50" s="191" t="e" cm="1">
        <f t="array" ref="N50">PORCENTAJE_INTEGRANTE4</f>
        <v>#N/A</v>
      </c>
      <c r="O50" s="178"/>
      <c r="P50" s="179"/>
    </row>
    <row r="51" spans="1:16" s="180" customFormat="1" ht="27.75" hidden="1" customHeight="1" outlineLevel="1" thickTop="1" x14ac:dyDescent="0.25">
      <c r="A51" s="176"/>
      <c r="B51" s="181"/>
      <c r="C51" s="195"/>
      <c r="D51" s="195"/>
      <c r="E51" s="195"/>
      <c r="F51" s="173"/>
      <c r="G51" s="183"/>
      <c r="H51" s="183"/>
      <c r="I51" s="428"/>
      <c r="J51" s="429">
        <v>5</v>
      </c>
      <c r="K51" s="698" t="str" cm="1">
        <f t="array" ref="K51">INTEGRANTE_5</f>
        <v/>
      </c>
      <c r="L51" s="698"/>
      <c r="M51" s="698"/>
      <c r="N51" s="191" t="e" cm="1">
        <f t="array" ref="N51">PORCENTAJE_INTEGRANTE5</f>
        <v>#N/A</v>
      </c>
      <c r="O51" s="178"/>
      <c r="P51" s="179"/>
    </row>
    <row r="52" spans="1:16" s="180" customFormat="1" ht="27.75" hidden="1" customHeight="1" outlineLevel="1" x14ac:dyDescent="0.25">
      <c r="A52" s="176"/>
      <c r="B52" s="181"/>
      <c r="C52" s="195"/>
      <c r="D52" s="195"/>
      <c r="E52" s="195"/>
      <c r="F52" s="173"/>
      <c r="G52" s="183"/>
      <c r="H52" s="183"/>
      <c r="I52" s="428"/>
      <c r="J52" s="429">
        <v>6</v>
      </c>
      <c r="K52" s="698" t="str" cm="1">
        <f t="array" ref="K52">INTEGRANTE_6</f>
        <v/>
      </c>
      <c r="L52" s="698"/>
      <c r="M52" s="698"/>
      <c r="N52" s="191" t="e" cm="1">
        <f t="array" ref="N52">PORCENTAJE_INTEGRANTE6</f>
        <v>#N/A</v>
      </c>
      <c r="O52" s="178"/>
      <c r="P52" s="179"/>
    </row>
    <row r="53" spans="1:16" s="180" customFormat="1" ht="27.75" hidden="1" customHeight="1" outlineLevel="1" x14ac:dyDescent="0.25">
      <c r="A53" s="176"/>
      <c r="B53" s="181"/>
      <c r="C53" s="195"/>
      <c r="D53" s="195"/>
      <c r="E53" s="195"/>
      <c r="F53" s="173"/>
      <c r="G53" s="183"/>
      <c r="H53" s="183"/>
      <c r="I53" s="183"/>
      <c r="J53" s="183"/>
      <c r="K53" s="183"/>
      <c r="L53" s="183"/>
      <c r="M53" s="183"/>
      <c r="N53" s="183"/>
      <c r="O53" s="178"/>
      <c r="P53" s="179"/>
    </row>
    <row r="54" spans="1:16" ht="15.75" hidden="1" customHeight="1" outlineLevel="1" thickBot="1" x14ac:dyDescent="0.3">
      <c r="B54" s="174"/>
      <c r="C54" s="173"/>
      <c r="D54" s="175"/>
      <c r="E54" s="175"/>
      <c r="F54" s="173"/>
      <c r="G54" s="173"/>
      <c r="H54" s="173"/>
      <c r="I54" s="173"/>
      <c r="J54" s="173"/>
      <c r="K54" s="173"/>
      <c r="L54" s="173"/>
      <c r="M54" s="173"/>
      <c r="N54" s="173"/>
      <c r="O54" s="172"/>
      <c r="P54" s="173"/>
    </row>
    <row r="55" spans="1:16" ht="23.25" hidden="1" customHeight="1" outlineLevel="1" thickTop="1" x14ac:dyDescent="0.25">
      <c r="B55" s="174"/>
      <c r="C55" s="718" t="s">
        <v>247</v>
      </c>
      <c r="D55" s="719"/>
      <c r="E55" s="719"/>
      <c r="F55" s="719"/>
      <c r="G55" s="719"/>
      <c r="H55" s="720"/>
      <c r="J55" s="718" t="s">
        <v>248</v>
      </c>
      <c r="K55" s="719"/>
      <c r="L55" s="719"/>
      <c r="M55" s="719"/>
      <c r="N55" s="720"/>
      <c r="O55" s="172"/>
      <c r="P55" s="173"/>
    </row>
    <row r="56" spans="1:16" ht="122.25" hidden="1" customHeight="1" outlineLevel="1" thickBot="1" x14ac:dyDescent="0.3">
      <c r="B56" s="174"/>
      <c r="C56" s="722" t="s">
        <v>249</v>
      </c>
      <c r="D56" s="723"/>
      <c r="E56" s="723"/>
      <c r="F56" s="723"/>
      <c r="G56" s="723"/>
      <c r="H56" s="724"/>
      <c r="J56" s="725" t="s">
        <v>250</v>
      </c>
      <c r="K56" s="726"/>
      <c r="L56" s="726"/>
      <c r="M56" s="726"/>
      <c r="N56" s="727"/>
      <c r="O56" s="196"/>
      <c r="P56" s="197"/>
    </row>
    <row r="57" spans="1:16" hidden="1" outlineLevel="1" x14ac:dyDescent="0.25">
      <c r="B57" s="174"/>
      <c r="C57" s="173"/>
      <c r="D57" s="197"/>
      <c r="E57" s="197"/>
      <c r="F57" s="197"/>
      <c r="G57" s="197"/>
      <c r="H57" s="197"/>
      <c r="I57" s="197"/>
      <c r="J57" s="197"/>
      <c r="K57" s="197"/>
      <c r="L57" s="197"/>
      <c r="M57" s="197"/>
      <c r="N57" s="197"/>
      <c r="O57" s="196"/>
      <c r="P57" s="197"/>
    </row>
    <row r="58" spans="1:16" ht="15.75" hidden="1" customHeight="1" outlineLevel="1" x14ac:dyDescent="0.25">
      <c r="B58" s="174"/>
      <c r="G58" s="173"/>
      <c r="O58" s="196"/>
      <c r="P58" s="173"/>
    </row>
    <row r="59" spans="1:16" ht="44.25" hidden="1" customHeight="1" outlineLevel="1" x14ac:dyDescent="0.25">
      <c r="B59" s="174"/>
      <c r="C59" s="187" t="s">
        <v>251</v>
      </c>
      <c r="D59" s="187" t="s">
        <v>213</v>
      </c>
      <c r="E59" s="198" t="s">
        <v>252</v>
      </c>
      <c r="F59" s="198" t="s">
        <v>253</v>
      </c>
      <c r="H59" s="199"/>
      <c r="I59" s="173"/>
      <c r="J59" s="187" t="s">
        <v>251</v>
      </c>
      <c r="K59" s="187" t="s">
        <v>254</v>
      </c>
      <c r="L59" s="198" t="s">
        <v>252</v>
      </c>
      <c r="M59" s="187" t="s">
        <v>255</v>
      </c>
      <c r="N59" s="198" t="s">
        <v>253</v>
      </c>
      <c r="O59" s="196"/>
      <c r="P59" s="173"/>
    </row>
    <row r="60" spans="1:16" ht="27.75" hidden="1" customHeight="1" outlineLevel="1" x14ac:dyDescent="0.25">
      <c r="B60" s="174"/>
      <c r="C60" s="728">
        <v>2000000</v>
      </c>
      <c r="D60" s="728" t="str">
        <f>IF($N$7="Único Proponente",$E$18,"")</f>
        <v/>
      </c>
      <c r="E60" s="729" t="str">
        <f>IF($N$7="Único Proponente",$C$60/$D$60,"")</f>
        <v/>
      </c>
      <c r="F60" s="730" t="str">
        <f>IF($N$7="Único Proponente",IF($E$60&gt;11,$E$50,IF($E$60&gt;$C$49,$E$49,IF($E$60&gt;$C$48,$E$48,IF($E$60&gt;$C$47,E47,"")))),"")</f>
        <v/>
      </c>
      <c r="G60" s="731"/>
      <c r="H60" s="731"/>
      <c r="I60" s="182">
        <v>1</v>
      </c>
      <c r="J60" s="200">
        <v>2500000000</v>
      </c>
      <c r="K60" s="200" t="str">
        <f>IFERROR(IF($N$7="Proponente Plural",$E$18*$N47,""),"")</f>
        <v/>
      </c>
      <c r="L60" s="202" t="str">
        <f>IFERROR((J60/K60),"")</f>
        <v/>
      </c>
      <c r="M60" s="732" t="str">
        <f>IF(SUM($L$60:$L$65)=0,"",SUM($L$60:$L$65))</f>
        <v/>
      </c>
      <c r="N60" s="730" t="str">
        <f>IF($N$7="Proponente Plural",IF($M$60&gt;11,$E$50,IF($M$60&gt;$C$49,$E$49,IF($M$60&gt;$C$48,$E$48,IF($M$60&gt;$C$47,E47,"")))),"")</f>
        <v/>
      </c>
      <c r="O60" s="196"/>
      <c r="P60" s="173"/>
    </row>
    <row r="61" spans="1:16" ht="27.75" hidden="1" customHeight="1" outlineLevel="1" x14ac:dyDescent="0.25">
      <c r="B61" s="174"/>
      <c r="C61" s="728"/>
      <c r="D61" s="728"/>
      <c r="E61" s="729"/>
      <c r="F61" s="730"/>
      <c r="G61" s="731"/>
      <c r="H61" s="731"/>
      <c r="I61" s="182">
        <v>2</v>
      </c>
      <c r="J61" s="200">
        <v>700000000</v>
      </c>
      <c r="K61" s="200" t="str">
        <f>IFERROR(IF($N$7="Proponente Plural",$E$18*$N48,""),"")</f>
        <v/>
      </c>
      <c r="L61" s="202" t="str">
        <f t="shared" ref="L61:L65" si="0">IFERROR((J61/K61),"")</f>
        <v/>
      </c>
      <c r="M61" s="732"/>
      <c r="N61" s="730"/>
      <c r="O61" s="196"/>
      <c r="P61" s="173"/>
    </row>
    <row r="62" spans="1:16" ht="27.75" hidden="1" customHeight="1" outlineLevel="1" x14ac:dyDescent="0.25">
      <c r="B62" s="174"/>
      <c r="C62" s="728"/>
      <c r="D62" s="728"/>
      <c r="E62" s="729"/>
      <c r="F62" s="730"/>
      <c r="G62" s="731"/>
      <c r="H62" s="731"/>
      <c r="I62" s="182">
        <v>3</v>
      </c>
      <c r="J62" s="200"/>
      <c r="K62" s="200" t="str">
        <f>IFERROR(IF($N$7="Proponente Plural",$E$18*$N49,""),"")</f>
        <v/>
      </c>
      <c r="L62" s="202" t="str">
        <f t="shared" si="0"/>
        <v/>
      </c>
      <c r="M62" s="732"/>
      <c r="N62" s="730"/>
      <c r="O62" s="196"/>
      <c r="P62" s="173"/>
    </row>
    <row r="63" spans="1:16" ht="26.25" hidden="1" customHeight="1" outlineLevel="1" x14ac:dyDescent="0.25">
      <c r="B63" s="174"/>
      <c r="C63" s="173"/>
      <c r="D63" s="175"/>
      <c r="E63" s="175"/>
      <c r="F63" s="173"/>
      <c r="G63" s="173"/>
      <c r="H63" s="173"/>
      <c r="I63" s="182">
        <v>4</v>
      </c>
      <c r="J63" s="200"/>
      <c r="K63" s="200" t="str">
        <f>IFERROR(IF($N$7="Proponente Plural",$E$18*$N50,""),"")</f>
        <v/>
      </c>
      <c r="L63" s="202" t="str">
        <f t="shared" si="0"/>
        <v/>
      </c>
      <c r="M63" s="732"/>
      <c r="N63" s="730"/>
      <c r="O63" s="172"/>
      <c r="P63" s="173"/>
    </row>
    <row r="64" spans="1:16" ht="26.25" hidden="1" customHeight="1" outlineLevel="1" x14ac:dyDescent="0.25">
      <c r="B64" s="174"/>
      <c r="C64" s="173"/>
      <c r="D64" s="175"/>
      <c r="E64" s="175"/>
      <c r="F64" s="173"/>
      <c r="G64" s="173"/>
      <c r="H64" s="173"/>
      <c r="I64" s="182">
        <v>5</v>
      </c>
      <c r="J64" s="200"/>
      <c r="K64" s="200" t="str">
        <f t="shared" ref="K64:K65" si="1">IFERROR(IF($N$7="Proponente Plural",$E$18*$N51,""),"")</f>
        <v/>
      </c>
      <c r="L64" s="202" t="str">
        <f t="shared" si="0"/>
        <v/>
      </c>
      <c r="M64" s="732"/>
      <c r="N64" s="730"/>
      <c r="O64" s="172"/>
      <c r="P64" s="173"/>
    </row>
    <row r="65" spans="2:16" ht="26.25" hidden="1" customHeight="1" outlineLevel="1" x14ac:dyDescent="0.25">
      <c r="B65" s="174"/>
      <c r="C65" s="173"/>
      <c r="D65" s="175"/>
      <c r="E65" s="175"/>
      <c r="F65" s="173"/>
      <c r="G65" s="173"/>
      <c r="H65" s="173"/>
      <c r="I65" s="182">
        <v>6</v>
      </c>
      <c r="J65" s="200"/>
      <c r="K65" s="200" t="str">
        <f t="shared" si="1"/>
        <v/>
      </c>
      <c r="L65" s="202" t="str">
        <f t="shared" si="0"/>
        <v/>
      </c>
      <c r="M65" s="732"/>
      <c r="N65" s="730"/>
      <c r="O65" s="172"/>
      <c r="P65" s="173"/>
    </row>
    <row r="66" spans="2:16" ht="15.75" hidden="1" customHeight="1" outlineLevel="1" x14ac:dyDescent="0.25">
      <c r="B66" s="174"/>
      <c r="C66" s="173"/>
      <c r="D66" s="175"/>
      <c r="E66" s="175"/>
      <c r="F66" s="173"/>
      <c r="G66" s="173"/>
      <c r="H66" s="173"/>
      <c r="I66" s="173"/>
      <c r="J66" s="173"/>
      <c r="K66" s="173"/>
      <c r="L66" s="173"/>
      <c r="M66" s="173"/>
      <c r="N66" s="173"/>
      <c r="O66" s="172"/>
      <c r="P66" s="173"/>
    </row>
    <row r="67" spans="2:16" ht="41.25" hidden="1" customHeight="1" collapsed="1" x14ac:dyDescent="0.25">
      <c r="B67" s="174"/>
      <c r="C67" s="168" t="s">
        <v>256</v>
      </c>
      <c r="D67" s="169"/>
      <c r="E67" s="169">
        <v>40</v>
      </c>
      <c r="F67" s="170"/>
      <c r="G67" s="170"/>
      <c r="H67" s="170"/>
      <c r="I67" s="170"/>
      <c r="J67" s="170"/>
      <c r="K67" s="170"/>
      <c r="L67" s="170"/>
      <c r="M67" s="171"/>
      <c r="N67" s="169"/>
      <c r="O67" s="172"/>
      <c r="P67" s="173"/>
    </row>
    <row r="68" spans="2:16" ht="15.75" hidden="1" customHeight="1" outlineLevel="1" x14ac:dyDescent="0.25">
      <c r="B68" s="174"/>
      <c r="C68" s="173"/>
      <c r="D68" s="175"/>
      <c r="E68" s="175"/>
      <c r="F68" s="173"/>
      <c r="G68" s="173"/>
      <c r="H68" s="173"/>
      <c r="I68" s="173"/>
      <c r="J68" s="173"/>
      <c r="K68" s="173"/>
      <c r="L68" s="173"/>
      <c r="M68" s="173"/>
      <c r="N68" s="173"/>
      <c r="O68" s="172"/>
      <c r="P68" s="173"/>
    </row>
    <row r="69" spans="2:16" ht="78" hidden="1" customHeight="1" outlineLevel="1" x14ac:dyDescent="0.25">
      <c r="B69" s="174"/>
      <c r="C69" s="733" t="s">
        <v>257</v>
      </c>
      <c r="D69" s="734"/>
      <c r="E69" s="734"/>
      <c r="F69" s="735" t="s">
        <v>258</v>
      </c>
      <c r="G69" s="736"/>
      <c r="H69" s="737"/>
      <c r="I69" s="173"/>
      <c r="O69" s="172"/>
      <c r="P69" s="173"/>
    </row>
    <row r="70" spans="2:16" ht="15.75" hidden="1" customHeight="1" outlineLevel="1" x14ac:dyDescent="0.25">
      <c r="B70" s="174"/>
      <c r="C70" s="173"/>
      <c r="D70" s="175"/>
      <c r="E70" s="175"/>
      <c r="F70" s="173"/>
      <c r="G70" s="173"/>
      <c r="H70" s="173"/>
      <c r="I70" s="173"/>
      <c r="J70" s="173"/>
      <c r="K70" s="173"/>
      <c r="L70" s="173"/>
      <c r="M70" s="173"/>
      <c r="N70" s="173"/>
      <c r="O70" s="172"/>
      <c r="P70" s="173"/>
    </row>
    <row r="71" spans="2:16" ht="15.75" hidden="1" customHeight="1" outlineLevel="1" x14ac:dyDescent="0.25">
      <c r="B71" s="174"/>
      <c r="C71" s="182" t="s">
        <v>259</v>
      </c>
      <c r="D71" s="175"/>
      <c r="E71" s="175"/>
      <c r="F71" s="173"/>
      <c r="G71" s="173"/>
      <c r="H71" s="173"/>
      <c r="I71" s="173"/>
      <c r="J71" s="173"/>
      <c r="K71" s="173"/>
      <c r="N71" s="173"/>
      <c r="O71" s="172"/>
      <c r="P71" s="173"/>
    </row>
    <row r="72" spans="2:16" ht="31.5" hidden="1" customHeight="1" outlineLevel="1" thickBot="1" x14ac:dyDescent="0.3">
      <c r="B72" s="174"/>
      <c r="C72" s="173"/>
      <c r="D72" s="175"/>
      <c r="E72" s="175"/>
      <c r="F72" s="173"/>
      <c r="G72" s="173"/>
      <c r="H72" s="173"/>
      <c r="J72" s="738" t="s">
        <v>260</v>
      </c>
      <c r="K72" s="738"/>
      <c r="L72" s="187" t="s">
        <v>261</v>
      </c>
      <c r="M72" s="187" t="s">
        <v>262</v>
      </c>
      <c r="O72" s="172"/>
      <c r="P72" s="173"/>
    </row>
    <row r="73" spans="2:16" ht="33" hidden="1" customHeight="1" outlineLevel="1" thickTop="1" x14ac:dyDescent="0.25">
      <c r="B73" s="174"/>
      <c r="C73" s="184" t="s">
        <v>242</v>
      </c>
      <c r="D73" s="185" t="s">
        <v>243</v>
      </c>
      <c r="E73" s="186" t="s">
        <v>139</v>
      </c>
      <c r="F73" s="173"/>
      <c r="I73" s="203">
        <v>1</v>
      </c>
      <c r="J73" s="721" t="str" cm="1">
        <f t="array" ref="J73">UNICO_PROPONENTE_INTEGRANTE_1</f>
        <v/>
      </c>
      <c r="K73" s="721"/>
      <c r="L73" s="204">
        <v>1500000000</v>
      </c>
      <c r="M73" s="204">
        <v>750000000</v>
      </c>
      <c r="O73" s="172"/>
      <c r="P73" s="173"/>
    </row>
    <row r="74" spans="2:16" ht="34.5" hidden="1" customHeight="1" outlineLevel="1" x14ac:dyDescent="0.25">
      <c r="B74" s="174"/>
      <c r="C74" s="205">
        <v>0</v>
      </c>
      <c r="D74" s="206">
        <v>0.5</v>
      </c>
      <c r="E74" s="190">
        <v>20</v>
      </c>
      <c r="F74" s="173"/>
      <c r="I74" s="207">
        <v>2</v>
      </c>
      <c r="J74" s="721" t="str" cm="1">
        <f t="array" ref="J74">INTEGRANTE_2</f>
        <v/>
      </c>
      <c r="K74" s="721"/>
      <c r="L74" s="204">
        <v>2000000000</v>
      </c>
      <c r="M74" s="204">
        <v>1500000000</v>
      </c>
      <c r="O74" s="172"/>
      <c r="P74" s="173"/>
    </row>
    <row r="75" spans="2:16" ht="34.5" hidden="1" customHeight="1" outlineLevel="1" x14ac:dyDescent="0.25">
      <c r="B75" s="174"/>
      <c r="C75" s="205">
        <v>0.5</v>
      </c>
      <c r="D75" s="206">
        <v>0.75</v>
      </c>
      <c r="E75" s="190">
        <v>25</v>
      </c>
      <c r="F75" s="173"/>
      <c r="I75" s="207">
        <v>3</v>
      </c>
      <c r="J75" s="721" t="str" cm="1">
        <f t="array" ref="J75">INTEGRANTE_3</f>
        <v/>
      </c>
      <c r="K75" s="721"/>
      <c r="L75" s="204">
        <v>3000000000</v>
      </c>
      <c r="M75" s="204">
        <v>1000000</v>
      </c>
      <c r="N75" s="430"/>
      <c r="O75" s="172"/>
      <c r="P75" s="173"/>
    </row>
    <row r="76" spans="2:16" ht="34.5" hidden="1" customHeight="1" outlineLevel="1" x14ac:dyDescent="0.25">
      <c r="B76" s="174"/>
      <c r="C76" s="205">
        <v>0.75</v>
      </c>
      <c r="D76" s="206">
        <v>1</v>
      </c>
      <c r="E76" s="190">
        <v>30</v>
      </c>
      <c r="F76" s="173"/>
      <c r="I76" s="207">
        <v>4</v>
      </c>
      <c r="J76" s="721" t="str" cm="1">
        <f t="array" ref="J76">INTEGRANTE_4</f>
        <v/>
      </c>
      <c r="K76" s="721"/>
      <c r="L76" s="204"/>
      <c r="M76" s="204"/>
      <c r="N76" s="430"/>
      <c r="O76" s="172"/>
      <c r="P76" s="173"/>
    </row>
    <row r="77" spans="2:16" ht="34.5" hidden="1" customHeight="1" outlineLevel="1" x14ac:dyDescent="0.25">
      <c r="B77" s="174"/>
      <c r="C77" s="205">
        <v>1</v>
      </c>
      <c r="D77" s="206">
        <v>1.5</v>
      </c>
      <c r="E77" s="190">
        <v>35</v>
      </c>
      <c r="F77" s="173"/>
      <c r="I77" s="207">
        <v>5</v>
      </c>
      <c r="J77" s="721" t="str" cm="1">
        <f t="array" ref="J77">INTEGRANTE_5</f>
        <v/>
      </c>
      <c r="K77" s="721"/>
      <c r="L77" s="204"/>
      <c r="M77" s="204"/>
      <c r="N77" s="430"/>
      <c r="O77" s="172"/>
      <c r="P77" s="173"/>
    </row>
    <row r="78" spans="2:16" ht="34.5" hidden="1" customHeight="1" outlineLevel="1" thickBot="1" x14ac:dyDescent="0.3">
      <c r="B78" s="174"/>
      <c r="C78" s="208">
        <v>1.5</v>
      </c>
      <c r="D78" s="193" t="s">
        <v>263</v>
      </c>
      <c r="E78" s="194">
        <v>40</v>
      </c>
      <c r="F78" s="173"/>
      <c r="I78" s="207">
        <v>6</v>
      </c>
      <c r="J78" s="721" t="str" cm="1">
        <f t="array" ref="J78">INTEGRANTE_6</f>
        <v/>
      </c>
      <c r="K78" s="721"/>
      <c r="L78" s="204"/>
      <c r="M78" s="204"/>
      <c r="N78" s="430"/>
      <c r="O78" s="172"/>
      <c r="P78" s="173"/>
    </row>
    <row r="79" spans="2:16" ht="34.5" hidden="1" customHeight="1" outlineLevel="1" thickTop="1" x14ac:dyDescent="0.25">
      <c r="B79" s="174"/>
      <c r="C79" s="173"/>
      <c r="D79" s="175"/>
      <c r="E79" s="175"/>
      <c r="F79" s="173"/>
      <c r="N79" s="430"/>
      <c r="O79" s="172"/>
      <c r="P79" s="173"/>
    </row>
    <row r="80" spans="2:16" ht="34.5" hidden="1" customHeight="1" outlineLevel="1" x14ac:dyDescent="0.25">
      <c r="B80" s="174"/>
      <c r="C80" s="173"/>
      <c r="D80" s="175"/>
      <c r="E80" s="175"/>
      <c r="F80" s="173"/>
      <c r="J80" s="187" t="s">
        <v>261</v>
      </c>
      <c r="K80" s="187" t="s">
        <v>262</v>
      </c>
      <c r="L80" s="187" t="s">
        <v>264</v>
      </c>
      <c r="M80" s="198" t="s">
        <v>253</v>
      </c>
      <c r="N80" s="430"/>
      <c r="O80" s="172"/>
      <c r="P80" s="173"/>
    </row>
    <row r="81" spans="2:16" ht="34.5" hidden="1" customHeight="1" outlineLevel="1" x14ac:dyDescent="0.25">
      <c r="B81" s="174"/>
      <c r="C81" s="173"/>
      <c r="D81" s="175"/>
      <c r="E81" s="175"/>
      <c r="F81" s="173"/>
      <c r="J81" s="204">
        <f>SUM(L73:L78)</f>
        <v>6500000000</v>
      </c>
      <c r="K81" s="204">
        <f>SUM(M73:M78)</f>
        <v>2251000000</v>
      </c>
      <c r="L81" s="209">
        <f>IFERROR(J81/K81,"INDETERMINADO")</f>
        <v>2.8876055086628165</v>
      </c>
      <c r="M81" s="201">
        <f>IF($L$81&gt;1.51,$E$78,IF($L$81&gt;$C$77,$E$77,IF($L$81&gt;$C$76,$E$76,IF($L$81&gt;$C$75,$E$75,IF($L$81&gt;$C$74,$E$74,"40")))))</f>
        <v>40</v>
      </c>
      <c r="N81" s="430"/>
      <c r="O81" s="172"/>
      <c r="P81" s="173"/>
    </row>
    <row r="82" spans="2:16" ht="15.75" hidden="1" customHeight="1" outlineLevel="1" x14ac:dyDescent="0.25">
      <c r="B82" s="174"/>
      <c r="C82" s="173"/>
      <c r="D82" s="175"/>
      <c r="E82" s="175"/>
      <c r="F82" s="173"/>
      <c r="G82" s="173"/>
      <c r="H82" s="173"/>
      <c r="I82" s="173"/>
      <c r="J82" s="210"/>
      <c r="K82" s="210"/>
      <c r="L82" s="173"/>
      <c r="M82" s="173"/>
      <c r="N82" s="173"/>
      <c r="O82" s="172"/>
      <c r="P82" s="173"/>
    </row>
    <row r="83" spans="2:16" ht="39.75" hidden="1" customHeight="1" collapsed="1" x14ac:dyDescent="0.25">
      <c r="B83" s="174"/>
      <c r="C83" s="168" t="s">
        <v>265</v>
      </c>
      <c r="D83" s="169"/>
      <c r="E83" s="169">
        <v>40</v>
      </c>
      <c r="F83" s="170"/>
      <c r="G83" s="170"/>
      <c r="H83" s="170"/>
      <c r="I83" s="170"/>
      <c r="J83" s="170"/>
      <c r="K83" s="170"/>
      <c r="L83" s="170"/>
      <c r="M83" s="171"/>
      <c r="N83" s="169"/>
      <c r="O83" s="172"/>
      <c r="P83" s="173"/>
    </row>
    <row r="84" spans="2:16" ht="15.75" hidden="1" customHeight="1" outlineLevel="1" x14ac:dyDescent="0.25">
      <c r="B84" s="174"/>
      <c r="C84" s="173"/>
      <c r="D84" s="175"/>
      <c r="E84" s="175"/>
      <c r="F84" s="173"/>
      <c r="G84" s="173"/>
      <c r="H84" s="173"/>
      <c r="I84" s="173"/>
      <c r="J84" s="210"/>
      <c r="K84" s="210"/>
      <c r="L84" s="173"/>
      <c r="M84" s="173"/>
      <c r="N84" s="173"/>
      <c r="O84" s="172"/>
      <c r="P84" s="173"/>
    </row>
    <row r="85" spans="2:16" ht="51" hidden="1" customHeight="1" outlineLevel="1" x14ac:dyDescent="0.25">
      <c r="B85" s="174"/>
      <c r="C85" s="712" t="s">
        <v>266</v>
      </c>
      <c r="D85" s="713"/>
      <c r="E85" s="713"/>
      <c r="F85" s="713"/>
      <c r="G85" s="713"/>
      <c r="H85" s="713"/>
      <c r="I85" s="713"/>
      <c r="J85" s="713"/>
      <c r="K85" s="713"/>
      <c r="L85" s="713"/>
      <c r="M85" s="713"/>
      <c r="N85" s="714"/>
      <c r="O85" s="172"/>
      <c r="P85" s="173"/>
    </row>
    <row r="86" spans="2:16" ht="15.75" hidden="1" customHeight="1" outlineLevel="1" thickBot="1" x14ac:dyDescent="0.3">
      <c r="B86" s="174"/>
      <c r="C86" s="173"/>
      <c r="D86" s="175"/>
      <c r="E86" s="175"/>
      <c r="F86" s="173"/>
      <c r="G86" s="173"/>
      <c r="H86" s="173"/>
      <c r="I86" s="173"/>
      <c r="J86" s="210"/>
      <c r="K86" s="210"/>
      <c r="L86" s="173"/>
      <c r="M86" s="173"/>
      <c r="N86" s="173"/>
      <c r="O86" s="172"/>
      <c r="P86" s="173"/>
    </row>
    <row r="87" spans="2:16" ht="50.25" hidden="1" customHeight="1" outlineLevel="1" thickTop="1" x14ac:dyDescent="0.25">
      <c r="B87" s="174"/>
      <c r="C87" s="184" t="s">
        <v>242</v>
      </c>
      <c r="D87" s="185" t="s">
        <v>243</v>
      </c>
      <c r="E87" s="186" t="s">
        <v>139</v>
      </c>
      <c r="F87" s="173"/>
      <c r="J87" s="738" t="s">
        <v>260</v>
      </c>
      <c r="K87" s="738"/>
      <c r="L87" s="211" t="s">
        <v>267</v>
      </c>
      <c r="M87" s="211" t="s">
        <v>268</v>
      </c>
      <c r="N87" s="198" t="s">
        <v>253</v>
      </c>
      <c r="O87" s="172"/>
      <c r="P87" s="173"/>
    </row>
    <row r="88" spans="2:16" ht="28.5" hidden="1" customHeight="1" outlineLevel="1" x14ac:dyDescent="0.25">
      <c r="B88" s="174"/>
      <c r="C88" s="188">
        <v>1</v>
      </c>
      <c r="D88" s="189">
        <v>5</v>
      </c>
      <c r="E88" s="190">
        <v>20</v>
      </c>
      <c r="F88" s="173"/>
      <c r="I88" s="203">
        <v>1</v>
      </c>
      <c r="J88" s="721" t="str" cm="1">
        <f t="array" ref="J88">UNICO_PROPONENTE_INTEGRANTE_1</f>
        <v/>
      </c>
      <c r="K88" s="721"/>
      <c r="L88" s="212">
        <v>3</v>
      </c>
      <c r="M88" s="739">
        <f>SUM(L88:L93)</f>
        <v>10</v>
      </c>
      <c r="N88" s="730">
        <f>IF($M$88&gt;=$C$90,$E$90,IF($M$88&gt;=$C$89,$E$89,IF($M$88&gt;=$C$88,$E$88,"")))</f>
        <v>30</v>
      </c>
      <c r="O88" s="172"/>
      <c r="P88" s="173"/>
    </row>
    <row r="89" spans="2:16" ht="28.5" hidden="1" customHeight="1" outlineLevel="1" x14ac:dyDescent="0.25">
      <c r="B89" s="174"/>
      <c r="C89" s="188">
        <v>6</v>
      </c>
      <c r="D89" s="189">
        <v>10</v>
      </c>
      <c r="E89" s="190">
        <v>30</v>
      </c>
      <c r="F89" s="173"/>
      <c r="I89" s="207">
        <v>2</v>
      </c>
      <c r="J89" s="721" t="str" cm="1">
        <f t="array" ref="J89">INTEGRANTE_2</f>
        <v/>
      </c>
      <c r="K89" s="721"/>
      <c r="L89" s="213">
        <v>4</v>
      </c>
      <c r="M89" s="740"/>
      <c r="N89" s="730"/>
      <c r="O89" s="172"/>
      <c r="P89" s="173"/>
    </row>
    <row r="90" spans="2:16" ht="28.5" hidden="1" customHeight="1" outlineLevel="1" thickBot="1" x14ac:dyDescent="0.3">
      <c r="B90" s="174"/>
      <c r="C90" s="192">
        <v>11</v>
      </c>
      <c r="D90" s="193" t="s">
        <v>263</v>
      </c>
      <c r="E90" s="194">
        <v>40</v>
      </c>
      <c r="F90" s="173"/>
      <c r="I90" s="207">
        <v>3</v>
      </c>
      <c r="J90" s="721" t="str" cm="1">
        <f t="array" ref="J90">INTEGRANTE_3</f>
        <v/>
      </c>
      <c r="K90" s="721"/>
      <c r="L90" s="213">
        <v>3</v>
      </c>
      <c r="M90" s="740"/>
      <c r="N90" s="730"/>
      <c r="O90" s="172"/>
      <c r="P90" s="173"/>
    </row>
    <row r="91" spans="2:16" ht="28.5" hidden="1" customHeight="1" outlineLevel="1" thickTop="1" x14ac:dyDescent="0.25">
      <c r="B91" s="174"/>
      <c r="C91" s="195"/>
      <c r="D91" s="195"/>
      <c r="E91" s="195"/>
      <c r="F91" s="173"/>
      <c r="I91" s="207">
        <v>4</v>
      </c>
      <c r="J91" s="721" t="str" cm="1">
        <f t="array" ref="J91">INTEGRANTE_4</f>
        <v/>
      </c>
      <c r="K91" s="721"/>
      <c r="L91" s="213"/>
      <c r="M91" s="740"/>
      <c r="N91" s="730"/>
      <c r="O91" s="172"/>
      <c r="P91" s="173"/>
    </row>
    <row r="92" spans="2:16" ht="28.5" hidden="1" customHeight="1" outlineLevel="1" x14ac:dyDescent="0.25">
      <c r="B92" s="174"/>
      <c r="C92" s="195"/>
      <c r="D92" s="195"/>
      <c r="E92" s="195"/>
      <c r="F92" s="173"/>
      <c r="I92" s="207">
        <v>5</v>
      </c>
      <c r="J92" s="721" t="str" cm="1">
        <f t="array" ref="J92">INTEGRANTE_5</f>
        <v/>
      </c>
      <c r="K92" s="721"/>
      <c r="L92" s="213"/>
      <c r="M92" s="740"/>
      <c r="N92" s="730"/>
      <c r="O92" s="172"/>
      <c r="P92" s="173"/>
    </row>
    <row r="93" spans="2:16" ht="28.5" hidden="1" customHeight="1" outlineLevel="1" x14ac:dyDescent="0.25">
      <c r="B93" s="174"/>
      <c r="C93" s="195"/>
      <c r="D93" s="195"/>
      <c r="E93" s="195"/>
      <c r="F93" s="173"/>
      <c r="I93" s="207">
        <v>6</v>
      </c>
      <c r="J93" s="721" t="str" cm="1">
        <f t="array" ref="J93">INTEGRANTE_6</f>
        <v/>
      </c>
      <c r="K93" s="721"/>
      <c r="L93" s="213"/>
      <c r="M93" s="740"/>
      <c r="N93" s="730"/>
      <c r="O93" s="172"/>
      <c r="P93" s="173"/>
    </row>
    <row r="94" spans="2:16" ht="28.5" hidden="1" customHeight="1" outlineLevel="1" x14ac:dyDescent="0.25">
      <c r="B94" s="174"/>
      <c r="C94" s="195"/>
      <c r="D94" s="195"/>
      <c r="E94" s="195"/>
      <c r="F94" s="173"/>
      <c r="K94" s="431"/>
      <c r="L94" s="431"/>
      <c r="M94" s="214"/>
      <c r="N94" s="214"/>
      <c r="O94" s="172"/>
      <c r="P94" s="173"/>
    </row>
    <row r="95" spans="2:16" ht="15.75" hidden="1" customHeight="1" outlineLevel="1" x14ac:dyDescent="0.25">
      <c r="B95" s="174"/>
      <c r="C95" s="195"/>
      <c r="D95" s="195"/>
      <c r="E95" s="195"/>
      <c r="F95" s="173"/>
      <c r="G95" s="173"/>
      <c r="H95" s="173"/>
      <c r="I95" s="173"/>
      <c r="J95" s="173"/>
      <c r="K95" s="173"/>
      <c r="L95" s="173"/>
      <c r="M95" s="173"/>
      <c r="N95" s="173"/>
      <c r="O95" s="172"/>
      <c r="P95" s="173"/>
    </row>
    <row r="96" spans="2:16" ht="39.75" hidden="1" customHeight="1" collapsed="1" x14ac:dyDescent="0.25">
      <c r="B96" s="174"/>
      <c r="C96" s="168" t="s">
        <v>269</v>
      </c>
      <c r="D96" s="169"/>
      <c r="E96" s="169"/>
      <c r="F96" s="170"/>
      <c r="G96" s="170"/>
      <c r="H96" s="170"/>
      <c r="I96" s="170"/>
      <c r="J96" s="170"/>
      <c r="K96" s="170"/>
      <c r="L96" s="170"/>
      <c r="M96" s="171"/>
      <c r="N96" s="169"/>
      <c r="O96" s="172"/>
      <c r="P96" s="173"/>
    </row>
    <row r="97" spans="2:16" ht="15.75" hidden="1" customHeight="1" x14ac:dyDescent="0.25">
      <c r="B97" s="174"/>
      <c r="C97" s="195"/>
      <c r="D97" s="195"/>
      <c r="E97" s="195"/>
      <c r="F97" s="173"/>
      <c r="G97" s="173"/>
      <c r="H97" s="173"/>
      <c r="I97" s="173"/>
      <c r="J97" s="173"/>
      <c r="K97" s="173"/>
      <c r="L97" s="173"/>
      <c r="M97" s="173"/>
      <c r="N97" s="173"/>
      <c r="O97" s="172"/>
      <c r="P97" s="173"/>
    </row>
    <row r="98" spans="2:16" ht="36.75" hidden="1" customHeight="1" x14ac:dyDescent="0.25">
      <c r="B98" s="174"/>
      <c r="C98" s="195"/>
      <c r="D98" s="195"/>
      <c r="E98" s="195"/>
      <c r="F98" s="173"/>
      <c r="G98" s="173"/>
      <c r="H98" s="173"/>
      <c r="J98" s="738" t="s">
        <v>260</v>
      </c>
      <c r="K98" s="738"/>
      <c r="L98" s="187" t="s">
        <v>237</v>
      </c>
      <c r="M98" s="173"/>
      <c r="N98" s="173"/>
      <c r="O98" s="172"/>
      <c r="P98" s="173"/>
    </row>
    <row r="99" spans="2:16" ht="36.75" hidden="1" customHeight="1" x14ac:dyDescent="0.25">
      <c r="B99" s="174"/>
      <c r="C99" s="195"/>
      <c r="D99" s="195"/>
      <c r="E99" s="195"/>
      <c r="F99" s="173"/>
      <c r="G99" s="173"/>
      <c r="H99" s="173"/>
      <c r="I99" s="203">
        <v>1</v>
      </c>
      <c r="J99" s="721" t="str" cm="1">
        <f t="array" ref="J99">UNICO_PROPONENTE_INTEGRANTE_1</f>
        <v/>
      </c>
      <c r="K99" s="721"/>
      <c r="L99" s="215">
        <v>2500000000</v>
      </c>
      <c r="M99" s="173"/>
      <c r="N99" s="173"/>
      <c r="O99" s="172"/>
      <c r="P99" s="173"/>
    </row>
    <row r="100" spans="2:16" ht="36.75" hidden="1" customHeight="1" x14ac:dyDescent="0.25">
      <c r="B100" s="174"/>
      <c r="C100" s="195"/>
      <c r="D100" s="195"/>
      <c r="E100" s="195"/>
      <c r="F100" s="173"/>
      <c r="G100" s="173"/>
      <c r="H100" s="173"/>
      <c r="I100" s="207">
        <v>2</v>
      </c>
      <c r="J100" s="721" t="str" cm="1">
        <f t="array" ref="J100">INTEGRANTE_2</f>
        <v/>
      </c>
      <c r="K100" s="721"/>
      <c r="L100" s="215">
        <v>9000000000</v>
      </c>
      <c r="M100" s="173"/>
      <c r="N100" s="173"/>
      <c r="O100" s="172"/>
      <c r="P100" s="173"/>
    </row>
    <row r="101" spans="2:16" ht="36.75" hidden="1" customHeight="1" x14ac:dyDescent="0.25">
      <c r="B101" s="174"/>
      <c r="C101" s="195"/>
      <c r="D101" s="195"/>
      <c r="E101" s="195"/>
      <c r="F101" s="173"/>
      <c r="G101" s="173"/>
      <c r="H101" s="173"/>
      <c r="I101" s="207">
        <v>3</v>
      </c>
      <c r="J101" s="721" t="str" cm="1">
        <f t="array" ref="J101">INTEGRANTE_3</f>
        <v/>
      </c>
      <c r="K101" s="721"/>
      <c r="L101" s="215">
        <v>5000000000</v>
      </c>
      <c r="M101" s="173"/>
      <c r="N101" s="173"/>
      <c r="O101" s="172"/>
      <c r="P101" s="173"/>
    </row>
    <row r="102" spans="2:16" ht="36.75" hidden="1" customHeight="1" x14ac:dyDescent="0.25">
      <c r="B102" s="174"/>
      <c r="C102" s="195"/>
      <c r="D102" s="195"/>
      <c r="E102" s="195"/>
      <c r="F102" s="173"/>
      <c r="G102" s="173"/>
      <c r="H102" s="173"/>
      <c r="I102" s="207">
        <v>4</v>
      </c>
      <c r="J102" s="721" t="str" cm="1">
        <f t="array" ref="J102">INTEGRANTE_4</f>
        <v/>
      </c>
      <c r="K102" s="721"/>
      <c r="L102" s="215"/>
      <c r="M102" s="173"/>
      <c r="N102" s="173"/>
      <c r="O102" s="172"/>
      <c r="P102" s="173"/>
    </row>
    <row r="103" spans="2:16" ht="36.75" hidden="1" customHeight="1" x14ac:dyDescent="0.25">
      <c r="B103" s="174"/>
      <c r="C103" s="195"/>
      <c r="D103" s="195"/>
      <c r="E103" s="195"/>
      <c r="F103" s="173"/>
      <c r="G103" s="173"/>
      <c r="H103" s="173"/>
      <c r="I103" s="207">
        <v>5</v>
      </c>
      <c r="J103" s="721" t="str" cm="1">
        <f t="array" ref="J103">INTEGRANTE_5</f>
        <v/>
      </c>
      <c r="K103" s="721"/>
      <c r="L103" s="215"/>
      <c r="M103" s="173"/>
      <c r="N103" s="173"/>
      <c r="O103" s="172"/>
      <c r="P103" s="173"/>
    </row>
    <row r="104" spans="2:16" ht="36.75" hidden="1" customHeight="1" x14ac:dyDescent="0.25">
      <c r="B104" s="174"/>
      <c r="G104" s="173"/>
      <c r="H104" s="173"/>
      <c r="I104" s="207">
        <v>6</v>
      </c>
      <c r="J104" s="721" t="str" cm="1">
        <f t="array" ref="J104">INTEGRANTE_6</f>
        <v/>
      </c>
      <c r="K104" s="721"/>
      <c r="L104" s="215"/>
      <c r="M104" s="173"/>
      <c r="N104" s="173"/>
      <c r="O104" s="172"/>
      <c r="P104" s="173"/>
    </row>
    <row r="105" spans="2:16" ht="44.25" hidden="1" customHeight="1" x14ac:dyDescent="0.25">
      <c r="B105" s="174"/>
      <c r="C105" s="195"/>
      <c r="D105" s="195"/>
      <c r="E105" s="195"/>
      <c r="F105" s="173"/>
      <c r="G105" s="173"/>
      <c r="H105" s="173"/>
      <c r="I105" s="173"/>
      <c r="J105" s="741" t="s">
        <v>270</v>
      </c>
      <c r="K105" s="742"/>
      <c r="L105" s="215">
        <f>SUM(L99:L104)</f>
        <v>16500000000</v>
      </c>
      <c r="M105" s="173"/>
      <c r="N105" s="173"/>
      <c r="O105" s="172"/>
      <c r="P105" s="173"/>
    </row>
    <row r="106" spans="2:16" ht="15.75" hidden="1" customHeight="1" x14ac:dyDescent="0.25">
      <c r="B106" s="216"/>
      <c r="C106" s="217"/>
      <c r="D106" s="218"/>
      <c r="E106" s="218"/>
      <c r="F106" s="217"/>
      <c r="G106" s="217"/>
      <c r="H106" s="217"/>
      <c r="I106" s="217"/>
      <c r="J106" s="217"/>
      <c r="K106" s="217"/>
      <c r="L106" s="217"/>
      <c r="M106" s="217"/>
      <c r="N106" s="217"/>
      <c r="O106" s="219"/>
      <c r="P106" s="173"/>
    </row>
    <row r="107" spans="2:16" ht="15.75" hidden="1" customHeight="1" x14ac:dyDescent="0.25">
      <c r="B107" s="173"/>
      <c r="C107" s="173"/>
      <c r="D107" s="175"/>
      <c r="E107" s="175"/>
      <c r="F107" s="173"/>
      <c r="G107" s="173"/>
      <c r="H107" s="173"/>
      <c r="I107" s="173"/>
      <c r="J107" s="173"/>
      <c r="K107" s="173"/>
      <c r="L107" s="173"/>
      <c r="M107" s="173"/>
      <c r="N107" s="173"/>
      <c r="O107" s="173"/>
      <c r="P107" s="173"/>
    </row>
    <row r="108" spans="2:16" ht="15.75" hidden="1" customHeight="1" x14ac:dyDescent="0.25">
      <c r="B108" s="173"/>
      <c r="C108" s="173"/>
      <c r="D108" s="175"/>
      <c r="E108" s="175"/>
      <c r="F108" s="173"/>
      <c r="G108" s="173"/>
      <c r="H108" s="173"/>
      <c r="I108" s="173"/>
      <c r="J108" s="173"/>
      <c r="K108" s="173"/>
      <c r="L108" s="173"/>
      <c r="M108" s="173"/>
      <c r="N108" s="173"/>
      <c r="O108" s="173"/>
      <c r="P108" s="173"/>
    </row>
    <row r="109" spans="2:16" ht="15.75" hidden="1" customHeight="1" x14ac:dyDescent="0.25">
      <c r="B109" s="173"/>
      <c r="C109" s="173"/>
      <c r="D109" s="175"/>
      <c r="E109" s="175"/>
      <c r="F109" s="173"/>
      <c r="G109" s="173"/>
      <c r="H109" s="173"/>
      <c r="I109" s="173"/>
      <c r="J109" s="173"/>
      <c r="K109" s="173"/>
      <c r="L109" s="173"/>
      <c r="M109" s="173"/>
      <c r="N109" s="173"/>
      <c r="O109" s="173"/>
      <c r="P109" s="173"/>
    </row>
    <row r="110" spans="2:16" ht="15.75" hidden="1" customHeight="1" x14ac:dyDescent="0.25">
      <c r="B110" s="173"/>
      <c r="C110" s="173"/>
      <c r="D110" s="175"/>
      <c r="E110" s="175"/>
      <c r="F110" s="173"/>
      <c r="G110" s="173"/>
      <c r="H110" s="173"/>
      <c r="I110" s="173"/>
      <c r="J110" s="173"/>
      <c r="K110" s="173"/>
      <c r="L110" s="173"/>
      <c r="M110" s="173"/>
      <c r="N110" s="173"/>
      <c r="O110" s="173"/>
      <c r="P110" s="173"/>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2024-12-12T04:36:48Z</cp:lastPrinted>
  <dcterms:created xsi:type="dcterms:W3CDTF">2024-12-07T06:40:49Z</dcterms:created>
  <dcterms:modified xsi:type="dcterms:W3CDTF">2024-12-12T04:36:54Z</dcterms:modified>
  <cp:category/>
  <cp:contentStatus/>
</cp:coreProperties>
</file>