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mc:AlternateContent xmlns:mc="http://schemas.openxmlformats.org/markup-compatibility/2006">
    <mc:Choice Requires="x15">
      <x15ac:absPath xmlns:x15ac="http://schemas.microsoft.com/office/spreadsheetml/2010/11/ac" url="https://mcultura-my.sharepoint.com/personal/proy_infraestructura_mincultura_gov_co/Documents/PROYECTOS GIC/01. ESTRUCTURACION/PROCESOS 2024/04. INF NIVEL NACIONAL/02. OBRA/03. EVALUACIONES/EVALUACIONES FINALES/"/>
    </mc:Choice>
  </mc:AlternateContent>
  <xr:revisionPtr revIDLastSave="31" documentId="13_ncr:1_{84C9CD42-3716-4A7E-8266-2882CDA88EF9}" xr6:coauthVersionLast="47" xr6:coauthVersionMax="47" xr10:uidLastSave="{FD877433-1140-446F-A41F-3F4A38DE96A2}"/>
  <bookViews>
    <workbookView xWindow="-120" yWindow="-120" windowWidth="29040" windowHeight="15720" xr2:uid="{91003B19-FC37-4C1A-9AA4-1BC5290A1821}"/>
  </bookViews>
  <sheets>
    <sheet name="PROPONENTE" sheetId="1" r:id="rId1"/>
    <sheet name="EXPERIENCIA" sheetId="2" r:id="rId2"/>
    <sheet name="PONDERACIÓN" sheetId="3" r:id="rId3"/>
    <sheet name="KRESIDUAL" sheetId="4" r:id="rId4"/>
  </sheets>
  <externalReferences>
    <externalReference r:id="rId5"/>
  </externalReferences>
  <definedNames>
    <definedName name="ACREDITACIÓN_MUJER_EMPRENDIMIENTO" comment="Verifica si el proponente cumple o no con la condición de emprendimiento y/o mujer">IF(EXPERIENCIA!$N$15="Proponente Plural",IF(COUNTIFS(EXPERIENCIA!$I$19:$I$21,"&gt;=10%",EXPERIENCIA!$N$19:$N$21,"SI")&gt;=1,CONCATENATE("El proponente   :",NOM_PROPONENTE,"  acredita la condición de emprendimiento y/o  Mujer por lo cual se HABILITA EXPERIENCIA ADICIONAL"),CONCATENATE("El proponente   :",NOM_PROPONENTE,VLOOKUP(EXPERIENCIA!$B1,#REF!,3,FALSE))),IF(COUNTIFS(EXPERIENCIA!$I$19:$I$21,"&gt;=10%",EXPERIENCIA!$N$19:$N$21,"SI")&gt;=1,CONCATENATE("El proponente   :",NOM_PROPONENTE,"  acredita la condición de emprendimiento y/o  Mujer por lo cual se HABILITA EXPERIENCIA ADICIONAL"),CONCATENATE("El proponente   :",NOM_PROPONENTE,VLOOKUP(EXPERIENCIA!$B1,#REF!,2,FALSE))))</definedName>
    <definedName name="_xlnm.Print_Area" localSheetId="1">EXPERIENCIA!$A$1:$T$134</definedName>
    <definedName name="_xlnm.Print_Area" localSheetId="3">KRESIDUAL!$A$1:$P$110</definedName>
    <definedName name="_xlnm.Print_Area" localSheetId="2">PONDERACIÓN!$A$1:$I$88</definedName>
    <definedName name="_xlnm.Print_Area" localSheetId="0">PROPONENTE!$A$1:$O$44</definedName>
    <definedName name="CONDICIÓN_MIPYME">IF(EXPERIENCIA!$N$15="Proponente Plural",IF(COUNTIFS(EXPERIENCIA!$I$19:$I$21,"&gt;=10%",EXPERIENCIA!$J$19:$J$21,"SI",EXPERIENCIA!$L$19:$L$21,"SI")&gt;=1,"CONDICIÓN DE MIPYME","NO ACREDITA LA CONDICIÓN DE MIPYME"),IF(COUNTIFS(EXPERIENCIA!$I$19:$I$21,"&gt;=10%",EXPERIENCIA!$J$19:$J$21,"SI")&gt;=1,"CONDICION DE MIPYME","NO ACREDITA LA CONDICIÓN DE MIPYME"))</definedName>
    <definedName name="CUMPLE_EMPRENDIMIENTO_MUJER" comment="VERIFICA SI CUMPLE O NO LOS CRITERIOS DE EMPRENDIMIENTO MUJER">IF(COUNTIFS(EXPERIENCIA!$I$19:$I$24,"&gt;=0,1",EXPERIENCIA!$N$19:$N$24,"SI"),"SI","NO")</definedName>
    <definedName name="CUMPLE_EXP_ADICIONAL">IF(EXPERIENCIA!XES1&gt;=(EXPERIENCIA!$J$10/2),"CUMPLE","NO CUMPLE")</definedName>
    <definedName name="CUMPLE_EXP_ESPECIFICA">IF(COUNTIFS(EXPERIENCIA!$O$40:$O$58,"VALIDA",EXPERIENCIA!$R$40:$R$58,"&gt;1621")&gt;=1,"CUMPLE","NO CUMPLE")</definedName>
    <definedName name="CUMPLE_F_RUP">IF(EXPERIENCIA!$K1&lt;(EXPERIENCIA!$F$10-30),"NO CUMPLE","CUMPLE")</definedName>
    <definedName name="CUMPLE_MIPYMES" comment="VERIFICA QUE LOS OFERENTES CUMPLAN LAS CONDICIONES MIPYMES Y DA &quot;SI o NO&quot;">IF(COUNTIFS(EXPERIENCIA!$I$19:$I$24,"&gt;=0,1",EXPERIENCIA!$J$19:$J$24,"SI",EXPERIENCIA!$L$19:$L$24,"SI"),"SI","NO")</definedName>
    <definedName name="ESTADO_CERTIFICACION">IF(EXPERIENCIA!$D1="","",IF(AND(EXPERIENCIA!$J1="CUMPLE",EXPERIENCIA!$K1="CUMPLE",(EXPERIENCIA!$M1&lt;EXPERIENCIA!$F$10)),"VALIDA","NO VALIDA"))</definedName>
    <definedName name="EXP_ADICIONAL">IF(EXPERIENCIA!$N$15="Proponente Plural",IF(AND(COUNTIFS(EXPERIENCIA!$I$19:$I$21,"&gt;=10%",EXPERIENCIA!$L$19:$L$21,"SI")&gt;=1,COUNTIFS(EXPERIENCIA!$N$19:$N$21,"SI",EXPERIENCIA!$M$19:$M$21,"CUMPLE")&gt;=1)=TRUE,"2","1"),"2")</definedName>
    <definedName name="EXPEDICION_RUP" comment="Identifica los integrantes qeu incumplen la fecha de exedición del RUP">IF(AND(IFERROR(INDEX(EXPERIENCIA!$C$19:$C$21,MATCH("NO CUMPLE",EXPERIENCIA!$C$19:$C$21,0),1),"")="NO CUMPLE",(IFERROR(INDEX(EXPERIENCIA!$C$19:$C$21,1+MATCH("NO CUMPLE",EXPERIENCIA!$C$19:$C$21,0),1),""))="NO CUMPLE"),CONCATENATE(INDEX(EXPERIENCIA!$D$19:$D$21,MATCH("NO CUMPLE",EXPERIENCIA!$C$19:$C$21,0),1)," ","y"," ",INDEX(EXPERIENCIA!$D$19:$D$21,1+MATCH("NO CUMPLE",EXPERIENCIA!$C$19:$C$21,0),1)),IF(AND(IFERROR(INDEX(EXPERIENCIA!$C$19:$C$21,MATCH("NO CUMPLE",EXPERIENCIA!$C$19:$C$21,0),1),"")="NO CUMPLE",(IFERROR(INDEX(EXPERIENCIA!$C$19:$C$21,2+MATCH("NO CUMPLE",EXPERIENCIA!$C$19:$C$21,0),1),""))="NO CUMPLE"),CONCATENATE(INDEX(EXPERIENCIA!$D$19:$D$21,MATCH("NO CUMPLE",EXPERIENCIA!$C$19:$C$21,0),1)," ","y"," ",INDEX(EXPERIENCIA!$D$19:$D$21,2+MATCH("NO CUMPLE",EXPERIENCIA!$C$19:$C$21,0),1)),"REVISAR"))</definedName>
    <definedName name="Formato_13">IF(EXPERIENCIA!XFD1="","",IF(EXPERIENCIA!XFD1="SE ANEXA","SI","NO"))</definedName>
    <definedName name="INT1_PYMES" comment="FALSO O VERDADERO PARA CUMPLIMIENTO DE LOS CRITERIOS PYMES">AND(EXPERIENCIA!$I1&gt;10%,EXPERIENCIA!$J1="SI",EXPERIENCIA!$L1="SI")</definedName>
    <definedName name="INTEGRANTE_2">IF(EXPERIENCIA!$N$15="Proponente Plural",IF(ISBLANK((VLOOKUP(EXPERIENCIA!$D$15,[1]OFERENTES!$A$8:$H$27,5,FALSE))),"",VLOOKUP(EXPERIENCIA!$D$15,[1]OFERENTES!$A$8:$H$27,5,FALSE)),"")</definedName>
    <definedName name="INTEGRANTE_3">IF(EXPERIENCIA!$N$15="Proponente Plural",IF(ISBLANK((VLOOKUP(EXPERIENCIA!$D$15,[1]OFERENTES!$A$8:$H$27,7,FALSE))),"",VLOOKUP(EXPERIENCIA!$D$15,[1]OFERENTES!$A$8:$H$27,7,FALSE)),"")</definedName>
    <definedName name="INTEGRANTE_4">IF(EXPERIENCIA!$N$15="Proponente Plural",IF(ISBLANK((VLOOKUP(EXPERIENCIA!$D$15,[1]OFERENTES!$A$8:$AA$27,9,FALSE))),"",VLOOKUP(EXPERIENCIA!$D$15,[1]OFERENTES!$A$8:$AA$27,9,FALSE)),"")</definedName>
    <definedName name="INTEGRANTE_5">IF(EXPERIENCIA!$N$15="Proponente Plural",IF(ISBLANK((VLOOKUP(EXPERIENCIA!$D$15,[1]OFERENTES!$A$8:$AA$27,11,FALSE))),"",VLOOKUP(EXPERIENCIA!$D$15,[1]OFERENTES!$A$8:$AA$27,11,FALSE)),"")</definedName>
    <definedName name="INTEGRANTE_6">IF(EXPERIENCIA!$N$15="Proponente Plural",IF(ISBLANK((VLOOKUP(EXPERIENCIA!$D$15,[1]OFERENTES!$A$8:$AA$27,13,FALSE))),"",VLOOKUP(EXPERIENCIA!$D$15,[1]OFERENTES!$A$8:$AA$27,13,FALSE)),"")</definedName>
    <definedName name="INTEGRANTE_PORCENTAJE_PYME" comment="Muestra el integrante que no cumple con el porcentaje para acreditar pyme">IFERROR(INDEX(EXPERIENCIA!$D$19:$D$24,MATCH(TRUE, EXPERIENCIA!$I$19:$I$24 &lt;10%, 0),1),"")</definedName>
    <definedName name="INTEGRANTE_RUP_NO_FIRME" comment="Muestra el 1 integrante que no cumple con la Firmeza del RUP">IFERROR(INDEX(EXPERIENCIA!$D$19:$D$21,MATCH(TRUE,(EXPERIENCIA!$J$19:$J$21 = "NO"), 0),1),"")</definedName>
    <definedName name="INTEGRANTES_EMP_MUJ" comment="FILTRA LOS INTEGRANTES QUE CUMPLEN CON LAS CONDICIONES DE EMPRENDIMIENTO Y7O MUJER">_xlfn._xlws.FILTER(EXPERIENCIA!$D$19:$D$24,EXPERIENCIA!$A$19:$A$24="v")</definedName>
    <definedName name="INTEGRANTES_PYMES" comment="REALIZA UN FILTRO PARA LOS INTEGRANTES QUE CUMPLEN LAS CONDICIONES MIPYMES">_xlfn._xlws.FILTER(EXPERIENCIA!$D$19:$D$24,EXPERIENCIA!$C$19:$C$24="v")</definedName>
    <definedName name="NO_PORCENTAJE_PYMES" comment="CUENTA LA CANTIDAD DE INTEGRANTES QUE NO CUMPLEN LA CONDICIÓN DE PORCENTAJE DE PYMES">COUNTIFS(EXPERIENCIA!$I$19:$I$24,"&lt;10%",EXPERIENCIA!$L$19:$L$24,"SI")</definedName>
    <definedName name="NO_PORCENTAJEMUJER" comment="VERIFICA EL NO CUMPLIMIENTO DEL PORCENTAJE PARA LA ACREDITACIÓN MUJER O EMPRENDIMIENTO">COUNTIFS(EXPERIENCIA!$I$19:$I$24,"&lt;10%",EXPERIENCIA!$N$19:$N$24,"si")</definedName>
    <definedName name="NOCUMPLE_RUPFIRME_PYME" comment="VERIFICA EL NO CUMPLIMIENTO DEL FIRME DEL RUP DEL INTEGRANTE QUE ACREDITA LA CONDICIÓN DE PYMES">COUNTIFS(EXPERIENCIA!$J$19:$J$24,"NO",EXPERIENCIA!$L$19:$L$24,"SI")</definedName>
    <definedName name="NOM_PROPONENTE">IFERROR(IF(EXPERIENCIA!$D$15&gt;0,(VLOOKUP(EXPERIENCIA!$D$15,[1]OFERENTES!$A$8:$W$27,2,FALSE)),""),"")</definedName>
    <definedName name="NSR_10">IF(COUNTIFS(EXPERIENCIA!$O$40:$O$58,"VALIDA",EXPERIENCIA!$J$40:$J$58,"&gt;15/7/2010")&gt;=1,"CUMPLE","NO CUMPLE")</definedName>
    <definedName name="NSR_98" comment="DETERMINA SI TODAS O TODAS MENOS (1) DE LAS CERTIFICACIONES PRESENTADAS CUMPLEN CON LOS REQUSITOS RELACIONADOS CON LA FECHA EXPEDICIÓN DE LA NSR 98 (09/0/1998)">IF(COUNTIFS(EXPERIENCIA!$O$40:$O$58,"valida",EXPERIENCIA!$J$40:$J$58,"&gt;35804")&gt;=COUNTIFS(EXPERIENCIA!$O$40:$O$58,"VALIDA")-1,"CUMPLE","NO CUMPLE")</definedName>
    <definedName name="OFENTES_PYMES">IF(AND(IFERROR(INDEX(EXPERIENCIA!$L$19:$L$21,MATCH("NO",EXPERIENCIA!$L$19:$L$21,0),1),"")="NO",(IFERROR(INDEX(EXPERIENCIA!$L$19:$L$21,1+MATCH("NO",EXPERIENCIA!$L$19:$L$21,0),1),""))="NO"),CONCATENATE(INDEX(EXPERIENCIA!$D$19:$D$21,MATCH("NO",EXPERIENCIA!$L$19:$L$21,0),1)," ","y"," ",INDEX(EXPERIENCIA!$D$19:$D$21,1+MATCH("NO",EXPERIENCIA!$L$19:$L$21,0),1)),IF(AND(IFERROR(INDEX(EXPERIENCIA!$L$19:$L$21,MATCH("NO",EXPERIENCIA!$L$19:$L$21,0),1),"")="NO",(IFERROR(INDEX(EXPERIENCIA!$L$19:$L$21,2+MATCH("NO",EXPERIENCIA!$L$19:$L$21,0),1),""))="NO"),CONCATENATE(INDEX(EXPERIENCIA!$D$19:$D$21,MATCH("NO",EXPERIENCIA!$L$19:$L$21,0),1)," ","y"," ",INDEX(EXPERIENCIA!$D$19:$D$21,2+MATCH("NO",EXPERIENCIA!$L$19:$L$21,0),1)),"REVISAR"))</definedName>
    <definedName name="OFERENTE_40porciento" comment="Muestra el oferente con el porecentaje mayor al 40%">IFERROR(INDEX(EXPERIENCIA!$D$80:$D$82,MATCH(TRUE,EXPERIENCIA!$I$80:$I$82&gt;=40%,0),1),"")</definedName>
    <definedName name="OFERENTES_RUP" comment="Esta formual establece ayuda a concatenar los nombres de los oferentes que no cumplan con la condición de la FIRMEZA DEL RUP">IF(AND(IFERROR(INDEX(EXPERIENCIA!$J$19:$J$21,MATCH("NO",EXPERIENCIA!$J$19:$J$21,0),1),"")="NO",(IFERROR(INDEX(EXPERIENCIA!$J$19:$J$21,1+MATCH("NO",EXPERIENCIA!$J$19:$J$21,0),1),""))="NO"),CONCATENATE(INDEX(EXPERIENCIA!$D$19:$D$21,MATCH("NO",EXPERIENCIA!$J$19:$J$21,0),1)," ","y"," ",INDEX(EXPERIENCIA!$D$19:$D$21,1+MATCH("NO",EXPERIENCIA!$J$19:$J$21,0),1)),IF(AND(IFERROR(INDEX(EXPERIENCIA!$J$19:$J$21,MATCH("NO",EXPERIENCIA!$J$19:$J$21,0),1),"")="NO",(IFERROR(INDEX(EXPERIENCIA!$J$19:$J$21,2+MATCH("NO",EXPERIENCIA!$J$19:$J$21,0),1),""))="NO"),CONCATENATE(INDEX(EXPERIENCIA!$D$19:$D$21,MATCH("NO",EXPERIENCIA!$J$19:$J$21,0),1)," ","y"," ",INDEX(EXPERIENCIA!$D$19:$D$21,2+MATCH("NO",EXPERIENCIA!$J$19:$J$21,0),1)),"REVISAR"))</definedName>
    <definedName name="PORCENTAJE_INTEGRANTE1">IF(EXPERIENCIA!$D$15&gt;0,IF(ISBLANK((VLOOKUP(EXPERIENCIA!$D$15,[1]OFERENTES!$A$8:$AH$27,4,FALSE))),"",(VLOOKUP(EXPERIENCIA!$D$15,[1]OFERENTES!$A$8:$AH$27,4,FALSE))),"")</definedName>
    <definedName name="PORCENTAJE_INTEGRANTE2">IF(EXPERIENCIA!$D$15&gt;0,IF(ISBLANK((VLOOKUP(EXPERIENCIA!$D$15,[1]OFERENTES!$A$8:$AH$27,6,FALSE))),"",(VLOOKUP(EXPERIENCIA!$D$15,[1]OFERENTES!$A$8:$AH$27,6,FALSE))),"")</definedName>
    <definedName name="PORCENTAJE_INTEGRANTE3">IF(EXPERIENCIA!$D$15&gt;0,IF(ISBLANK((VLOOKUP(EXPERIENCIA!$D$15,[1]OFERENTES!$A$8:$AH$27,8,FALSE))),"",(VLOOKUP(EXPERIENCIA!$D$15,[1]OFERENTES!$A$8:$AH$27,8,FALSE))),"")</definedName>
    <definedName name="PORCENTAJE_INTEGRANTE4">IF(EXPERIENCIA!$D$15&gt;0,IF(ISBLANK((VLOOKUP(EXPERIENCIA!$D$15,[1]OFERENTES!$A$8:$AH$27,10,FALSE))),"",(VLOOKUP(EXPERIENCIA!$D$15,[1]OFERENTES!$A$8:$AH$27,10,FALSE))),"")</definedName>
    <definedName name="PORCENTAJE_INTEGRANTE5">IF(EXPERIENCIA!$D$15&gt;0,IF(ISBLANK((VLOOKUP(EXPERIENCIA!$D$15,[1]OFERENTES!$A$8:$AH$27,12,FALSE))),"",(VLOOKUP(EXPERIENCIA!$D$15,[1]OFERENTES!$A$8:$AH$27,12,FALSE))),"")</definedName>
    <definedName name="PORCENTAJE_INTEGRANTE6">IF(EXPERIENCIA!$D$15&gt;0,IF(ISBLANK((VLOOKUP(EXPERIENCIA!$D$15,[1]OFERENTES!$A$8:$AH$27,14,FALSE))),"",(VLOOKUP(EXPERIENCIA!$D$15,[1]OFERENTES!$A$8:$AH$27,14,FALSE))),"")</definedName>
    <definedName name="PORCENTAJE_MENOR" comment="Busca el 1 resultado que sea menor a 10%, devuleve en blanco si no encuentra nada.">IFERROR(MATCH(TRUE, EXPERIENCIA!$I$19:$I$21 &lt;10%, 0),"")</definedName>
    <definedName name="POSICIÓN_FIRMEZA_RUT" comment="Indica la posición del integrante que no cumple con al Firmeza del RUP">IFERROR(MATCH(TRUE, EXPERIENCIA!$J$19:$J$24 = "no", 0),"")</definedName>
    <definedName name="RESPUESTAS_EXP_GENERAL" comment="Revisa las respuestas para la experiencia general que no cumple">IF(AND(EXPERIENCIA!$J1048535="NO CUMPLE",EXPERIENCIA!$K1048535="NO CUMPLE",EXPERIENCIA!$M1048535&gt;EXPERIENCIA!$F$10),CONCATENATE("En lo relacionado con la  ",EXPERIENCIA!$M$39,"  ",VLOOKUP(EXPERIENCIA!$M$39,#REF!,3,FALSE), "En lo relacionado con  los  :",EXPERIENCIA!$N$39,"  ",VLOOKUP(EXPERIENCIA!$N$39,#REF!,3,FALSE),"En lo relacionado con la  ",EXPERIENCIA!$K$39,"  ",VLOOKUP(EXPERIENCIA!$K$39,#REF!,3,FALSE)),  IF(AND(EXPERIENCIA!$J1048535="NO CUMPLE",EXPERIENCIA!$K1048535="NO CUMPLE"),CONCATENATE("En lo relacionado con la  ",EXPERIENCIA!$M$39,"  ",VLOOKUP(EXPERIENCIA!$M$39,#REF!,3,FALSE), "En lo relacionado con  los  :",EXPERIENCIA!$N$39,"  ",VLOOKUP(EXPERIENCIA!$N$39,#REF!,3,FALSE)),  IF(AND(EXPERIENCIA!$J1048535="NO CUMPLE",EXPERIENCIA!$M1048535&gt;EXPERIENCIA!$F$10),CONCATENATE("En lo relacionado con la  ",EXPERIENCIA!$M$39,"  ",VLOOKUP(EXPERIENCIA!$M$39,#REF!,3,FALSE), "En lo relacionado con la  ",EXPERIENCIA!$K$39,"  ",VLOOKUP(EXPERIENCIA!$K$39,#REF!,3,FALSE)),  IF(AND(EXPERIENCIA!$K1048535="NO CUMPLE",EXPERIENCIA!$M1048535&gt;EXPERIENCIA!$F$10),CONCATENATE("En lo relacionado con  los  :",EXPERIENCIA!$N$39,"  ",VLOOKUP(EXPERIENCIA!$N$39,#REF!,3,FALSE),"En lo relacionado con la  ",EXPERIENCIA!$K$39,"  ",VLOOKUP(EXPERIENCIA!$K$39,#REF!,3,FALSE)),  IF(EXPERIENCIA!$J1048535="NO CUMPLE",CONCATENATE("En lo relacionado con la  ",EXPERIENCIA!$M$39,"  ",VLOOKUP(EXPERIENCIA!$M$39,#REF!,3,FALSE)),  IF(EXPERIENCIA!$K1048535="NO CUMPLE",CONCATENATE("En lo relacionado con  los  :",EXPERIENCIA!$N$39,"  ",VLOOKUP(EXPERIENCIA!$N$39,#REF!,3,FALSE)),  IF(EXPERIENCIA!$M1048535="NO CUMPLE",CONCATENATE("En lo relacionado con la  ",EXPERIENCIA!$K$39,"  ",VLOOKUP(EXPERIENCIA!$M$39,#REF!,3,FALSE)),"")))))))</definedName>
    <definedName name="RESPUESTAS_UNICAS" comment="Complueba el estado CUMPLE / NO CUMPLE de las respuestas unicas y da sin observaciones o trae la respuesta diseñada en la hoja respuestas">IF(EXPERIENCIA!$L$65="CUMPLE","SIN OBSERVACIONES",VLOOKUP(EXPERIENCIA!$B1,[1]RESPUESTAS!$B$8:$H$75,3,FALSE))</definedName>
    <definedName name="TIPO_PROPONENTE">IFERROR(VLOOKUP(EXPERIENCIA!$D$15,[1]OFERENTES!$A$8:$AA$107,26,FALSE),"")</definedName>
    <definedName name="UNICO_PROPONENTE_INTEGRANTE_1">IFERROR(IF(EXPERIENCIA!$N$15="Proponente Plural",IF(ISBLANK((VLOOKUP(EXPERIENCIA!$D$15,[1]OFERENTES!$A$8:$H$27,3,FALSE))),"",VLOOKUP(EXPERIENCIA!$D$15,[1]OFERENTES!$A$8:$H$27,3,FALSE)),VLOOKUP(EXPERIENCIA!$D$15,[1]OFERENTES!$A$8:$H$27,3,FALSE)),"")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05" i="4" l="1"/>
  <c r="M88" i="4"/>
  <c r="N88" i="4" s="1"/>
  <c r="K81" i="4"/>
  <c r="J81" i="4"/>
  <c r="L81" i="4" s="1"/>
  <c r="M81" i="4" s="1"/>
  <c r="N52" i="4" a="1"/>
  <c r="N52" i="4" s="1"/>
  <c r="N51" i="4" a="1"/>
  <c r="N51" i="4" s="1"/>
  <c r="N50" i="4" a="1"/>
  <c r="N50" i="4" s="1"/>
  <c r="N49" i="4" a="1"/>
  <c r="N49" i="4" s="1"/>
  <c r="N48" i="4" a="1"/>
  <c r="N48" i="4" s="1"/>
  <c r="N47" i="4" a="1"/>
  <c r="N47" i="4" s="1"/>
  <c r="L17" i="4"/>
  <c r="H79" i="3"/>
  <c r="F76" i="3"/>
  <c r="F75" i="3"/>
  <c r="F74" i="3"/>
  <c r="F73" i="3"/>
  <c r="F72" i="3"/>
  <c r="F66" i="3"/>
  <c r="F65" i="3"/>
  <c r="F64" i="3"/>
  <c r="F63" i="3"/>
  <c r="F62" i="3"/>
  <c r="C57" i="3"/>
  <c r="C55" i="3"/>
  <c r="C54" i="3"/>
  <c r="E53" i="3"/>
  <c r="C45" i="3"/>
  <c r="C44" i="3"/>
  <c r="C43" i="3"/>
  <c r="F30" i="3"/>
  <c r="D30" i="3"/>
  <c r="B30" i="3"/>
  <c r="H24" i="3"/>
  <c r="C20" i="3"/>
  <c r="C19" i="3"/>
  <c r="H18" i="3"/>
  <c r="C14" i="3"/>
  <c r="C13" i="3"/>
  <c r="C12" i="3"/>
  <c r="H9" i="3"/>
  <c r="B3" i="3"/>
  <c r="D7" i="4" s="1"/>
  <c r="N7" i="4" s="1"/>
  <c r="D60" i="4" s="1"/>
  <c r="G1" i="3"/>
  <c r="J133" i="2"/>
  <c r="J132" i="2"/>
  <c r="J131" i="2"/>
  <c r="J130" i="2"/>
  <c r="J129" i="2"/>
  <c r="J128" i="2"/>
  <c r="J97" i="2"/>
  <c r="J95" i="2"/>
  <c r="J94" i="2"/>
  <c r="J93" i="2"/>
  <c r="Q92" i="2"/>
  <c r="J92" i="2"/>
  <c r="D92" i="2"/>
  <c r="H85" i="2"/>
  <c r="J85" i="2" s="1"/>
  <c r="H83" i="2"/>
  <c r="J83" i="2" s="1"/>
  <c r="H82" i="2"/>
  <c r="H81" i="2"/>
  <c r="H80" i="2"/>
  <c r="I75" i="2"/>
  <c r="I76" i="2" s="1"/>
  <c r="R60" i="2"/>
  <c r="R59" i="2"/>
  <c r="R58" i="2"/>
  <c r="Q58" i="2"/>
  <c r="O58" i="2"/>
  <c r="E123" i="2" s="1"/>
  <c r="Q123" i="2" s="1"/>
  <c r="R57" i="2"/>
  <c r="R56" i="2"/>
  <c r="R55" i="2"/>
  <c r="Q55" i="2"/>
  <c r="O55" i="2"/>
  <c r="E121" i="2" s="1"/>
  <c r="Q121" i="2" s="1"/>
  <c r="R54" i="2"/>
  <c r="R53" i="2"/>
  <c r="R52" i="2"/>
  <c r="Q52" i="2"/>
  <c r="O52" i="2"/>
  <c r="E118" i="2" s="1"/>
  <c r="Q118" i="2" s="1"/>
  <c r="R51" i="2"/>
  <c r="R50" i="2"/>
  <c r="R49" i="2"/>
  <c r="Q49" i="2"/>
  <c r="O49" i="2"/>
  <c r="E113" i="2" s="1"/>
  <c r="Q113" i="2" s="1"/>
  <c r="R48" i="2"/>
  <c r="R47" i="2"/>
  <c r="R46" i="2"/>
  <c r="Q46" i="2"/>
  <c r="O46" i="2"/>
  <c r="E110" i="2" s="1"/>
  <c r="Q110" i="2" s="1"/>
  <c r="R45" i="2"/>
  <c r="R44" i="2"/>
  <c r="R43" i="2"/>
  <c r="Q43" i="2"/>
  <c r="O43" i="2"/>
  <c r="E108" i="2" s="1"/>
  <c r="Q108" i="2" s="1"/>
  <c r="E28" i="2"/>
  <c r="K25" i="2"/>
  <c r="D94" i="2" s="1"/>
  <c r="Q94" i="2" s="1"/>
  <c r="J25" i="2"/>
  <c r="N24" i="2"/>
  <c r="I24" i="2"/>
  <c r="C24" i="2" s="1"/>
  <c r="N23" i="2"/>
  <c r="N22" i="2"/>
  <c r="I22" i="2"/>
  <c r="C22" i="2" s="1"/>
  <c r="N21" i="2"/>
  <c r="I21" i="2"/>
  <c r="C21" i="2" s="1"/>
  <c r="N20" i="2"/>
  <c r="I20" i="2"/>
  <c r="A20" i="2" s="1"/>
  <c r="N19" i="2"/>
  <c r="I19" i="2"/>
  <c r="C19" i="2" s="1"/>
  <c r="N15" i="2"/>
  <c r="K49" i="4" s="1" a="1"/>
  <c r="K49" i="4" s="1"/>
  <c r="F15" i="2"/>
  <c r="Q10" i="2"/>
  <c r="R10" i="2" s="1"/>
  <c r="K67" i="2" s="1"/>
  <c r="N10" i="2"/>
  <c r="D18" i="4" s="1"/>
  <c r="J10" i="2"/>
  <c r="E18" i="4" s="1"/>
  <c r="H10" i="2"/>
  <c r="C18" i="4" s="1"/>
  <c r="F10" i="2"/>
  <c r="O40" i="2" s="1"/>
  <c r="E105" i="2" s="1"/>
  <c r="D10" i="2"/>
  <c r="D8" i="2"/>
  <c r="M23" i="1"/>
  <c r="C5" i="1"/>
  <c r="M5" i="1" s="1"/>
  <c r="E120" i="2" l="1"/>
  <c r="Q120" i="2" s="1"/>
  <c r="S52" i="2"/>
  <c r="S55" i="2"/>
  <c r="S46" i="2"/>
  <c r="S58" i="2"/>
  <c r="F11" i="2"/>
  <c r="C20" i="2"/>
  <c r="E119" i="2"/>
  <c r="Q119" i="2" s="1"/>
  <c r="N17" i="4"/>
  <c r="N18" i="4" s="1"/>
  <c r="I23" i="2"/>
  <c r="A23" i="2" s="1"/>
  <c r="E109" i="2"/>
  <c r="Q109" i="2" s="1"/>
  <c r="G3" i="3"/>
  <c r="D85" i="2"/>
  <c r="L66" i="2"/>
  <c r="D129" i="2" s="1"/>
  <c r="Q129" i="2" s="1"/>
  <c r="L65" i="2"/>
  <c r="R40" i="2" s="1"/>
  <c r="E106" i="2"/>
  <c r="Q106" i="2" s="1"/>
  <c r="E104" i="2"/>
  <c r="Q104" i="2" s="1"/>
  <c r="Q40" i="2"/>
  <c r="L67" i="2" s="1"/>
  <c r="D130" i="2" s="1"/>
  <c r="Q130" i="2" s="1"/>
  <c r="E124" i="2"/>
  <c r="Q124" i="2" s="1"/>
  <c r="E114" i="2"/>
  <c r="Q114" i="2" s="1"/>
  <c r="S49" i="2"/>
  <c r="E107" i="2"/>
  <c r="Q107" i="2" s="1"/>
  <c r="E111" i="2"/>
  <c r="Q111" i="2" s="1"/>
  <c r="E115" i="2"/>
  <c r="Q115" i="2" s="1"/>
  <c r="S43" i="2"/>
  <c r="D82" i="2"/>
  <c r="E116" i="2"/>
  <c r="Q116" i="2" s="1"/>
  <c r="D24" i="2"/>
  <c r="D80" i="2"/>
  <c r="K51" i="4" a="1"/>
  <c r="K51" i="4" s="1"/>
  <c r="D3" i="3"/>
  <c r="A84" i="3" s="1"/>
  <c r="E5" i="1"/>
  <c r="A24" i="2"/>
  <c r="D81" i="2"/>
  <c r="A19" i="2"/>
  <c r="D84" i="2"/>
  <c r="K47" i="4" a="1"/>
  <c r="K47" i="4" s="1"/>
  <c r="U77" i="2"/>
  <c r="D93" i="2"/>
  <c r="Q93" i="2" s="1"/>
  <c r="E117" i="2"/>
  <c r="Q117" i="2" s="1"/>
  <c r="E122" i="2"/>
  <c r="Q122" i="2" s="1"/>
  <c r="F7" i="4"/>
  <c r="K50" i="4" a="1"/>
  <c r="K50" i="4" s="1"/>
  <c r="K61" i="4"/>
  <c r="L61" i="4" s="1"/>
  <c r="K65" i="4"/>
  <c r="L65" i="4" s="1"/>
  <c r="J76" i="4" a="1"/>
  <c r="J76" i="4" s="1"/>
  <c r="J92" i="4" a="1"/>
  <c r="J92" i="4" s="1"/>
  <c r="J101" i="4" a="1"/>
  <c r="J101" i="4" s="1"/>
  <c r="L10" i="2"/>
  <c r="K68" i="2" s="1"/>
  <c r="F60" i="4"/>
  <c r="K64" i="4"/>
  <c r="L64" i="4" s="1"/>
  <c r="K62" i="4"/>
  <c r="L62" i="4" s="1"/>
  <c r="E60" i="4"/>
  <c r="A21" i="2"/>
  <c r="A22" i="2"/>
  <c r="E112" i="2"/>
  <c r="Q112" i="2" s="1"/>
  <c r="J103" i="4" a="1"/>
  <c r="J103" i="4" s="1"/>
  <c r="D21" i="2"/>
  <c r="D19" i="2"/>
  <c r="J102" i="4" a="1"/>
  <c r="J102" i="4" s="1"/>
  <c r="J100" i="4" a="1"/>
  <c r="J100" i="4" s="1"/>
  <c r="J93" i="4" a="1"/>
  <c r="J93" i="4" s="1"/>
  <c r="J91" i="4" a="1"/>
  <c r="J91" i="4" s="1"/>
  <c r="J89" i="4" a="1"/>
  <c r="J89" i="4" s="1"/>
  <c r="J88" i="4" a="1"/>
  <c r="J88" i="4" s="1"/>
  <c r="J77" i="4" a="1"/>
  <c r="J77" i="4" s="1"/>
  <c r="J75" i="4" a="1"/>
  <c r="J75" i="4" s="1"/>
  <c r="J73" i="4" a="1"/>
  <c r="J73" i="4" s="1"/>
  <c r="J104" i="4" a="1"/>
  <c r="J104" i="4" s="1"/>
  <c r="D20" i="2"/>
  <c r="D22" i="2"/>
  <c r="D23" i="2"/>
  <c r="D83" i="2"/>
  <c r="H84" i="2"/>
  <c r="J84" i="2" s="1"/>
  <c r="Q105" i="2"/>
  <c r="C56" i="3"/>
  <c r="F52" i="3"/>
  <c r="K48" i="4" a="1"/>
  <c r="K48" i="4" s="1"/>
  <c r="K52" i="4" a="1"/>
  <c r="K52" i="4" s="1"/>
  <c r="K60" i="4"/>
  <c r="L60" i="4" s="1"/>
  <c r="K63" i="4"/>
  <c r="L63" i="4" s="1"/>
  <c r="J74" i="4" a="1"/>
  <c r="J74" i="4" s="1"/>
  <c r="J78" i="4" a="1"/>
  <c r="J78" i="4" s="1"/>
  <c r="J90" i="4" a="1"/>
  <c r="J90" i="4" s="1"/>
  <c r="J99" i="4" a="1"/>
  <c r="J99" i="4" s="1"/>
  <c r="Q19" i="2" l="1"/>
  <c r="E96" i="2" s="1"/>
  <c r="Q96" i="2" s="1"/>
  <c r="R19" i="2"/>
  <c r="E98" i="2" s="1"/>
  <c r="Q98" i="2" s="1"/>
  <c r="K12" i="4"/>
  <c r="M12" i="4" s="1"/>
  <c r="C23" i="2"/>
  <c r="I25" i="2"/>
  <c r="E95" i="2"/>
  <c r="Q95" i="2" s="1"/>
  <c r="R42" i="2"/>
  <c r="D128" i="2"/>
  <c r="Q128" i="2" s="1"/>
  <c r="R41" i="2"/>
  <c r="E61" i="3" a="1"/>
  <c r="E61" i="3" s="1"/>
  <c r="M60" i="4"/>
  <c r="N60" i="4" s="1"/>
  <c r="D61" i="3" a="1"/>
  <c r="D61" i="3" s="1"/>
  <c r="J76" i="2"/>
  <c r="A61" i="3" a="1"/>
  <c r="A61" i="3" s="1"/>
  <c r="H86" i="2"/>
  <c r="E97" i="2" l="1"/>
  <c r="Q97" i="2" s="1"/>
  <c r="F61" i="3"/>
  <c r="H61" i="3" s="1"/>
  <c r="E71" i="3" a="1"/>
  <c r="E71" i="3" s="1"/>
  <c r="A71" i="3" a="1"/>
  <c r="A71" i="3" s="1"/>
  <c r="F71" i="3" s="1"/>
  <c r="H71" i="3" s="1"/>
  <c r="S40" i="2"/>
  <c r="S62" i="2" s="1"/>
  <c r="I77" i="2" s="1"/>
  <c r="L70" i="2" s="1"/>
  <c r="D133" i="2" s="1"/>
  <c r="Q133" i="2" s="1"/>
  <c r="I83" i="2"/>
  <c r="I80" i="2"/>
  <c r="F51" i="3" s="1"/>
  <c r="H49" i="3" s="1"/>
  <c r="I81" i="2"/>
  <c r="I84" i="2"/>
  <c r="I82" i="2"/>
  <c r="I85" i="2"/>
  <c r="J84" i="3" l="1"/>
  <c r="L68" i="2"/>
  <c r="D131" i="2" s="1"/>
  <c r="Q131" i="2" s="1"/>
  <c r="J82" i="2"/>
  <c r="J81" i="2"/>
  <c r="J80" i="2"/>
  <c r="I86" i="2"/>
  <c r="L69" i="2" l="1"/>
  <c r="D132" i="2" s="1"/>
  <c r="Q132" i="2" s="1"/>
  <c r="Q3" i="2" l="1"/>
  <c r="G5" i="3" l="1"/>
  <c r="H84" i="3"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2">
    <bk>
      <extLst>
        <ext uri="{3e2802c4-a4d2-4d8b-9148-e3be6c30e623}">
          <xlrd:rvb i="0"/>
        </ext>
      </extLst>
    </bk>
    <bk>
      <extLst>
        <ext uri="{3e2802c4-a4d2-4d8b-9148-e3be6c30e623}">
          <xlrd:rvb i="1"/>
        </ext>
      </extLst>
    </bk>
  </futureMetadata>
  <cellMetadata count="1">
    <bk>
      <rc t="1" v="0"/>
    </bk>
  </cellMetadata>
  <valueMetadata count="2">
    <bk>
      <rc t="2" v="0"/>
    </bk>
    <bk>
      <rc t="2" v="1"/>
    </bk>
  </valueMetadata>
</metadata>
</file>

<file path=xl/sharedStrings.xml><?xml version="1.0" encoding="utf-8"?>
<sst xmlns="http://schemas.openxmlformats.org/spreadsheetml/2006/main" count="401" uniqueCount="280">
  <si>
    <t>IDENTIFICACIÓN DEL PROPONENTE</t>
  </si>
  <si>
    <t>Oferente:</t>
  </si>
  <si>
    <t>TIPO PROPONENTE</t>
  </si>
  <si>
    <t>2. CAPÍTULO II. ELABORACIÓN Y PRESENTACIÓN DE LA OFERTA</t>
  </si>
  <si>
    <t>2.1. CARTA DE PRESENTACIÓN DE LA OFERTA</t>
  </si>
  <si>
    <t>El proponente individual o prlura presento el FORMATO 1 – CARTA DE PRESENTACIÓN DE LA OFERTA</t>
  </si>
  <si>
    <t>NO</t>
  </si>
  <si>
    <t>APLICACIÓN DEL ARTICULO 20 DE LA LEY 842 DE 2023</t>
  </si>
  <si>
    <r>
      <t xml:space="preserve">La oferta del porponente individual o  Plural es avalada por un </t>
    </r>
    <r>
      <rPr>
        <b/>
        <sz val="12"/>
        <color theme="1"/>
        <rFont val="Arial Narrow"/>
        <family val="2"/>
      </rPr>
      <t>Ingeniero</t>
    </r>
    <r>
      <rPr>
        <sz val="12"/>
        <color theme="1"/>
        <rFont val="Arial Narrow"/>
        <family val="2"/>
      </rPr>
      <t xml:space="preserve"> de conformidad con el ART 20 ley 842 de 2023? </t>
    </r>
  </si>
  <si>
    <t>El proponente Adjunta copia de la tarjeta profesional</t>
  </si>
  <si>
    <t>SI</t>
  </si>
  <si>
    <t>El proponente adjunta copia de la tarjeta profesional y certificado de vigencia de la matrícula profesional expedida por la autoridad competente</t>
  </si>
  <si>
    <t>El certificado de vigencia de la matrícula profesional se encuentra vigente al cierre del presente proceso?</t>
  </si>
  <si>
    <t>ESTADO REVISIÓN DOCUMENTOS DE PRESENTACIÓN OFERTA</t>
  </si>
  <si>
    <t>Observaciones</t>
  </si>
  <si>
    <t>EVALUACIÓN CRITERIOS TECNICOS HABILITANTES DE EXPERIENCIA</t>
  </si>
  <si>
    <t>ESTADO HABILITACIÓN</t>
  </si>
  <si>
    <t>1. D A T O S    D E L    P R O C E S O.</t>
  </si>
  <si>
    <t>OBJETO:</t>
  </si>
  <si>
    <t>No. PROCESO</t>
  </si>
  <si>
    <t>FECHA CIERRE</t>
  </si>
  <si>
    <t>PLAZO</t>
  </si>
  <si>
    <t>VALOR PPTO</t>
  </si>
  <si>
    <t>SMMLV</t>
  </si>
  <si>
    <t>ANTICIPO</t>
  </si>
  <si>
    <t>AREA</t>
  </si>
  <si>
    <t>2.  I D E N T I F I C A C I Ó N    D E L    O F E R E N T E</t>
  </si>
  <si>
    <t>I N T E G R A N T E S</t>
  </si>
  <si>
    <t>PARTICIPACIÓN</t>
  </si>
  <si>
    <t>VIGENCIA 
FIRMEZA RUP</t>
  </si>
  <si>
    <t>FECHA 
EXPEDICIÓN RUP</t>
  </si>
  <si>
    <t>MIPYME</t>
  </si>
  <si>
    <t>FORMATO 13</t>
  </si>
  <si>
    <t>EMPRENDIMIENTO
 MUJER</t>
  </si>
  <si>
    <t>FORMATO 3</t>
  </si>
  <si>
    <t>ESTADO
MIPYMES</t>
  </si>
  <si>
    <t>ESTADO
EMPRENDIMIENTO
Y/O  MUJER</t>
  </si>
  <si>
    <t xml:space="preserve">ÚNICO PROPONENTE /
Integrante 1 </t>
  </si>
  <si>
    <t>CUMPLE</t>
  </si>
  <si>
    <t>SE CLASIFICA</t>
  </si>
  <si>
    <t>SE ANEXA</t>
  </si>
  <si>
    <t>Integrante 2</t>
  </si>
  <si>
    <t>Integrante 3</t>
  </si>
  <si>
    <t>Integrante 4</t>
  </si>
  <si>
    <t>Integrante 5</t>
  </si>
  <si>
    <t>Integrante 6</t>
  </si>
  <si>
    <t>3.  E X P E R I E N C I A    R E Q U E R I D A.</t>
  </si>
  <si>
    <t>Experiencia solicitada:</t>
  </si>
  <si>
    <t>10.1.1 CARACTERÍSTICAS DE LOS CONTRATOS PRESENTADOS PARA ACREDITAR LA EXPERIENCIA DEL PROPONENTE</t>
  </si>
  <si>
    <r>
      <t xml:space="preserve">1.1. PROYECTOS DE
</t>
    </r>
    <r>
      <rPr>
        <b/>
        <sz val="48"/>
        <rFont val="Arial Narrow"/>
        <family val="2"/>
      </rPr>
      <t>CONSTRUCCIÓN</t>
    </r>
    <r>
      <rPr>
        <b/>
        <sz val="28"/>
        <rFont val="Arial Narrow"/>
        <family val="2"/>
      </rPr>
      <t xml:space="preserve"> Y/O
</t>
    </r>
    <r>
      <rPr>
        <b/>
        <sz val="48"/>
        <rFont val="Arial Narrow"/>
        <family val="2"/>
      </rPr>
      <t>AMPLIACIÓN</t>
    </r>
    <r>
      <rPr>
        <b/>
        <sz val="28"/>
        <rFont val="Arial Narrow"/>
        <family val="2"/>
      </rPr>
      <t xml:space="preserve"> Y/O
</t>
    </r>
    <r>
      <rPr>
        <b/>
        <sz val="48"/>
        <rFont val="Arial Narrow"/>
        <family val="2"/>
      </rPr>
      <t>RECONSTRUCCIÓN</t>
    </r>
    <r>
      <rPr>
        <b/>
        <sz val="28"/>
        <rFont val="Arial Narrow"/>
        <family val="2"/>
      </rPr>
      <t xml:space="preserve"> DE
</t>
    </r>
    <r>
      <rPr>
        <b/>
        <sz val="36"/>
        <rFont val="Arial Narrow"/>
        <family val="2"/>
      </rPr>
      <t>INFRAESTRUCTURA
CULTURAL</t>
    </r>
    <r>
      <rPr>
        <b/>
        <sz val="28"/>
        <rFont val="Arial Narrow"/>
        <family val="2"/>
      </rPr>
      <t>.</t>
    </r>
  </si>
  <si>
    <t>EXPERIENCIA GENERAL</t>
  </si>
  <si>
    <t>EXPERIENCIA ESPECIFICA</t>
  </si>
  <si>
    <t>% DIMENSIONAMIENTO</t>
  </si>
  <si>
    <t>CLASIFICACIÓN UNSPSC</t>
  </si>
  <si>
    <r>
      <rPr>
        <b/>
        <sz val="36"/>
        <color theme="1"/>
        <rFont val="Arial Narrow"/>
        <family val="2"/>
      </rPr>
      <t>CONSTRUCCIÓN</t>
    </r>
    <r>
      <rPr>
        <sz val="28"/>
        <color theme="1"/>
        <rFont val="Arial Narrow"/>
        <family val="2"/>
      </rPr>
      <t xml:space="preserve"> Y/O </t>
    </r>
    <r>
      <rPr>
        <b/>
        <sz val="36"/>
        <color theme="1"/>
        <rFont val="Arial Narrow"/>
        <family val="2"/>
      </rPr>
      <t>AMPLIACIÓN</t>
    </r>
    <r>
      <rPr>
        <sz val="28"/>
        <color theme="1"/>
        <rFont val="Arial Narrow"/>
        <family val="2"/>
      </rPr>
      <t xml:space="preserve"> Y/O </t>
    </r>
    <r>
      <rPr>
        <b/>
        <sz val="36"/>
        <color theme="1"/>
        <rFont val="Arial Narrow"/>
        <family val="2"/>
      </rPr>
      <t>RECONSTRUCCIÓN</t>
    </r>
    <r>
      <rPr>
        <sz val="28"/>
        <color theme="1"/>
        <rFont val="Arial Narrow"/>
        <family val="2"/>
      </rPr>
      <t xml:space="preserve"> DE </t>
    </r>
    <r>
      <rPr>
        <b/>
        <sz val="36"/>
        <color theme="1"/>
        <rFont val="Arial Narrow"/>
        <family val="2"/>
      </rPr>
      <t>EDIFICACIONES</t>
    </r>
    <r>
      <rPr>
        <sz val="28"/>
        <color theme="1"/>
        <rFont val="Arial Narrow"/>
        <family val="2"/>
      </rPr>
      <t>.</t>
    </r>
  </si>
  <si>
    <t>Por lo menos uno (1) de los contratos válidos aportados como experiencia general deben contemplar un área intervenida o construida igual o superior al (50%) del total de metros cuadrados del proceso de selección, el cual corresponde a 240 m2</t>
  </si>
  <si>
    <t>Valor de F% 50%</t>
  </si>
  <si>
    <t>721214
721515
721519
721529</t>
  </si>
  <si>
    <t>VERIFICACIÓN CUMPLIMIENTO DE EXPERIENCIA  REQUERIDA MATRIZ DE EXPERIENCIA</t>
  </si>
  <si>
    <t>ENTIDAD QUE CERTIFICA EL CONTRATO EJECUTADO</t>
  </si>
  <si>
    <t>INTEGRANTE que aporta la experiencia</t>
  </si>
  <si>
    <t>I, C , UT , OTRA</t>
  </si>
  <si>
    <t>% Participación</t>
  </si>
  <si>
    <t>Ubicación RUP</t>
  </si>
  <si>
    <t>Salarios Mínimos registrados en el RUP</t>
  </si>
  <si>
    <t>FECHA INICIO  EJECUCIÓN</t>
  </si>
  <si>
    <t>FECHA DE TERMINACIÓN EJECUCIÓN</t>
  </si>
  <si>
    <t>AREA CERTIFICADA CUBIERTA CONTRATO</t>
  </si>
  <si>
    <t>EXPERIENCIA GENERAL ACTIVIDAD PRINCIPAL</t>
  </si>
  <si>
    <t>CLASIFICADOR DE BIENES Y SERVICIOS
UNSPSC</t>
  </si>
  <si>
    <t>VERIFICACIÓN CERTIFICACIÓN</t>
  </si>
  <si>
    <t>EXPERIENCIA 
ESPECIFICA
ACTIVIDAD PRINCIPAL</t>
  </si>
  <si>
    <t>SMMLV APORTADOS INDIVIDUAL</t>
  </si>
  <si>
    <t>SMMLV APORTADOS PROPONENTE</t>
  </si>
  <si>
    <t>Certificación 1</t>
  </si>
  <si>
    <t>UNIVERSIDAD DE SUCRE</t>
  </si>
  <si>
    <t>LAEL CONSTRUCCIONES S.A.S</t>
  </si>
  <si>
    <t xml:space="preserve">C </t>
  </si>
  <si>
    <t>Certificación 2</t>
  </si>
  <si>
    <t>Certificación 3</t>
  </si>
  <si>
    <t>Certificación 4</t>
  </si>
  <si>
    <t>Certificación 5</t>
  </si>
  <si>
    <t>Certificación 6</t>
  </si>
  <si>
    <t>Certificación 7</t>
  </si>
  <si>
    <t>NOTA 1: Las certificaciones con estado de certificación : VALIDA corresponden aquellas que cumplen con los requesitos exigidos de EXPERIENCIA GENERAL , CODIGOS UNSPSC y FECHA DE TERMINACIÓN sea para OBRA o ING. DETALLE</t>
  </si>
  <si>
    <t>NOTA 2: Los valores ejecutados de las certificaciones cuya fecha de inicio de ejecución son inferiores a la fecha de expedición de la NSR - 98 no seran tomados en cuenta en la sumatoria del valor minimo a certificar como porcentaje del presupuesto oficial  expresado en SMMLV</t>
  </si>
  <si>
    <t xml:space="preserve">SUMATORIA </t>
  </si>
  <si>
    <r>
      <rPr>
        <b/>
        <sz val="12"/>
        <color theme="1"/>
        <rFont val="Arial Narrow"/>
        <family val="2"/>
      </rPr>
      <t>3.5.7. RELACIÓN DE LOS CONTRATOS FRENTE AL PRESUPUESTO OFICIAL</t>
    </r>
    <r>
      <rPr>
        <sz val="12"/>
        <color theme="1"/>
        <rFont val="Arial Narrow"/>
        <family val="2"/>
      </rPr>
      <t xml:space="preserve">
La verificación se hará con base en la sumatoria de los valores totales ejecutados (incluido IVA) en SMMLV de los contratos que cumplan con los requisitos establecidos en este Pliego de Condiciones.</t>
    </r>
  </si>
  <si>
    <t>NUMERAL</t>
  </si>
  <si>
    <t>LITERAL</t>
  </si>
  <si>
    <t>3.5.1. CARACTERÍSTICAS DE LOS CONTRATOS PRESENTADOS PARA ACREDITAR LA EXPERIENCIA EXIGIDA</t>
  </si>
  <si>
    <t>E Y F</t>
  </si>
  <si>
    <t>CUMPLIMIENTO INICIO DE EJECUCIÓN DE LOS CONTRATOS POSTERIOR A NSR 98  -  (09/01/1998)</t>
  </si>
  <si>
    <t>G Y H</t>
  </si>
  <si>
    <t>CUMPLIMIENTO INICIO DE EJECUCIÓN DE LOS CONTRATOS POSTERIOR A NSR 10  -  (15/07/2010)</t>
  </si>
  <si>
    <t>A</t>
  </si>
  <si>
    <t xml:space="preserve">CUMPLIMIENTO EXPERIENCIA ESPECIFICA DE LA ACTIVIDAD PRINCIPAL : ÁREA MINIMA OBRA :			</t>
  </si>
  <si>
    <t>CUMPLIMIENTO PORCENTAJE DE DIMENSIONAMIENTO PRESUPUESTO ESTIMADO</t>
  </si>
  <si>
    <t xml:space="preserve">TOTAL SMMLV </t>
  </si>
  <si>
    <t>3.5.2. CONSIDERACIONES PARA LA VALIDEZ DE LA EXPERIENCIA REQUERIDA</t>
  </si>
  <si>
    <t xml:space="preserve">CUMPLIMIENTO LITERAL 3.5.2 PORCENTAJES DE ACREDITACIÓN POR INTEGRANTE </t>
  </si>
  <si>
    <t>3.5.7. RELACIÓN DE LOS CONTRATOS FRENTE AL PRESUPUESTO OFICIAL</t>
  </si>
  <si>
    <t>VALOR MÍNIMO A CERTIFICAR (COMO % DEL PRESUPUESTO OFICIAL DE OBRA EXPRESADO EN SMMLV)</t>
  </si>
  <si>
    <t>VERIFICACIÓN  DEL VALOR MINIMO A CERTIFICAR COMO % DEL PRESUPUESTO OFICIAL DE OBRA EXPRESADO EN SMMLV  NUMERAL 3,5,7</t>
  </si>
  <si>
    <t>Número de contratos con los cuales el Proponente cumple la experiencia acreditada</t>
  </si>
  <si>
    <t>Valor mínimo a certificar (como % del Presupuesto Oficial de obra expresado en SMMLV)</t>
  </si>
  <si>
    <t xml:space="preserve">NÚMERO DE CONTRATOS APORTADO </t>
  </si>
  <si>
    <t>De 1  hasta 2</t>
  </si>
  <si>
    <t>De 3 hasta 4</t>
  </si>
  <si>
    <t xml:space="preserve">TOTAL SMMLV DE LOS CONTRATOS VALIDADOS QUE  CUMPLE LA EXPERIENCIA </t>
  </si>
  <si>
    <t xml:space="preserve">&gt; a 5 Contratos </t>
  </si>
  <si>
    <t xml:space="preserve">INTEGRANTES PROPONENTE PLURAL </t>
  </si>
  <si>
    <t>Participación</t>
  </si>
  <si>
    <t>%  Aportado 
SMMLV</t>
  </si>
  <si>
    <t>Numeral 3.5.2 literal D</t>
  </si>
  <si>
    <t>REQUERIMIENTOS AL PROPONENTE</t>
  </si>
  <si>
    <t>TEMAS</t>
  </si>
  <si>
    <t>OBSERVACIÓN</t>
  </si>
  <si>
    <t>CUMPLIMIENTO PLIEGO DE CONDICIONES</t>
  </si>
  <si>
    <t>SOLICITUD Y /O ACLARACIÓN</t>
  </si>
  <si>
    <t>REVISIÓN SUBSANACIÓN</t>
  </si>
  <si>
    <t>OBSERVACIÓN SUBSANACIÓN</t>
  </si>
  <si>
    <t>ANEXO 3</t>
  </si>
  <si>
    <t>VIGENCIA &amp; FIRMEZA DEL RUP</t>
  </si>
  <si>
    <t>FECHA EXPEDICIÓN RUP</t>
  </si>
  <si>
    <t>RELACIONADA CON PORCENTAJE DE PARTICIPACIÓN</t>
  </si>
  <si>
    <t>RELACIONADO CON EL CUMPLIMIENTO DEL RUP</t>
  </si>
  <si>
    <t>EMPRENDIMIENTO MUJERES
FORMATO 3</t>
  </si>
  <si>
    <t>REVISIÓN RELACIONADA CON LA EXPERIENCIA APORTADA</t>
  </si>
  <si>
    <t>DETALLE DE LA OBSERVACIÓN</t>
  </si>
  <si>
    <t>RELACIONADA
 CON LA EXPERIENCIA GENERAL</t>
  </si>
  <si>
    <t>RELACIONADA
 CON LO CODIGOS UNSPSC - CLASIFICADOR DE BIENES Y SERVICIOS</t>
  </si>
  <si>
    <t xml:space="preserve">RELACIONADA CON  LA FECHA DE TERMINACIÓN DE EJECUCIÓN </t>
  </si>
  <si>
    <t xml:space="preserve">CUMPLIMIENTO EXPERIENCIA ESPECIFICA: </t>
  </si>
  <si>
    <t xml:space="preserve">CUMPLIMIENTO ACTIVIDAD SECUNDARIA =   50% del POT </t>
  </si>
  <si>
    <t>EVALUACIÓN CRITERIOS PONDERABLES</t>
  </si>
  <si>
    <t>Lebrija</t>
  </si>
  <si>
    <t>No</t>
  </si>
  <si>
    <t>San Jacinto</t>
  </si>
  <si>
    <t>CONSECUTIVO:</t>
  </si>
  <si>
    <t>NOMBRE PROPONENTE</t>
  </si>
  <si>
    <t>ESTADO FINAL PROPONENTE</t>
  </si>
  <si>
    <t>FORMATO 7 - FACTOR DE CALIDAD</t>
  </si>
  <si>
    <t>Requisitos de Verificación</t>
  </si>
  <si>
    <t>Verificación Cumplimiento
(SI/NO)</t>
  </si>
  <si>
    <t>PUNTAJE</t>
  </si>
  <si>
    <t>PUNTAJE OBTENIDO</t>
  </si>
  <si>
    <r>
      <t xml:space="preserve">¿El Proponente presenta </t>
    </r>
    <r>
      <rPr>
        <b/>
        <sz val="12"/>
        <rFont val="HELVETICA"/>
      </rPr>
      <t>EL ANEXO 7A – Programa de gerencia de proyectos,</t>
    </r>
    <r>
      <rPr>
        <sz val="12"/>
        <color rgb="FF000000"/>
        <rFont val="Helvetica"/>
      </rPr>
      <t>?</t>
    </r>
  </si>
  <si>
    <r>
      <t>El Proponente o uno de sus integrantes cuentan con alguna anotación vigente que repose en el registro nacional de obras civiles inconclusas  (</t>
    </r>
    <r>
      <rPr>
        <b/>
        <sz val="11"/>
        <color rgb="FF0070C0"/>
        <rFont val="Helvetica"/>
      </rPr>
      <t>https://obrasinconclusas.contraloria.gov.co/) - (Ley 2020 de 2020</t>
    </r>
    <r>
      <rPr>
        <sz val="12"/>
        <color rgb="FF000000"/>
        <rFont val="Helvetica"/>
      </rPr>
      <t>)</t>
    </r>
  </si>
  <si>
    <t>https://obrasinconclusas.contraloria.gov.co/</t>
  </si>
  <si>
    <t>Observaciones:</t>
  </si>
  <si>
    <t>Relacionadas con el ANEXO 7A</t>
  </si>
  <si>
    <t>Relacionadas con el Registro Nacional de Obras Civiles Inconclusas</t>
  </si>
  <si>
    <t>CONDICIONES DEL PLIEGO</t>
  </si>
  <si>
    <t>FORMATO 12 - FACTOR DE SOSTENIBILIDAD TÉCNICO AMBIENTAL AGREGADO</t>
  </si>
  <si>
    <r>
      <t xml:space="preserve">
¿El Proponente presenta el </t>
    </r>
    <r>
      <rPr>
        <b/>
        <sz val="12"/>
        <color rgb="FF000000"/>
        <rFont val="HELVETICA"/>
      </rPr>
      <t>Formato 12 - Factor de Sostenibilidad firmado</t>
    </r>
    <r>
      <rPr>
        <sz val="12"/>
        <color rgb="FF000000"/>
        <rFont val="Helvetica"/>
      </rPr>
      <t xml:space="preserve"> por el proponente o su Representan Legal comprometiéndose a:
</t>
    </r>
    <r>
      <rPr>
        <b/>
        <sz val="12"/>
        <color rgb="FF000000"/>
        <rFont val="HELVETICA"/>
      </rPr>
      <t>una (1) estación de ciclo-parqueaderos empleando materiales reciclados, el cual puede ser de forma horizontal o vertical, según la disponibilidad de espacio que cuente el predio en el cual serán adelantado el proyecto de infraestructura social</t>
    </r>
    <r>
      <rPr>
        <sz val="12"/>
        <color rgb="FF000000"/>
        <rFont val="Helvetica"/>
      </rPr>
      <t xml:space="preserve">
</t>
    </r>
  </si>
  <si>
    <t>Relacionadas con el FORMATO 12</t>
  </si>
  <si>
    <t>Formato 9 - Puntaje apoyo a la industria nacional</t>
  </si>
  <si>
    <t>PROMOCIÓN DE SERVICIOS NACIONALES O CON TRATO NACIONAL</t>
  </si>
  <si>
    <t>Formato 9 A – Promoción de Servicios Nacionales o con Trato Nacional</t>
  </si>
  <si>
    <r>
      <rPr>
        <b/>
        <sz val="12"/>
        <color rgb="FF000000"/>
        <rFont val="HELVETICA"/>
      </rPr>
      <t>A. Persona natural colombiana:</t>
    </r>
    <r>
      <rPr>
        <sz val="12"/>
        <color rgb="FF000000"/>
        <rFont val="Helvetica"/>
      </rPr>
      <t xml:space="preserve"> La cédula de ciudadanía del Proponente.</t>
    </r>
  </si>
  <si>
    <r>
      <rPr>
        <b/>
        <sz val="12"/>
        <color rgb="FF000000"/>
        <rFont val="HELVETICA"/>
      </rPr>
      <t>B. Persona natural extranjera residente en Colombia:</t>
    </r>
    <r>
      <rPr>
        <sz val="12"/>
        <color rgb="FF000000"/>
        <rFont val="Helvetica"/>
      </rPr>
      <t xml:space="preserve"> La visa de residencia que le permita la ejecución del objeto contractual de conformidad con la ley.</t>
    </r>
  </si>
  <si>
    <r>
      <rPr>
        <b/>
        <sz val="12"/>
        <color rgb="FF000000"/>
        <rFont val="HELVETICA"/>
      </rPr>
      <t xml:space="preserve">C. Persona jurídica constituida en Colombia: </t>
    </r>
    <r>
      <rPr>
        <sz val="12"/>
        <color rgb="FF000000"/>
        <rFont val="Helvetica"/>
      </rPr>
      <t>El certificado de existencia y representación legal emitido por alguna de las cámaras de comercio del país.</t>
    </r>
  </si>
  <si>
    <t>AL  PROCESO LE APLICA  EL USO DE BIENES RELEANTES?</t>
  </si>
  <si>
    <t>El Proponentes que se comprometan a adquirir uno, varios o todos los bienes nacionales relevantes para el cumplimiento del contrato?</t>
  </si>
  <si>
    <t>Total bienes Relevantes</t>
  </si>
  <si>
    <t>Total bienes relevantes comprometidos a adquirir</t>
  </si>
  <si>
    <t>PUNTAJE PROPORCIONAL POR BIENES RELEVANTES</t>
  </si>
  <si>
    <t>RELACION DE BIENES RELEVANTES</t>
  </si>
  <si>
    <t>N°</t>
  </si>
  <si>
    <t>Bien nacional relevante</t>
  </si>
  <si>
    <t>Puntaje individual de cada bien</t>
  </si>
  <si>
    <t>Compromiso Bien relevante</t>
  </si>
  <si>
    <t>1.</t>
  </si>
  <si>
    <t>Malla Electrosoldada</t>
  </si>
  <si>
    <t>2.</t>
  </si>
  <si>
    <t>Acero De Refuerzo 60000 PSI</t>
  </si>
  <si>
    <t>Placa de contrapiso en concreto reforzado (Cemento Portland Gris)</t>
  </si>
  <si>
    <r>
      <rPr>
        <b/>
        <sz val="12"/>
        <rFont val="HELVETICA"/>
      </rPr>
      <t>INCORPORACIÓN DE COMPONENTE NACIONAL EN SERVICIOS EXTRANJEROS</t>
    </r>
    <r>
      <rPr>
        <sz val="12"/>
        <rFont val="Helvetica"/>
      </rPr>
      <t xml:space="preserve"> </t>
    </r>
    <r>
      <rPr>
        <b/>
        <sz val="12"/>
        <rFont val="HELVETICA"/>
      </rPr>
      <t>Formato 9B – Incorporación de Componente Nacional en Servicios Extranjeros</t>
    </r>
    <r>
      <rPr>
        <sz val="12"/>
        <rFont val="Helvetica"/>
      </rPr>
      <t xml:space="preserve">
El proponente manifiesta  bajo la gravedad de juramento que incorporará en la ejecución del contrato más del noventa por ciento (90%) de personal técnico, operativo y profesional de origen Colombiano</t>
    </r>
  </si>
  <si>
    <t>Relacionadas con los anexos 9A Y 9B</t>
  </si>
  <si>
    <t>Relacionadas con los BIENES RELEVANTES</t>
  </si>
  <si>
    <t>CONDICIONES PLIEGO</t>
  </si>
  <si>
    <t xml:space="preserve">Formato 8 . Incentivo en favor de personas con discapacidad. </t>
  </si>
  <si>
    <t>FORMATO 8 VINCULACIÓN DE PERSONAS CON DISCAPACIDAD SUSCRITO POR LA PERSONA NATURAL, EL REPRESENTANTE LEGAL O EL REVISOR FISCAL</t>
  </si>
  <si>
    <t>En caso de oferentes plurales el integrante que aporta el personal con discapacidad, aporta mas del 40% de la experiencia expresada en SMLV (En caso de oferente individual indicar únicamente si)</t>
  </si>
  <si>
    <t>PORCENTAJE DE SMMLV ACREDITADOS</t>
  </si>
  <si>
    <t>SELECCIONE EL INTEGRANTE QUE APORTA LA CONDICION DE DISCAPACITADOS</t>
  </si>
  <si>
    <t>Acreditación Numero minimo de personas en condición de discapacidad de conformidad certificación de Ministerio de Trabajo</t>
  </si>
  <si>
    <t>Número total de trabajadores vinculados a la planta de personal</t>
  </si>
  <si>
    <t>Número total reportado de personas con discapacidad en la planta de personal</t>
  </si>
  <si>
    <t>Certificado  Ministerio de Trabajo VIGENTE</t>
  </si>
  <si>
    <t>Número mínimo de trabajadores con discapacidad exigido
DECRETO 1082 de 2015</t>
  </si>
  <si>
    <t>Relacionadas con el FORMATO 8</t>
  </si>
  <si>
    <t>Relacionadas con el integrante que aporta el 40% de la experiencia</t>
  </si>
  <si>
    <t>Relacionada con el Numero de personal Discapacitado</t>
  </si>
  <si>
    <t>Formato 13 .Emprendimientos y empresas de mujeres.</t>
  </si>
  <si>
    <t>PROPONENTE O INTEGRANTE(S)  QUE APORTA(N) LA CONDICION</t>
  </si>
  <si>
    <t>ACREDITACIÓN POR PORCENTAJE ACCIONARIO</t>
  </si>
  <si>
    <t>ACREDITACIÓN POR EMPLEOS NIVEL DIRECTIVO</t>
  </si>
  <si>
    <t>PORCENTAJE PARTIFICACIÓN</t>
  </si>
  <si>
    <t>Verificación Cumplimiento</t>
  </si>
  <si>
    <t>MIPYME DOMICILIADA EN COLOMBIA</t>
  </si>
  <si>
    <t>PROPONENTE O INTEGRANTE(S) QUE APORTA(N) LA CONDICION DE PYMES</t>
  </si>
  <si>
    <t>Al proponente y/o consorciados ¿se les ha impuesto una o más multas o cláusulas penales durante el último año?</t>
  </si>
  <si>
    <t>https://www.rues.org.co/</t>
  </si>
  <si>
    <t xml:space="preserve">El Puntaje se asignara una vez el proponente se encuentre en Estado Final  Habilitado </t>
  </si>
  <si>
    <t>EVALUACIÓN CAPACIDAD RESIDUAL DE CONTRATACIÓN</t>
  </si>
  <si>
    <t>1. IDENTIFICACIÓN DEL OFERENTE</t>
  </si>
  <si>
    <t>NOMBRE PROPONENTE:</t>
  </si>
  <si>
    <t>TIPO PROPONENTE:</t>
  </si>
  <si>
    <t>2. CAPACIDAD RESIDUAL</t>
  </si>
  <si>
    <t>CPR</t>
  </si>
  <si>
    <t>CRPC</t>
  </si>
  <si>
    <t>ESTADO FINANCIEROS DICTAMINADOS</t>
  </si>
  <si>
    <t>ESTADO CAPACIDAD RESIDUAL</t>
  </si>
  <si>
    <r>
      <t>El Proponente será hábil si su capacidad residual es mayor o igual a la capacidad residual de Proceso de Contratación</t>
    </r>
    <r>
      <rPr>
        <b/>
        <sz val="16"/>
        <color theme="1"/>
        <rFont val="Helvetica"/>
      </rPr>
      <t xml:space="preserve"> (CRPC). Así: CPR &gt;= CRPC:</t>
    </r>
  </si>
  <si>
    <t>3. CÁLCULO DE LA CAPACIDAD RESIDUAL DEL PROCESO DE CONTRATACIÓN (CRPC)</t>
  </si>
  <si>
    <t>MESES CONTRATO</t>
  </si>
  <si>
    <t>ANTICIPO O PAGO ANTICIPADO</t>
  </si>
  <si>
    <t>POE</t>
  </si>
  <si>
    <t>CÁLCULO DE LA CAPACIDAD RESIDUAL DEL PROCESO DE CONTRATACIÓN (CRPC)</t>
  </si>
  <si>
    <t>OPCION 1</t>
  </si>
  <si>
    <t>&lt;= a 12 meses</t>
  </si>
  <si>
    <t>𝐶𝑅𝑃𝐶=𝑃𝑂𝐸−𝐴𝑛𝑡𝑖𝑐𝑖𝑝𝑜 𝑦/𝑜 𝑝𝑎𝑔𝑜 𝑎𝑛𝑡𝑖𝑐𝑖𝑝𝑎𝑑𝑜</t>
  </si>
  <si>
    <t>EN PESOS COLOMBIANOS</t>
  </si>
  <si>
    <t>OPCION 2</t>
  </si>
  <si>
    <t>&gt;= a 12 meses</t>
  </si>
  <si>
    <t>POE−Anticipo y/o pago anticipado
CRPC =  ------------------------------------------------------------- * 12
Plazo estimado (meses)</t>
  </si>
  <si>
    <t>EN SMMLV</t>
  </si>
  <si>
    <t>OBSERVACIÓN:</t>
  </si>
  <si>
    <t>4. CÁLCULO DE LA CAPACIDAD RESIDUAL DEL PROPONENTE (CRP)</t>
  </si>
  <si>
    <t xml:space="preserve">REVISIÓN COLOMBIA COMPRA EFICIENTE </t>
  </si>
  <si>
    <t>CÁLCULO DE LA CAPACIDAD RESIDUAL DEL PROPONENTE (CRP)</t>
  </si>
  <si>
    <t>PUNTAJE MAXIMO</t>
  </si>
  <si>
    <t>CO</t>
  </si>
  <si>
    <t>Capacidad de Organización</t>
  </si>
  <si>
    <t>N/A</t>
  </si>
  <si>
    <t>E</t>
  </si>
  <si>
    <t>Experiencia</t>
  </si>
  <si>
    <t>CT</t>
  </si>
  <si>
    <t>Capacidad Técnica</t>
  </si>
  <si>
    <t>CF</t>
  </si>
  <si>
    <t>Capacidad Financiera</t>
  </si>
  <si>
    <t>SCE</t>
  </si>
  <si>
    <t>Saldos de Contratos en Ejecución</t>
  </si>
  <si>
    <t xml:space="preserve">EXPERIENCIA (E) </t>
  </si>
  <si>
    <t>El factor (E) del Proponente para propósitos de la capacidad residual es acreditado por medio de la relación entre: i) el valor total en Pesos de los contratos relacionados con la actividad de la construcción inscritos por el Proponente en el RUP, o Formato 5 – Capacidad residual en el segmento 72 “Servicios de Edificación, Construcción de Instalaciones y Mantenimiento” del Clasificador de Bienes y Servicios; y ii) el Presupuesto Oficial del Proceso de Contratación.</t>
  </si>
  <si>
    <t>El puntaje al factor (E) será asignado con base en la siguiente tabla:</t>
  </si>
  <si>
    <t xml:space="preserve">MAYOR A </t>
  </si>
  <si>
    <t>MENOR IGUAL A</t>
  </si>
  <si>
    <t>PROPONENTE O INTEGRANTE DEL PROPONENTE PLURAL</t>
  </si>
  <si>
    <t>PORCENTAJE PARTICIPACIÓN</t>
  </si>
  <si>
    <t xml:space="preserve">En adelante </t>
  </si>
  <si>
    <t>PROPONENTE  INDIVIDUAL</t>
  </si>
  <si>
    <t>PROPONENTE PLURAL</t>
  </si>
  <si>
    <t>Valor total de los contratos (COP)
E = ----------------------------------------------------------------
Presupuesto total estimado (COP)</t>
  </si>
  <si>
    <r>
      <rPr>
        <b/>
        <sz val="14"/>
        <color theme="1"/>
        <rFont val="HELVETICA"/>
      </rPr>
      <t>FORMULA PARA CADA UNO DE LOS INTEGRANTES DEL PROPONENTE PLURAL:</t>
    </r>
    <r>
      <rPr>
        <sz val="14"/>
        <color theme="1"/>
        <rFont val="HELVETICA"/>
      </rPr>
      <t xml:space="preserve">
</t>
    </r>
    <r>
      <rPr>
        <b/>
        <sz val="14"/>
        <color theme="1"/>
        <rFont val="HELVETICA"/>
      </rPr>
      <t xml:space="preserve">Valor total de los contratos (COP)
E = ----------------------------------------------------------------
Presupuesto total estimado (COP) * % Participación
</t>
    </r>
  </si>
  <si>
    <t>VALOR TOTAL CONTRATOS -FORMATO 5</t>
  </si>
  <si>
    <t>EXPERIENCIA</t>
  </si>
  <si>
    <t>TOTAL PUNTAJE</t>
  </si>
  <si>
    <t>POE * % PARTICIPACIÓN</t>
  </si>
  <si>
    <t>TOTAL VECES DEL POE</t>
  </si>
  <si>
    <t xml:space="preserve">CAPACIDAD FINANCIERA (CF) </t>
  </si>
  <si>
    <t>El factor (CF) para propósitos de la capacidad residual se obtiene teniendo en cuenta el índice de liquidez del Proponente con base en la siguiente fórmula:</t>
  </si>
  <si>
    <t xml:space="preserve">                 Activo Corriente
Índice de liquidez = -------------------------------------------
                  Pasivo Corriente</t>
  </si>
  <si>
    <t>El puntaje para la liquidez se debe asignar con base en la siguiente tabla:</t>
  </si>
  <si>
    <t>INTEGRANTES PROPONENTE PLURAL</t>
  </si>
  <si>
    <t>ACTIVO CORRIENTE</t>
  </si>
  <si>
    <t>PASIVO CORRIENTE</t>
  </si>
  <si>
    <t>Mayores</t>
  </si>
  <si>
    <t>INDICE DE LIQUIDEZ</t>
  </si>
  <si>
    <t>Capacidad Técnica (CT):</t>
  </si>
  <si>
    <t>El factor (CT) para propósitos de la capacidad residual se asigna teniendo en cuenta el número de socios y profesionales de la arquitectura, ingeniería y geología vinculados mediante una relación laboral o contractual vigente conforme con la cual desarrollen actividades relacionadas directamente con la construcción.</t>
  </si>
  <si>
    <t>N° TRABAJADORES
 ANEXO 5</t>
  </si>
  <si>
    <t>TOTAL TRABAJADORES</t>
  </si>
  <si>
    <t>Saldos Contratos en Ejecución (SCE):</t>
  </si>
  <si>
    <t>TOTAL VALOR REPORTADO EN ANEXO 5</t>
  </si>
  <si>
    <t>Cumple</t>
  </si>
  <si>
    <t xml:space="preserve">Se adjunta en la subsanación la certificación de la oficina de planeación, en donde se indica el área intervenida del proyecto (1898.40m2), tambien se adjunta el acta de liquidación en donde se indica fecha de inicio y terminación. </t>
  </si>
  <si>
    <t>SIN OBSERVACIONES.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</si>
</sst>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00_ ;\-#,##0.00\ "/>
    <numFmt numFmtId="165" formatCode="0\ &quot;Meses&quot;"/>
    <numFmt numFmtId="166" formatCode="[$$-240A]\ #,##0.00;\-[$$-240A]\ #,##0.00"/>
    <numFmt numFmtId="167" formatCode="#,##0\ &quot;m2&quot;"/>
    <numFmt numFmtId="168" formatCode="#,##0\ &quot;SMMLV&quot;"/>
    <numFmt numFmtId="169" formatCode="#,##0.00\ &quot;M2&quot;"/>
    <numFmt numFmtId="170" formatCode="General\ &quot;PUNTOS&quot;"/>
    <numFmt numFmtId="171" formatCode="[$$-240A]\ #,##0.00"/>
  </numFmts>
  <fonts count="100">
    <font>
      <sz val="11"/>
      <color theme="1"/>
      <name val="Aptos Narrow"/>
      <family val="2"/>
      <scheme val="minor"/>
    </font>
    <font>
      <sz val="11"/>
      <color theme="1"/>
      <name val="Aptos Narrow"/>
      <family val="2"/>
      <scheme val="minor"/>
    </font>
    <font>
      <sz val="11"/>
      <color theme="1"/>
      <name val="Arial Narrow"/>
      <family val="2"/>
    </font>
    <font>
      <b/>
      <sz val="36"/>
      <color theme="1"/>
      <name val="Arial Narrow"/>
      <family val="2"/>
    </font>
    <font>
      <b/>
      <sz val="14"/>
      <color theme="1"/>
      <name val="Arial Narrow"/>
      <family val="2"/>
    </font>
    <font>
      <u/>
      <sz val="11"/>
      <color theme="10"/>
      <name val="Aptos Narrow"/>
      <family val="2"/>
      <scheme val="minor"/>
    </font>
    <font>
      <b/>
      <u/>
      <sz val="14"/>
      <color theme="10"/>
      <name val="Arial Narrow"/>
      <family val="2"/>
    </font>
    <font>
      <b/>
      <sz val="11"/>
      <name val="Arial Narrow"/>
      <family val="2"/>
    </font>
    <font>
      <b/>
      <sz val="12"/>
      <name val="Arial Narrow"/>
      <family val="2"/>
    </font>
    <font>
      <b/>
      <sz val="18"/>
      <color theme="1"/>
      <name val="Arial Narrow"/>
      <family val="2"/>
    </font>
    <font>
      <sz val="12"/>
      <color theme="1"/>
      <name val="Arial Narrow"/>
      <family val="2"/>
    </font>
    <font>
      <b/>
      <sz val="11"/>
      <color theme="1"/>
      <name val="Arial Narrow"/>
      <family val="2"/>
    </font>
    <font>
      <b/>
      <sz val="12"/>
      <color theme="1"/>
      <name val="Arial Narrow"/>
      <family val="2"/>
    </font>
    <font>
      <b/>
      <sz val="11"/>
      <color rgb="FFFF0000"/>
      <name val="Arial Narrow"/>
      <family val="2"/>
    </font>
    <font>
      <b/>
      <sz val="60"/>
      <name val="Arial Narrow"/>
      <family val="2"/>
    </font>
    <font>
      <b/>
      <sz val="22"/>
      <name val="Arial Narrow"/>
      <family val="2"/>
    </font>
    <font>
      <b/>
      <sz val="36"/>
      <name val="Arial Narrow"/>
      <family val="2"/>
    </font>
    <font>
      <sz val="14"/>
      <color theme="1"/>
      <name val="Arial Narrow"/>
      <family val="2"/>
    </font>
    <font>
      <b/>
      <sz val="22"/>
      <color theme="1"/>
      <name val="Arial Narrow"/>
      <family val="2"/>
    </font>
    <font>
      <b/>
      <sz val="26"/>
      <name val="Arial Narrow"/>
      <family val="2"/>
    </font>
    <font>
      <b/>
      <sz val="16"/>
      <name val="Arial Narrow"/>
      <family val="2"/>
    </font>
    <font>
      <sz val="11"/>
      <name val="Arial Narrow"/>
      <family val="2"/>
    </font>
    <font>
      <b/>
      <sz val="14"/>
      <name val="Arial Narrow"/>
      <family val="2"/>
    </font>
    <font>
      <sz val="14"/>
      <name val="Arial Narrow"/>
      <family val="2"/>
    </font>
    <font>
      <b/>
      <sz val="28"/>
      <name val="Arial Narrow"/>
      <family val="2"/>
    </font>
    <font>
      <b/>
      <sz val="18"/>
      <name val="Arial Narrow"/>
      <family val="2"/>
    </font>
    <font>
      <b/>
      <sz val="28"/>
      <color rgb="FFFF0000"/>
      <name val="Arial Narrow"/>
      <family val="2"/>
    </font>
    <font>
      <sz val="11"/>
      <color theme="0" tint="-4.9989318521683403E-2"/>
      <name val="Aptos Narrow"/>
      <family val="2"/>
      <scheme val="minor"/>
    </font>
    <font>
      <sz val="11"/>
      <color theme="0" tint="-4.9989318521683403E-2"/>
      <name val="Arial Narrow"/>
      <family val="2"/>
    </font>
    <font>
      <sz val="18"/>
      <color theme="1"/>
      <name val="Arial Narrow"/>
      <family val="2"/>
    </font>
    <font>
      <sz val="28"/>
      <name val="Arial Narrow"/>
      <family val="2"/>
    </font>
    <font>
      <b/>
      <sz val="14"/>
      <color theme="0" tint="-4.9989318521683403E-2"/>
      <name val="Arial Narrow"/>
      <family val="2"/>
    </font>
    <font>
      <b/>
      <sz val="14"/>
      <color rgb="FFFF0000"/>
      <name val="Arial Narrow"/>
      <family val="2"/>
    </font>
    <font>
      <b/>
      <sz val="14"/>
      <color rgb="FFC00000"/>
      <name val="Arial Narrow"/>
      <family val="2"/>
    </font>
    <font>
      <b/>
      <sz val="16"/>
      <color theme="1"/>
      <name val="Arial Narrow"/>
      <family val="2"/>
    </font>
    <font>
      <b/>
      <sz val="20"/>
      <color theme="1"/>
      <name val="Arial Narrow"/>
      <family val="2"/>
    </font>
    <font>
      <b/>
      <sz val="24"/>
      <name val="Arial Narrow"/>
      <family val="2"/>
    </font>
    <font>
      <b/>
      <sz val="48"/>
      <name val="Arial Narrow"/>
      <family val="2"/>
    </font>
    <font>
      <b/>
      <sz val="20"/>
      <name val="Arial Narrow"/>
      <family val="2"/>
    </font>
    <font>
      <sz val="28"/>
      <color theme="1"/>
      <name val="Arial Narrow"/>
      <family val="2"/>
    </font>
    <font>
      <b/>
      <sz val="28"/>
      <color theme="1"/>
      <name val="Arial Narrow"/>
      <family val="2"/>
    </font>
    <font>
      <b/>
      <u/>
      <sz val="22"/>
      <name val="Aptos Narrow"/>
      <family val="2"/>
      <scheme val="minor"/>
    </font>
    <font>
      <sz val="14"/>
      <color theme="0"/>
      <name val="Arial Narrow"/>
      <family val="2"/>
    </font>
    <font>
      <b/>
      <u/>
      <sz val="24"/>
      <name val="Aptos Narrow"/>
      <family val="2"/>
      <scheme val="minor"/>
    </font>
    <font>
      <sz val="20"/>
      <color theme="1"/>
      <name val="Arial Narrow"/>
      <family val="2"/>
    </font>
    <font>
      <sz val="16"/>
      <color theme="1"/>
      <name val="Arial Narrow"/>
      <family val="2"/>
    </font>
    <font>
      <b/>
      <sz val="72"/>
      <name val="Arial Narrow"/>
      <family val="2"/>
    </font>
    <font>
      <sz val="18"/>
      <color theme="1"/>
      <name val="Aptos Narrow"/>
      <family val="2"/>
      <scheme val="minor"/>
    </font>
    <font>
      <sz val="11"/>
      <color theme="1"/>
      <name val="HELVETICA"/>
    </font>
    <font>
      <b/>
      <sz val="36"/>
      <color theme="1"/>
      <name val="Helvetica"/>
    </font>
    <font>
      <b/>
      <sz val="20"/>
      <color theme="1"/>
      <name val="Helvetica"/>
    </font>
    <font>
      <sz val="11"/>
      <name val="Helvetica"/>
    </font>
    <font>
      <sz val="11"/>
      <color theme="0" tint="-0.34998626667073579"/>
      <name val="Helvetica"/>
    </font>
    <font>
      <b/>
      <sz val="12"/>
      <name val="HELVETICA"/>
    </font>
    <font>
      <b/>
      <sz val="12"/>
      <color theme="1"/>
      <name val="HELVETICA"/>
    </font>
    <font>
      <sz val="12"/>
      <color theme="1"/>
      <name val="Helvetica"/>
    </font>
    <font>
      <b/>
      <sz val="16"/>
      <name val="Helvetica"/>
    </font>
    <font>
      <sz val="12"/>
      <color rgb="FF000000"/>
      <name val="Helvetica"/>
    </font>
    <font>
      <sz val="12"/>
      <name val="Helvetica"/>
    </font>
    <font>
      <b/>
      <sz val="14"/>
      <color rgb="FF000000"/>
      <name val="Helvetica"/>
    </font>
    <font>
      <b/>
      <sz val="14"/>
      <color theme="0"/>
      <name val="HELVETICA"/>
    </font>
    <font>
      <b/>
      <sz val="11"/>
      <color rgb="FF0070C0"/>
      <name val="Helvetica"/>
    </font>
    <font>
      <b/>
      <sz val="14"/>
      <name val="Helvetica"/>
    </font>
    <font>
      <b/>
      <sz val="12"/>
      <color rgb="FF000000"/>
      <name val="HELVETICA"/>
    </font>
    <font>
      <sz val="11"/>
      <color rgb="FF000000"/>
      <name val="Helvetica"/>
    </font>
    <font>
      <sz val="14"/>
      <name val="HELVETICA"/>
    </font>
    <font>
      <b/>
      <sz val="28"/>
      <color rgb="FF000000"/>
      <name val="Helvetica"/>
    </font>
    <font>
      <b/>
      <sz val="14"/>
      <color theme="1"/>
      <name val="HELVETICA"/>
    </font>
    <font>
      <b/>
      <sz val="11"/>
      <color rgb="FF000000"/>
      <name val="HELVETICA"/>
    </font>
    <font>
      <b/>
      <sz val="12"/>
      <name val="Arial"/>
      <family val="2"/>
    </font>
    <font>
      <b/>
      <sz val="20"/>
      <name val="Helvetica"/>
    </font>
    <font>
      <u/>
      <sz val="11"/>
      <color theme="10"/>
      <name val="HELVETICA"/>
    </font>
    <font>
      <b/>
      <sz val="11"/>
      <color theme="1"/>
      <name val="HELVETICA"/>
    </font>
    <font>
      <b/>
      <sz val="24"/>
      <name val="Helvetica"/>
    </font>
    <font>
      <sz val="14"/>
      <color theme="1"/>
      <name val="HELVETICA"/>
    </font>
    <font>
      <b/>
      <sz val="48"/>
      <color theme="1"/>
      <name val="Helvetica"/>
    </font>
    <font>
      <b/>
      <u/>
      <sz val="14"/>
      <color theme="10"/>
      <name val="HELVETICA"/>
    </font>
    <font>
      <sz val="16"/>
      <color theme="1"/>
      <name val="HELVETICA"/>
    </font>
    <font>
      <b/>
      <sz val="16"/>
      <color theme="1"/>
      <name val="Helvetica"/>
    </font>
    <font>
      <b/>
      <sz val="24"/>
      <color theme="1"/>
      <name val="Helvetica"/>
    </font>
    <font>
      <sz val="14"/>
      <color theme="0"/>
      <name val="HELVETICA"/>
    </font>
    <font>
      <i/>
      <sz val="14"/>
      <color theme="1"/>
      <name val="HELVETICA"/>
    </font>
    <font>
      <b/>
      <sz val="18"/>
      <name val="HELVETICA"/>
    </font>
    <font>
      <b/>
      <sz val="18"/>
      <color theme="0"/>
      <name val="HELVETICA"/>
    </font>
    <font>
      <sz val="14"/>
      <color rgb="FF000000"/>
      <name val="HELVETICA"/>
    </font>
    <font>
      <b/>
      <sz val="18"/>
      <color theme="1"/>
      <name val="Helvetica"/>
    </font>
    <font>
      <b/>
      <sz val="28"/>
      <color theme="1"/>
      <name val="Helvetica"/>
    </font>
    <font>
      <b/>
      <sz val="16"/>
      <color theme="0"/>
      <name val="HELVETICA"/>
    </font>
    <font>
      <b/>
      <u/>
      <sz val="16"/>
      <color theme="3" tint="-0.249977111117893"/>
      <name val="HELVETICA"/>
    </font>
    <font>
      <b/>
      <u/>
      <sz val="20"/>
      <color theme="3" tint="-0.249977111117893"/>
      <name val="HELVETICA"/>
    </font>
    <font>
      <b/>
      <sz val="14"/>
      <color theme="3" tint="-0.249977111117893"/>
      <name val="HELVETICA"/>
    </font>
    <font>
      <b/>
      <sz val="16"/>
      <color theme="3" tint="-0.249977111117893"/>
      <name val="HELVETICA"/>
    </font>
    <font>
      <b/>
      <sz val="12"/>
      <color theme="3" tint="-0.249977111117893"/>
      <name val="HELVETICA"/>
    </font>
    <font>
      <b/>
      <u/>
      <sz val="14"/>
      <color theme="3" tint="-0.249977111117893"/>
      <name val="Arial Narrow"/>
      <family val="2"/>
    </font>
    <font>
      <b/>
      <u/>
      <sz val="22"/>
      <color theme="3" tint="-0.249977111117893"/>
      <name val="Arial Narrow"/>
      <family val="2"/>
    </font>
    <font>
      <b/>
      <sz val="14"/>
      <color theme="3" tint="-0.249977111117893"/>
      <name val="Arial Narrow"/>
      <family val="2"/>
    </font>
    <font>
      <b/>
      <sz val="16"/>
      <color theme="3" tint="-0.249977111117893"/>
      <name val="Arial Narrow"/>
      <family val="2"/>
    </font>
    <font>
      <b/>
      <sz val="12"/>
      <color theme="3" tint="-0.249977111117893"/>
      <name val="Arial Narrow"/>
      <family val="2"/>
    </font>
    <font>
      <b/>
      <sz val="26"/>
      <color theme="0"/>
      <name val="HELVETICA"/>
    </font>
    <font>
      <sz val="11"/>
      <color rgb="FF000000"/>
      <name val="Arial Narrow"/>
      <family val="2"/>
    </font>
  </fonts>
  <fills count="25">
    <fill>
      <patternFill patternType="none"/>
    </fill>
    <fill>
      <patternFill patternType="gray125"/>
    </fill>
    <fill>
      <patternFill patternType="solid">
        <fgColor theme="0" tint="-0.14999847407452621"/>
        <bgColor indexed="64"/>
      </patternFill>
    </fill>
    <fill>
      <patternFill patternType="solid">
        <fgColor theme="0" tint="-0.14999847407452621"/>
        <bgColor rgb="FFD0CECE"/>
      </patternFill>
    </fill>
    <fill>
      <patternFill patternType="solid">
        <fgColor theme="0"/>
        <bgColor indexed="64"/>
      </patternFill>
    </fill>
    <fill>
      <patternFill patternType="solid">
        <fgColor theme="0"/>
        <bgColor rgb="FFD0CECE"/>
      </patternFill>
    </fill>
    <fill>
      <patternFill patternType="solid">
        <fgColor theme="0" tint="-4.9989318521683403E-2"/>
        <bgColor indexed="64"/>
      </patternFill>
    </fill>
    <fill>
      <patternFill patternType="solid">
        <fgColor theme="7" tint="0.39997558519241921"/>
        <bgColor rgb="FFD0CECE"/>
      </patternFill>
    </fill>
    <fill>
      <patternFill patternType="solid">
        <fgColor rgb="FF9C347E"/>
        <bgColor indexed="64"/>
      </patternFill>
    </fill>
    <fill>
      <patternFill patternType="solid">
        <fgColor theme="0" tint="-0.14999847407452621"/>
        <bgColor rgb="FFA5A5A5"/>
      </patternFill>
    </fill>
    <fill>
      <patternFill patternType="solid">
        <fgColor theme="0" tint="-0.14999847407452621"/>
        <bgColor rgb="FFD8D8D8"/>
      </patternFill>
    </fill>
    <fill>
      <patternFill patternType="solid">
        <fgColor theme="7" tint="0.39997558519241921"/>
        <bgColor indexed="64"/>
      </patternFill>
    </fill>
    <fill>
      <patternFill patternType="solid">
        <fgColor theme="7" tint="0.39997558519241921"/>
        <bgColor rgb="FFD8D8D8"/>
      </patternFill>
    </fill>
    <fill>
      <patternFill patternType="solid">
        <fgColor theme="7" tint="0.79998168889431442"/>
        <bgColor indexed="64"/>
      </patternFill>
    </fill>
    <fill>
      <patternFill patternType="solid">
        <fgColor theme="0" tint="-0.249977111117893"/>
        <bgColor indexed="64"/>
      </patternFill>
    </fill>
    <fill>
      <patternFill patternType="solid">
        <fgColor theme="0"/>
        <bgColor rgb="FFD8D8D8"/>
      </patternFill>
    </fill>
    <fill>
      <patternFill patternType="solid">
        <fgColor theme="7" tint="0.59999389629810485"/>
        <bgColor indexed="64"/>
      </patternFill>
    </fill>
    <fill>
      <patternFill patternType="solid">
        <fgColor theme="3" tint="0.79998168889431442"/>
        <bgColor rgb="FFD0CECE"/>
      </patternFill>
    </fill>
    <fill>
      <patternFill patternType="solid">
        <fgColor theme="3" tint="-0.249977111117893"/>
        <bgColor rgb="FFD0CECE"/>
      </patternFill>
    </fill>
    <fill>
      <patternFill patternType="solid">
        <fgColor theme="7" tint="0.79998168889431442"/>
        <bgColor rgb="FFD0CECE"/>
      </patternFill>
    </fill>
    <fill>
      <patternFill patternType="solid">
        <fgColor theme="5" tint="0.79998168889431442"/>
        <bgColor indexed="64"/>
      </patternFill>
    </fill>
    <fill>
      <patternFill patternType="solid">
        <fgColor theme="3" tint="0.79998168889431442"/>
        <bgColor indexed="64"/>
      </patternFill>
    </fill>
    <fill>
      <patternFill patternType="solid">
        <fgColor theme="0" tint="-4.9989318521683403E-2"/>
        <bgColor rgb="FFD0CECE"/>
      </patternFill>
    </fill>
    <fill>
      <patternFill patternType="solid">
        <fgColor theme="3" tint="-0.249977111117893"/>
        <bgColor indexed="64"/>
      </patternFill>
    </fill>
    <fill>
      <patternFill patternType="solid">
        <fgColor rgb="FFFFFFFF"/>
        <bgColor indexed="64"/>
      </patternFill>
    </fill>
  </fills>
  <borders count="69">
    <border>
      <left/>
      <right/>
      <top/>
      <bottom/>
      <diagonal/>
    </border>
    <border>
      <left/>
      <right style="thin">
        <color theme="1" tint="0.499984740745262"/>
      </right>
      <top/>
      <bottom/>
      <diagonal/>
    </border>
    <border>
      <left style="medium">
        <color theme="1"/>
      </left>
      <right/>
      <top style="thin">
        <color theme="1"/>
      </top>
      <bottom/>
      <diagonal/>
    </border>
    <border>
      <left style="medium">
        <color theme="0" tint="-0.499984740745262"/>
      </left>
      <right/>
      <top style="thin">
        <color theme="0" tint="-0.499984740745262"/>
      </top>
      <bottom/>
      <diagonal/>
    </border>
    <border>
      <left/>
      <right/>
      <top style="thin">
        <color theme="0" tint="-0.499984740745262"/>
      </top>
      <bottom/>
      <diagonal/>
    </border>
    <border>
      <left/>
      <right style="medium">
        <color theme="0" tint="-0.499984740745262"/>
      </right>
      <top/>
      <bottom/>
      <diagonal/>
    </border>
    <border>
      <left/>
      <right/>
      <top/>
      <bottom style="thin">
        <color theme="0" tint="-0.499984740745262"/>
      </bottom>
      <diagonal/>
    </border>
    <border>
      <left style="thin">
        <color indexed="64"/>
      </left>
      <right style="thin">
        <color indexed="64"/>
      </right>
      <top style="thin">
        <color indexed="64"/>
      </top>
      <bottom style="thin">
        <color indexed="64"/>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1" tint="0.499984740745262"/>
      </right>
      <top/>
      <bottom/>
      <diagonal/>
    </border>
    <border>
      <left style="medium">
        <color auto="1"/>
      </left>
      <right/>
      <top style="thin">
        <color auto="1"/>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diagonal/>
    </border>
    <border>
      <left style="medium">
        <color theme="2" tint="-0.499984740745262"/>
      </left>
      <right style="medium">
        <color theme="2" tint="-0.499984740745262"/>
      </right>
      <top style="medium">
        <color theme="2"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medium">
        <color theme="2" tint="-0.499984740745262"/>
      </left>
      <right style="medium">
        <color theme="2" tint="-0.499984740745262"/>
      </right>
      <top style="medium">
        <color theme="0" tint="-0.499984740745262"/>
      </top>
      <bottom/>
      <diagonal/>
    </border>
    <border>
      <left style="medium">
        <color theme="2" tint="-0.499984740745262"/>
      </left>
      <right style="medium">
        <color theme="2" tint="-0.499984740745262"/>
      </right>
      <top/>
      <bottom/>
      <diagonal/>
    </border>
    <border>
      <left/>
      <right style="medium">
        <color theme="0" tint="-0.499984740745262"/>
      </right>
      <top/>
      <bottom style="thin">
        <color theme="0" tint="-0.499984740745262"/>
      </bottom>
      <diagonal/>
    </border>
    <border>
      <left style="thin">
        <color theme="0" tint="-0.499984740745262"/>
      </left>
      <right style="thin">
        <color theme="0" tint="-0.499984740745262"/>
      </right>
      <top/>
      <bottom style="double">
        <color theme="0" tint="-0.499984740745262"/>
      </bottom>
      <diagonal/>
    </border>
    <border>
      <left style="thin">
        <color theme="0" tint="-0.499984740745262"/>
      </left>
      <right style="thin">
        <color theme="0" tint="-0.499984740745262"/>
      </right>
      <top style="thin">
        <color theme="0" tint="-0.499984740745262"/>
      </top>
      <bottom style="double">
        <color theme="0" tint="-0.499984740745262"/>
      </bottom>
      <diagonal/>
    </border>
    <border>
      <left style="medium">
        <color theme="2" tint="-0.499984740745262"/>
      </left>
      <right style="medium">
        <color theme="2" tint="-0.499984740745262"/>
      </right>
      <top/>
      <bottom style="double">
        <color theme="0" tint="-0.499984740745262"/>
      </bottom>
      <diagonal/>
    </border>
    <border>
      <left/>
      <right style="medium">
        <color theme="0" tint="-0.499984740745262"/>
      </right>
      <top style="thin">
        <color theme="0" tint="-0.499984740745262"/>
      </top>
      <bottom/>
      <diagonal/>
    </border>
    <border>
      <left style="thin">
        <color theme="0" tint="-0.499984740745262"/>
      </left>
      <right style="thin">
        <color theme="0" tint="-0.499984740745262"/>
      </right>
      <top style="double">
        <color theme="0" tint="-0.499984740745262"/>
      </top>
      <bottom/>
      <diagonal/>
    </border>
    <border>
      <left style="thin">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style="medium">
        <color theme="2" tint="-0.499984740745262"/>
      </right>
      <top style="double">
        <color theme="0" tint="-0.499984740745262"/>
      </top>
      <bottom/>
      <diagonal/>
    </border>
    <border>
      <left style="medium">
        <color theme="2" tint="-0.499984740745262"/>
      </left>
      <right style="medium">
        <color theme="2" tint="-0.499984740745262"/>
      </right>
      <top style="double">
        <color theme="0" tint="-0.499984740745262"/>
      </top>
      <bottom/>
      <diagonal/>
    </border>
    <border>
      <left style="thin">
        <color theme="0" tint="-0.499984740745262"/>
      </left>
      <right style="medium">
        <color theme="2" tint="-0.499984740745262"/>
      </right>
      <top/>
      <bottom/>
      <diagonal/>
    </border>
    <border>
      <left style="thin">
        <color theme="0" tint="-0.499984740745262"/>
      </left>
      <right style="medium">
        <color theme="2" tint="-0.499984740745262"/>
      </right>
      <top/>
      <bottom style="double">
        <color theme="0" tint="-0.499984740745262"/>
      </bottom>
      <diagonal/>
    </border>
    <border>
      <left style="thin">
        <color theme="0" tint="-0.499984740745262"/>
      </left>
      <right style="thin">
        <color theme="0" tint="-0.499984740745262"/>
      </right>
      <top/>
      <bottom style="thin">
        <color theme="0" tint="-0.499984740745262"/>
      </bottom>
      <diagonal/>
    </border>
    <border>
      <left style="double">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top style="double">
        <color theme="0" tint="-0.499984740745262"/>
      </top>
      <bottom style="thin">
        <color theme="0" tint="-0.499984740745262"/>
      </bottom>
      <diagonal/>
    </border>
    <border>
      <left/>
      <right style="thin">
        <color theme="0" tint="-0.499984740745262"/>
      </right>
      <top style="double">
        <color theme="0" tint="-0.499984740745262"/>
      </top>
      <bottom style="thin">
        <color theme="0" tint="-0.499984740745262"/>
      </bottom>
      <diagonal/>
    </border>
    <border>
      <left style="thin">
        <color theme="0" tint="-0.499984740745262"/>
      </left>
      <right style="double">
        <color theme="0" tint="-0.499984740745262"/>
      </right>
      <top style="double">
        <color theme="0" tint="-0.499984740745262"/>
      </top>
      <bottom style="thin">
        <color theme="0" tint="-0.499984740745262"/>
      </bottom>
      <diagonal/>
    </border>
    <border>
      <left style="double">
        <color theme="0" tint="-0.499984740745262"/>
      </left>
      <right style="thin">
        <color theme="0" tint="-0.499984740745262"/>
      </right>
      <top style="thin">
        <color theme="0" tint="-0.499984740745262"/>
      </top>
      <bottom style="double">
        <color theme="0" tint="-0.499984740745262"/>
      </bottom>
      <diagonal/>
    </border>
    <border>
      <left style="thin">
        <color theme="0" tint="-0.499984740745262"/>
      </left>
      <right/>
      <top style="thin">
        <color theme="0" tint="-0.499984740745262"/>
      </top>
      <bottom style="double">
        <color theme="0" tint="-0.499984740745262"/>
      </bottom>
      <diagonal/>
    </border>
    <border>
      <left/>
      <right style="thin">
        <color theme="0" tint="-0.499984740745262"/>
      </right>
      <top style="thin">
        <color theme="0" tint="-0.499984740745262"/>
      </top>
      <bottom style="double">
        <color theme="0" tint="-0.499984740745262"/>
      </bottom>
      <diagonal/>
    </border>
    <border>
      <left style="thin">
        <color theme="0" tint="-0.499984740745262"/>
      </left>
      <right/>
      <top/>
      <bottom style="double">
        <color theme="0" tint="-0.499984740745262"/>
      </bottom>
      <diagonal/>
    </border>
    <border>
      <left/>
      <right style="thin">
        <color theme="0" tint="-0.499984740745262"/>
      </right>
      <top/>
      <bottom style="double">
        <color theme="0" tint="-0.499984740745262"/>
      </bottom>
      <diagonal/>
    </border>
    <border>
      <left style="thin">
        <color theme="0" tint="-0.499984740745262"/>
      </left>
      <right style="double">
        <color theme="0" tint="-0.499984740745262"/>
      </right>
      <top style="thin">
        <color theme="0" tint="-0.499984740745262"/>
      </top>
      <bottom style="double">
        <color theme="0" tint="-0.499984740745262"/>
      </bottom>
      <diagonal/>
    </border>
    <border>
      <left style="double">
        <color theme="0" tint="-0.499984740745262"/>
      </left>
      <right/>
      <top style="double">
        <color theme="0" tint="-0.499984740745262"/>
      </top>
      <bottom style="thin">
        <color theme="0" tint="-0.499984740745262"/>
      </bottom>
      <diagonal/>
    </border>
    <border>
      <left/>
      <right/>
      <top style="double">
        <color theme="0" tint="-0.499984740745262"/>
      </top>
      <bottom style="thin">
        <color theme="0" tint="-0.499984740745262"/>
      </bottom>
      <diagonal/>
    </border>
    <border>
      <left style="double">
        <color theme="0" tint="-0.499984740745262"/>
      </left>
      <right style="thin">
        <color theme="0" tint="-0.499984740745262"/>
      </right>
      <top/>
      <bottom/>
      <diagonal/>
    </border>
    <border>
      <left style="thin">
        <color theme="0" tint="-0.499984740745262"/>
      </left>
      <right style="double">
        <color theme="0" tint="-0.499984740745262"/>
      </right>
      <top style="thin">
        <color theme="0" tint="-0.499984740745262"/>
      </top>
      <bottom/>
      <diagonal/>
    </border>
    <border>
      <left style="double">
        <color theme="0" tint="-0.499984740745262"/>
      </left>
      <right style="thin">
        <color theme="0" tint="-0.499984740745262"/>
      </right>
      <top/>
      <bottom style="double">
        <color theme="0" tint="-0.499984740745262"/>
      </bottom>
      <diagonal/>
    </border>
    <border>
      <left style="double">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double">
        <color theme="0" tint="-0.499984740745262"/>
      </right>
      <top style="thin">
        <color theme="0" tint="-0.499984740745262"/>
      </top>
      <bottom style="thin">
        <color theme="0" tint="-0.499984740745262"/>
      </bottom>
      <diagonal/>
    </border>
    <border>
      <left/>
      <right style="double">
        <color theme="0" tint="-0.499984740745262"/>
      </right>
      <top style="double">
        <color theme="0" tint="-0.499984740745262"/>
      </top>
      <bottom style="thin">
        <color theme="0" tint="-0.499984740745262"/>
      </bottom>
      <diagonal/>
    </border>
    <border>
      <left style="double">
        <color theme="0" tint="-0.499984740745262"/>
      </left>
      <right/>
      <top style="thin">
        <color theme="0" tint="-0.499984740745262"/>
      </top>
      <bottom style="double">
        <color theme="0" tint="-0.499984740745262"/>
      </bottom>
      <diagonal/>
    </border>
    <border>
      <left/>
      <right/>
      <top style="thin">
        <color theme="0" tint="-0.499984740745262"/>
      </top>
      <bottom style="double">
        <color theme="0" tint="-0.499984740745262"/>
      </bottom>
      <diagonal/>
    </border>
    <border>
      <left/>
      <right style="double">
        <color theme="0" tint="-0.499984740745262"/>
      </right>
      <top style="thin">
        <color theme="0" tint="-0.499984740745262"/>
      </top>
      <bottom style="double">
        <color theme="0" tint="-0.499984740745262"/>
      </bottom>
      <diagonal/>
    </border>
    <border>
      <left style="medium">
        <color theme="2" tint="-0.499984740745262"/>
      </left>
      <right/>
      <top style="double">
        <color theme="0" tint="-0.499984740745262"/>
      </top>
      <bottom/>
      <diagonal/>
    </border>
    <border>
      <left/>
      <right style="medium">
        <color theme="2" tint="-0.499984740745262"/>
      </right>
      <top style="double">
        <color theme="0" tint="-0.499984740745262"/>
      </top>
      <bottom/>
      <diagonal/>
    </border>
    <border>
      <left style="medium">
        <color theme="2" tint="-0.499984740745262"/>
      </left>
      <right/>
      <top/>
      <bottom/>
      <diagonal/>
    </border>
    <border>
      <left/>
      <right style="medium">
        <color theme="2" tint="-0.499984740745262"/>
      </right>
      <top/>
      <bottom/>
      <diagonal/>
    </border>
    <border>
      <left style="medium">
        <color theme="2" tint="-0.499984740745262"/>
      </left>
      <right/>
      <top/>
      <bottom style="double">
        <color theme="0" tint="-0.499984740745262"/>
      </bottom>
      <diagonal/>
    </border>
    <border>
      <left/>
      <right style="medium">
        <color theme="2" tint="-0.499984740745262"/>
      </right>
      <top/>
      <bottom style="double">
        <color theme="0" tint="-0.499984740745262"/>
      </bottom>
      <diagonal/>
    </border>
    <border>
      <left style="medium">
        <color theme="0" tint="-0.499984740745262"/>
      </left>
      <right/>
      <top style="double">
        <color theme="0" tint="-0.499984740745262"/>
      </top>
      <bottom/>
      <diagonal/>
    </border>
    <border>
      <left/>
      <right style="medium">
        <color theme="0" tint="-0.499984740745262"/>
      </right>
      <top style="double">
        <color theme="0" tint="-0.499984740745262"/>
      </top>
      <bottom/>
      <diagonal/>
    </border>
    <border>
      <left style="medium">
        <color theme="0" tint="-0.499984740745262"/>
      </left>
      <right/>
      <top/>
      <bottom/>
      <diagonal/>
    </border>
    <border>
      <left style="medium">
        <color theme="0" tint="-0.499984740745262"/>
      </left>
      <right/>
      <top/>
      <bottom style="double">
        <color theme="0" tint="-0.499984740745262"/>
      </bottom>
      <diagonal/>
    </border>
    <border>
      <left/>
      <right style="medium">
        <color theme="0" tint="-0.499984740745262"/>
      </right>
      <top/>
      <bottom style="double">
        <color theme="0" tint="-0.499984740745262"/>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xf numFmtId="0" fontId="1" fillId="0" borderId="0"/>
  </cellStyleXfs>
  <cellXfs count="747">
    <xf numFmtId="0" fontId="0" fillId="0" borderId="0" xfId="0"/>
    <xf numFmtId="0" fontId="2" fillId="2" borderId="0" xfId="0" applyFont="1" applyFill="1"/>
    <xf numFmtId="0" fontId="4" fillId="3" borderId="1" xfId="0" applyFont="1" applyFill="1" applyBorder="1" applyAlignment="1" applyProtection="1">
      <alignment horizontal="center" vertical="center"/>
      <protection locked="0"/>
    </xf>
    <xf numFmtId="0" fontId="6" fillId="2" borderId="0" xfId="3" applyFont="1" applyFill="1" applyBorder="1" applyAlignment="1" applyProtection="1">
      <alignment horizontal="center" vertical="center"/>
      <protection locked="0"/>
    </xf>
    <xf numFmtId="0" fontId="9" fillId="2" borderId="0" xfId="0" applyFont="1" applyFill="1"/>
    <xf numFmtId="0" fontId="4" fillId="2" borderId="0" xfId="0" applyFont="1" applyFill="1"/>
    <xf numFmtId="0" fontId="11" fillId="2" borderId="0" xfId="0" applyFont="1" applyFill="1"/>
    <xf numFmtId="0" fontId="2" fillId="4" borderId="10" xfId="0" applyFont="1" applyFill="1" applyBorder="1" applyProtection="1">
      <protection locked="0"/>
    </xf>
    <xf numFmtId="0" fontId="2" fillId="4" borderId="0" xfId="0" applyFont="1" applyFill="1" applyProtection="1">
      <protection locked="0"/>
    </xf>
    <xf numFmtId="0" fontId="2" fillId="4" borderId="11" xfId="0" applyFont="1" applyFill="1" applyBorder="1" applyProtection="1">
      <protection locked="0"/>
    </xf>
    <xf numFmtId="0" fontId="4" fillId="4" borderId="10" xfId="0" applyFont="1" applyFill="1" applyBorder="1" applyProtection="1">
      <protection locked="0"/>
    </xf>
    <xf numFmtId="0" fontId="2" fillId="4" borderId="12" xfId="0" applyFont="1" applyFill="1" applyBorder="1" applyProtection="1">
      <protection locked="0"/>
    </xf>
    <xf numFmtId="0" fontId="2" fillId="4" borderId="6" xfId="0" applyFont="1" applyFill="1" applyBorder="1" applyProtection="1">
      <protection locked="0"/>
    </xf>
    <xf numFmtId="0" fontId="2" fillId="4" borderId="13" xfId="0" applyFont="1" applyFill="1" applyBorder="1" applyProtection="1">
      <protection locked="0"/>
    </xf>
    <xf numFmtId="0" fontId="2" fillId="6" borderId="0" xfId="0" applyFont="1" applyFill="1"/>
    <xf numFmtId="0" fontId="2" fillId="2" borderId="0" xfId="0" applyFont="1" applyFill="1" applyProtection="1">
      <protection locked="0"/>
    </xf>
    <xf numFmtId="0" fontId="2" fillId="6" borderId="0" xfId="0" applyFont="1" applyFill="1" applyProtection="1">
      <protection locked="0"/>
    </xf>
    <xf numFmtId="0" fontId="4" fillId="9" borderId="8" xfId="0" applyFont="1" applyFill="1" applyBorder="1" applyAlignment="1" applyProtection="1">
      <alignment horizontal="center" vertical="center"/>
      <protection hidden="1"/>
    </xf>
    <xf numFmtId="0" fontId="4" fillId="9" borderId="4" xfId="0" applyFont="1" applyFill="1" applyBorder="1" applyAlignment="1" applyProtection="1">
      <alignment horizontal="center" vertical="center"/>
      <protection hidden="1"/>
    </xf>
    <xf numFmtId="0" fontId="21" fillId="2" borderId="4" xfId="0" applyFont="1" applyFill="1" applyBorder="1" applyProtection="1">
      <protection hidden="1"/>
    </xf>
    <xf numFmtId="0" fontId="0" fillId="2" borderId="4" xfId="0" applyFill="1" applyBorder="1" applyProtection="1">
      <protection hidden="1"/>
    </xf>
    <xf numFmtId="0" fontId="21" fillId="2" borderId="9" xfId="0" applyFont="1" applyFill="1" applyBorder="1" applyProtection="1">
      <protection hidden="1"/>
    </xf>
    <xf numFmtId="0" fontId="4" fillId="10" borderId="15" xfId="0" applyFont="1" applyFill="1" applyBorder="1" applyAlignment="1" applyProtection="1">
      <alignment horizontal="center" vertical="center"/>
      <protection hidden="1"/>
    </xf>
    <xf numFmtId="0" fontId="4" fillId="10" borderId="0" xfId="0" applyFont="1" applyFill="1" applyAlignment="1" applyProtection="1">
      <alignment horizontal="center" vertical="center"/>
      <protection hidden="1"/>
    </xf>
    <xf numFmtId="0" fontId="21" fillId="2" borderId="11" xfId="0" applyFont="1" applyFill="1" applyBorder="1" applyProtection="1">
      <protection hidden="1"/>
    </xf>
    <xf numFmtId="0" fontId="4" fillId="9" borderId="10" xfId="0" applyFont="1" applyFill="1" applyBorder="1" applyAlignment="1" applyProtection="1">
      <alignment horizontal="center" vertical="center"/>
      <protection hidden="1"/>
    </xf>
    <xf numFmtId="0" fontId="4" fillId="9" borderId="0" xfId="0" applyFont="1" applyFill="1" applyAlignment="1" applyProtection="1">
      <alignment horizontal="center" vertical="center"/>
      <protection hidden="1"/>
    </xf>
    <xf numFmtId="0" fontId="21" fillId="2" borderId="0" xfId="0" applyFont="1" applyFill="1" applyProtection="1">
      <protection hidden="1"/>
    </xf>
    <xf numFmtId="0" fontId="0" fillId="2" borderId="0" xfId="0" applyFill="1" applyProtection="1">
      <protection hidden="1"/>
    </xf>
    <xf numFmtId="9" fontId="22" fillId="2" borderId="0" xfId="0" applyNumberFormat="1" applyFont="1" applyFill="1" applyAlignment="1" applyProtection="1">
      <alignment horizontal="center"/>
      <protection hidden="1"/>
    </xf>
    <xf numFmtId="164" fontId="4" fillId="4" borderId="16" xfId="0" applyNumberFormat="1" applyFont="1" applyFill="1" applyBorder="1" applyAlignment="1" applyProtection="1">
      <alignment horizontal="center" vertical="center"/>
      <protection hidden="1"/>
    </xf>
    <xf numFmtId="0" fontId="4" fillId="10" borderId="0" xfId="0" applyFont="1" applyFill="1" applyAlignment="1" applyProtection="1">
      <alignment horizontal="right" vertical="center"/>
      <protection hidden="1"/>
    </xf>
    <xf numFmtId="14" fontId="4" fillId="4" borderId="16" xfId="0" applyNumberFormat="1" applyFont="1" applyFill="1" applyBorder="1" applyAlignment="1" applyProtection="1">
      <alignment horizontal="center" vertical="center"/>
      <protection hidden="1"/>
    </xf>
    <xf numFmtId="165" fontId="4" fillId="4" borderId="16" xfId="0" applyNumberFormat="1" applyFont="1" applyFill="1" applyBorder="1" applyAlignment="1" applyProtection="1">
      <alignment horizontal="center" vertical="center"/>
      <protection hidden="1"/>
    </xf>
    <xf numFmtId="166" fontId="4" fillId="4" borderId="16" xfId="0" applyNumberFormat="1" applyFont="1" applyFill="1" applyBorder="1" applyAlignment="1" applyProtection="1">
      <alignment horizontal="center" vertical="center"/>
      <protection hidden="1"/>
    </xf>
    <xf numFmtId="9" fontId="4" fillId="4" borderId="16" xfId="2" applyFont="1" applyFill="1" applyBorder="1" applyAlignment="1" applyProtection="1">
      <alignment horizontal="center" vertical="center"/>
      <protection hidden="1"/>
    </xf>
    <xf numFmtId="167" fontId="4" fillId="4" borderId="14" xfId="0" applyNumberFormat="1" applyFont="1" applyFill="1" applyBorder="1" applyAlignment="1" applyProtection="1">
      <alignment horizontal="center" vertical="center"/>
      <protection hidden="1"/>
    </xf>
    <xf numFmtId="0" fontId="17" fillId="2" borderId="12" xfId="0" applyFont="1" applyFill="1" applyBorder="1" applyAlignment="1" applyProtection="1">
      <alignment vertical="center"/>
      <protection hidden="1"/>
    </xf>
    <xf numFmtId="0" fontId="17" fillId="2" borderId="6" xfId="0" applyFont="1" applyFill="1" applyBorder="1" applyAlignment="1" applyProtection="1">
      <alignment vertical="center"/>
      <protection hidden="1"/>
    </xf>
    <xf numFmtId="0" fontId="23" fillId="2" borderId="6" xfId="0" applyFont="1" applyFill="1" applyBorder="1" applyAlignment="1" applyProtection="1">
      <alignment vertical="center"/>
      <protection hidden="1"/>
    </xf>
    <xf numFmtId="0" fontId="21" fillId="2" borderId="6" xfId="0" applyFont="1" applyFill="1" applyBorder="1" applyProtection="1">
      <protection hidden="1"/>
    </xf>
    <xf numFmtId="0" fontId="21" fillId="2" borderId="13" xfId="0" applyFont="1" applyFill="1" applyBorder="1" applyProtection="1">
      <protection hidden="1"/>
    </xf>
    <xf numFmtId="0" fontId="22" fillId="9" borderId="8" xfId="0" applyFont="1" applyFill="1" applyBorder="1" applyAlignment="1" applyProtection="1">
      <alignment horizontal="center" vertical="center"/>
      <protection hidden="1"/>
    </xf>
    <xf numFmtId="0" fontId="22" fillId="9" borderId="4" xfId="0" applyFont="1" applyFill="1" applyBorder="1" applyAlignment="1" applyProtection="1">
      <alignment horizontal="center" vertical="center"/>
      <protection hidden="1"/>
    </xf>
    <xf numFmtId="0" fontId="2" fillId="2" borderId="4" xfId="0" applyFont="1" applyFill="1" applyBorder="1" applyProtection="1">
      <protection hidden="1"/>
    </xf>
    <xf numFmtId="0" fontId="4" fillId="3" borderId="15" xfId="0" applyFont="1" applyFill="1" applyBorder="1" applyAlignment="1" applyProtection="1">
      <alignment horizontal="center" vertical="center"/>
      <protection hidden="1"/>
    </xf>
    <xf numFmtId="0" fontId="4" fillId="3" borderId="0" xfId="0" applyFont="1" applyFill="1" applyAlignment="1" applyProtection="1">
      <alignment horizontal="center" vertical="center"/>
      <protection hidden="1"/>
    </xf>
    <xf numFmtId="0" fontId="6" fillId="2" borderId="0" xfId="3" applyFont="1" applyFill="1" applyBorder="1" applyAlignment="1" applyProtection="1">
      <alignment horizontal="center" vertical="center"/>
      <protection hidden="1"/>
    </xf>
    <xf numFmtId="0" fontId="2" fillId="2" borderId="0" xfId="0" applyFont="1" applyFill="1" applyProtection="1">
      <protection hidden="1"/>
    </xf>
    <xf numFmtId="0" fontId="4" fillId="3" borderId="10" xfId="0" applyFont="1" applyFill="1" applyBorder="1" applyAlignment="1" applyProtection="1">
      <alignment horizontal="center" vertical="center"/>
      <protection hidden="1"/>
    </xf>
    <xf numFmtId="0" fontId="19" fillId="2" borderId="0" xfId="0" applyFont="1" applyFill="1" applyAlignment="1" applyProtection="1">
      <alignment vertical="center" textRotation="90"/>
      <protection hidden="1"/>
    </xf>
    <xf numFmtId="0" fontId="24" fillId="2" borderId="0" xfId="0" applyFont="1" applyFill="1" applyAlignment="1" applyProtection="1">
      <alignment vertical="center"/>
      <protection hidden="1"/>
    </xf>
    <xf numFmtId="0" fontId="25" fillId="11" borderId="0" xfId="0" applyFont="1" applyFill="1" applyAlignment="1" applyProtection="1">
      <alignment horizontal="center" vertical="center" wrapText="1"/>
      <protection hidden="1"/>
    </xf>
    <xf numFmtId="0" fontId="25" fillId="11" borderId="0" xfId="0" applyFont="1" applyFill="1" applyAlignment="1" applyProtection="1">
      <alignment horizontal="center" vertical="center"/>
      <protection hidden="1"/>
    </xf>
    <xf numFmtId="0" fontId="25" fillId="7" borderId="0" xfId="0" applyFont="1" applyFill="1" applyAlignment="1" applyProtection="1">
      <alignment horizontal="center" vertical="center" wrapText="1"/>
      <protection hidden="1"/>
    </xf>
    <xf numFmtId="0" fontId="26" fillId="2" borderId="0" xfId="0" applyFont="1" applyFill="1" applyAlignment="1" applyProtection="1">
      <alignment horizontal="center" vertical="center"/>
      <protection hidden="1"/>
    </xf>
    <xf numFmtId="0" fontId="20" fillId="11" borderId="0" xfId="0" applyFont="1" applyFill="1" applyAlignment="1" applyProtection="1">
      <alignment horizontal="center" wrapText="1"/>
      <protection hidden="1"/>
    </xf>
    <xf numFmtId="0" fontId="2" fillId="2" borderId="0" xfId="0" applyFont="1" applyFill="1" applyAlignment="1" applyProtection="1">
      <alignment horizontal="left"/>
      <protection locked="0"/>
    </xf>
    <xf numFmtId="0" fontId="2" fillId="6" borderId="0" xfId="0" applyFont="1" applyFill="1" applyAlignment="1" applyProtection="1">
      <alignment vertical="center"/>
      <protection locked="0"/>
    </xf>
    <xf numFmtId="0" fontId="2" fillId="0" borderId="0" xfId="0" applyFont="1" applyProtection="1">
      <protection locked="0"/>
    </xf>
    <xf numFmtId="0" fontId="4" fillId="3" borderId="8" xfId="0" applyFont="1" applyFill="1" applyBorder="1" applyAlignment="1" applyProtection="1">
      <alignment horizontal="center" vertical="center"/>
      <protection hidden="1"/>
    </xf>
    <xf numFmtId="0" fontId="4" fillId="3" borderId="4" xfId="0" applyFont="1" applyFill="1" applyBorder="1" applyAlignment="1" applyProtection="1">
      <alignment vertical="center"/>
      <protection hidden="1"/>
    </xf>
    <xf numFmtId="0" fontId="7" fillId="2" borderId="4" xfId="0" applyFont="1" applyFill="1" applyBorder="1" applyProtection="1">
      <protection hidden="1"/>
    </xf>
    <xf numFmtId="0" fontId="27" fillId="2" borderId="0" xfId="0" applyFont="1" applyFill="1" applyAlignment="1" applyProtection="1">
      <alignment horizontal="center" vertical="center"/>
      <protection hidden="1"/>
    </xf>
    <xf numFmtId="0" fontId="22" fillId="12" borderId="14" xfId="0" applyFont="1" applyFill="1" applyBorder="1" applyAlignment="1" applyProtection="1">
      <alignment horizontal="center" vertical="center" wrapText="1"/>
      <protection hidden="1"/>
    </xf>
    <xf numFmtId="0" fontId="28" fillId="2" borderId="0" xfId="0" applyFont="1" applyFill="1" applyAlignment="1" applyProtection="1">
      <alignment horizontal="center" vertical="center"/>
      <protection hidden="1"/>
    </xf>
    <xf numFmtId="10" fontId="29" fillId="0" borderId="14" xfId="0" applyNumberFormat="1" applyFont="1" applyBorder="1" applyAlignment="1" applyProtection="1">
      <alignment horizontal="center" vertical="center"/>
      <protection hidden="1"/>
    </xf>
    <xf numFmtId="14" fontId="29" fillId="13" borderId="14" xfId="0" applyNumberFormat="1" applyFont="1" applyFill="1" applyBorder="1" applyAlignment="1" applyProtection="1">
      <alignment horizontal="center" vertical="center"/>
      <protection locked="0"/>
    </xf>
    <xf numFmtId="10" fontId="29" fillId="13" borderId="14" xfId="0" applyNumberFormat="1" applyFont="1" applyFill="1" applyBorder="1" applyAlignment="1" applyProtection="1">
      <alignment horizontal="center" vertical="center" wrapText="1"/>
      <protection locked="0" hidden="1"/>
    </xf>
    <xf numFmtId="10" fontId="29" fillId="13" borderId="14" xfId="0" applyNumberFormat="1" applyFont="1" applyFill="1" applyBorder="1" applyAlignment="1" applyProtection="1">
      <alignment horizontal="center" vertical="center"/>
      <protection locked="0"/>
    </xf>
    <xf numFmtId="10" fontId="29" fillId="14" borderId="14" xfId="0" applyNumberFormat="1" applyFont="1" applyFill="1" applyBorder="1" applyAlignment="1" applyProtection="1">
      <alignment horizontal="center" vertical="center"/>
      <protection hidden="1"/>
    </xf>
    <xf numFmtId="0" fontId="2" fillId="2" borderId="11" xfId="0" applyFont="1" applyFill="1" applyBorder="1" applyProtection="1">
      <protection hidden="1"/>
    </xf>
    <xf numFmtId="0" fontId="2" fillId="6" borderId="0" xfId="0" applyFont="1" applyFill="1" applyAlignment="1" applyProtection="1">
      <alignment horizontal="center"/>
      <protection locked="0"/>
    </xf>
    <xf numFmtId="0" fontId="22" fillId="12" borderId="14" xfId="0" applyFont="1" applyFill="1" applyBorder="1" applyAlignment="1" applyProtection="1">
      <alignment horizontal="center" vertical="center"/>
      <protection hidden="1"/>
    </xf>
    <xf numFmtId="9" fontId="2" fillId="2" borderId="0" xfId="2" applyFont="1" applyFill="1" applyAlignment="1" applyProtection="1">
      <alignment horizontal="left"/>
      <protection locked="0"/>
    </xf>
    <xf numFmtId="0" fontId="4" fillId="10" borderId="10" xfId="0" applyFont="1" applyFill="1" applyBorder="1" applyAlignment="1" applyProtection="1">
      <alignment horizontal="center" vertical="center"/>
      <protection hidden="1"/>
    </xf>
    <xf numFmtId="0" fontId="4" fillId="10" borderId="0" xfId="0" applyFont="1" applyFill="1" applyAlignment="1" applyProtection="1">
      <alignment vertical="center" wrapText="1"/>
      <protection hidden="1"/>
    </xf>
    <xf numFmtId="0" fontId="31" fillId="10" borderId="0" xfId="0" applyFont="1" applyFill="1" applyAlignment="1" applyProtection="1">
      <alignment vertical="center"/>
      <protection hidden="1"/>
    </xf>
    <xf numFmtId="0" fontId="32" fillId="10" borderId="0" xfId="0" applyFont="1" applyFill="1" applyAlignment="1" applyProtection="1">
      <alignment vertical="center"/>
      <protection hidden="1"/>
    </xf>
    <xf numFmtId="10" fontId="22" fillId="12" borderId="14" xfId="0" applyNumberFormat="1" applyFont="1" applyFill="1" applyBorder="1" applyAlignment="1" applyProtection="1">
      <alignment horizontal="center" vertical="center"/>
      <protection hidden="1"/>
    </xf>
    <xf numFmtId="0" fontId="4" fillId="10" borderId="12" xfId="0" applyFont="1" applyFill="1" applyBorder="1" applyAlignment="1" applyProtection="1">
      <alignment horizontal="center" vertical="center"/>
      <protection hidden="1"/>
    </xf>
    <xf numFmtId="0" fontId="4" fillId="10" borderId="6" xfId="0" applyFont="1" applyFill="1" applyBorder="1" applyAlignment="1" applyProtection="1">
      <alignment vertical="center" wrapText="1"/>
      <protection hidden="1"/>
    </xf>
    <xf numFmtId="0" fontId="31" fillId="10" borderId="6" xfId="0" applyFont="1" applyFill="1" applyBorder="1" applyAlignment="1" applyProtection="1">
      <alignment vertical="center"/>
      <protection hidden="1"/>
    </xf>
    <xf numFmtId="0" fontId="2" fillId="2" borderId="6" xfId="0" applyFont="1" applyFill="1" applyBorder="1" applyProtection="1">
      <protection hidden="1"/>
    </xf>
    <xf numFmtId="0" fontId="2" fillId="2" borderId="13" xfId="0" applyFont="1" applyFill="1" applyBorder="1" applyProtection="1">
      <protection hidden="1"/>
    </xf>
    <xf numFmtId="0" fontId="38" fillId="11" borderId="14" xfId="0" applyFont="1" applyFill="1" applyBorder="1" applyAlignment="1" applyProtection="1">
      <alignment horizontal="center" vertical="center" wrapText="1"/>
      <protection hidden="1"/>
    </xf>
    <xf numFmtId="0" fontId="40" fillId="4" borderId="14" xfId="0" applyFont="1" applyFill="1" applyBorder="1" applyAlignment="1" applyProtection="1">
      <alignment horizontal="center" vertical="center" wrapText="1"/>
      <protection hidden="1"/>
    </xf>
    <xf numFmtId="0" fontId="0" fillId="2" borderId="0" xfId="0" applyFill="1" applyProtection="1">
      <protection locked="0"/>
    </xf>
    <xf numFmtId="0" fontId="22" fillId="7" borderId="22" xfId="0" applyFont="1" applyFill="1" applyBorder="1" applyAlignment="1" applyProtection="1">
      <alignment horizontal="center" vertical="center" wrapText="1"/>
      <protection hidden="1"/>
    </xf>
    <xf numFmtId="0" fontId="17" fillId="13" borderId="14" xfId="0" applyFont="1" applyFill="1" applyBorder="1" applyAlignment="1" applyProtection="1">
      <alignment horizontal="center" vertical="center" wrapText="1"/>
      <protection locked="0"/>
    </xf>
    <xf numFmtId="9" fontId="17" fillId="13" borderId="14" xfId="2" applyFont="1" applyFill="1" applyBorder="1" applyAlignment="1" applyProtection="1">
      <alignment horizontal="center" vertical="center"/>
      <protection locked="0"/>
    </xf>
    <xf numFmtId="3" fontId="17" fillId="13" borderId="14" xfId="0" applyNumberFormat="1" applyFont="1" applyFill="1" applyBorder="1" applyAlignment="1" applyProtection="1">
      <alignment horizontal="center" vertical="center"/>
      <protection locked="0"/>
    </xf>
    <xf numFmtId="168" fontId="17" fillId="0" borderId="14" xfId="0" applyNumberFormat="1" applyFont="1" applyBorder="1" applyAlignment="1" applyProtection="1">
      <alignment horizontal="center" vertical="center" wrapText="1"/>
      <protection hidden="1"/>
    </xf>
    <xf numFmtId="2" fontId="2" fillId="6" borderId="0" xfId="0" applyNumberFormat="1" applyFont="1" applyFill="1" applyProtection="1">
      <protection locked="0"/>
    </xf>
    <xf numFmtId="0" fontId="17" fillId="13" borderId="27" xfId="0" applyFont="1" applyFill="1" applyBorder="1" applyAlignment="1" applyProtection="1">
      <alignment horizontal="center" vertical="center" wrapText="1"/>
      <protection locked="0"/>
    </xf>
    <xf numFmtId="9" fontId="17" fillId="13" borderId="27" xfId="2" applyFont="1" applyFill="1" applyBorder="1" applyAlignment="1" applyProtection="1">
      <alignment horizontal="center" vertical="center"/>
      <protection locked="0"/>
    </xf>
    <xf numFmtId="3" fontId="17" fillId="13" borderId="27" xfId="0" applyNumberFormat="1" applyFont="1" applyFill="1" applyBorder="1" applyAlignment="1" applyProtection="1">
      <alignment horizontal="center" vertical="center"/>
      <protection locked="0"/>
    </xf>
    <xf numFmtId="168" fontId="17" fillId="0" borderId="27" xfId="0" applyNumberFormat="1" applyFont="1" applyBorder="1" applyAlignment="1" applyProtection="1">
      <alignment horizontal="center" vertical="center" wrapText="1"/>
      <protection hidden="1"/>
    </xf>
    <xf numFmtId="0" fontId="17" fillId="13" borderId="31" xfId="0" applyFont="1" applyFill="1" applyBorder="1" applyAlignment="1" applyProtection="1">
      <alignment horizontal="center" vertical="center" wrapText="1"/>
      <protection locked="0"/>
    </xf>
    <xf numFmtId="9" fontId="17" fillId="13" borderId="31" xfId="2" applyFont="1" applyFill="1" applyBorder="1" applyAlignment="1" applyProtection="1">
      <alignment horizontal="center" vertical="center"/>
      <protection locked="0"/>
    </xf>
    <xf numFmtId="3" fontId="17" fillId="13" borderId="31" xfId="0" applyNumberFormat="1" applyFont="1" applyFill="1" applyBorder="1" applyAlignment="1" applyProtection="1">
      <alignment horizontal="center" vertical="center"/>
      <protection locked="0"/>
    </xf>
    <xf numFmtId="166" fontId="2" fillId="2" borderId="0" xfId="0" applyNumberFormat="1" applyFont="1" applyFill="1" applyAlignment="1" applyProtection="1">
      <alignment horizontal="center" vertical="center"/>
      <protection locked="0"/>
    </xf>
    <xf numFmtId="0" fontId="17" fillId="13" borderId="36" xfId="0" applyFont="1" applyFill="1" applyBorder="1" applyAlignment="1" applyProtection="1">
      <alignment horizontal="center" vertical="center" wrapText="1"/>
      <protection locked="0"/>
    </xf>
    <xf numFmtId="9" fontId="17" fillId="13" borderId="36" xfId="2" applyFont="1" applyFill="1" applyBorder="1" applyAlignment="1" applyProtection="1">
      <alignment horizontal="center" vertical="center"/>
      <protection locked="0"/>
    </xf>
    <xf numFmtId="3" fontId="17" fillId="13" borderId="36" xfId="0" applyNumberFormat="1" applyFont="1" applyFill="1" applyBorder="1" applyAlignment="1" applyProtection="1">
      <alignment horizontal="center" vertical="center"/>
      <protection locked="0"/>
    </xf>
    <xf numFmtId="168" fontId="2" fillId="2" borderId="0" xfId="0" applyNumberFormat="1" applyFont="1" applyFill="1" applyAlignment="1" applyProtection="1">
      <alignment horizontal="center" vertical="center"/>
      <protection locked="0"/>
    </xf>
    <xf numFmtId="0" fontId="2" fillId="2" borderId="0" xfId="0" applyFont="1" applyFill="1" applyAlignment="1" applyProtection="1">
      <alignment vertical="center"/>
      <protection locked="0"/>
    </xf>
    <xf numFmtId="0" fontId="2" fillId="2" borderId="0" xfId="0" quotePrefix="1" applyFont="1" applyFill="1" applyAlignment="1" applyProtection="1">
      <alignment vertical="center"/>
      <protection locked="0"/>
    </xf>
    <xf numFmtId="168" fontId="17" fillId="14" borderId="31" xfId="0" applyNumberFormat="1" applyFont="1" applyFill="1" applyBorder="1" applyAlignment="1" applyProtection="1">
      <alignment horizontal="center" vertical="center" wrapText="1"/>
      <protection hidden="1"/>
    </xf>
    <xf numFmtId="168" fontId="17" fillId="14" borderId="14" xfId="0" applyNumberFormat="1" applyFont="1" applyFill="1" applyBorder="1" applyAlignment="1" applyProtection="1">
      <alignment horizontal="center" vertical="center" wrapText="1"/>
      <protection hidden="1"/>
    </xf>
    <xf numFmtId="168" fontId="17" fillId="14" borderId="27" xfId="0" applyNumberFormat="1" applyFont="1" applyFill="1" applyBorder="1" applyAlignment="1" applyProtection="1">
      <alignment horizontal="center" vertical="center" wrapText="1"/>
      <protection hidden="1"/>
    </xf>
    <xf numFmtId="168" fontId="18" fillId="15" borderId="14" xfId="0" applyNumberFormat="1" applyFont="1" applyFill="1" applyBorder="1" applyAlignment="1" applyProtection="1">
      <alignment horizontal="center" vertical="center" wrapText="1"/>
      <protection hidden="1"/>
    </xf>
    <xf numFmtId="4" fontId="2" fillId="2" borderId="0" xfId="0" applyNumberFormat="1" applyFont="1" applyFill="1" applyProtection="1">
      <protection locked="0"/>
    </xf>
    <xf numFmtId="2" fontId="34" fillId="0" borderId="19" xfId="1" applyNumberFormat="1" applyFont="1" applyBorder="1" applyAlignment="1" applyProtection="1">
      <alignment horizontal="center" vertical="center" wrapText="1"/>
    </xf>
    <xf numFmtId="9" fontId="18" fillId="0" borderId="14" xfId="0" applyNumberFormat="1" applyFont="1" applyBorder="1" applyAlignment="1" applyProtection="1">
      <alignment horizontal="center" vertical="center"/>
      <protection hidden="1"/>
    </xf>
    <xf numFmtId="4" fontId="18" fillId="0" borderId="14" xfId="0" applyNumberFormat="1" applyFont="1" applyBorder="1" applyAlignment="1" applyProtection="1">
      <alignment horizontal="center" vertical="center"/>
      <protection hidden="1"/>
    </xf>
    <xf numFmtId="0" fontId="4" fillId="5" borderId="17" xfId="0" applyFont="1" applyFill="1" applyBorder="1" applyAlignment="1" applyProtection="1">
      <alignment vertical="center"/>
      <protection hidden="1"/>
    </xf>
    <xf numFmtId="0" fontId="4" fillId="0" borderId="18" xfId="0" applyFont="1" applyBorder="1" applyAlignment="1" applyProtection="1">
      <alignment horizontal="centerContinuous" vertical="center"/>
      <protection hidden="1"/>
    </xf>
    <xf numFmtId="0" fontId="4" fillId="0" borderId="19" xfId="0" applyFont="1" applyBorder="1" applyAlignment="1" applyProtection="1">
      <alignment horizontal="centerContinuous" vertical="center"/>
      <protection hidden="1"/>
    </xf>
    <xf numFmtId="10" fontId="34" fillId="4" borderId="14" xfId="2" applyNumberFormat="1" applyFont="1" applyFill="1" applyBorder="1" applyAlignment="1" applyProtection="1">
      <alignment horizontal="center" vertical="center"/>
      <protection hidden="1"/>
    </xf>
    <xf numFmtId="0" fontId="17" fillId="4" borderId="14" xfId="0" quotePrefix="1" applyFont="1" applyFill="1" applyBorder="1" applyAlignment="1" applyProtection="1">
      <alignment horizontal="center" vertical="center"/>
      <protection hidden="1"/>
    </xf>
    <xf numFmtId="10" fontId="34" fillId="14" borderId="14" xfId="2" applyNumberFormat="1" applyFont="1" applyFill="1" applyBorder="1" applyAlignment="1" applyProtection="1">
      <alignment horizontal="center" vertical="center"/>
    </xf>
    <xf numFmtId="0" fontId="29" fillId="0" borderId="0" xfId="0" applyFont="1" applyProtection="1">
      <protection locked="0"/>
    </xf>
    <xf numFmtId="0" fontId="4" fillId="4" borderId="14" xfId="0" applyFont="1" applyFill="1" applyBorder="1" applyAlignment="1" applyProtection="1">
      <alignment horizontal="center" vertical="center" wrapText="1"/>
      <protection hidden="1"/>
    </xf>
    <xf numFmtId="0" fontId="4" fillId="14" borderId="14" xfId="0" applyFont="1" applyFill="1" applyBorder="1" applyAlignment="1" applyProtection="1">
      <alignment horizontal="center" vertical="center" wrapText="1"/>
      <protection hidden="1"/>
    </xf>
    <xf numFmtId="0" fontId="4" fillId="4" borderId="36" xfId="0" applyFont="1" applyFill="1" applyBorder="1" applyAlignment="1" applyProtection="1">
      <alignment horizontal="center" vertical="center" wrapText="1"/>
      <protection hidden="1"/>
    </xf>
    <xf numFmtId="0" fontId="4" fillId="14" borderId="36" xfId="0" applyFont="1" applyFill="1" applyBorder="1" applyAlignment="1" applyProtection="1">
      <alignment horizontal="center" vertical="center" wrapText="1"/>
      <protection hidden="1"/>
    </xf>
    <xf numFmtId="0" fontId="4" fillId="13" borderId="14" xfId="0" quotePrefix="1" applyFont="1" applyFill="1" applyBorder="1" applyAlignment="1" applyProtection="1">
      <alignment horizontal="center" vertical="center" wrapText="1"/>
      <protection hidden="1"/>
    </xf>
    <xf numFmtId="0" fontId="0" fillId="6" borderId="0" xfId="0" applyFill="1" applyProtection="1">
      <protection locked="0"/>
    </xf>
    <xf numFmtId="0" fontId="12" fillId="13" borderId="14" xfId="0" applyFont="1" applyFill="1" applyBorder="1" applyAlignment="1" applyProtection="1">
      <alignment horizontal="center" vertical="center" wrapText="1"/>
      <protection hidden="1"/>
    </xf>
    <xf numFmtId="0" fontId="4" fillId="2" borderId="14" xfId="0" applyFont="1" applyFill="1" applyBorder="1" applyAlignment="1" applyProtection="1">
      <alignment vertical="center"/>
      <protection hidden="1"/>
    </xf>
    <xf numFmtId="0" fontId="2" fillId="14" borderId="0" xfId="0" applyFont="1" applyFill="1" applyProtection="1">
      <protection locked="0"/>
    </xf>
    <xf numFmtId="0" fontId="48" fillId="2" borderId="0" xfId="0" applyFont="1" applyFill="1" applyAlignment="1">
      <alignment horizontal="center"/>
    </xf>
    <xf numFmtId="0" fontId="48" fillId="2" borderId="0" xfId="0" applyFont="1" applyFill="1"/>
    <xf numFmtId="0" fontId="51" fillId="0" borderId="0" xfId="0" applyFont="1" applyProtection="1">
      <protection locked="0"/>
    </xf>
    <xf numFmtId="0" fontId="52" fillId="0" borderId="0" xfId="0" applyFont="1" applyProtection="1">
      <protection locked="0"/>
    </xf>
    <xf numFmtId="0" fontId="48" fillId="0" borderId="0" xfId="0" applyFont="1" applyProtection="1">
      <protection locked="0"/>
    </xf>
    <xf numFmtId="0" fontId="52" fillId="6" borderId="0" xfId="0" applyFont="1" applyFill="1" applyProtection="1">
      <protection locked="0"/>
    </xf>
    <xf numFmtId="0" fontId="48" fillId="6" borderId="0" xfId="0" applyFont="1" applyFill="1" applyProtection="1">
      <protection locked="0"/>
    </xf>
    <xf numFmtId="0" fontId="53" fillId="3" borderId="0" xfId="0" applyFont="1" applyFill="1" applyAlignment="1">
      <alignment horizontal="center" vertical="center"/>
    </xf>
    <xf numFmtId="0" fontId="53" fillId="2" borderId="0" xfId="0" applyFont="1" applyFill="1" applyAlignment="1">
      <alignment horizontal="center" vertical="center"/>
    </xf>
    <xf numFmtId="0" fontId="53" fillId="2" borderId="0" xfId="0" applyFont="1" applyFill="1" applyAlignment="1">
      <alignment horizontal="right" vertical="center"/>
    </xf>
    <xf numFmtId="0" fontId="53" fillId="2" borderId="0" xfId="0" applyFont="1" applyFill="1" applyAlignment="1" applyProtection="1">
      <alignment horizontal="right" vertical="center"/>
      <protection hidden="1"/>
    </xf>
    <xf numFmtId="0" fontId="55" fillId="2" borderId="0" xfId="0" applyFont="1" applyFill="1"/>
    <xf numFmtId="0" fontId="53" fillId="7" borderId="14" xfId="0" applyFont="1" applyFill="1" applyBorder="1" applyAlignment="1">
      <alignment horizontal="center" vertical="center" wrapText="1"/>
    </xf>
    <xf numFmtId="0" fontId="53" fillId="11" borderId="14" xfId="0" applyFont="1" applyFill="1" applyBorder="1" applyAlignment="1">
      <alignment horizontal="center" vertical="center" wrapText="1"/>
    </xf>
    <xf numFmtId="170" fontId="53" fillId="7" borderId="14" xfId="0" applyNumberFormat="1" applyFont="1" applyFill="1" applyBorder="1" applyAlignment="1">
      <alignment horizontal="center" vertical="center" wrapText="1"/>
    </xf>
    <xf numFmtId="0" fontId="55" fillId="13" borderId="14" xfId="0" applyFont="1" applyFill="1" applyBorder="1" applyAlignment="1" applyProtection="1">
      <alignment horizontal="center" vertical="center"/>
      <protection locked="0"/>
    </xf>
    <xf numFmtId="170" fontId="59" fillId="17" borderId="14" xfId="0" applyNumberFormat="1" applyFont="1" applyFill="1" applyBorder="1" applyAlignment="1">
      <alignment horizontal="center" vertical="center" wrapText="1"/>
    </xf>
    <xf numFmtId="170" fontId="60" fillId="18" borderId="14" xfId="0" applyNumberFormat="1" applyFont="1" applyFill="1" applyBorder="1" applyAlignment="1">
      <alignment horizontal="center" vertical="center"/>
    </xf>
    <xf numFmtId="0" fontId="5" fillId="0" borderId="0" xfId="3" applyAlignment="1" applyProtection="1">
      <alignment vertical="center"/>
      <protection locked="0"/>
    </xf>
    <xf numFmtId="0" fontId="62" fillId="7" borderId="14" xfId="0" applyFont="1" applyFill="1" applyBorder="1" applyAlignment="1">
      <alignment horizontal="center" vertical="center" wrapText="1"/>
    </xf>
    <xf numFmtId="0" fontId="57" fillId="5" borderId="14" xfId="0" applyFont="1" applyFill="1" applyBorder="1" applyAlignment="1">
      <alignment horizontal="center" vertical="center" wrapText="1"/>
    </xf>
    <xf numFmtId="0" fontId="63" fillId="19" borderId="14" xfId="0" applyFont="1" applyFill="1" applyBorder="1" applyAlignment="1">
      <alignment horizontal="center" vertical="center" wrapText="1"/>
    </xf>
    <xf numFmtId="0" fontId="55" fillId="0" borderId="14" xfId="0" applyFont="1" applyBorder="1" applyAlignment="1">
      <alignment horizontal="center" vertical="center" wrapText="1"/>
    </xf>
    <xf numFmtId="0" fontId="48" fillId="2" borderId="0" xfId="0" applyFont="1" applyFill="1" applyProtection="1">
      <protection locked="0"/>
    </xf>
    <xf numFmtId="0" fontId="63" fillId="5" borderId="14" xfId="0" applyFont="1" applyFill="1" applyBorder="1" applyAlignment="1">
      <alignment horizontal="left" vertical="center" wrapText="1" indent="2"/>
    </xf>
    <xf numFmtId="0" fontId="55" fillId="20" borderId="14" xfId="0" applyFont="1" applyFill="1" applyBorder="1" applyAlignment="1" applyProtection="1">
      <alignment horizontal="center" vertical="center"/>
      <protection locked="0"/>
    </xf>
    <xf numFmtId="0" fontId="63" fillId="5" borderId="14" xfId="0" applyFont="1" applyFill="1" applyBorder="1" applyAlignment="1">
      <alignment horizontal="center" vertical="center" wrapText="1"/>
    </xf>
    <xf numFmtId="0" fontId="66" fillId="5" borderId="14" xfId="0" applyFont="1" applyFill="1" applyBorder="1" applyAlignment="1">
      <alignment horizontal="center" vertical="center" wrapText="1"/>
    </xf>
    <xf numFmtId="0" fontId="53" fillId="4" borderId="14" xfId="0" applyFont="1" applyFill="1" applyBorder="1" applyAlignment="1">
      <alignment horizontal="center" vertical="center" wrapText="1"/>
    </xf>
    <xf numFmtId="0" fontId="53" fillId="17" borderId="14" xfId="0" applyFont="1" applyFill="1" applyBorder="1" applyAlignment="1">
      <alignment horizontal="center" vertical="center" wrapText="1"/>
    </xf>
    <xf numFmtId="0" fontId="53" fillId="21" borderId="14" xfId="0" applyFont="1" applyFill="1" applyBorder="1" applyAlignment="1">
      <alignment horizontal="center" vertical="center" wrapText="1"/>
    </xf>
    <xf numFmtId="2" fontId="57" fillId="5" borderId="14" xfId="0" applyNumberFormat="1" applyFont="1" applyFill="1" applyBorder="1" applyAlignment="1">
      <alignment horizontal="center" vertical="center" wrapText="1"/>
    </xf>
    <xf numFmtId="0" fontId="55" fillId="0" borderId="14" xfId="0" applyFont="1" applyBorder="1" applyAlignment="1" applyProtection="1">
      <alignment horizontal="center" vertical="center"/>
      <protection locked="0"/>
    </xf>
    <xf numFmtId="0" fontId="54" fillId="13" borderId="14" xfId="0" applyFont="1" applyFill="1" applyBorder="1" applyAlignment="1" applyProtection="1">
      <alignment horizontal="center" vertical="center"/>
      <protection locked="0"/>
    </xf>
    <xf numFmtId="0" fontId="67" fillId="13" borderId="14" xfId="0" applyFont="1" applyFill="1" applyBorder="1" applyAlignment="1" applyProtection="1">
      <alignment horizontal="center" vertical="center"/>
      <protection locked="0"/>
    </xf>
    <xf numFmtId="0" fontId="68" fillId="17" borderId="14" xfId="4" applyFont="1" applyFill="1" applyBorder="1" applyAlignment="1">
      <alignment horizontal="center" vertical="center" wrapText="1"/>
    </xf>
    <xf numFmtId="9" fontId="67" fillId="13" borderId="14" xfId="4" applyNumberFormat="1" applyFont="1" applyFill="1" applyBorder="1" applyAlignment="1" applyProtection="1">
      <alignment horizontal="center" vertical="center"/>
      <protection hidden="1"/>
    </xf>
    <xf numFmtId="0" fontId="69" fillId="21" borderId="14" xfId="0" applyFont="1" applyFill="1" applyBorder="1" applyAlignment="1">
      <alignment horizontal="center" vertical="center" wrapText="1"/>
    </xf>
    <xf numFmtId="0" fontId="69" fillId="11" borderId="14" xfId="0" applyFont="1" applyFill="1" applyBorder="1" applyAlignment="1">
      <alignment horizontal="center" vertical="center" wrapText="1"/>
    </xf>
    <xf numFmtId="0" fontId="50" fillId="13" borderId="14" xfId="0" applyFont="1" applyFill="1" applyBorder="1" applyAlignment="1" applyProtection="1">
      <alignment horizontal="center" vertical="center"/>
      <protection locked="0"/>
    </xf>
    <xf numFmtId="0" fontId="70" fillId="11" borderId="14" xfId="0" applyFont="1" applyFill="1" applyBorder="1" applyAlignment="1">
      <alignment horizontal="center" vertical="center"/>
    </xf>
    <xf numFmtId="0" fontId="53" fillId="7" borderId="14" xfId="0" applyFont="1" applyFill="1" applyBorder="1" applyAlignment="1">
      <alignment vertical="center" wrapText="1"/>
    </xf>
    <xf numFmtId="0" fontId="53" fillId="7" borderId="14" xfId="0" applyFont="1" applyFill="1" applyBorder="1" applyAlignment="1" applyProtection="1">
      <alignment horizontal="center" vertical="center" wrapText="1"/>
      <protection hidden="1"/>
    </xf>
    <xf numFmtId="0" fontId="53" fillId="11" borderId="14" xfId="0" applyFont="1" applyFill="1" applyBorder="1" applyAlignment="1" applyProtection="1">
      <alignment horizontal="center" vertical="center" wrapText="1"/>
      <protection hidden="1"/>
    </xf>
    <xf numFmtId="0" fontId="55" fillId="4" borderId="14" xfId="0" quotePrefix="1" applyFont="1" applyFill="1" applyBorder="1" applyAlignment="1" applyProtection="1">
      <alignment horizontal="centerContinuous" vertical="center"/>
      <protection hidden="1"/>
    </xf>
    <xf numFmtId="9" fontId="55" fillId="4" borderId="14" xfId="2" quotePrefix="1" applyFont="1" applyFill="1" applyBorder="1" applyAlignment="1" applyProtection="1">
      <alignment horizontal="center" vertical="center"/>
      <protection hidden="1"/>
    </xf>
    <xf numFmtId="0" fontId="55" fillId="0" borderId="14" xfId="0" quotePrefix="1" applyFont="1" applyBorder="1" applyAlignment="1" applyProtection="1">
      <alignment horizontal="center" vertical="center"/>
      <protection hidden="1"/>
    </xf>
    <xf numFmtId="0" fontId="54" fillId="0" borderId="14" xfId="0" applyFont="1" applyBorder="1" applyAlignment="1" applyProtection="1">
      <alignment horizontal="center" vertical="center"/>
      <protection hidden="1"/>
    </xf>
    <xf numFmtId="0" fontId="55" fillId="4" borderId="14" xfId="0" applyFont="1" applyFill="1" applyBorder="1" applyAlignment="1" applyProtection="1">
      <alignment horizontal="centerContinuous" vertical="center"/>
      <protection hidden="1"/>
    </xf>
    <xf numFmtId="9" fontId="55" fillId="4" borderId="14" xfId="2" applyFont="1" applyFill="1" applyBorder="1" applyAlignment="1" applyProtection="1">
      <alignment horizontal="center" vertical="center"/>
      <protection hidden="1"/>
    </xf>
    <xf numFmtId="0" fontId="55" fillId="0" borderId="14" xfId="0" applyFont="1" applyBorder="1" applyAlignment="1" applyProtection="1">
      <alignment horizontal="center" vertical="center"/>
      <protection hidden="1"/>
    </xf>
    <xf numFmtId="0" fontId="57" fillId="5" borderId="14" xfId="0" quotePrefix="1" applyFont="1" applyFill="1" applyBorder="1" applyAlignment="1" applyProtection="1">
      <alignment horizontal="centerContinuous" vertical="center" wrapText="1"/>
      <protection hidden="1"/>
    </xf>
    <xf numFmtId="0" fontId="57" fillId="5" borderId="14" xfId="0" applyFont="1" applyFill="1" applyBorder="1" applyAlignment="1" applyProtection="1">
      <alignment horizontal="centerContinuous" vertical="center" wrapText="1"/>
      <protection hidden="1"/>
    </xf>
    <xf numFmtId="9" fontId="58" fillId="4" borderId="14" xfId="2" quotePrefix="1" applyFont="1" applyFill="1" applyBorder="1" applyAlignment="1" applyProtection="1">
      <alignment horizontal="center" vertical="center"/>
      <protection hidden="1"/>
    </xf>
    <xf numFmtId="9" fontId="58" fillId="4" borderId="14" xfId="2" applyFont="1" applyFill="1" applyBorder="1" applyAlignment="1" applyProtection="1">
      <alignment horizontal="center" vertical="center"/>
      <protection hidden="1"/>
    </xf>
    <xf numFmtId="0" fontId="48" fillId="13" borderId="14" xfId="0" applyFont="1" applyFill="1" applyBorder="1" applyAlignment="1" applyProtection="1">
      <alignment horizontal="center" vertical="center"/>
      <protection locked="0"/>
    </xf>
    <xf numFmtId="0" fontId="71" fillId="0" borderId="0" xfId="3" applyFont="1" applyProtection="1">
      <protection locked="0"/>
    </xf>
    <xf numFmtId="0" fontId="72" fillId="6" borderId="14" xfId="0" applyFont="1" applyFill="1" applyBorder="1"/>
    <xf numFmtId="0" fontId="48" fillId="6" borderId="0" xfId="0" applyFont="1" applyFill="1"/>
    <xf numFmtId="0" fontId="74" fillId="6" borderId="0" xfId="0" applyFont="1" applyFill="1" applyProtection="1">
      <protection locked="0"/>
    </xf>
    <xf numFmtId="0" fontId="74" fillId="0" borderId="0" xfId="0" applyFont="1" applyProtection="1">
      <protection locked="0"/>
    </xf>
    <xf numFmtId="0" fontId="62" fillId="2" borderId="0" xfId="3" applyFont="1" applyFill="1" applyBorder="1" applyAlignment="1" applyProtection="1">
      <alignment horizontal="right" vertical="center" wrapText="1"/>
    </xf>
    <xf numFmtId="0" fontId="76" fillId="2" borderId="6" xfId="3" applyFont="1" applyFill="1" applyBorder="1" applyAlignment="1" applyProtection="1">
      <alignment horizontal="center" vertical="center"/>
    </xf>
    <xf numFmtId="171" fontId="50" fillId="4" borderId="14" xfId="0" applyNumberFormat="1" applyFont="1" applyFill="1" applyBorder="1" applyAlignment="1" applyProtection="1">
      <alignment horizontal="center" vertical="center"/>
      <protection locked="0"/>
    </xf>
    <xf numFmtId="0" fontId="79" fillId="4" borderId="14" xfId="4" applyFont="1" applyFill="1" applyBorder="1" applyAlignment="1" applyProtection="1">
      <alignment horizontal="center" vertical="center"/>
      <protection locked="0"/>
    </xf>
    <xf numFmtId="9" fontId="67" fillId="4" borderId="27" xfId="2" applyFont="1" applyFill="1" applyBorder="1" applyAlignment="1" applyProtection="1">
      <alignment horizontal="center" vertical="center"/>
    </xf>
    <xf numFmtId="0" fontId="74" fillId="4" borderId="10" xfId="0" applyFont="1" applyFill="1" applyBorder="1" applyAlignment="1" applyProtection="1">
      <alignment vertical="center"/>
      <protection locked="0"/>
    </xf>
    <xf numFmtId="0" fontId="74" fillId="4" borderId="0" xfId="0" applyFont="1" applyFill="1" applyAlignment="1" applyProtection="1">
      <alignment vertical="center"/>
      <protection locked="0"/>
    </xf>
    <xf numFmtId="0" fontId="74" fillId="4" borderId="0" xfId="0" applyFont="1" applyFill="1" applyProtection="1">
      <protection locked="0"/>
    </xf>
    <xf numFmtId="0" fontId="74" fillId="4" borderId="11" xfId="0" applyFont="1" applyFill="1" applyBorder="1" applyAlignment="1" applyProtection="1">
      <alignment vertical="center"/>
      <protection locked="0"/>
    </xf>
    <xf numFmtId="0" fontId="67" fillId="4" borderId="0" xfId="0" applyFont="1" applyFill="1" applyAlignment="1" applyProtection="1">
      <alignment horizontal="center" vertical="center" wrapText="1"/>
      <protection locked="0"/>
    </xf>
    <xf numFmtId="0" fontId="74" fillId="4" borderId="0" xfId="0" applyFont="1" applyFill="1" applyAlignment="1" applyProtection="1">
      <alignment horizontal="center" vertical="center"/>
      <protection locked="0"/>
    </xf>
    <xf numFmtId="0" fontId="74" fillId="4" borderId="12" xfId="0" applyFont="1" applyFill="1" applyBorder="1" applyAlignment="1" applyProtection="1">
      <alignment vertical="center"/>
      <protection locked="0"/>
    </xf>
    <xf numFmtId="0" fontId="74" fillId="4" borderId="6" xfId="0" applyFont="1" applyFill="1" applyBorder="1" applyAlignment="1" applyProtection="1">
      <alignment vertical="center"/>
      <protection locked="0"/>
    </xf>
    <xf numFmtId="0" fontId="74" fillId="4" borderId="6" xfId="0" applyFont="1" applyFill="1" applyBorder="1" applyProtection="1">
      <protection locked="0"/>
    </xf>
    <xf numFmtId="0" fontId="74" fillId="4" borderId="13" xfId="0" applyFont="1" applyFill="1" applyBorder="1" applyAlignment="1" applyProtection="1">
      <alignment vertical="center"/>
      <protection locked="0"/>
    </xf>
    <xf numFmtId="0" fontId="74" fillId="2" borderId="0" xfId="0" applyFont="1" applyFill="1" applyProtection="1">
      <protection locked="0"/>
    </xf>
    <xf numFmtId="0" fontId="67" fillId="2" borderId="10" xfId="0" applyFont="1" applyFill="1" applyBorder="1" applyAlignment="1" applyProtection="1">
      <alignment horizontal="left" vertical="center" indent="2"/>
      <protection locked="0"/>
    </xf>
    <xf numFmtId="0" fontId="83" fillId="2" borderId="0" xfId="0" applyFont="1" applyFill="1" applyAlignment="1" applyProtection="1">
      <alignment vertical="center"/>
      <protection locked="0"/>
    </xf>
    <xf numFmtId="170" fontId="83" fillId="2" borderId="0" xfId="0" applyNumberFormat="1" applyFont="1" applyFill="1" applyAlignment="1" applyProtection="1">
      <alignment horizontal="center" vertical="center"/>
      <protection locked="0"/>
    </xf>
    <xf numFmtId="0" fontId="80" fillId="2" borderId="0" xfId="0" applyFont="1" applyFill="1" applyAlignment="1" applyProtection="1">
      <alignment vertical="center"/>
      <protection locked="0"/>
    </xf>
    <xf numFmtId="0" fontId="83" fillId="2" borderId="0" xfId="0" applyFont="1" applyFill="1" applyAlignment="1" applyProtection="1">
      <alignment horizontal="right" vertical="center" indent="1"/>
      <protection locked="0"/>
    </xf>
    <xf numFmtId="0" fontId="74" fillId="2" borderId="11" xfId="0" applyFont="1" applyFill="1" applyBorder="1" applyAlignment="1" applyProtection="1">
      <alignment vertical="center"/>
      <protection locked="0"/>
    </xf>
    <xf numFmtId="0" fontId="74" fillId="2" borderId="0" xfId="0" applyFont="1" applyFill="1" applyAlignment="1" applyProtection="1">
      <alignment vertical="center"/>
      <protection locked="0"/>
    </xf>
    <xf numFmtId="0" fontId="74" fillId="2" borderId="10" xfId="0" applyFont="1" applyFill="1" applyBorder="1" applyAlignment="1" applyProtection="1">
      <alignment vertical="center"/>
      <protection locked="0"/>
    </xf>
    <xf numFmtId="0" fontId="74" fillId="2" borderId="0" xfId="0" applyFont="1" applyFill="1" applyAlignment="1" applyProtection="1">
      <alignment horizontal="center" vertical="center"/>
      <protection locked="0"/>
    </xf>
    <xf numFmtId="0" fontId="74" fillId="2" borderId="0" xfId="0" applyFont="1" applyFill="1" applyAlignment="1" applyProtection="1">
      <alignment horizontal="left" wrapText="1" indent="2"/>
      <protection locked="0"/>
    </xf>
    <xf numFmtId="0" fontId="74" fillId="2" borderId="20" xfId="0" applyFont="1" applyFill="1" applyBorder="1" applyAlignment="1" applyProtection="1">
      <alignment vertical="center" wrapText="1"/>
      <protection locked="0"/>
    </xf>
    <xf numFmtId="0" fontId="74" fillId="2" borderId="11" xfId="0" applyFont="1" applyFill="1" applyBorder="1" applyAlignment="1" applyProtection="1">
      <alignment horizontal="left" vertical="center" wrapText="1" indent="2"/>
      <protection locked="0"/>
    </xf>
    <xf numFmtId="0" fontId="74" fillId="2" borderId="0" xfId="0" applyFont="1" applyFill="1" applyAlignment="1" applyProtection="1">
      <alignment horizontal="left" vertical="center" wrapText="1" indent="2"/>
      <protection locked="0"/>
    </xf>
    <xf numFmtId="0" fontId="74" fillId="0" borderId="0" xfId="0" applyFont="1" applyAlignment="1" applyProtection="1">
      <alignment horizontal="left" wrapText="1" indent="2"/>
      <protection locked="0"/>
    </xf>
    <xf numFmtId="0" fontId="74" fillId="2" borderId="10" xfId="0" applyFont="1" applyFill="1" applyBorder="1" applyAlignment="1" applyProtection="1">
      <alignment vertical="center" wrapText="1"/>
      <protection locked="0"/>
    </xf>
    <xf numFmtId="0" fontId="67" fillId="2" borderId="0" xfId="0" applyFont="1" applyFill="1" applyAlignment="1" applyProtection="1">
      <alignment vertical="center"/>
      <protection locked="0"/>
    </xf>
    <xf numFmtId="0" fontId="74" fillId="2" borderId="0" xfId="0" applyFont="1" applyFill="1" applyAlignment="1" applyProtection="1">
      <alignment horizontal="left" vertical="center" wrapText="1"/>
      <protection locked="0"/>
    </xf>
    <xf numFmtId="0" fontId="59" fillId="2" borderId="37" xfId="0" applyFont="1" applyFill="1" applyBorder="1" applyAlignment="1" applyProtection="1">
      <alignment horizontal="center" vertical="center" wrapText="1"/>
      <protection locked="0"/>
    </xf>
    <xf numFmtId="0" fontId="59" fillId="2" borderId="31" xfId="0" applyFont="1" applyFill="1" applyBorder="1" applyAlignment="1" applyProtection="1">
      <alignment horizontal="center" vertical="center" wrapText="1"/>
      <protection locked="0"/>
    </xf>
    <xf numFmtId="0" fontId="59" fillId="2" borderId="40" xfId="0" applyFont="1" applyFill="1" applyBorder="1" applyAlignment="1" applyProtection="1">
      <alignment horizontal="center" vertical="center" wrapText="1"/>
      <protection locked="0"/>
    </xf>
    <xf numFmtId="0" fontId="60" fillId="2" borderId="14" xfId="0" applyFont="1" applyFill="1" applyBorder="1" applyAlignment="1" applyProtection="1">
      <alignment horizontal="center" vertical="center" wrapText="1"/>
      <protection locked="0"/>
    </xf>
    <xf numFmtId="0" fontId="84" fillId="2" borderId="52" xfId="0" applyFont="1" applyFill="1" applyBorder="1" applyAlignment="1" applyProtection="1">
      <alignment horizontal="center" vertical="center" wrapText="1"/>
      <protection locked="0"/>
    </xf>
    <xf numFmtId="0" fontId="84" fillId="2" borderId="14" xfId="0" applyFont="1" applyFill="1" applyBorder="1" applyAlignment="1" applyProtection="1">
      <alignment horizontal="center" vertical="center" wrapText="1"/>
      <protection locked="0"/>
    </xf>
    <xf numFmtId="0" fontId="84" fillId="2" borderId="53" xfId="0" applyFont="1" applyFill="1" applyBorder="1" applyAlignment="1" applyProtection="1">
      <alignment horizontal="center" vertical="center" wrapText="1"/>
      <protection locked="0"/>
    </xf>
    <xf numFmtId="0" fontId="4" fillId="10" borderId="0" xfId="0" applyFont="1" applyFill="1" applyAlignment="1" applyProtection="1">
      <alignment horizontal="right" vertical="center" wrapText="1"/>
      <protection locked="0"/>
    </xf>
    <xf numFmtId="0" fontId="4" fillId="10" borderId="14" xfId="0" applyFont="1" applyFill="1" applyBorder="1" applyAlignment="1" applyProtection="1">
      <alignment horizontal="center" vertical="center" wrapText="1"/>
      <protection locked="0"/>
    </xf>
    <xf numFmtId="9" fontId="67" fillId="2" borderId="14" xfId="2" applyFont="1" applyFill="1" applyBorder="1" applyAlignment="1" applyProtection="1">
      <alignment horizontal="center" vertical="center"/>
      <protection locked="0"/>
    </xf>
    <xf numFmtId="0" fontId="4" fillId="10" borderId="0" xfId="0" applyFont="1" applyFill="1" applyAlignment="1" applyProtection="1">
      <alignment horizontal="right" vertical="center"/>
      <protection locked="0"/>
    </xf>
    <xf numFmtId="0" fontId="4" fillId="10" borderId="14" xfId="0" applyFont="1" applyFill="1" applyBorder="1" applyAlignment="1" applyProtection="1">
      <alignment horizontal="center" vertical="center"/>
      <protection locked="0"/>
    </xf>
    <xf numFmtId="0" fontId="84" fillId="2" borderId="41" xfId="0" applyFont="1" applyFill="1" applyBorder="1" applyAlignment="1" applyProtection="1">
      <alignment horizontal="center" vertical="center" wrapText="1"/>
      <protection locked="0"/>
    </xf>
    <xf numFmtId="0" fontId="84" fillId="2" borderId="27" xfId="0" applyFont="1" applyFill="1" applyBorder="1" applyAlignment="1" applyProtection="1">
      <alignment horizontal="center" vertical="center" wrapText="1"/>
      <protection locked="0"/>
    </xf>
    <xf numFmtId="0" fontId="84" fillId="2" borderId="46" xfId="0" applyFont="1" applyFill="1" applyBorder="1" applyAlignment="1" applyProtection="1">
      <alignment horizontal="center" vertical="center" wrapText="1"/>
      <protection locked="0"/>
    </xf>
    <xf numFmtId="0" fontId="84" fillId="2" borderId="0" xfId="0" applyFont="1" applyFill="1" applyAlignment="1" applyProtection="1">
      <alignment horizontal="center" vertical="center" wrapText="1"/>
      <protection locked="0"/>
    </xf>
    <xf numFmtId="0" fontId="74" fillId="2" borderId="11" xfId="0" applyFont="1" applyFill="1" applyBorder="1" applyAlignment="1" applyProtection="1">
      <alignment horizontal="center" vertical="center" wrapText="1"/>
      <protection locked="0"/>
    </xf>
    <xf numFmtId="0" fontId="74" fillId="2" borderId="0" xfId="0" applyFont="1" applyFill="1" applyAlignment="1" applyProtection="1">
      <alignment horizontal="center" vertical="center" wrapText="1"/>
      <protection locked="0"/>
    </xf>
    <xf numFmtId="0" fontId="60" fillId="2" borderId="14" xfId="0" applyFont="1" applyFill="1" applyBorder="1" applyAlignment="1" applyProtection="1">
      <alignment horizontal="center" vertical="center"/>
      <protection locked="0"/>
    </xf>
    <xf numFmtId="0" fontId="60" fillId="2" borderId="0" xfId="0" applyFont="1" applyFill="1" applyAlignment="1" applyProtection="1">
      <alignment vertical="center"/>
      <protection locked="0"/>
    </xf>
    <xf numFmtId="171" fontId="67" fillId="2" borderId="14" xfId="2" applyNumberFormat="1"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2" fontId="67" fillId="2" borderId="14" xfId="0" applyNumberFormat="1" applyFont="1" applyFill="1" applyBorder="1" applyAlignment="1" applyProtection="1">
      <alignment horizontal="center" vertical="center"/>
      <protection locked="0"/>
    </xf>
    <xf numFmtId="1" fontId="54" fillId="2" borderId="17" xfId="2" applyNumberFormat="1" applyFont="1" applyFill="1" applyBorder="1" applyAlignment="1" applyProtection="1">
      <alignment horizontal="center" vertical="center"/>
      <protection locked="0"/>
    </xf>
    <xf numFmtId="171" fontId="67" fillId="2" borderId="14" xfId="2" applyNumberFormat="1" applyFont="1" applyFill="1" applyBorder="1" applyAlignment="1" applyProtection="1">
      <alignment vertical="center"/>
      <protection locked="0"/>
    </xf>
    <xf numFmtId="2" fontId="84" fillId="2" borderId="52" xfId="1" applyNumberFormat="1" applyFont="1" applyFill="1" applyBorder="1" applyAlignment="1" applyProtection="1">
      <alignment horizontal="center" vertical="center" wrapText="1"/>
      <protection locked="0"/>
    </xf>
    <xf numFmtId="2" fontId="84" fillId="2" borderId="14" xfId="1" applyNumberFormat="1" applyFont="1" applyFill="1" applyBorder="1" applyAlignment="1" applyProtection="1">
      <alignment horizontal="center" vertical="center" wrapText="1"/>
      <protection locked="0"/>
    </xf>
    <xf numFmtId="1" fontId="54" fillId="2" borderId="14" xfId="2" applyNumberFormat="1" applyFont="1" applyFill="1" applyBorder="1" applyAlignment="1" applyProtection="1">
      <alignment horizontal="center" vertical="center"/>
      <protection locked="0"/>
    </xf>
    <xf numFmtId="171" fontId="67" fillId="2" borderId="0" xfId="2" applyNumberFormat="1" applyFont="1" applyFill="1" applyBorder="1" applyAlignment="1" applyProtection="1">
      <alignment vertical="center"/>
      <protection locked="0"/>
    </xf>
    <xf numFmtId="2" fontId="84" fillId="2" borderId="41" xfId="1" applyNumberFormat="1" applyFont="1" applyFill="1" applyBorder="1" applyAlignment="1" applyProtection="1">
      <alignment horizontal="center" vertical="center" wrapText="1"/>
      <protection locked="0"/>
    </xf>
    <xf numFmtId="2" fontId="85" fillId="2" borderId="14" xfId="0" applyNumberFormat="1" applyFont="1" applyFill="1" applyBorder="1" applyAlignment="1" applyProtection="1">
      <alignment horizontal="center" vertical="center"/>
      <protection locked="0"/>
    </xf>
    <xf numFmtId="0" fontId="67" fillId="2" borderId="0" xfId="0" applyFont="1" applyFill="1" applyAlignment="1" applyProtection="1">
      <alignment horizontal="center" vertical="center"/>
      <protection locked="0"/>
    </xf>
    <xf numFmtId="0" fontId="67" fillId="2" borderId="14" xfId="0" applyFont="1" applyFill="1" applyBorder="1" applyAlignment="1" applyProtection="1">
      <alignment horizontal="center" vertical="center" wrapText="1"/>
      <protection locked="0"/>
    </xf>
    <xf numFmtId="1" fontId="50" fillId="2" borderId="14" xfId="2" applyNumberFormat="1" applyFont="1" applyFill="1" applyBorder="1" applyAlignment="1" applyProtection="1">
      <alignment horizontal="center" vertical="center"/>
      <protection locked="0"/>
    </xf>
    <xf numFmtId="1" fontId="79" fillId="2" borderId="14" xfId="2" applyNumberFormat="1" applyFont="1" applyFill="1" applyBorder="1" applyAlignment="1" applyProtection="1">
      <alignment horizontal="center" vertical="center"/>
      <protection locked="0"/>
    </xf>
    <xf numFmtId="1" fontId="79" fillId="2" borderId="0" xfId="2" applyNumberFormat="1" applyFont="1" applyFill="1" applyBorder="1" applyAlignment="1" applyProtection="1">
      <alignment vertical="center"/>
      <protection locked="0"/>
    </xf>
    <xf numFmtId="0" fontId="49" fillId="2" borderId="0" xfId="0" applyFont="1" applyFill="1" applyAlignment="1" applyProtection="1">
      <alignment vertical="center"/>
      <protection locked="0"/>
    </xf>
    <xf numFmtId="171" fontId="78" fillId="2" borderId="14" xfId="2" applyNumberFormat="1" applyFont="1" applyFill="1" applyBorder="1" applyAlignment="1" applyProtection="1">
      <alignment horizontal="center" vertical="center"/>
      <protection locked="0"/>
    </xf>
    <xf numFmtId="0" fontId="74" fillId="2" borderId="12" xfId="0" applyFont="1" applyFill="1" applyBorder="1" applyAlignment="1" applyProtection="1">
      <alignment vertical="center"/>
      <protection locked="0"/>
    </xf>
    <xf numFmtId="0" fontId="74" fillId="2" borderId="6" xfId="0" applyFont="1" applyFill="1" applyBorder="1" applyAlignment="1" applyProtection="1">
      <alignment vertical="center"/>
      <protection locked="0"/>
    </xf>
    <xf numFmtId="0" fontId="74" fillId="2" borderId="6" xfId="0" applyFont="1" applyFill="1" applyBorder="1" applyAlignment="1" applyProtection="1">
      <alignment horizontal="center" vertical="center"/>
      <protection locked="0"/>
    </xf>
    <xf numFmtId="0" fontId="74" fillId="2" borderId="13" xfId="0" applyFont="1" applyFill="1" applyBorder="1" applyAlignment="1" applyProtection="1">
      <alignment vertical="center"/>
      <protection locked="0"/>
    </xf>
    <xf numFmtId="0" fontId="89" fillId="4" borderId="3" xfId="3" applyFont="1" applyFill="1" applyBorder="1" applyAlignment="1" applyProtection="1">
      <alignment horizontal="center" vertical="center"/>
    </xf>
    <xf numFmtId="0" fontId="88" fillId="0" borderId="3" xfId="3" applyFont="1" applyBorder="1" applyAlignment="1" applyProtection="1">
      <alignment horizontal="center" vertical="center"/>
    </xf>
    <xf numFmtId="0" fontId="93" fillId="4" borderId="2" xfId="3" applyFont="1" applyFill="1" applyBorder="1" applyAlignment="1" applyProtection="1">
      <alignment horizontal="center" vertical="center"/>
    </xf>
    <xf numFmtId="0" fontId="94" fillId="4" borderId="2" xfId="3" applyFont="1" applyFill="1" applyBorder="1" applyAlignment="1" applyProtection="1">
      <alignment horizontal="center" vertical="center"/>
      <protection locked="0" hidden="1"/>
    </xf>
    <xf numFmtId="0" fontId="13" fillId="2" borderId="0" xfId="0" applyFont="1" applyFill="1"/>
    <xf numFmtId="0" fontId="0" fillId="2" borderId="0" xfId="0" applyFill="1"/>
    <xf numFmtId="0" fontId="17" fillId="2" borderId="0" xfId="0" applyFont="1" applyFill="1" applyAlignment="1">
      <alignment vertical="center"/>
    </xf>
    <xf numFmtId="0" fontId="17" fillId="2" borderId="0" xfId="0" applyFont="1" applyFill="1" applyAlignment="1">
      <alignment horizontal="center" vertical="center"/>
    </xf>
    <xf numFmtId="0" fontId="18" fillId="2" borderId="0" xfId="0" applyFont="1" applyFill="1" applyAlignment="1">
      <alignment horizontal="center" vertical="center" wrapText="1"/>
    </xf>
    <xf numFmtId="0" fontId="19" fillId="9" borderId="0" xfId="0" applyFont="1" applyFill="1" applyAlignment="1">
      <alignment horizontal="left" vertical="center"/>
    </xf>
    <xf numFmtId="0" fontId="20" fillId="9" borderId="0" xfId="0" applyFont="1" applyFill="1" applyAlignment="1">
      <alignment horizontal="left" vertical="center"/>
    </xf>
    <xf numFmtId="0" fontId="21" fillId="2" borderId="0" xfId="0" applyFont="1" applyFill="1"/>
    <xf numFmtId="0" fontId="4" fillId="3" borderId="4" xfId="0" applyFont="1" applyFill="1" applyBorder="1" applyAlignment="1">
      <alignment vertical="center"/>
    </xf>
    <xf numFmtId="0" fontId="2" fillId="2" borderId="4" xfId="0" applyFont="1" applyFill="1" applyBorder="1"/>
    <xf numFmtId="0" fontId="21" fillId="2" borderId="4" xfId="0" applyFont="1" applyFill="1" applyBorder="1"/>
    <xf numFmtId="0" fontId="0" fillId="2" borderId="4" xfId="0" applyFill="1" applyBorder="1"/>
    <xf numFmtId="0" fontId="0" fillId="2" borderId="20" xfId="0" applyFill="1" applyBorder="1"/>
    <xf numFmtId="0" fontId="22" fillId="12" borderId="14" xfId="0" applyFont="1" applyFill="1" applyBorder="1" applyAlignment="1">
      <alignment horizontal="center" vertical="center"/>
    </xf>
    <xf numFmtId="0" fontId="31" fillId="10" borderId="0" xfId="0" applyFont="1" applyFill="1" applyAlignment="1">
      <alignment vertical="center"/>
    </xf>
    <xf numFmtId="0" fontId="31" fillId="10" borderId="6" xfId="0" applyFont="1" applyFill="1" applyBorder="1" applyAlignment="1">
      <alignment vertical="center"/>
    </xf>
    <xf numFmtId="0" fontId="33" fillId="10" borderId="6" xfId="0" applyFont="1" applyFill="1" applyBorder="1" applyAlignment="1">
      <alignment vertical="center"/>
    </xf>
    <xf numFmtId="0" fontId="19" fillId="2" borderId="6" xfId="0" applyFont="1" applyFill="1" applyBorder="1" applyAlignment="1">
      <alignment vertical="center" textRotation="90"/>
    </xf>
    <xf numFmtId="0" fontId="24" fillId="2" borderId="6" xfId="0" applyFont="1" applyFill="1" applyBorder="1" applyAlignment="1">
      <alignment vertical="center"/>
    </xf>
    <xf numFmtId="0" fontId="2" fillId="2" borderId="6" xfId="0" applyFont="1" applyFill="1" applyBorder="1"/>
    <xf numFmtId="0" fontId="0" fillId="2" borderId="6" xfId="0" applyFill="1" applyBorder="1"/>
    <xf numFmtId="0" fontId="4" fillId="2" borderId="0" xfId="0" applyFont="1" applyFill="1" applyAlignment="1">
      <alignment vertical="center"/>
    </xf>
    <xf numFmtId="0" fontId="31" fillId="2" borderId="0" xfId="0" applyFont="1" applyFill="1" applyAlignment="1">
      <alignment vertical="center"/>
    </xf>
    <xf numFmtId="0" fontId="34" fillId="9" borderId="0" xfId="0" applyFont="1" applyFill="1" applyAlignment="1">
      <alignment horizontal="left" vertical="center"/>
    </xf>
    <xf numFmtId="0" fontId="4" fillId="9" borderId="8" xfId="0" applyFont="1" applyFill="1" applyBorder="1" applyAlignment="1">
      <alignment horizontal="left" vertical="center"/>
    </xf>
    <xf numFmtId="0" fontId="4" fillId="9" borderId="4" xfId="0" applyFont="1" applyFill="1" applyBorder="1" applyAlignment="1">
      <alignment horizontal="left" vertical="center"/>
    </xf>
    <xf numFmtId="0" fontId="21" fillId="2" borderId="4" xfId="0" applyFont="1" applyFill="1" applyBorder="1" applyAlignment="1">
      <alignment horizontal="left"/>
    </xf>
    <xf numFmtId="0" fontId="21" fillId="2" borderId="9" xfId="0" applyFont="1" applyFill="1" applyBorder="1"/>
    <xf numFmtId="0" fontId="35" fillId="10" borderId="10" xfId="0" applyFont="1" applyFill="1" applyBorder="1" applyAlignment="1">
      <alignment horizontal="center" vertical="center" wrapText="1"/>
    </xf>
    <xf numFmtId="0" fontId="4" fillId="10" borderId="0" xfId="0" applyFont="1" applyFill="1" applyAlignment="1">
      <alignment horizontal="center" vertical="center"/>
    </xf>
    <xf numFmtId="0" fontId="4" fillId="2" borderId="10" xfId="0" applyFont="1" applyFill="1" applyBorder="1" applyAlignment="1">
      <alignment vertical="center"/>
    </xf>
    <xf numFmtId="0" fontId="21" fillId="2" borderId="11" xfId="0" applyFont="1" applyFill="1" applyBorder="1"/>
    <xf numFmtId="0" fontId="17" fillId="2" borderId="10" xfId="0" applyFont="1" applyFill="1" applyBorder="1" applyAlignment="1">
      <alignment vertical="center"/>
    </xf>
    <xf numFmtId="0" fontId="17" fillId="2" borderId="11" xfId="0" applyFont="1" applyFill="1" applyBorder="1" applyAlignment="1">
      <alignment vertical="center"/>
    </xf>
    <xf numFmtId="0" fontId="2" fillId="2" borderId="12" xfId="0" applyFont="1" applyFill="1" applyBorder="1"/>
    <xf numFmtId="0" fontId="12" fillId="10" borderId="6" xfId="0" applyFont="1" applyFill="1" applyBorder="1" applyAlignment="1">
      <alignment horizontal="center" vertical="center" wrapText="1"/>
    </xf>
    <xf numFmtId="0" fontId="4" fillId="10" borderId="6" xfId="0" applyFont="1" applyFill="1" applyBorder="1" applyAlignment="1">
      <alignment horizontal="center" vertical="center" wrapText="1"/>
    </xf>
    <xf numFmtId="0" fontId="4" fillId="10" borderId="13" xfId="0" applyFont="1" applyFill="1" applyBorder="1" applyAlignment="1">
      <alignment horizontal="center" vertical="center" wrapText="1"/>
    </xf>
    <xf numFmtId="0" fontId="12" fillId="10" borderId="0" xfId="0" applyFont="1" applyFill="1" applyAlignment="1">
      <alignment horizontal="center" vertical="center" wrapText="1"/>
    </xf>
    <xf numFmtId="0" fontId="4" fillId="10" borderId="0" xfId="0" applyFont="1" applyFill="1" applyAlignment="1">
      <alignment horizontal="center" vertical="center" wrapText="1"/>
    </xf>
    <xf numFmtId="0" fontId="8" fillId="12" borderId="14" xfId="0" applyFont="1" applyFill="1" applyBorder="1" applyAlignment="1">
      <alignment horizontal="center" vertical="center" wrapText="1"/>
    </xf>
    <xf numFmtId="0" fontId="22" fillId="7" borderId="14" xfId="0" applyFont="1" applyFill="1" applyBorder="1" applyAlignment="1">
      <alignment horizontal="center" vertical="center" wrapText="1"/>
    </xf>
    <xf numFmtId="0" fontId="8" fillId="12" borderId="21" xfId="0" applyFont="1" applyFill="1" applyBorder="1" applyAlignment="1">
      <alignment horizontal="center" vertical="center" wrapText="1"/>
    </xf>
    <xf numFmtId="0" fontId="4" fillId="3" borderId="0" xfId="0" applyFont="1" applyFill="1" applyAlignment="1">
      <alignment horizontal="center" vertical="center" wrapText="1"/>
    </xf>
    <xf numFmtId="0" fontId="34" fillId="2" borderId="0" xfId="0" applyFont="1" applyFill="1" applyAlignment="1">
      <alignment vertical="center" wrapText="1"/>
    </xf>
    <xf numFmtId="4" fontId="2" fillId="2" borderId="0" xfId="0" applyNumberFormat="1" applyFont="1" applyFill="1" applyAlignment="1">
      <alignment vertical="center" wrapText="1"/>
    </xf>
    <xf numFmtId="4" fontId="2" fillId="10" borderId="0" xfId="0" applyNumberFormat="1" applyFont="1" applyFill="1" applyAlignment="1">
      <alignment vertical="center" wrapText="1"/>
    </xf>
    <xf numFmtId="0" fontId="34" fillId="2" borderId="0" xfId="0" applyFont="1" applyFill="1" applyAlignment="1">
      <alignment vertical="center"/>
    </xf>
    <xf numFmtId="0" fontId="35" fillId="2" borderId="0" xfId="0" applyFont="1" applyFill="1" applyAlignment="1">
      <alignment horizontal="center"/>
    </xf>
    <xf numFmtId="0" fontId="4" fillId="13" borderId="14" xfId="0" applyFont="1" applyFill="1" applyBorder="1" applyAlignment="1">
      <alignment horizontal="center" vertical="center"/>
    </xf>
    <xf numFmtId="4" fontId="2" fillId="2" borderId="0" xfId="0" applyNumberFormat="1" applyFont="1" applyFill="1"/>
    <xf numFmtId="9" fontId="34" fillId="0" borderId="18" xfId="0" applyNumberFormat="1" applyFont="1" applyBorder="1" applyAlignment="1">
      <alignment horizontal="center" vertical="center" wrapText="1"/>
    </xf>
    <xf numFmtId="167" fontId="34" fillId="0" borderId="18" xfId="0" applyNumberFormat="1" applyFont="1" applyBorder="1" applyAlignment="1">
      <alignment horizontal="center" vertical="center" wrapText="1"/>
    </xf>
    <xf numFmtId="0" fontId="18" fillId="2" borderId="0" xfId="0" applyFont="1" applyFill="1" applyAlignment="1">
      <alignment vertical="center" wrapText="1"/>
    </xf>
    <xf numFmtId="9" fontId="34" fillId="0" borderId="18" xfId="0" applyNumberFormat="1" applyFont="1" applyBorder="1" applyAlignment="1">
      <alignment horizontal="left" vertical="center" wrapText="1"/>
    </xf>
    <xf numFmtId="2" fontId="2" fillId="2" borderId="0" xfId="0" applyNumberFormat="1" applyFont="1" applyFill="1"/>
    <xf numFmtId="0" fontId="34" fillId="2" borderId="0" xfId="0" applyFont="1" applyFill="1" applyAlignment="1">
      <alignment horizontal="center" vertical="center"/>
    </xf>
    <xf numFmtId="0" fontId="12" fillId="13" borderId="14" xfId="0" applyFont="1" applyFill="1" applyBorder="1" applyAlignment="1">
      <alignment horizontal="center" vertical="center" wrapText="1"/>
    </xf>
    <xf numFmtId="0" fontId="44" fillId="2" borderId="0" xfId="0" applyFont="1" applyFill="1" applyAlignment="1">
      <alignment horizontal="left"/>
    </xf>
    <xf numFmtId="0" fontId="17" fillId="2" borderId="0" xfId="0" applyFont="1" applyFill="1" applyAlignment="1">
      <alignment horizontal="center" vertical="center" wrapText="1"/>
    </xf>
    <xf numFmtId="0" fontId="34" fillId="2" borderId="0" xfId="0" applyFont="1" applyFill="1" applyAlignment="1">
      <alignment horizontal="left" vertical="center" indent="1"/>
    </xf>
    <xf numFmtId="4" fontId="18" fillId="2" borderId="0" xfId="0" applyNumberFormat="1" applyFont="1" applyFill="1" applyAlignment="1">
      <alignment horizontal="center" vertical="center"/>
    </xf>
    <xf numFmtId="0" fontId="20" fillId="11" borderId="14" xfId="0" applyFont="1" applyFill="1" applyBorder="1" applyAlignment="1">
      <alignment horizontal="center" vertical="center"/>
    </xf>
    <xf numFmtId="0" fontId="22" fillId="11" borderId="14" xfId="0" applyFont="1" applyFill="1" applyBorder="1" applyAlignment="1">
      <alignment horizontal="center" vertical="center" wrapText="1"/>
    </xf>
    <xf numFmtId="4" fontId="22" fillId="12" borderId="14" xfId="0" applyNumberFormat="1" applyFont="1" applyFill="1" applyBorder="1" applyAlignment="1">
      <alignment horizontal="center" vertical="center" wrapText="1"/>
    </xf>
    <xf numFmtId="0" fontId="9" fillId="2" borderId="0" xfId="0" applyFont="1" applyFill="1" applyAlignment="1">
      <alignment horizontal="left" vertical="center"/>
    </xf>
    <xf numFmtId="0" fontId="18" fillId="2" borderId="0" xfId="0" applyFont="1" applyFill="1" applyAlignment="1">
      <alignment horizontal="left" vertical="center"/>
    </xf>
    <xf numFmtId="4" fontId="2" fillId="10" borderId="0" xfId="0" applyNumberFormat="1" applyFont="1" applyFill="1" applyAlignment="1">
      <alignment vertical="center"/>
    </xf>
    <xf numFmtId="0" fontId="18" fillId="2" borderId="0" xfId="0" quotePrefix="1" applyFont="1" applyFill="1" applyAlignment="1">
      <alignment horizontal="left" vertical="center"/>
    </xf>
    <xf numFmtId="0" fontId="2" fillId="2" borderId="0" xfId="0" quotePrefix="1" applyFont="1" applyFill="1"/>
    <xf numFmtId="10" fontId="9" fillId="2" borderId="0" xfId="0" applyNumberFormat="1" applyFont="1" applyFill="1" applyAlignment="1">
      <alignment horizontal="center" vertical="center" wrapText="1"/>
    </xf>
    <xf numFmtId="0" fontId="34" fillId="2" borderId="0" xfId="0" applyFont="1" applyFill="1" applyAlignment="1">
      <alignment horizontal="left" vertical="center"/>
    </xf>
    <xf numFmtId="0" fontId="29" fillId="2" borderId="0" xfId="0" applyFont="1" applyFill="1"/>
    <xf numFmtId="0" fontId="9" fillId="13" borderId="14" xfId="0" applyFont="1" applyFill="1" applyBorder="1" applyAlignment="1">
      <alignment horizontal="center" vertical="center"/>
    </xf>
    <xf numFmtId="0" fontId="9" fillId="2" borderId="0" xfId="0" applyFont="1" applyFill="1" applyAlignment="1">
      <alignment vertical="center"/>
    </xf>
    <xf numFmtId="0" fontId="47" fillId="2" borderId="0" xfId="0" applyFont="1" applyFill="1"/>
    <xf numFmtId="0" fontId="9" fillId="13" borderId="14" xfId="0" applyFont="1" applyFill="1" applyBorder="1" applyAlignment="1">
      <alignment horizontal="center" vertical="center" wrapText="1"/>
    </xf>
    <xf numFmtId="0" fontId="22" fillId="11" borderId="14" xfId="0" applyFont="1" applyFill="1" applyBorder="1" applyAlignment="1">
      <alignment horizontal="center" vertical="center"/>
    </xf>
    <xf numFmtId="0" fontId="17" fillId="4" borderId="19" xfId="0" applyFont="1" applyFill="1" applyBorder="1" applyAlignment="1">
      <alignment horizontal="center" vertical="center"/>
    </xf>
    <xf numFmtId="0" fontId="4" fillId="2" borderId="8" xfId="0" applyFont="1" applyFill="1" applyBorder="1" applyAlignment="1">
      <alignment horizontal="center" vertical="center" wrapText="1"/>
    </xf>
    <xf numFmtId="0" fontId="17" fillId="2" borderId="4" xfId="0" quotePrefix="1" applyFont="1" applyFill="1" applyBorder="1" applyAlignment="1">
      <alignment horizontal="center" vertical="center" wrapText="1"/>
    </xf>
    <xf numFmtId="0" fontId="17" fillId="2"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0" xfId="0" applyFont="1" applyFill="1" applyAlignment="1">
      <alignment horizontal="center" vertical="center"/>
    </xf>
    <xf numFmtId="0" fontId="17" fillId="2" borderId="0" xfId="0" quotePrefix="1" applyFont="1" applyFill="1" applyAlignment="1">
      <alignment horizontal="center" vertical="center" wrapText="1"/>
    </xf>
    <xf numFmtId="0" fontId="4" fillId="2" borderId="0" xfId="0" applyFont="1" applyFill="1" applyAlignment="1">
      <alignment horizontal="center" vertical="center" wrapText="1"/>
    </xf>
    <xf numFmtId="0" fontId="4" fillId="11" borderId="14" xfId="0" applyFont="1" applyFill="1" applyBorder="1" applyAlignment="1">
      <alignment horizontal="center" vertical="center" wrapText="1"/>
    </xf>
    <xf numFmtId="0" fontId="4" fillId="11" borderId="14" xfId="0" quotePrefix="1" applyFont="1" applyFill="1" applyBorder="1" applyAlignment="1">
      <alignment horizontal="center" vertical="center" wrapText="1"/>
    </xf>
    <xf numFmtId="0" fontId="2" fillId="14" borderId="0" xfId="0" applyFont="1" applyFill="1"/>
    <xf numFmtId="0" fontId="0" fillId="14" borderId="0" xfId="0" applyFill="1"/>
    <xf numFmtId="0" fontId="0" fillId="6" borderId="0" xfId="0" applyFill="1"/>
    <xf numFmtId="0" fontId="5" fillId="4" borderId="14" xfId="3" applyFill="1" applyBorder="1" applyAlignment="1" applyProtection="1">
      <alignment horizontal="center" vertical="center" wrapText="1"/>
    </xf>
    <xf numFmtId="0" fontId="22" fillId="11" borderId="14" xfId="0" quotePrefix="1" applyFont="1" applyFill="1" applyBorder="1" applyAlignment="1" applyProtection="1">
      <alignment horizontal="center" vertical="center"/>
      <protection hidden="1"/>
    </xf>
    <xf numFmtId="0" fontId="54" fillId="13" borderId="14" xfId="0" applyFont="1" applyFill="1" applyBorder="1" applyAlignment="1" applyProtection="1">
      <alignment horizontal="center" vertical="center"/>
      <protection locked="0" hidden="1"/>
    </xf>
    <xf numFmtId="170" fontId="60" fillId="18" borderId="14" xfId="0" applyNumberFormat="1" applyFont="1" applyFill="1" applyBorder="1" applyAlignment="1" applyProtection="1">
      <alignment horizontal="center" vertical="center"/>
      <protection hidden="1"/>
    </xf>
    <xf numFmtId="15" fontId="5" fillId="0" borderId="14" xfId="3" applyNumberFormat="1" applyBorder="1" applyAlignment="1" applyProtection="1">
      <alignment horizontal="center" vertical="center"/>
    </xf>
    <xf numFmtId="2" fontId="50" fillId="19" borderId="14" xfId="0" applyNumberFormat="1" applyFont="1" applyFill="1" applyBorder="1" applyAlignment="1" applyProtection="1">
      <alignment horizontal="center" vertical="center"/>
      <protection hidden="1"/>
    </xf>
    <xf numFmtId="0" fontId="74" fillId="2" borderId="0" xfId="0" applyFont="1" applyFill="1"/>
    <xf numFmtId="0" fontId="74" fillId="2" borderId="0" xfId="0" applyFont="1" applyFill="1" applyAlignment="1">
      <alignment vertical="center"/>
    </xf>
    <xf numFmtId="0" fontId="74" fillId="2" borderId="0" xfId="0" applyFont="1" applyFill="1" applyAlignment="1">
      <alignment horizontal="center" vertical="center"/>
    </xf>
    <xf numFmtId="0" fontId="74" fillId="2" borderId="8" xfId="0" applyFont="1" applyFill="1" applyBorder="1" applyAlignment="1">
      <alignment vertical="center"/>
    </xf>
    <xf numFmtId="0" fontId="74" fillId="2" borderId="4" xfId="0" applyFont="1" applyFill="1" applyBorder="1" applyAlignment="1">
      <alignment vertical="center"/>
    </xf>
    <xf numFmtId="0" fontId="74" fillId="2" borderId="4" xfId="0" applyFont="1" applyFill="1" applyBorder="1" applyAlignment="1">
      <alignment horizontal="center" vertical="center"/>
    </xf>
    <xf numFmtId="0" fontId="74" fillId="2" borderId="9" xfId="0" applyFont="1" applyFill="1" applyBorder="1" applyAlignment="1">
      <alignment vertical="center"/>
    </xf>
    <xf numFmtId="0" fontId="62" fillId="9" borderId="10" xfId="0" applyFont="1" applyFill="1" applyBorder="1" applyAlignment="1">
      <alignment horizontal="left" vertical="center" indent="1"/>
    </xf>
    <xf numFmtId="0" fontId="74" fillId="2" borderId="11" xfId="0" applyFont="1" applyFill="1" applyBorder="1" applyAlignment="1">
      <alignment vertical="center"/>
    </xf>
    <xf numFmtId="0" fontId="62" fillId="9" borderId="10" xfId="0" applyFont="1" applyFill="1" applyBorder="1" applyAlignment="1">
      <alignment horizontal="center" vertical="center"/>
    </xf>
    <xf numFmtId="0" fontId="62" fillId="9" borderId="0" xfId="0" applyFont="1" applyFill="1" applyAlignment="1">
      <alignment horizontal="center" vertical="center"/>
    </xf>
    <xf numFmtId="0" fontId="62" fillId="9" borderId="11" xfId="0" applyFont="1" applyFill="1" applyBorder="1" applyAlignment="1">
      <alignment horizontal="center" vertical="center"/>
    </xf>
    <xf numFmtId="0" fontId="74" fillId="2" borderId="10" xfId="0" applyFont="1" applyFill="1" applyBorder="1"/>
    <xf numFmtId="0" fontId="67" fillId="3" borderId="0" xfId="0" applyFont="1" applyFill="1" applyAlignment="1">
      <alignment horizontal="center" vertical="center"/>
    </xf>
    <xf numFmtId="0" fontId="90" fillId="4" borderId="3" xfId="0" applyFont="1" applyFill="1" applyBorder="1" applyAlignment="1">
      <alignment horizontal="center" vertical="center" wrapText="1"/>
    </xf>
    <xf numFmtId="0" fontId="62" fillId="2" borderId="11" xfId="0" applyFont="1" applyFill="1" applyBorder="1" applyAlignment="1">
      <alignment horizontal="center" vertical="center" wrapText="1"/>
    </xf>
    <xf numFmtId="0" fontId="67" fillId="3" borderId="12" xfId="0" applyFont="1" applyFill="1" applyBorder="1" applyAlignment="1">
      <alignment horizontal="center" vertical="center"/>
    </xf>
    <xf numFmtId="0" fontId="67" fillId="3" borderId="6" xfId="0" applyFont="1" applyFill="1" applyBorder="1" applyAlignment="1">
      <alignment vertical="center"/>
    </xf>
    <xf numFmtId="0" fontId="74" fillId="2" borderId="6" xfId="0" applyFont="1" applyFill="1" applyBorder="1"/>
    <xf numFmtId="0" fontId="62" fillId="2" borderId="13" xfId="0" applyFont="1" applyFill="1" applyBorder="1" applyAlignment="1">
      <alignment horizontal="center" vertical="center" wrapText="1"/>
    </xf>
    <xf numFmtId="0" fontId="62" fillId="2" borderId="0" xfId="0" applyFont="1" applyFill="1" applyAlignment="1">
      <alignment horizontal="center" vertical="center" wrapText="1"/>
    </xf>
    <xf numFmtId="0" fontId="62" fillId="9" borderId="8" xfId="0" applyFont="1" applyFill="1" applyBorder="1" applyAlignment="1">
      <alignment horizontal="left" vertical="center" indent="1"/>
    </xf>
    <xf numFmtId="0" fontId="67" fillId="2" borderId="10" xfId="0" applyFont="1" applyFill="1" applyBorder="1" applyAlignment="1">
      <alignment vertical="center"/>
    </xf>
    <xf numFmtId="0" fontId="56" fillId="11" borderId="14" xfId="4" applyFont="1" applyFill="1" applyBorder="1" applyAlignment="1">
      <alignment horizontal="center" vertical="center" wrapText="1"/>
    </xf>
    <xf numFmtId="171" fontId="50" fillId="4" borderId="14" xfId="0" applyNumberFormat="1" applyFont="1" applyFill="1" applyBorder="1" applyAlignment="1">
      <alignment horizontal="center" vertical="center"/>
    </xf>
    <xf numFmtId="0" fontId="67" fillId="2" borderId="12" xfId="0" applyFont="1" applyFill="1" applyBorder="1" applyAlignment="1">
      <alignment vertical="center"/>
    </xf>
    <xf numFmtId="0" fontId="74" fillId="2" borderId="6" xfId="0" applyFont="1" applyFill="1" applyBorder="1" applyAlignment="1">
      <alignment vertical="center"/>
    </xf>
    <xf numFmtId="0" fontId="74" fillId="2" borderId="6" xfId="0" applyFont="1" applyFill="1" applyBorder="1" applyAlignment="1">
      <alignment horizontal="center" vertical="center"/>
    </xf>
    <xf numFmtId="0" fontId="74" fillId="2" borderId="13" xfId="0" applyFont="1" applyFill="1" applyBorder="1" applyAlignment="1">
      <alignment vertical="center"/>
    </xf>
    <xf numFmtId="0" fontId="67" fillId="2" borderId="0" xfId="0" applyFont="1" applyFill="1" applyAlignment="1">
      <alignment vertical="center"/>
    </xf>
    <xf numFmtId="0" fontId="74" fillId="2" borderId="10" xfId="0" applyFont="1" applyFill="1" applyBorder="1" applyAlignment="1">
      <alignment vertical="center"/>
    </xf>
    <xf numFmtId="0" fontId="62" fillId="11" borderId="37" xfId="0" applyFont="1" applyFill="1" applyBorder="1" applyAlignment="1">
      <alignment horizontal="center" vertical="center" wrapText="1"/>
    </xf>
    <xf numFmtId="0" fontId="62" fillId="11" borderId="31" xfId="0" applyFont="1" applyFill="1" applyBorder="1" applyAlignment="1">
      <alignment horizontal="center" vertical="center" wrapText="1"/>
    </xf>
    <xf numFmtId="0" fontId="62" fillId="11" borderId="31" xfId="0" applyFont="1" applyFill="1" applyBorder="1" applyAlignment="1">
      <alignment horizontal="center" vertical="center"/>
    </xf>
    <xf numFmtId="0" fontId="80" fillId="11" borderId="31" xfId="0" applyFont="1" applyFill="1" applyBorder="1" applyAlignment="1">
      <alignment horizontal="center" vertical="center"/>
    </xf>
    <xf numFmtId="171" fontId="56" fillId="4" borderId="40" xfId="0" applyNumberFormat="1" applyFont="1" applyFill="1" applyBorder="1" applyAlignment="1">
      <alignment vertical="center"/>
    </xf>
    <xf numFmtId="165" fontId="67" fillId="4" borderId="41" xfId="0" applyNumberFormat="1" applyFont="1" applyFill="1" applyBorder="1" applyAlignment="1">
      <alignment horizontal="center" vertical="center"/>
    </xf>
    <xf numFmtId="166" fontId="67" fillId="4" borderId="27" xfId="0" applyNumberFormat="1" applyFont="1" applyFill="1" applyBorder="1" applyAlignment="1">
      <alignment horizontal="center" vertical="center"/>
    </xf>
    <xf numFmtId="0" fontId="74" fillId="4" borderId="27" xfId="0" applyFont="1" applyFill="1" applyBorder="1" applyAlignment="1">
      <alignment horizontal="center" vertical="center"/>
    </xf>
    <xf numFmtId="0" fontId="62" fillId="4" borderId="27" xfId="0" applyFont="1" applyFill="1" applyBorder="1" applyAlignment="1">
      <alignment horizontal="center" vertical="center" wrapText="1"/>
    </xf>
    <xf numFmtId="171" fontId="56" fillId="4" borderId="46" xfId="0" applyNumberFormat="1" applyFont="1" applyFill="1" applyBorder="1" applyAlignment="1">
      <alignment horizontal="center" vertical="center"/>
    </xf>
    <xf numFmtId="0" fontId="62" fillId="11" borderId="14" xfId="0" applyFont="1" applyFill="1" applyBorder="1" applyAlignment="1">
      <alignment horizontal="center" vertical="center"/>
    </xf>
    <xf numFmtId="0" fontId="74" fillId="2" borderId="12" xfId="0" applyFont="1" applyFill="1" applyBorder="1" applyAlignment="1">
      <alignment vertical="center"/>
    </xf>
    <xf numFmtId="0" fontId="74" fillId="2" borderId="8" xfId="0" applyFont="1" applyFill="1" applyBorder="1"/>
    <xf numFmtId="0" fontId="74" fillId="2" borderId="4" xfId="0" applyFont="1" applyFill="1" applyBorder="1"/>
    <xf numFmtId="0" fontId="56" fillId="11" borderId="40" xfId="0" applyFont="1" applyFill="1" applyBorder="1" applyAlignment="1">
      <alignment horizontal="center" vertical="center"/>
    </xf>
    <xf numFmtId="0" fontId="60" fillId="23" borderId="49" xfId="0" applyFont="1" applyFill="1" applyBorder="1" applyAlignment="1">
      <alignment horizontal="center" vertical="center"/>
    </xf>
    <xf numFmtId="0" fontId="74" fillId="13" borderId="50" xfId="0" applyFont="1" applyFill="1" applyBorder="1" applyAlignment="1">
      <alignment horizontal="center" vertical="center"/>
    </xf>
    <xf numFmtId="170" fontId="74" fillId="13" borderId="50" xfId="0" applyNumberFormat="1" applyFont="1" applyFill="1" applyBorder="1" applyAlignment="1">
      <alignment horizontal="center" vertical="center"/>
    </xf>
    <xf numFmtId="0" fontId="60" fillId="23" borderId="51" xfId="0" applyFont="1" applyFill="1" applyBorder="1" applyAlignment="1">
      <alignment horizontal="center" vertical="center"/>
    </xf>
    <xf numFmtId="0" fontId="74" fillId="13" borderId="46" xfId="0" applyFont="1" applyFill="1" applyBorder="1" applyAlignment="1">
      <alignment horizontal="center" vertical="center"/>
    </xf>
    <xf numFmtId="170" fontId="74" fillId="2" borderId="0" xfId="0" applyNumberFormat="1" applyFont="1" applyFill="1" applyAlignment="1">
      <alignment vertical="center"/>
    </xf>
    <xf numFmtId="0" fontId="54" fillId="2" borderId="0" xfId="0" applyFont="1" applyFill="1" applyAlignment="1">
      <alignment vertical="top"/>
    </xf>
    <xf numFmtId="0" fontId="79" fillId="2" borderId="0" xfId="0" applyFont="1" applyFill="1" applyAlignment="1">
      <alignment vertical="center" wrapText="1"/>
    </xf>
    <xf numFmtId="171" fontId="67" fillId="2" borderId="0" xfId="0" applyNumberFormat="1" applyFont="1" applyFill="1" applyAlignment="1">
      <alignment vertical="center" wrapText="1"/>
    </xf>
    <xf numFmtId="171" fontId="74" fillId="2" borderId="0" xfId="0" applyNumberFormat="1" applyFont="1" applyFill="1"/>
    <xf numFmtId="0" fontId="99" fillId="24" borderId="10" xfId="0" applyFont="1" applyFill="1" applyBorder="1" applyProtection="1">
      <protection locked="0"/>
    </xf>
    <xf numFmtId="2" fontId="67" fillId="0" borderId="0" xfId="0" applyNumberFormat="1" applyFont="1" applyAlignment="1" applyProtection="1">
      <alignment horizontal="center" vertical="center"/>
      <protection locked="0"/>
    </xf>
    <xf numFmtId="0" fontId="0" fillId="0" borderId="0" xfId="0" applyProtection="1">
      <protection locked="0"/>
    </xf>
    <xf numFmtId="0" fontId="4" fillId="2" borderId="14" xfId="0" applyFont="1" applyFill="1" applyBorder="1" applyAlignment="1" applyProtection="1">
      <alignment vertical="center" wrapText="1"/>
      <protection hidden="1"/>
    </xf>
    <xf numFmtId="0" fontId="2" fillId="2" borderId="0" xfId="0" applyFont="1" applyFill="1" applyAlignment="1">
      <alignment horizontal="center" vertical="center"/>
    </xf>
    <xf numFmtId="0" fontId="3" fillId="2" borderId="0" xfId="0" applyFont="1" applyFill="1" applyAlignment="1">
      <alignment horizontal="center"/>
    </xf>
    <xf numFmtId="0" fontId="95" fillId="5" borderId="3" xfId="0" applyFont="1" applyFill="1" applyBorder="1" applyAlignment="1">
      <alignment horizontal="center" vertical="center"/>
    </xf>
    <xf numFmtId="0" fontId="95" fillId="5" borderId="4" xfId="0" applyFont="1" applyFill="1" applyBorder="1" applyAlignment="1">
      <alignment horizontal="center" vertical="center"/>
    </xf>
    <xf numFmtId="0" fontId="7" fillId="2" borderId="0" xfId="0" applyFont="1" applyFill="1" applyAlignment="1" applyProtection="1">
      <alignment horizontal="center" vertical="center" wrapText="1"/>
      <protection locked="0"/>
    </xf>
    <xf numFmtId="0" fontId="7" fillId="2" borderId="5" xfId="0" applyFont="1" applyFill="1" applyBorder="1" applyAlignment="1" applyProtection="1">
      <alignment horizontal="center" vertical="center" wrapText="1"/>
      <protection locked="0"/>
    </xf>
    <xf numFmtId="0" fontId="97" fillId="4" borderId="3" xfId="0" applyFont="1" applyFill="1" applyBorder="1" applyAlignment="1">
      <alignment horizontal="center" vertical="center" wrapText="1"/>
    </xf>
    <xf numFmtId="0" fontId="97" fillId="4" borderId="4"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1" fillId="4" borderId="7" xfId="0" applyFont="1" applyFill="1" applyBorder="1" applyAlignment="1" applyProtection="1">
      <alignment horizontal="center" vertical="center"/>
      <protection locked="0"/>
    </xf>
    <xf numFmtId="0" fontId="99" fillId="24" borderId="8" xfId="0" applyFont="1" applyFill="1" applyBorder="1" applyAlignment="1" applyProtection="1">
      <alignment horizontal="center" wrapText="1"/>
      <protection locked="0"/>
    </xf>
    <xf numFmtId="0" fontId="99" fillId="24" borderId="4" xfId="0" applyFont="1" applyFill="1" applyBorder="1" applyAlignment="1" applyProtection="1">
      <alignment horizontal="center" wrapText="1"/>
      <protection locked="0"/>
    </xf>
    <xf numFmtId="0" fontId="99" fillId="24" borderId="9" xfId="0" applyFont="1" applyFill="1" applyBorder="1" applyAlignment="1" applyProtection="1">
      <alignment horizontal="center" wrapText="1"/>
      <protection locked="0"/>
    </xf>
    <xf numFmtId="0" fontId="10" fillId="2" borderId="6" xfId="0" applyFont="1" applyFill="1" applyBorder="1" applyAlignment="1">
      <alignment horizontal="left" vertical="center"/>
    </xf>
    <xf numFmtId="0" fontId="11" fillId="2" borderId="0" xfId="0" applyFont="1" applyFill="1" applyAlignment="1">
      <alignment horizontal="right" vertical="center" indent="1"/>
    </xf>
    <xf numFmtId="0" fontId="11" fillId="4" borderId="7" xfId="0" applyFont="1" applyFill="1" applyBorder="1" applyAlignment="1" applyProtection="1">
      <alignment horizontal="center" vertical="center"/>
      <protection hidden="1"/>
    </xf>
    <xf numFmtId="0" fontId="24" fillId="2" borderId="14" xfId="0" applyFont="1" applyFill="1" applyBorder="1" applyAlignment="1" applyProtection="1">
      <alignment horizontal="center" vertical="center"/>
      <protection hidden="1"/>
    </xf>
    <xf numFmtId="0" fontId="4" fillId="5" borderId="17" xfId="0" applyFont="1" applyFill="1" applyBorder="1" applyAlignment="1" applyProtection="1">
      <alignment horizontal="left" vertical="center" indent="1"/>
      <protection hidden="1"/>
    </xf>
    <xf numFmtId="0" fontId="4" fillId="5" borderId="18" xfId="0" applyFont="1" applyFill="1" applyBorder="1" applyAlignment="1" applyProtection="1">
      <alignment horizontal="left" vertical="center" indent="1"/>
      <protection hidden="1"/>
    </xf>
    <xf numFmtId="0" fontId="4" fillId="5" borderId="19" xfId="0" applyFont="1" applyFill="1" applyBorder="1" applyAlignment="1" applyProtection="1">
      <alignment horizontal="left" vertical="center" indent="1"/>
      <protection hidden="1"/>
    </xf>
    <xf numFmtId="0" fontId="2" fillId="2" borderId="14" xfId="0" applyFont="1" applyFill="1" applyBorder="1" applyAlignment="1">
      <alignment horizontal="center"/>
    </xf>
    <xf numFmtId="0" fontId="14" fillId="7" borderId="8" xfId="0" applyFont="1" applyFill="1" applyBorder="1" applyAlignment="1">
      <alignment horizontal="center" vertical="center" wrapText="1"/>
    </xf>
    <xf numFmtId="0" fontId="14" fillId="7" borderId="4" xfId="0" applyFont="1" applyFill="1" applyBorder="1" applyAlignment="1">
      <alignment horizontal="center" vertical="center" wrapText="1"/>
    </xf>
    <xf numFmtId="0" fontId="14" fillId="7" borderId="9" xfId="0" applyFont="1" applyFill="1" applyBorder="1" applyAlignment="1">
      <alignment horizontal="center" vertical="center" wrapText="1"/>
    </xf>
    <xf numFmtId="0" fontId="14" fillId="7" borderId="12" xfId="0" applyFont="1" applyFill="1" applyBorder="1" applyAlignment="1">
      <alignment horizontal="center" vertical="center" wrapText="1"/>
    </xf>
    <xf numFmtId="0" fontId="14" fillId="7" borderId="6" xfId="0" applyFont="1" applyFill="1" applyBorder="1" applyAlignment="1">
      <alignment horizontal="center" vertical="center" wrapText="1"/>
    </xf>
    <xf numFmtId="0" fontId="14" fillId="7" borderId="13" xfId="0" applyFont="1" applyFill="1" applyBorder="1" applyAlignment="1">
      <alignment horizontal="center" vertical="center" wrapText="1"/>
    </xf>
    <xf numFmtId="0" fontId="15" fillId="23" borderId="14" xfId="0" applyFont="1" applyFill="1" applyBorder="1" applyAlignment="1">
      <alignment horizontal="center" vertical="center" wrapText="1"/>
    </xf>
    <xf numFmtId="0" fontId="16" fillId="8" borderId="14" xfId="0" applyFont="1" applyFill="1" applyBorder="1" applyAlignment="1">
      <alignment horizontal="center" vertical="center" wrapText="1"/>
    </xf>
    <xf numFmtId="49" fontId="18" fillId="4" borderId="14" xfId="0" applyNumberFormat="1" applyFont="1" applyFill="1" applyBorder="1" applyAlignment="1" applyProtection="1">
      <alignment horizontal="center" vertical="center" wrapText="1"/>
      <protection hidden="1"/>
    </xf>
    <xf numFmtId="0" fontId="18" fillId="4" borderId="14" xfId="0" applyFont="1" applyFill="1" applyBorder="1" applyAlignment="1" applyProtection="1">
      <alignment horizontal="center" vertical="center" wrapText="1"/>
      <protection hidden="1"/>
    </xf>
    <xf numFmtId="0" fontId="95" fillId="5" borderId="3" xfId="0" applyFont="1" applyFill="1" applyBorder="1" applyAlignment="1" applyProtection="1">
      <alignment horizontal="center" vertical="center"/>
      <protection hidden="1"/>
    </xf>
    <xf numFmtId="0" fontId="95" fillId="5" borderId="4" xfId="0" applyFont="1" applyFill="1" applyBorder="1" applyAlignment="1" applyProtection="1">
      <alignment horizontal="center" vertical="center"/>
      <protection hidden="1"/>
    </xf>
    <xf numFmtId="0" fontId="7" fillId="2" borderId="0" xfId="0" applyFont="1" applyFill="1" applyAlignment="1" applyProtection="1">
      <alignment horizontal="center" vertical="center" wrapText="1"/>
      <protection hidden="1"/>
    </xf>
    <xf numFmtId="0" fontId="7" fillId="2" borderId="5" xfId="0" applyFont="1" applyFill="1" applyBorder="1" applyAlignment="1" applyProtection="1">
      <alignment horizontal="center" vertical="center" wrapText="1"/>
      <protection hidden="1"/>
    </xf>
    <xf numFmtId="0" fontId="96" fillId="4" borderId="3" xfId="0" applyFont="1" applyFill="1" applyBorder="1" applyAlignment="1" applyProtection="1">
      <alignment horizontal="center" vertical="center" wrapText="1"/>
      <protection hidden="1"/>
    </xf>
    <xf numFmtId="0" fontId="96" fillId="4" borderId="4" xfId="0" applyFont="1" applyFill="1" applyBorder="1" applyAlignment="1" applyProtection="1">
      <alignment horizontal="center" vertical="center" wrapText="1"/>
      <protection hidden="1"/>
    </xf>
    <xf numFmtId="0" fontId="36" fillId="11" borderId="14" xfId="0" applyFont="1" applyFill="1" applyBorder="1" applyAlignment="1" applyProtection="1">
      <alignment horizontal="center" vertical="center"/>
      <protection hidden="1"/>
    </xf>
    <xf numFmtId="0" fontId="24" fillId="11" borderId="14" xfId="0" applyFont="1" applyFill="1" applyBorder="1" applyAlignment="1" applyProtection="1">
      <alignment horizontal="center" vertical="center" wrapText="1"/>
      <protection hidden="1"/>
    </xf>
    <xf numFmtId="0" fontId="15" fillId="11" borderId="14" xfId="0" applyFont="1" applyFill="1" applyBorder="1" applyAlignment="1" applyProtection="1">
      <alignment horizontal="center" vertical="center" wrapText="1"/>
      <protection hidden="1"/>
    </xf>
    <xf numFmtId="0" fontId="15" fillId="11" borderId="17" xfId="0" applyFont="1" applyFill="1" applyBorder="1" applyAlignment="1" applyProtection="1">
      <alignment horizontal="center" vertical="center"/>
      <protection hidden="1"/>
    </xf>
    <xf numFmtId="0" fontId="15" fillId="11" borderId="19" xfId="0" applyFont="1" applyFill="1" applyBorder="1" applyAlignment="1" applyProtection="1">
      <alignment horizontal="center" vertical="center"/>
      <protection hidden="1"/>
    </xf>
    <xf numFmtId="0" fontId="39" fillId="4" borderId="14" xfId="0" applyFont="1" applyFill="1" applyBorder="1" applyAlignment="1" applyProtection="1">
      <alignment horizontal="center" vertical="center" wrapText="1"/>
      <protection hidden="1"/>
    </xf>
    <xf numFmtId="0" fontId="40" fillId="4" borderId="17" xfId="0" applyFont="1" applyFill="1" applyBorder="1" applyAlignment="1" applyProtection="1">
      <alignment horizontal="center" vertical="center" wrapText="1"/>
      <protection hidden="1"/>
    </xf>
    <xf numFmtId="0" fontId="40" fillId="4" borderId="19" xfId="0" applyFont="1" applyFill="1" applyBorder="1" applyAlignment="1" applyProtection="1">
      <alignment horizontal="center" vertical="center" wrapText="1"/>
      <protection hidden="1"/>
    </xf>
    <xf numFmtId="0" fontId="25" fillId="7" borderId="0" xfId="0" applyFont="1" applyFill="1" applyAlignment="1" applyProtection="1">
      <alignment horizontal="center" vertical="center"/>
      <protection hidden="1"/>
    </xf>
    <xf numFmtId="0" fontId="30" fillId="13" borderId="14" xfId="0" applyFont="1" applyFill="1" applyBorder="1" applyAlignment="1" applyProtection="1">
      <alignment horizontal="center" vertical="center"/>
      <protection locked="0"/>
    </xf>
    <xf numFmtId="0" fontId="16" fillId="11" borderId="17" xfId="0" applyFont="1" applyFill="1" applyBorder="1" applyAlignment="1">
      <alignment horizontal="center" vertical="center"/>
    </xf>
    <xf numFmtId="0" fontId="16" fillId="11" borderId="18" xfId="0" applyFont="1" applyFill="1" applyBorder="1" applyAlignment="1">
      <alignment horizontal="center" vertical="center"/>
    </xf>
    <xf numFmtId="0" fontId="16" fillId="11" borderId="19" xfId="0" applyFont="1" applyFill="1" applyBorder="1" applyAlignment="1">
      <alignment horizontal="center" vertical="center"/>
    </xf>
    <xf numFmtId="0" fontId="41" fillId="7" borderId="5" xfId="3" applyFont="1" applyFill="1" applyBorder="1" applyAlignment="1" applyProtection="1">
      <alignment horizontal="center" vertical="center" wrapText="1"/>
    </xf>
    <xf numFmtId="0" fontId="41" fillId="7" borderId="25" xfId="3" applyFont="1" applyFill="1" applyBorder="1" applyAlignment="1" applyProtection="1">
      <alignment horizontal="center" vertical="center" wrapText="1"/>
    </xf>
    <xf numFmtId="49" fontId="17" fillId="13" borderId="22" xfId="0" applyNumberFormat="1" applyFont="1" applyFill="1" applyBorder="1" applyAlignment="1" applyProtection="1">
      <alignment horizontal="center" vertical="center" wrapText="1"/>
      <protection locked="0"/>
    </xf>
    <xf numFmtId="49" fontId="17" fillId="13" borderId="20" xfId="0" applyNumberFormat="1" applyFont="1" applyFill="1" applyBorder="1" applyAlignment="1" applyProtection="1">
      <alignment horizontal="center" vertical="center" wrapText="1"/>
      <protection locked="0"/>
    </xf>
    <xf numFmtId="49" fontId="17" fillId="13" borderId="26" xfId="0" applyNumberFormat="1" applyFont="1" applyFill="1" applyBorder="1" applyAlignment="1" applyProtection="1">
      <alignment horizontal="center" vertical="center" wrapText="1"/>
      <protection locked="0"/>
    </xf>
    <xf numFmtId="168" fontId="17" fillId="13" borderId="22" xfId="0" applyNumberFormat="1" applyFont="1" applyFill="1" applyBorder="1" applyAlignment="1" applyProtection="1">
      <alignment horizontal="center" vertical="center"/>
      <protection locked="0"/>
    </xf>
    <xf numFmtId="168" fontId="17" fillId="13" borderId="20" xfId="0" applyNumberFormat="1" applyFont="1" applyFill="1" applyBorder="1" applyAlignment="1" applyProtection="1">
      <alignment horizontal="center" vertical="center"/>
      <protection locked="0"/>
    </xf>
    <xf numFmtId="168" fontId="17" fillId="13" borderId="26" xfId="0" applyNumberFormat="1" applyFont="1" applyFill="1" applyBorder="1" applyAlignment="1" applyProtection="1">
      <alignment horizontal="center" vertical="center"/>
      <protection locked="0"/>
    </xf>
    <xf numFmtId="14" fontId="17" fillId="13" borderId="22" xfId="0" applyNumberFormat="1" applyFont="1" applyFill="1" applyBorder="1" applyAlignment="1" applyProtection="1">
      <alignment horizontal="center" vertical="center"/>
      <protection locked="0"/>
    </xf>
    <xf numFmtId="14" fontId="17" fillId="13" borderId="20" xfId="0" applyNumberFormat="1" applyFont="1" applyFill="1" applyBorder="1" applyAlignment="1" applyProtection="1">
      <alignment horizontal="center" vertical="center"/>
      <protection locked="0"/>
    </xf>
    <xf numFmtId="14" fontId="17" fillId="13" borderId="26" xfId="0" applyNumberFormat="1" applyFont="1" applyFill="1" applyBorder="1" applyAlignment="1" applyProtection="1">
      <alignment horizontal="center" vertical="center"/>
      <protection locked="0"/>
    </xf>
    <xf numFmtId="169" fontId="17" fillId="13" borderId="22" xfId="0" applyNumberFormat="1" applyFont="1" applyFill="1" applyBorder="1" applyAlignment="1" applyProtection="1">
      <alignment horizontal="center" vertical="center" wrapText="1"/>
      <protection locked="0"/>
    </xf>
    <xf numFmtId="169" fontId="17" fillId="13" borderId="20" xfId="0" applyNumberFormat="1" applyFont="1" applyFill="1" applyBorder="1" applyAlignment="1" applyProtection="1">
      <alignment horizontal="center" vertical="center" wrapText="1"/>
      <protection locked="0"/>
    </xf>
    <xf numFmtId="169" fontId="17" fillId="13" borderId="26" xfId="0" applyNumberFormat="1" applyFont="1" applyFill="1" applyBorder="1" applyAlignment="1" applyProtection="1">
      <alignment horizontal="center" vertical="center" wrapText="1"/>
      <protection locked="0"/>
    </xf>
    <xf numFmtId="0" fontId="17" fillId="13" borderId="22" xfId="0" applyFont="1" applyFill="1" applyBorder="1" applyAlignment="1" applyProtection="1">
      <alignment horizontal="center" vertical="center" wrapText="1"/>
      <protection locked="0"/>
    </xf>
    <xf numFmtId="0" fontId="17" fillId="13" borderId="20" xfId="0" applyFont="1" applyFill="1" applyBorder="1" applyAlignment="1" applyProtection="1">
      <alignment horizontal="center" vertical="center" wrapText="1"/>
      <protection locked="0"/>
    </xf>
    <xf numFmtId="0" fontId="17" fillId="13" borderId="26" xfId="0" applyFont="1" applyFill="1" applyBorder="1" applyAlignment="1" applyProtection="1">
      <alignment horizontal="center" vertical="center" wrapText="1"/>
      <protection locked="0"/>
    </xf>
    <xf numFmtId="4" fontId="42" fillId="4" borderId="23" xfId="0" applyNumberFormat="1" applyFont="1" applyFill="1" applyBorder="1" applyAlignment="1" applyProtection="1">
      <alignment horizontal="center" vertical="center" wrapText="1"/>
      <protection hidden="1"/>
    </xf>
    <xf numFmtId="4" fontId="42" fillId="4" borderId="24" xfId="0" applyNumberFormat="1" applyFont="1" applyFill="1" applyBorder="1" applyAlignment="1" applyProtection="1">
      <alignment horizontal="center" vertical="center" wrapText="1"/>
      <protection hidden="1"/>
    </xf>
    <xf numFmtId="4" fontId="42" fillId="4" borderId="28" xfId="0" applyNumberFormat="1" applyFont="1" applyFill="1" applyBorder="1" applyAlignment="1" applyProtection="1">
      <alignment horizontal="center" vertical="center" wrapText="1"/>
      <protection hidden="1"/>
    </xf>
    <xf numFmtId="167" fontId="17" fillId="0" borderId="14" xfId="0" applyNumberFormat="1" applyFont="1" applyBorder="1" applyAlignment="1" applyProtection="1">
      <alignment horizontal="center" vertical="center" wrapText="1"/>
      <protection hidden="1"/>
    </xf>
    <xf numFmtId="167" fontId="17" fillId="0" borderId="27" xfId="0" applyNumberFormat="1" applyFont="1" applyBorder="1" applyAlignment="1" applyProtection="1">
      <alignment horizontal="center" vertical="center" wrapText="1"/>
      <protection hidden="1"/>
    </xf>
    <xf numFmtId="168" fontId="17" fillId="0" borderId="22" xfId="0" applyNumberFormat="1" applyFont="1" applyBorder="1" applyAlignment="1" applyProtection="1">
      <alignment horizontal="center" vertical="center" wrapText="1"/>
      <protection hidden="1"/>
    </xf>
    <xf numFmtId="168" fontId="17" fillId="0" borderId="20" xfId="0" applyNumberFormat="1" applyFont="1" applyBorder="1" applyAlignment="1" applyProtection="1">
      <alignment horizontal="center" vertical="center" wrapText="1"/>
      <protection hidden="1"/>
    </xf>
    <xf numFmtId="168" fontId="17" fillId="0" borderId="26" xfId="0" applyNumberFormat="1" applyFont="1" applyBorder="1" applyAlignment="1" applyProtection="1">
      <alignment horizontal="center" vertical="center" wrapText="1"/>
      <protection hidden="1"/>
    </xf>
    <xf numFmtId="0" fontId="17" fillId="13" borderId="30" xfId="0" applyFont="1" applyFill="1" applyBorder="1" applyAlignment="1" applyProtection="1">
      <alignment horizontal="center" vertical="center" wrapText="1"/>
      <protection locked="0"/>
    </xf>
    <xf numFmtId="168" fontId="17" fillId="13" borderId="30" xfId="0" applyNumberFormat="1" applyFont="1" applyFill="1" applyBorder="1" applyAlignment="1" applyProtection="1">
      <alignment horizontal="center" vertical="center"/>
      <protection locked="0"/>
    </xf>
    <xf numFmtId="14" fontId="23" fillId="13" borderId="30" xfId="0" applyNumberFormat="1" applyFont="1" applyFill="1" applyBorder="1" applyAlignment="1" applyProtection="1">
      <alignment horizontal="center" vertical="center"/>
      <protection locked="0"/>
    </xf>
    <xf numFmtId="14" fontId="23" fillId="13" borderId="20" xfId="0" applyNumberFormat="1" applyFont="1" applyFill="1" applyBorder="1" applyAlignment="1" applyProtection="1">
      <alignment horizontal="center" vertical="center"/>
      <protection locked="0"/>
    </xf>
    <xf numFmtId="14" fontId="23" fillId="13" borderId="26" xfId="0" applyNumberFormat="1" applyFont="1" applyFill="1" applyBorder="1" applyAlignment="1" applyProtection="1">
      <alignment horizontal="center" vertical="center"/>
      <protection locked="0"/>
    </xf>
    <xf numFmtId="169" fontId="17" fillId="13" borderId="30" xfId="0" applyNumberFormat="1" applyFont="1" applyFill="1" applyBorder="1" applyAlignment="1" applyProtection="1">
      <alignment horizontal="center" vertical="center" wrapText="1"/>
      <protection locked="0"/>
    </xf>
    <xf numFmtId="0" fontId="43" fillId="5" borderId="29" xfId="3" applyFont="1" applyFill="1" applyBorder="1" applyAlignment="1" applyProtection="1">
      <alignment horizontal="center" vertical="center" wrapText="1"/>
    </xf>
    <xf numFmtId="0" fontId="43" fillId="5" borderId="5" xfId="3" applyFont="1" applyFill="1" applyBorder="1" applyAlignment="1" applyProtection="1">
      <alignment horizontal="center" vertical="center" wrapText="1"/>
    </xf>
    <xf numFmtId="0" fontId="43" fillId="5" borderId="25" xfId="3" applyFont="1" applyFill="1" applyBorder="1" applyAlignment="1" applyProtection="1">
      <alignment horizontal="center" vertical="center" wrapText="1"/>
    </xf>
    <xf numFmtId="49" fontId="17" fillId="13" borderId="30" xfId="0" applyNumberFormat="1" applyFont="1" applyFill="1" applyBorder="1" applyAlignment="1" applyProtection="1">
      <alignment horizontal="center" vertical="center" wrapText="1"/>
      <protection locked="0"/>
    </xf>
    <xf numFmtId="0" fontId="17" fillId="13" borderId="32" xfId="0" applyFont="1" applyFill="1" applyBorder="1" applyAlignment="1" applyProtection="1">
      <alignment horizontal="center" vertical="center" wrapText="1"/>
      <protection locked="0"/>
    </xf>
    <xf numFmtId="0" fontId="17" fillId="13" borderId="34" xfId="0" applyFont="1" applyFill="1" applyBorder="1" applyAlignment="1" applyProtection="1">
      <alignment horizontal="center" vertical="center" wrapText="1"/>
      <protection locked="0"/>
    </xf>
    <xf numFmtId="0" fontId="17" fillId="13" borderId="35" xfId="0" applyFont="1" applyFill="1" applyBorder="1" applyAlignment="1" applyProtection="1">
      <alignment horizontal="center" vertical="center" wrapText="1"/>
      <protection locked="0"/>
    </xf>
    <xf numFmtId="4" fontId="42" fillId="4" borderId="33" xfId="0" applyNumberFormat="1" applyFont="1" applyFill="1" applyBorder="1" applyAlignment="1" applyProtection="1">
      <alignment horizontal="center" vertical="center" wrapText="1"/>
      <protection hidden="1"/>
    </xf>
    <xf numFmtId="3" fontId="17" fillId="14" borderId="64" xfId="0" applyNumberFormat="1" applyFont="1" applyFill="1" applyBorder="1" applyAlignment="1" applyProtection="1">
      <alignment horizontal="center" vertical="center"/>
      <protection locked="0"/>
    </xf>
    <xf numFmtId="3" fontId="17" fillId="14" borderId="66" xfId="0" applyNumberFormat="1" applyFont="1" applyFill="1" applyBorder="1" applyAlignment="1" applyProtection="1">
      <alignment horizontal="center" vertical="center"/>
      <protection locked="0"/>
    </xf>
    <xf numFmtId="3" fontId="17" fillId="14" borderId="67" xfId="0" applyNumberFormat="1" applyFont="1" applyFill="1" applyBorder="1" applyAlignment="1" applyProtection="1">
      <alignment horizontal="center" vertical="center"/>
      <protection locked="0"/>
    </xf>
    <xf numFmtId="3" fontId="17" fillId="14" borderId="30" xfId="0" applyNumberFormat="1" applyFont="1" applyFill="1" applyBorder="1" applyAlignment="1" applyProtection="1">
      <alignment horizontal="center" vertical="center"/>
      <protection locked="0"/>
    </xf>
    <xf numFmtId="3" fontId="17" fillId="14" borderId="20" xfId="0" applyNumberFormat="1" applyFont="1" applyFill="1" applyBorder="1" applyAlignment="1" applyProtection="1">
      <alignment horizontal="center" vertical="center"/>
      <protection locked="0"/>
    </xf>
    <xf numFmtId="3" fontId="17" fillId="14" borderId="26" xfId="0" applyNumberFormat="1" applyFont="1" applyFill="1" applyBorder="1" applyAlignment="1" applyProtection="1">
      <alignment horizontal="center" vertical="center"/>
      <protection locked="0"/>
    </xf>
    <xf numFmtId="3" fontId="17" fillId="14" borderId="58" xfId="0" applyNumberFormat="1" applyFont="1" applyFill="1" applyBorder="1" applyAlignment="1" applyProtection="1">
      <alignment horizontal="center" vertical="center"/>
      <protection locked="0"/>
    </xf>
    <xf numFmtId="3" fontId="17" fillId="14" borderId="60" xfId="0" applyNumberFormat="1" applyFont="1" applyFill="1" applyBorder="1" applyAlignment="1" applyProtection="1">
      <alignment horizontal="center" vertical="center"/>
      <protection locked="0"/>
    </xf>
    <xf numFmtId="3" fontId="17" fillId="14" borderId="62" xfId="0" applyNumberFormat="1" applyFont="1" applyFill="1" applyBorder="1" applyAlignment="1" applyProtection="1">
      <alignment horizontal="center" vertical="center"/>
      <protection locked="0"/>
    </xf>
    <xf numFmtId="3" fontId="17" fillId="14" borderId="65" xfId="0" applyNumberFormat="1" applyFont="1" applyFill="1" applyBorder="1" applyAlignment="1" applyProtection="1">
      <alignment horizontal="center" vertical="center"/>
      <protection locked="0"/>
    </xf>
    <xf numFmtId="3" fontId="17" fillId="14" borderId="5" xfId="0" applyNumberFormat="1" applyFont="1" applyFill="1" applyBorder="1" applyAlignment="1" applyProtection="1">
      <alignment horizontal="center" vertical="center"/>
      <protection locked="0"/>
    </xf>
    <xf numFmtId="3" fontId="17" fillId="14" borderId="68" xfId="0" applyNumberFormat="1" applyFont="1" applyFill="1" applyBorder="1" applyAlignment="1" applyProtection="1">
      <alignment horizontal="center" vertical="center"/>
      <protection locked="0"/>
    </xf>
    <xf numFmtId="167" fontId="17" fillId="14" borderId="30" xfId="0" applyNumberFormat="1" applyFont="1" applyFill="1" applyBorder="1" applyAlignment="1" applyProtection="1">
      <alignment horizontal="center" vertical="center" wrapText="1"/>
      <protection hidden="1"/>
    </xf>
    <xf numFmtId="167" fontId="17" fillId="14" borderId="20" xfId="0" applyNumberFormat="1" applyFont="1" applyFill="1" applyBorder="1" applyAlignment="1" applyProtection="1">
      <alignment horizontal="center" vertical="center" wrapText="1"/>
      <protection hidden="1"/>
    </xf>
    <xf numFmtId="167" fontId="17" fillId="14" borderId="26" xfId="0" applyNumberFormat="1" applyFont="1" applyFill="1" applyBorder="1" applyAlignment="1" applyProtection="1">
      <alignment horizontal="center" vertical="center" wrapText="1"/>
      <protection hidden="1"/>
    </xf>
    <xf numFmtId="168" fontId="23" fillId="14" borderId="30" xfId="0" applyNumberFormat="1" applyFont="1" applyFill="1" applyBorder="1" applyAlignment="1" applyProtection="1">
      <alignment horizontal="center" vertical="center"/>
      <protection locked="0"/>
    </xf>
    <xf numFmtId="168" fontId="23" fillId="14" borderId="20" xfId="0" applyNumberFormat="1" applyFont="1" applyFill="1" applyBorder="1" applyAlignment="1" applyProtection="1">
      <alignment horizontal="center" vertical="center"/>
      <protection locked="0"/>
    </xf>
    <xf numFmtId="168" fontId="23" fillId="14" borderId="26" xfId="0" applyNumberFormat="1" applyFont="1" applyFill="1" applyBorder="1" applyAlignment="1" applyProtection="1">
      <alignment horizontal="center" vertical="center"/>
      <protection locked="0"/>
    </xf>
    <xf numFmtId="3" fontId="17" fillId="14" borderId="59" xfId="0" applyNumberFormat="1" applyFont="1" applyFill="1" applyBorder="1" applyAlignment="1" applyProtection="1">
      <alignment horizontal="center" vertical="center"/>
      <protection locked="0"/>
    </xf>
    <xf numFmtId="3" fontId="17" fillId="14" borderId="61" xfId="0" applyNumberFormat="1" applyFont="1" applyFill="1" applyBorder="1" applyAlignment="1" applyProtection="1">
      <alignment horizontal="center" vertical="center"/>
      <protection locked="0"/>
    </xf>
    <xf numFmtId="3" fontId="17" fillId="14" borderId="63" xfId="0" applyNumberFormat="1" applyFont="1" applyFill="1" applyBorder="1" applyAlignment="1" applyProtection="1">
      <alignment horizontal="center" vertical="center"/>
      <protection locked="0"/>
    </xf>
    <xf numFmtId="0" fontId="4" fillId="2" borderId="0" xfId="0" applyFont="1" applyFill="1" applyAlignment="1">
      <alignment horizontal="left" vertical="center" wrapText="1"/>
    </xf>
    <xf numFmtId="0" fontId="34" fillId="2" borderId="0" xfId="0" applyFont="1" applyFill="1" applyAlignment="1">
      <alignment horizontal="left" vertical="center" wrapText="1"/>
    </xf>
    <xf numFmtId="4" fontId="34" fillId="12" borderId="14" xfId="0" applyNumberFormat="1" applyFont="1" applyFill="1" applyBorder="1" applyAlignment="1">
      <alignment horizontal="center" vertical="center" wrapText="1"/>
    </xf>
    <xf numFmtId="0" fontId="10" fillId="13" borderId="14" xfId="0" applyFont="1" applyFill="1" applyBorder="1" applyAlignment="1">
      <alignment horizontal="center" vertical="center" wrapText="1"/>
    </xf>
    <xf numFmtId="0" fontId="11" fillId="13" borderId="22" xfId="0" applyFont="1" applyFill="1" applyBorder="1" applyAlignment="1">
      <alignment horizontal="center" vertical="center" wrapText="1"/>
    </xf>
    <xf numFmtId="0" fontId="11" fillId="13" borderId="20" xfId="0" applyFont="1" applyFill="1" applyBorder="1" applyAlignment="1">
      <alignment horizontal="center" vertical="center" wrapText="1"/>
    </xf>
    <xf numFmtId="0" fontId="11" fillId="13" borderId="36" xfId="0" applyFont="1" applyFill="1" applyBorder="1" applyAlignment="1">
      <alignment horizontal="center" vertical="center" wrapText="1"/>
    </xf>
    <xf numFmtId="0" fontId="34" fillId="0" borderId="17" xfId="0" applyFont="1" applyBorder="1" applyAlignment="1">
      <alignment horizontal="left" vertical="center" wrapText="1" indent="1"/>
    </xf>
    <xf numFmtId="0" fontId="34" fillId="0" borderId="18" xfId="0" applyFont="1" applyBorder="1" applyAlignment="1">
      <alignment horizontal="left" vertical="center" wrapText="1" indent="1"/>
    </xf>
    <xf numFmtId="0" fontId="34" fillId="0" borderId="19" xfId="0" applyFont="1" applyBorder="1" applyAlignment="1">
      <alignment horizontal="left" vertical="center" wrapText="1" indent="1"/>
    </xf>
    <xf numFmtId="4" fontId="29" fillId="0" borderId="17" xfId="0" applyNumberFormat="1" applyFont="1" applyBorder="1" applyAlignment="1" applyProtection="1">
      <alignment horizontal="center" vertical="center" wrapText="1"/>
      <protection hidden="1"/>
    </xf>
    <xf numFmtId="4" fontId="29" fillId="0" borderId="19" xfId="0" applyNumberFormat="1" applyFont="1" applyBorder="1" applyAlignment="1" applyProtection="1">
      <alignment horizontal="center" vertical="center" wrapText="1"/>
      <protection hidden="1"/>
    </xf>
    <xf numFmtId="0" fontId="4" fillId="13" borderId="22" xfId="0" applyFont="1" applyFill="1" applyBorder="1" applyAlignment="1">
      <alignment horizontal="center" vertical="center"/>
    </xf>
    <xf numFmtId="0" fontId="4" fillId="13" borderId="36" xfId="0" applyFont="1" applyFill="1" applyBorder="1" applyAlignment="1">
      <alignment horizontal="center" vertical="center"/>
    </xf>
    <xf numFmtId="0" fontId="20" fillId="11" borderId="17" xfId="0" applyFont="1" applyFill="1" applyBorder="1" applyAlignment="1">
      <alignment horizontal="center" vertical="center" wrapText="1"/>
    </xf>
    <xf numFmtId="0" fontId="20" fillId="11" borderId="18" xfId="0" applyFont="1" applyFill="1" applyBorder="1" applyAlignment="1">
      <alignment horizontal="center" vertical="center" wrapText="1"/>
    </xf>
    <xf numFmtId="0" fontId="20" fillId="11" borderId="19" xfId="0" applyFont="1" applyFill="1" applyBorder="1" applyAlignment="1">
      <alignment horizontal="center" vertical="center" wrapText="1"/>
    </xf>
    <xf numFmtId="0" fontId="4" fillId="5" borderId="17"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4" fillId="5" borderId="19" xfId="0" applyFont="1" applyFill="1" applyBorder="1" applyAlignment="1">
      <alignment horizontal="center" vertical="center" wrapText="1"/>
    </xf>
    <xf numFmtId="0" fontId="11" fillId="4" borderId="17" xfId="0" applyFont="1" applyFill="1" applyBorder="1" applyAlignment="1">
      <alignment horizontal="center" vertical="center" wrapText="1"/>
    </xf>
    <xf numFmtId="0" fontId="11" fillId="4" borderId="18" xfId="0" applyFont="1" applyFill="1" applyBorder="1" applyAlignment="1">
      <alignment horizontal="center" vertical="center" wrapText="1"/>
    </xf>
    <xf numFmtId="0" fontId="11" fillId="4" borderId="19" xfId="0" applyFont="1" applyFill="1" applyBorder="1" applyAlignment="1">
      <alignment horizontal="center" vertical="center" wrapText="1"/>
    </xf>
    <xf numFmtId="0" fontId="34" fillId="0" borderId="17" xfId="0" applyFont="1" applyBorder="1" applyAlignment="1">
      <alignment horizontal="left" vertical="center" wrapText="1"/>
    </xf>
    <xf numFmtId="0" fontId="34" fillId="0" borderId="18" xfId="0" applyFont="1" applyBorder="1" applyAlignment="1">
      <alignment horizontal="left" vertical="center" wrapText="1"/>
    </xf>
    <xf numFmtId="0" fontId="34" fillId="0" borderId="14" xfId="0" applyFont="1" applyBorder="1" applyAlignment="1">
      <alignment horizontal="left" vertical="center" indent="1"/>
    </xf>
    <xf numFmtId="4" fontId="18" fillId="0" borderId="14" xfId="0" applyNumberFormat="1" applyFont="1" applyBorder="1" applyAlignment="1" applyProtection="1">
      <alignment horizontal="center" vertical="center"/>
      <protection hidden="1"/>
    </xf>
    <xf numFmtId="0" fontId="45" fillId="0" borderId="17" xfId="0" applyFont="1" applyBorder="1" applyAlignment="1">
      <alignment horizontal="center" vertical="center" wrapText="1"/>
    </xf>
    <xf numFmtId="0" fontId="45" fillId="0" borderId="18" xfId="0" applyFont="1" applyBorder="1" applyAlignment="1">
      <alignment horizontal="center" vertical="center" wrapText="1"/>
    </xf>
    <xf numFmtId="0" fontId="45" fillId="0" borderId="19" xfId="0" applyFont="1" applyBorder="1" applyAlignment="1">
      <alignment horizontal="center" vertical="center" wrapText="1"/>
    </xf>
    <xf numFmtId="9" fontId="45" fillId="0" borderId="17" xfId="0" applyNumberFormat="1" applyFont="1" applyBorder="1" applyAlignment="1">
      <alignment horizontal="center" vertical="center" wrapText="1"/>
    </xf>
    <xf numFmtId="0" fontId="20" fillId="11" borderId="17" xfId="0" applyFont="1" applyFill="1" applyBorder="1" applyAlignment="1">
      <alignment horizontal="center" vertical="center"/>
    </xf>
    <xf numFmtId="0" fontId="20" fillId="11" borderId="18" xfId="0" applyFont="1" applyFill="1" applyBorder="1" applyAlignment="1">
      <alignment horizontal="center" vertical="center"/>
    </xf>
    <xf numFmtId="0" fontId="46" fillId="11" borderId="17" xfId="0" applyFont="1" applyFill="1" applyBorder="1" applyAlignment="1">
      <alignment horizontal="center" vertical="center"/>
    </xf>
    <xf numFmtId="0" fontId="46" fillId="11" borderId="18" xfId="0" applyFont="1" applyFill="1" applyBorder="1" applyAlignment="1">
      <alignment horizontal="center" vertical="center"/>
    </xf>
    <xf numFmtId="0" fontId="46" fillId="11" borderId="19" xfId="0" applyFont="1" applyFill="1" applyBorder="1" applyAlignment="1">
      <alignment horizontal="center" vertical="center"/>
    </xf>
    <xf numFmtId="4" fontId="15" fillId="4" borderId="14" xfId="0" applyNumberFormat="1" applyFont="1" applyFill="1" applyBorder="1" applyAlignment="1" applyProtection="1">
      <alignment horizontal="center" vertical="center"/>
      <protection hidden="1"/>
    </xf>
    <xf numFmtId="0" fontId="15" fillId="4" borderId="14" xfId="0" applyFont="1" applyFill="1" applyBorder="1" applyAlignment="1" applyProtection="1">
      <alignment horizontal="center" vertical="center"/>
      <protection hidden="1"/>
    </xf>
    <xf numFmtId="0" fontId="34" fillId="0" borderId="14" xfId="0" applyFont="1" applyBorder="1" applyAlignment="1">
      <alignment horizontal="left" vertical="center" wrapText="1" indent="1"/>
    </xf>
    <xf numFmtId="0" fontId="17" fillId="0" borderId="14" xfId="0" applyFont="1" applyBorder="1" applyAlignment="1" applyProtection="1">
      <alignment horizontal="left" vertical="center" wrapText="1" indent="2"/>
      <protection hidden="1"/>
    </xf>
    <xf numFmtId="0" fontId="17" fillId="4" borderId="14" xfId="0" applyFont="1" applyFill="1" applyBorder="1" applyAlignment="1" applyProtection="1">
      <alignment horizontal="left" vertical="center" wrapText="1" indent="2"/>
      <protection hidden="1"/>
    </xf>
    <xf numFmtId="0" fontId="22" fillId="11" borderId="14" xfId="0" applyFont="1" applyFill="1" applyBorder="1" applyAlignment="1">
      <alignment horizontal="center" vertical="center"/>
    </xf>
    <xf numFmtId="0" fontId="17" fillId="0" borderId="14" xfId="0" quotePrefix="1" applyFont="1" applyBorder="1" applyAlignment="1" applyProtection="1">
      <alignment horizontal="left" vertical="center" wrapText="1" indent="2"/>
      <protection hidden="1"/>
    </xf>
    <xf numFmtId="0" fontId="17" fillId="4" borderId="8" xfId="0" applyFont="1" applyFill="1" applyBorder="1" applyAlignment="1" applyProtection="1">
      <alignment horizontal="left" vertical="center" wrapText="1" indent="2"/>
      <protection hidden="1"/>
    </xf>
    <xf numFmtId="0" fontId="17" fillId="4" borderId="4" xfId="0" applyFont="1" applyFill="1" applyBorder="1" applyAlignment="1" applyProtection="1">
      <alignment horizontal="left" vertical="center" wrapText="1" indent="2"/>
      <protection hidden="1"/>
    </xf>
    <xf numFmtId="0" fontId="17" fillId="4" borderId="9" xfId="0" applyFont="1" applyFill="1" applyBorder="1" applyAlignment="1" applyProtection="1">
      <alignment horizontal="left" vertical="center" wrapText="1" indent="2"/>
      <protection hidden="1"/>
    </xf>
    <xf numFmtId="0" fontId="17" fillId="4" borderId="12" xfId="0" applyFont="1" applyFill="1" applyBorder="1" applyAlignment="1" applyProtection="1">
      <alignment horizontal="left" vertical="center" wrapText="1" indent="2"/>
      <protection hidden="1"/>
    </xf>
    <xf numFmtId="0" fontId="17" fillId="4" borderId="6" xfId="0" applyFont="1" applyFill="1" applyBorder="1" applyAlignment="1" applyProtection="1">
      <alignment horizontal="left" vertical="center" wrapText="1" indent="2"/>
      <protection hidden="1"/>
    </xf>
    <xf numFmtId="0" fontId="17" fillId="4" borderId="13" xfId="0" applyFont="1" applyFill="1" applyBorder="1" applyAlignment="1" applyProtection="1">
      <alignment horizontal="left" vertical="center" wrapText="1" indent="2"/>
      <protection hidden="1"/>
    </xf>
    <xf numFmtId="0" fontId="9" fillId="13" borderId="17" xfId="0" applyFont="1" applyFill="1" applyBorder="1" applyAlignment="1">
      <alignment horizontal="center" vertical="center"/>
    </xf>
    <xf numFmtId="0" fontId="9" fillId="13" borderId="18" xfId="0" applyFont="1" applyFill="1" applyBorder="1" applyAlignment="1">
      <alignment horizontal="center" vertical="center"/>
    </xf>
    <xf numFmtId="0" fontId="9" fillId="13" borderId="19" xfId="0" applyFont="1" applyFill="1" applyBorder="1" applyAlignment="1">
      <alignment horizontal="center" vertical="center"/>
    </xf>
    <xf numFmtId="0" fontId="17" fillId="4" borderId="14" xfId="0" quotePrefix="1" applyFont="1" applyFill="1" applyBorder="1" applyAlignment="1" applyProtection="1">
      <alignment horizontal="left" vertical="center" wrapText="1" indent="2"/>
      <protection hidden="1"/>
    </xf>
    <xf numFmtId="0" fontId="22" fillId="11" borderId="14" xfId="0" applyFont="1" applyFill="1" applyBorder="1" applyAlignment="1">
      <alignment horizontal="center" vertical="center" wrapText="1"/>
    </xf>
    <xf numFmtId="0" fontId="17" fillId="0" borderId="8" xfId="0" quotePrefix="1" applyFont="1" applyBorder="1" applyAlignment="1" applyProtection="1">
      <alignment horizontal="left" vertical="center" wrapText="1" indent="2"/>
      <protection hidden="1"/>
    </xf>
    <xf numFmtId="0" fontId="17" fillId="0" borderId="4" xfId="0" quotePrefix="1" applyFont="1" applyBorder="1" applyAlignment="1" applyProtection="1">
      <alignment horizontal="left" vertical="center" wrapText="1" indent="2"/>
      <protection hidden="1"/>
    </xf>
    <xf numFmtId="0" fontId="17" fillId="0" borderId="9" xfId="0" quotePrefix="1" applyFont="1" applyBorder="1" applyAlignment="1" applyProtection="1">
      <alignment horizontal="left" vertical="center" wrapText="1" indent="2"/>
      <protection hidden="1"/>
    </xf>
    <xf numFmtId="0" fontId="17" fillId="0" borderId="12" xfId="0" quotePrefix="1" applyFont="1" applyBorder="1" applyAlignment="1" applyProtection="1">
      <alignment horizontal="left" vertical="center" wrapText="1" indent="2"/>
      <protection hidden="1"/>
    </xf>
    <xf numFmtId="0" fontId="17" fillId="0" borderId="6" xfId="0" quotePrefix="1" applyFont="1" applyBorder="1" applyAlignment="1" applyProtection="1">
      <alignment horizontal="left" vertical="center" wrapText="1" indent="2"/>
      <protection hidden="1"/>
    </xf>
    <xf numFmtId="0" fontId="17" fillId="0" borderId="13" xfId="0" quotePrefix="1" applyFont="1" applyBorder="1" applyAlignment="1" applyProtection="1">
      <alignment horizontal="left" vertical="center" wrapText="1" indent="2"/>
      <protection hidden="1"/>
    </xf>
    <xf numFmtId="0" fontId="16" fillId="11" borderId="10" xfId="0" applyFont="1" applyFill="1" applyBorder="1" applyAlignment="1">
      <alignment horizontal="center" vertical="center"/>
    </xf>
    <xf numFmtId="0" fontId="16" fillId="11" borderId="0" xfId="0" applyFont="1" applyFill="1" applyAlignment="1">
      <alignment horizontal="center" vertical="center"/>
    </xf>
    <xf numFmtId="0" fontId="4" fillId="4" borderId="14" xfId="0" applyFont="1" applyFill="1" applyBorder="1" applyAlignment="1" applyProtection="1">
      <alignment horizontal="center" vertical="center" wrapText="1"/>
      <protection locked="0"/>
    </xf>
    <xf numFmtId="0" fontId="17" fillId="4" borderId="14" xfId="0" applyFont="1" applyFill="1" applyBorder="1" applyAlignment="1" applyProtection="1">
      <alignment horizontal="center" vertical="center" wrapText="1"/>
      <protection locked="0"/>
    </xf>
    <xf numFmtId="0" fontId="17" fillId="4" borderId="14" xfId="0" quotePrefix="1" applyFont="1" applyFill="1" applyBorder="1" applyAlignment="1" applyProtection="1">
      <alignment horizontal="center" vertical="center" wrapText="1"/>
      <protection hidden="1"/>
    </xf>
    <xf numFmtId="0" fontId="17" fillId="4" borderId="14" xfId="0" applyFont="1" applyFill="1" applyBorder="1" applyAlignment="1" applyProtection="1">
      <alignment horizontal="center" vertical="center" wrapText="1"/>
      <protection hidden="1"/>
    </xf>
    <xf numFmtId="0" fontId="62" fillId="7" borderId="14" xfId="0" applyFont="1" applyFill="1" applyBorder="1" applyAlignment="1">
      <alignment horizontal="center" vertical="center" wrapText="1"/>
    </xf>
    <xf numFmtId="0" fontId="57" fillId="5" borderId="14" xfId="0" applyFont="1" applyFill="1" applyBorder="1" applyAlignment="1">
      <alignment horizontal="left" vertical="center" wrapText="1" indent="2"/>
    </xf>
    <xf numFmtId="0" fontId="64" fillId="0" borderId="14" xfId="0" applyFont="1" applyBorder="1" applyAlignment="1">
      <alignment horizontal="left" vertical="center" wrapText="1" indent="2"/>
    </xf>
    <xf numFmtId="0" fontId="49" fillId="3" borderId="0" xfId="0" applyFont="1" applyFill="1" applyAlignment="1">
      <alignment horizontal="center" vertical="center" wrapText="1"/>
    </xf>
    <xf numFmtId="0" fontId="50" fillId="3" borderId="0" xfId="0" applyFont="1" applyFill="1" applyAlignment="1">
      <alignment horizontal="center" vertical="center" wrapText="1"/>
    </xf>
    <xf numFmtId="0" fontId="92" fillId="0" borderId="3" xfId="0" applyFont="1" applyBorder="1" applyAlignment="1">
      <alignment horizontal="center" vertical="center"/>
    </xf>
    <xf numFmtId="0" fontId="92" fillId="0" borderId="4" xfId="0" applyFont="1" applyBorder="1" applyAlignment="1">
      <alignment horizontal="center" vertical="center"/>
    </xf>
    <xf numFmtId="0" fontId="54" fillId="16" borderId="3" xfId="0" applyFont="1" applyFill="1" applyBorder="1" applyAlignment="1" applyProtection="1">
      <alignment horizontal="center" vertical="center"/>
      <protection hidden="1"/>
    </xf>
    <xf numFmtId="0" fontId="54" fillId="16" borderId="4" xfId="0" applyFont="1" applyFill="1" applyBorder="1" applyAlignment="1" applyProtection="1">
      <alignment horizontal="center" vertical="center"/>
      <protection hidden="1"/>
    </xf>
    <xf numFmtId="0" fontId="56" fillId="7" borderId="14" xfId="0" applyFont="1" applyFill="1" applyBorder="1" applyAlignment="1">
      <alignment horizontal="center" vertical="center" wrapText="1"/>
    </xf>
    <xf numFmtId="0" fontId="56" fillId="11" borderId="14" xfId="0" applyFont="1" applyFill="1" applyBorder="1" applyAlignment="1">
      <alignment horizontal="center"/>
    </xf>
    <xf numFmtId="0" fontId="53" fillId="7" borderId="14" xfId="0" applyFont="1" applyFill="1" applyBorder="1" applyAlignment="1">
      <alignment horizontal="center" vertical="center" wrapText="1"/>
    </xf>
    <xf numFmtId="0" fontId="58" fillId="4" borderId="14" xfId="0" applyFont="1" applyFill="1" applyBorder="1" applyAlignment="1">
      <alignment horizontal="left" indent="2"/>
    </xf>
    <xf numFmtId="170" fontId="60" fillId="18" borderId="14" xfId="0" applyNumberFormat="1" applyFont="1" applyFill="1" applyBorder="1" applyAlignment="1">
      <alignment horizontal="center" vertical="center"/>
    </xf>
    <xf numFmtId="0" fontId="57" fillId="5" borderId="17" xfId="0" applyFont="1" applyFill="1" applyBorder="1" applyAlignment="1" applyProtection="1">
      <alignment horizontal="center" vertical="center" wrapText="1"/>
      <protection locked="0"/>
    </xf>
    <xf numFmtId="0" fontId="57" fillId="5" borderId="18" xfId="0" applyFont="1" applyFill="1" applyBorder="1" applyAlignment="1" applyProtection="1">
      <alignment horizontal="center" vertical="center" wrapText="1"/>
      <protection locked="0"/>
    </xf>
    <xf numFmtId="0" fontId="57" fillId="5" borderId="19" xfId="0" applyFont="1" applyFill="1" applyBorder="1" applyAlignment="1" applyProtection="1">
      <alignment horizontal="center" vertical="center" wrapText="1"/>
      <protection locked="0"/>
    </xf>
    <xf numFmtId="0" fontId="64" fillId="2" borderId="10" xfId="0" applyFont="1" applyFill="1" applyBorder="1" applyAlignment="1">
      <alignment horizontal="center" vertical="center" wrapText="1"/>
    </xf>
    <xf numFmtId="0" fontId="64" fillId="2" borderId="0" xfId="0" applyFont="1" applyFill="1" applyAlignment="1">
      <alignment horizontal="center" vertical="center" wrapText="1"/>
    </xf>
    <xf numFmtId="0" fontId="57" fillId="5" borderId="14" xfId="0" applyFont="1" applyFill="1" applyBorder="1" applyAlignment="1">
      <alignment horizontal="left" vertical="top" wrapText="1" indent="2"/>
    </xf>
    <xf numFmtId="0" fontId="57" fillId="5" borderId="14" xfId="0" applyFont="1" applyFill="1" applyBorder="1" applyAlignment="1">
      <alignment horizontal="center" vertical="center" wrapText="1"/>
    </xf>
    <xf numFmtId="0" fontId="48" fillId="2" borderId="10" xfId="0" applyFont="1" applyFill="1" applyBorder="1" applyAlignment="1">
      <alignment horizontal="center"/>
    </xf>
    <xf numFmtId="0" fontId="48" fillId="2" borderId="0" xfId="0" applyFont="1" applyFill="1" applyAlignment="1">
      <alignment horizontal="center"/>
    </xf>
    <xf numFmtId="0" fontId="53" fillId="11" borderId="14" xfId="0" applyFont="1" applyFill="1" applyBorder="1" applyAlignment="1">
      <alignment horizontal="center"/>
    </xf>
    <xf numFmtId="0" fontId="65" fillId="7" borderId="14" xfId="0" applyFont="1" applyFill="1" applyBorder="1" applyAlignment="1">
      <alignment horizontal="center" vertical="center" wrapText="1"/>
    </xf>
    <xf numFmtId="0" fontId="65" fillId="11" borderId="14" xfId="0" applyFont="1" applyFill="1" applyBorder="1" applyAlignment="1">
      <alignment horizontal="center"/>
    </xf>
    <xf numFmtId="0" fontId="53" fillId="7" borderId="14" xfId="0" applyFont="1" applyFill="1" applyBorder="1" applyAlignment="1">
      <alignment horizontal="left" vertical="center" wrapText="1" indent="2"/>
    </xf>
    <xf numFmtId="170" fontId="59" fillId="17" borderId="14" xfId="0" applyNumberFormat="1" applyFont="1" applyFill="1" applyBorder="1" applyAlignment="1">
      <alignment horizontal="center" vertical="center" wrapText="1"/>
    </xf>
    <xf numFmtId="0" fontId="57" fillId="5" borderId="14" xfId="0" applyFont="1" applyFill="1" applyBorder="1" applyAlignment="1">
      <alignment horizontal="left" vertical="center" wrapText="1" indent="9"/>
    </xf>
    <xf numFmtId="0" fontId="53" fillId="11" borderId="14" xfId="0" applyFont="1" applyFill="1" applyBorder="1" applyAlignment="1">
      <alignment horizontal="left" indent="2"/>
    </xf>
    <xf numFmtId="0" fontId="63" fillId="5" borderId="14" xfId="0" applyFont="1" applyFill="1" applyBorder="1" applyAlignment="1">
      <alignment horizontal="left" vertical="center" wrapText="1" indent="2"/>
    </xf>
    <xf numFmtId="0" fontId="53" fillId="4" borderId="14" xfId="0" applyFont="1" applyFill="1" applyBorder="1" applyAlignment="1">
      <alignment horizontal="left" indent="2"/>
    </xf>
    <xf numFmtId="0" fontId="62" fillId="5" borderId="17" xfId="0" applyFont="1" applyFill="1" applyBorder="1" applyAlignment="1">
      <alignment horizontal="center" vertical="center" wrapText="1"/>
    </xf>
    <xf numFmtId="0" fontId="62" fillId="5" borderId="18" xfId="0" applyFont="1" applyFill="1" applyBorder="1" applyAlignment="1">
      <alignment horizontal="center" vertical="center" wrapText="1"/>
    </xf>
    <xf numFmtId="0" fontId="62" fillId="5" borderId="19" xfId="0" applyFont="1" applyFill="1" applyBorder="1" applyAlignment="1">
      <alignment horizontal="center" vertical="center" wrapText="1"/>
    </xf>
    <xf numFmtId="0" fontId="53" fillId="17" borderId="14" xfId="0" applyFont="1" applyFill="1" applyBorder="1" applyAlignment="1">
      <alignment horizontal="center" vertical="center"/>
    </xf>
    <xf numFmtId="0" fontId="60" fillId="3" borderId="10" xfId="0" applyFont="1" applyFill="1" applyBorder="1" applyAlignment="1">
      <alignment horizontal="center" vertical="center" wrapText="1"/>
    </xf>
    <xf numFmtId="0" fontId="60" fillId="3" borderId="0" xfId="0" applyFont="1" applyFill="1" applyAlignment="1">
      <alignment horizontal="center" vertical="center" wrapText="1"/>
    </xf>
    <xf numFmtId="0" fontId="58" fillId="7" borderId="14" xfId="0" applyFont="1" applyFill="1" applyBorder="1" applyAlignment="1">
      <alignment horizontal="left" vertical="center" wrapText="1" indent="2"/>
    </xf>
    <xf numFmtId="0" fontId="58" fillId="11" borderId="14" xfId="0" applyFont="1" applyFill="1" applyBorder="1" applyAlignment="1">
      <alignment horizontal="left" indent="2"/>
    </xf>
    <xf numFmtId="0" fontId="64" fillId="5" borderId="14" xfId="0" applyFont="1" applyFill="1" applyBorder="1" applyAlignment="1">
      <alignment horizontal="left" vertical="center" wrapText="1" indent="2"/>
    </xf>
    <xf numFmtId="0" fontId="48" fillId="6" borderId="17" xfId="0" applyFont="1" applyFill="1" applyBorder="1" applyAlignment="1">
      <alignment horizontal="center"/>
    </xf>
    <xf numFmtId="0" fontId="48" fillId="6" borderId="18" xfId="0" applyFont="1" applyFill="1" applyBorder="1" applyAlignment="1">
      <alignment horizontal="center"/>
    </xf>
    <xf numFmtId="0" fontId="48" fillId="6" borderId="19" xfId="0" applyFont="1" applyFill="1" applyBorder="1" applyAlignment="1">
      <alignment horizontal="center"/>
    </xf>
    <xf numFmtId="0" fontId="63" fillId="17" borderId="14" xfId="0" applyFont="1" applyFill="1" applyBorder="1" applyAlignment="1">
      <alignment horizontal="left" vertical="center" wrapText="1"/>
    </xf>
    <xf numFmtId="0" fontId="54" fillId="4" borderId="14" xfId="0" applyFont="1" applyFill="1" applyBorder="1" applyAlignment="1">
      <alignment horizontal="center" vertical="center" wrapText="1"/>
    </xf>
    <xf numFmtId="0" fontId="54" fillId="13" borderId="14" xfId="0" quotePrefix="1" applyFont="1" applyFill="1" applyBorder="1" applyAlignment="1" applyProtection="1">
      <alignment horizontal="center" vertical="center"/>
      <protection locked="0" hidden="1"/>
    </xf>
    <xf numFmtId="0" fontId="54" fillId="13" borderId="14" xfId="0" applyFont="1" applyFill="1" applyBorder="1" applyAlignment="1" applyProtection="1">
      <alignment horizontal="center" vertical="center"/>
      <protection locked="0" hidden="1"/>
    </xf>
    <xf numFmtId="0" fontId="54" fillId="21" borderId="14" xfId="0" applyFont="1" applyFill="1" applyBorder="1" applyAlignment="1">
      <alignment horizontal="center" vertical="center" wrapText="1"/>
    </xf>
    <xf numFmtId="0" fontId="67" fillId="14" borderId="14" xfId="0" applyFont="1" applyFill="1" applyBorder="1" applyAlignment="1">
      <alignment horizontal="center" vertical="center"/>
    </xf>
    <xf numFmtId="0" fontId="57" fillId="5" borderId="14" xfId="0" applyFont="1" applyFill="1" applyBorder="1" applyAlignment="1">
      <alignment horizontal="left" vertical="center" wrapText="1" indent="3"/>
    </xf>
    <xf numFmtId="0" fontId="57" fillId="5" borderId="14" xfId="0" quotePrefix="1" applyFont="1" applyFill="1" applyBorder="1" applyAlignment="1">
      <alignment horizontal="left" vertical="center" wrapText="1" indent="3"/>
    </xf>
    <xf numFmtId="0" fontId="64" fillId="5" borderId="14" xfId="0" applyFont="1" applyFill="1" applyBorder="1" applyAlignment="1">
      <alignment horizontal="left" vertical="center" wrapText="1" indent="3"/>
    </xf>
    <xf numFmtId="170" fontId="60" fillId="18" borderId="14" xfId="0" applyNumberFormat="1" applyFont="1" applyFill="1" applyBorder="1" applyAlignment="1" applyProtection="1">
      <alignment horizontal="center" vertical="center"/>
      <protection hidden="1"/>
    </xf>
    <xf numFmtId="0" fontId="64" fillId="5" borderId="14" xfId="0" applyFont="1" applyFill="1" applyBorder="1" applyAlignment="1">
      <alignment horizontal="center" vertical="center" wrapText="1"/>
    </xf>
    <xf numFmtId="170" fontId="59" fillId="22" borderId="14" xfId="0" applyNumberFormat="1" applyFont="1" applyFill="1" applyBorder="1" applyAlignment="1">
      <alignment horizontal="center" vertical="center" wrapText="1"/>
    </xf>
    <xf numFmtId="0" fontId="64" fillId="5" borderId="14" xfId="0" applyFont="1" applyFill="1" applyBorder="1" applyAlignment="1">
      <alignment horizontal="left" vertical="center" wrapText="1"/>
    </xf>
    <xf numFmtId="0" fontId="59" fillId="22" borderId="17" xfId="0" applyFont="1" applyFill="1" applyBorder="1" applyAlignment="1">
      <alignment horizontal="center" vertical="center" wrapText="1"/>
    </xf>
    <xf numFmtId="0" fontId="59" fillId="22" borderId="18" xfId="0" applyFont="1" applyFill="1" applyBorder="1" applyAlignment="1">
      <alignment horizontal="center" vertical="center" wrapText="1"/>
    </xf>
    <xf numFmtId="0" fontId="59" fillId="22" borderId="19" xfId="0" applyFont="1" applyFill="1" applyBorder="1" applyAlignment="1">
      <alignment horizontal="center" vertical="center" wrapText="1"/>
    </xf>
    <xf numFmtId="0" fontId="72" fillId="6" borderId="17" xfId="0" applyFont="1" applyFill="1" applyBorder="1" applyAlignment="1">
      <alignment horizontal="center"/>
    </xf>
    <xf numFmtId="0" fontId="72" fillId="6" borderId="18" xfId="0" applyFont="1" applyFill="1" applyBorder="1" applyAlignment="1">
      <alignment horizontal="center"/>
    </xf>
    <xf numFmtId="0" fontId="72" fillId="6" borderId="19" xfId="0" applyFont="1" applyFill="1" applyBorder="1" applyAlignment="1">
      <alignment horizontal="center"/>
    </xf>
    <xf numFmtId="0" fontId="48" fillId="0" borderId="14" xfId="0" applyFont="1" applyBorder="1" applyAlignment="1" applyProtection="1">
      <alignment horizontal="center"/>
      <protection locked="0"/>
    </xf>
    <xf numFmtId="0" fontId="98" fillId="23" borderId="14" xfId="0" applyFont="1" applyFill="1" applyBorder="1" applyAlignment="1" applyProtection="1">
      <alignment horizontal="center" vertical="center"/>
      <protection locked="0" hidden="1"/>
    </xf>
    <xf numFmtId="0" fontId="73" fillId="7" borderId="14" xfId="0" applyFont="1" applyFill="1" applyBorder="1" applyAlignment="1">
      <alignment horizontal="center" vertical="center" wrapText="1"/>
    </xf>
    <xf numFmtId="0" fontId="73" fillId="11" borderId="14" xfId="0" applyFont="1" applyFill="1" applyBorder="1" applyAlignment="1">
      <alignment horizontal="center"/>
    </xf>
    <xf numFmtId="0" fontId="59" fillId="3" borderId="10" xfId="0" applyFont="1" applyFill="1" applyBorder="1" applyAlignment="1">
      <alignment horizontal="center" vertical="center" wrapText="1"/>
    </xf>
    <xf numFmtId="0" fontId="59" fillId="3" borderId="0" xfId="0" applyFont="1" applyFill="1" applyAlignment="1">
      <alignment horizontal="center" vertical="center" wrapText="1"/>
    </xf>
    <xf numFmtId="0" fontId="15" fillId="11" borderId="14" xfId="0" applyFont="1" applyFill="1" applyBorder="1" applyAlignment="1">
      <alignment horizontal="center" vertical="center" wrapText="1"/>
    </xf>
    <xf numFmtId="0" fontId="74" fillId="2" borderId="0" xfId="0" applyFont="1" applyFill="1" applyAlignment="1">
      <alignment horizontal="center"/>
    </xf>
    <xf numFmtId="0" fontId="75" fillId="2" borderId="0" xfId="0" applyFont="1" applyFill="1" applyAlignment="1">
      <alignment horizontal="center" vertical="center" wrapText="1"/>
    </xf>
    <xf numFmtId="0" fontId="91" fillId="5" borderId="3" xfId="0" applyFont="1" applyFill="1" applyBorder="1" applyAlignment="1">
      <alignment horizontal="center" vertical="center"/>
    </xf>
    <xf numFmtId="0" fontId="91" fillId="5" borderId="4" xfId="0" applyFont="1" applyFill="1" applyBorder="1" applyAlignment="1">
      <alignment horizontal="center" vertical="center"/>
    </xf>
    <xf numFmtId="0" fontId="62" fillId="2" borderId="0" xfId="0" applyFont="1" applyFill="1" applyAlignment="1">
      <alignment horizontal="right" vertical="center" wrapText="1"/>
    </xf>
    <xf numFmtId="0" fontId="77" fillId="2" borderId="0" xfId="0" applyFont="1" applyFill="1" applyAlignment="1">
      <alignment horizontal="center" vertical="center" wrapText="1"/>
    </xf>
    <xf numFmtId="171" fontId="50" fillId="4" borderId="17" xfId="0" applyNumberFormat="1" applyFont="1" applyFill="1" applyBorder="1" applyAlignment="1">
      <alignment horizontal="center" vertical="center"/>
    </xf>
    <xf numFmtId="171" fontId="50" fillId="4" borderId="19" xfId="0" applyNumberFormat="1" applyFont="1" applyFill="1" applyBorder="1" applyAlignment="1">
      <alignment horizontal="center" vertical="center"/>
    </xf>
    <xf numFmtId="0" fontId="62" fillId="11" borderId="31" xfId="0" applyFont="1" applyFill="1" applyBorder="1" applyAlignment="1">
      <alignment horizontal="center" vertical="center" wrapText="1"/>
    </xf>
    <xf numFmtId="0" fontId="62" fillId="11" borderId="27" xfId="0" applyFont="1" applyFill="1" applyBorder="1" applyAlignment="1">
      <alignment horizontal="center" vertical="center" wrapText="1"/>
    </xf>
    <xf numFmtId="0" fontId="80" fillId="11" borderId="38" xfId="0" applyFont="1" applyFill="1" applyBorder="1" applyAlignment="1">
      <alignment horizontal="center" vertical="center"/>
    </xf>
    <xf numFmtId="0" fontId="80" fillId="11" borderId="39" xfId="0" applyFont="1" applyFill="1" applyBorder="1" applyAlignment="1">
      <alignment horizontal="center" vertical="center"/>
    </xf>
    <xf numFmtId="0" fontId="62" fillId="11" borderId="30" xfId="0" applyFont="1" applyFill="1" applyBorder="1" applyAlignment="1">
      <alignment horizontal="center" vertical="center" wrapText="1"/>
    </xf>
    <xf numFmtId="0" fontId="62" fillId="11" borderId="26" xfId="0" applyFont="1" applyFill="1" applyBorder="1" applyAlignment="1">
      <alignment horizontal="center" vertical="center" wrapText="1"/>
    </xf>
    <xf numFmtId="0" fontId="74" fillId="4" borderId="42" xfId="0" applyFont="1" applyFill="1" applyBorder="1" applyAlignment="1">
      <alignment horizontal="center" vertical="center"/>
    </xf>
    <xf numFmtId="0" fontId="74" fillId="4" borderId="43" xfId="0" applyFont="1" applyFill="1" applyBorder="1" applyAlignment="1">
      <alignment horizontal="center" vertical="center"/>
    </xf>
    <xf numFmtId="0" fontId="81" fillId="4" borderId="44" xfId="0" applyFont="1" applyFill="1" applyBorder="1" applyAlignment="1">
      <alignment horizontal="center" vertical="center" wrapText="1"/>
    </xf>
    <xf numFmtId="0" fontId="81" fillId="4" borderId="45" xfId="0" applyFont="1" applyFill="1" applyBorder="1" applyAlignment="1">
      <alignment horizontal="center" vertical="center" wrapText="1"/>
    </xf>
    <xf numFmtId="0" fontId="67" fillId="2" borderId="14" xfId="0" applyFont="1" applyFill="1" applyBorder="1" applyAlignment="1" applyProtection="1">
      <alignment horizontal="center" vertical="center"/>
      <protection locked="0"/>
    </xf>
    <xf numFmtId="0" fontId="74" fillId="4" borderId="17" xfId="0" applyFont="1" applyFill="1" applyBorder="1" applyAlignment="1" applyProtection="1">
      <alignment horizontal="left" vertical="center" indent="2"/>
      <protection locked="0"/>
    </xf>
    <xf numFmtId="0" fontId="74" fillId="4" borderId="18" xfId="0" applyFont="1" applyFill="1" applyBorder="1" applyAlignment="1" applyProtection="1">
      <alignment horizontal="left" vertical="center" indent="2"/>
      <protection locked="0"/>
    </xf>
    <xf numFmtId="0" fontId="74" fillId="4" borderId="19" xfId="0" applyFont="1" applyFill="1" applyBorder="1" applyAlignment="1" applyProtection="1">
      <alignment horizontal="left" vertical="center" indent="2"/>
      <protection locked="0"/>
    </xf>
    <xf numFmtId="0" fontId="82" fillId="11" borderId="17" xfId="0" applyFont="1" applyFill="1" applyBorder="1" applyAlignment="1">
      <alignment horizontal="center" vertical="center"/>
    </xf>
    <xf numFmtId="0" fontId="82" fillId="11" borderId="18" xfId="0" applyFont="1" applyFill="1" applyBorder="1" applyAlignment="1">
      <alignment horizontal="center" vertical="center"/>
    </xf>
    <xf numFmtId="0" fontId="82" fillId="11" borderId="19" xfId="0" applyFont="1" applyFill="1" applyBorder="1" applyAlignment="1">
      <alignment horizontal="center" vertical="center"/>
    </xf>
    <xf numFmtId="0" fontId="56" fillId="11" borderId="47" xfId="0" applyFont="1" applyFill="1" applyBorder="1" applyAlignment="1">
      <alignment horizontal="center" vertical="center"/>
    </xf>
    <xf numFmtId="0" fontId="56" fillId="11" borderId="48" xfId="0" applyFont="1" applyFill="1" applyBorder="1" applyAlignment="1">
      <alignment horizontal="center" vertical="center"/>
    </xf>
    <xf numFmtId="0" fontId="56" fillId="11" borderId="39" xfId="0" applyFont="1" applyFill="1" applyBorder="1" applyAlignment="1">
      <alignment horizontal="center" vertical="center"/>
    </xf>
    <xf numFmtId="0" fontId="74" fillId="4" borderId="10" xfId="0" applyFont="1" applyFill="1" applyBorder="1" applyAlignment="1">
      <alignment horizontal="center" vertical="center"/>
    </xf>
    <xf numFmtId="0" fontId="74" fillId="4" borderId="11" xfId="0" applyFont="1" applyFill="1" applyBorder="1" applyAlignment="1">
      <alignment horizontal="center" vertical="center"/>
    </xf>
    <xf numFmtId="0" fontId="74" fillId="4" borderId="44" xfId="0" applyFont="1" applyFill="1" applyBorder="1" applyAlignment="1">
      <alignment horizontal="center" vertical="center"/>
    </xf>
    <xf numFmtId="0" fontId="74" fillId="4" borderId="45" xfId="0" applyFont="1" applyFill="1" applyBorder="1" applyAlignment="1">
      <alignment horizontal="center" vertical="center"/>
    </xf>
    <xf numFmtId="0" fontId="74" fillId="2" borderId="17" xfId="0" applyFont="1" applyFill="1" applyBorder="1" applyAlignment="1" applyProtection="1">
      <alignment horizontal="left" vertical="center" wrapText="1"/>
      <protection locked="0"/>
    </xf>
    <xf numFmtId="0" fontId="74" fillId="2" borderId="18" xfId="0" applyFont="1" applyFill="1" applyBorder="1" applyAlignment="1" applyProtection="1">
      <alignment horizontal="left" vertical="center" wrapText="1"/>
      <protection locked="0"/>
    </xf>
    <xf numFmtId="0" fontId="74" fillId="2" borderId="19" xfId="0" applyFont="1" applyFill="1" applyBorder="1" applyAlignment="1" applyProtection="1">
      <alignment horizontal="left" vertical="center" wrapText="1"/>
      <protection locked="0"/>
    </xf>
    <xf numFmtId="0" fontId="60" fillId="2" borderId="17" xfId="0" applyFont="1" applyFill="1" applyBorder="1" applyAlignment="1" applyProtection="1">
      <alignment horizontal="center" vertical="center"/>
      <protection locked="0"/>
    </xf>
    <xf numFmtId="0" fontId="60" fillId="2" borderId="18" xfId="0" applyFont="1" applyFill="1" applyBorder="1" applyAlignment="1" applyProtection="1">
      <alignment horizontal="center" vertical="center"/>
      <protection locked="0"/>
    </xf>
    <xf numFmtId="0" fontId="60" fillId="2" borderId="19" xfId="0" applyFont="1" applyFill="1" applyBorder="1" applyAlignment="1" applyProtection="1">
      <alignment horizontal="center" vertical="center"/>
      <protection locked="0"/>
    </xf>
    <xf numFmtId="0" fontId="60" fillId="2" borderId="47" xfId="0" applyFont="1" applyFill="1" applyBorder="1" applyAlignment="1" applyProtection="1">
      <alignment horizontal="center" vertical="center"/>
      <protection locked="0"/>
    </xf>
    <xf numFmtId="0" fontId="60" fillId="2" borderId="48" xfId="0" applyFont="1" applyFill="1" applyBorder="1" applyAlignment="1" applyProtection="1">
      <alignment horizontal="center" vertical="center"/>
      <protection locked="0"/>
    </xf>
    <xf numFmtId="0" fontId="60" fillId="2" borderId="54" xfId="0" applyFont="1" applyFill="1" applyBorder="1" applyAlignment="1" applyProtection="1">
      <alignment horizontal="center" vertical="center"/>
      <protection locked="0"/>
    </xf>
    <xf numFmtId="0" fontId="74" fillId="2" borderId="14" xfId="0" applyFont="1" applyFill="1" applyBorder="1" applyAlignment="1" applyProtection="1">
      <alignment horizontal="center" vertical="center"/>
      <protection locked="0"/>
    </xf>
    <xf numFmtId="0" fontId="67" fillId="2" borderId="55" xfId="0" applyFont="1" applyFill="1" applyBorder="1" applyAlignment="1" applyProtection="1">
      <alignment horizontal="center" vertical="center" wrapText="1"/>
      <protection locked="0"/>
    </xf>
    <xf numFmtId="0" fontId="67" fillId="2" borderId="56" xfId="0" applyFont="1" applyFill="1" applyBorder="1" applyAlignment="1" applyProtection="1">
      <alignment horizontal="center" vertical="center" wrapText="1"/>
      <protection locked="0"/>
    </xf>
    <xf numFmtId="0" fontId="67" fillId="2" borderId="57" xfId="0" applyFont="1" applyFill="1" applyBorder="1" applyAlignment="1" applyProtection="1">
      <alignment horizontal="center" vertical="center" wrapText="1"/>
      <protection locked="0"/>
    </xf>
    <xf numFmtId="0" fontId="74" fillId="2" borderId="55" xfId="0" applyFont="1" applyFill="1" applyBorder="1" applyAlignment="1" applyProtection="1">
      <alignment horizontal="center" vertical="center" wrapText="1"/>
      <protection locked="0"/>
    </xf>
    <xf numFmtId="0" fontId="74" fillId="2" borderId="56" xfId="0" applyFont="1" applyFill="1" applyBorder="1" applyAlignment="1" applyProtection="1">
      <alignment horizontal="center" vertical="center" wrapText="1"/>
      <protection locked="0"/>
    </xf>
    <xf numFmtId="0" fontId="74" fillId="2" borderId="57" xfId="0" applyFont="1" applyFill="1" applyBorder="1" applyAlignment="1" applyProtection="1">
      <alignment horizontal="center" vertical="center" wrapText="1"/>
      <protection locked="0"/>
    </xf>
    <xf numFmtId="171" fontId="67" fillId="2" borderId="14" xfId="2" applyNumberFormat="1" applyFont="1" applyFill="1" applyBorder="1" applyAlignment="1" applyProtection="1">
      <alignment horizontal="center" vertical="center"/>
      <protection locked="0"/>
    </xf>
    <xf numFmtId="1" fontId="78" fillId="2" borderId="14" xfId="0" applyNumberFormat="1"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0" fontId="74" fillId="2" borderId="0" xfId="0" applyFont="1" applyFill="1" applyAlignment="1" applyProtection="1">
      <alignment horizontal="center"/>
      <protection locked="0"/>
    </xf>
    <xf numFmtId="2" fontId="67" fillId="2" borderId="14" xfId="0" applyNumberFormat="1" applyFont="1" applyFill="1" applyBorder="1" applyAlignment="1" applyProtection="1">
      <alignment horizontal="center" vertical="center"/>
      <protection locked="0"/>
    </xf>
    <xf numFmtId="0" fontId="74" fillId="2" borderId="17" xfId="0" applyFont="1" applyFill="1" applyBorder="1" applyAlignment="1" applyProtection="1">
      <alignment horizontal="center" vertical="center" wrapText="1"/>
      <protection locked="0"/>
    </xf>
    <xf numFmtId="0" fontId="74" fillId="2" borderId="18" xfId="0" applyFont="1" applyFill="1" applyBorder="1" applyAlignment="1" applyProtection="1">
      <alignment horizontal="center" vertical="center" wrapText="1"/>
      <protection locked="0"/>
    </xf>
    <xf numFmtId="0" fontId="67" fillId="2" borderId="17" xfId="0" applyFont="1" applyFill="1" applyBorder="1" applyAlignment="1" applyProtection="1">
      <alignment horizontal="center" vertical="center" wrapText="1"/>
      <protection locked="0"/>
    </xf>
    <xf numFmtId="0" fontId="67" fillId="2" borderId="18" xfId="0" applyFont="1" applyFill="1" applyBorder="1" applyAlignment="1" applyProtection="1">
      <alignment horizontal="center" vertical="center" wrapText="1"/>
      <protection locked="0"/>
    </xf>
    <xf numFmtId="0" fontId="67" fillId="2" borderId="19" xfId="0" applyFont="1" applyFill="1" applyBorder="1" applyAlignment="1" applyProtection="1">
      <alignment horizontal="center" vertical="center" wrapText="1"/>
      <protection locked="0"/>
    </xf>
    <xf numFmtId="0" fontId="60" fillId="2" borderId="14" xfId="0" applyFont="1" applyFill="1" applyBorder="1" applyAlignment="1" applyProtection="1">
      <alignment horizontal="center" vertical="center" wrapText="1"/>
      <protection locked="0"/>
    </xf>
    <xf numFmtId="1" fontId="86" fillId="2" borderId="14" xfId="0" applyNumberFormat="1" applyFont="1" applyFill="1" applyBorder="1" applyAlignment="1" applyProtection="1">
      <alignment horizontal="center" vertical="center"/>
      <protection locked="0"/>
    </xf>
    <xf numFmtId="0" fontId="86" fillId="2" borderId="14" xfId="0" applyFont="1" applyFill="1" applyBorder="1" applyAlignment="1" applyProtection="1">
      <alignment horizontal="center" vertical="center"/>
      <protection locked="0"/>
    </xf>
    <xf numFmtId="0" fontId="87" fillId="2" borderId="17" xfId="0" applyFont="1" applyFill="1" applyBorder="1" applyAlignment="1" applyProtection="1">
      <alignment horizontal="center" vertical="center" wrapText="1"/>
      <protection locked="0"/>
    </xf>
    <xf numFmtId="0" fontId="87" fillId="2" borderId="19" xfId="0" applyFont="1" applyFill="1" applyBorder="1" applyAlignment="1" applyProtection="1">
      <alignment horizontal="center" vertical="center" wrapText="1"/>
      <protection locked="0"/>
    </xf>
    <xf numFmtId="2" fontId="17" fillId="4" borderId="8" xfId="0" quotePrefix="1" applyNumberFormat="1" applyFont="1" applyFill="1" applyBorder="1" applyAlignment="1" applyProtection="1">
      <alignment horizontal="center" vertical="center" wrapText="1"/>
      <protection locked="0"/>
    </xf>
    <xf numFmtId="2" fontId="17" fillId="4" borderId="4" xfId="0" quotePrefix="1" applyNumberFormat="1" applyFont="1" applyFill="1" applyBorder="1" applyAlignment="1" applyProtection="1">
      <alignment horizontal="center" vertical="center" wrapText="1"/>
      <protection locked="0"/>
    </xf>
    <xf numFmtId="2" fontId="17" fillId="4" borderId="9" xfId="0" quotePrefix="1" applyNumberFormat="1" applyFont="1" applyFill="1" applyBorder="1" applyAlignment="1" applyProtection="1">
      <alignment horizontal="center" vertical="center" wrapText="1"/>
      <protection locked="0"/>
    </xf>
    <xf numFmtId="2" fontId="17" fillId="4" borderId="10" xfId="0" quotePrefix="1" applyNumberFormat="1" applyFont="1" applyFill="1" applyBorder="1" applyAlignment="1" applyProtection="1">
      <alignment horizontal="center" vertical="center" wrapText="1"/>
      <protection locked="0"/>
    </xf>
    <xf numFmtId="2" fontId="17" fillId="4" borderId="0" xfId="0" quotePrefix="1" applyNumberFormat="1" applyFont="1" applyFill="1" applyAlignment="1" applyProtection="1">
      <alignment horizontal="center" vertical="center" wrapText="1"/>
      <protection locked="0"/>
    </xf>
    <xf numFmtId="2" fontId="17" fillId="4" borderId="11" xfId="0" quotePrefix="1" applyNumberFormat="1" applyFont="1" applyFill="1" applyBorder="1" applyAlignment="1" applyProtection="1">
      <alignment horizontal="center" vertical="center" wrapText="1"/>
      <protection locked="0"/>
    </xf>
    <xf numFmtId="2" fontId="17" fillId="4" borderId="12" xfId="0" quotePrefix="1" applyNumberFormat="1" applyFont="1" applyFill="1" applyBorder="1" applyAlignment="1" applyProtection="1">
      <alignment horizontal="center" vertical="center" wrapText="1"/>
      <protection locked="0"/>
    </xf>
    <xf numFmtId="2" fontId="17" fillId="4" borderId="6" xfId="0" quotePrefix="1" applyNumberFormat="1" applyFont="1" applyFill="1" applyBorder="1" applyAlignment="1" applyProtection="1">
      <alignment horizontal="center" vertical="center" wrapText="1"/>
      <protection locked="0"/>
    </xf>
    <xf numFmtId="2" fontId="17" fillId="4" borderId="13" xfId="0" quotePrefix="1" applyNumberFormat="1" applyFont="1" applyFill="1" applyBorder="1" applyAlignment="1" applyProtection="1">
      <alignment horizontal="center" vertical="center" wrapText="1"/>
      <protection locked="0"/>
    </xf>
  </cellXfs>
  <cellStyles count="5">
    <cellStyle name="Hipervínculo" xfId="3" builtinId="8"/>
    <cellStyle name="Millares" xfId="1" builtinId="3"/>
    <cellStyle name="Normal" xfId="0" builtinId="0"/>
    <cellStyle name="Normal 2" xfId="4" xr:uid="{21F6686B-929E-41B5-8414-3789105CBD00}"/>
    <cellStyle name="Porcentaje" xfId="2" builtinId="5"/>
  </cellStyles>
  <dxfs count="112">
    <dxf>
      <fill>
        <patternFill>
          <fgColor rgb="FFFBF5A7"/>
          <bgColor theme="0" tint="-0.24994659260841701"/>
        </patternFill>
      </fill>
    </dxf>
    <dxf>
      <font>
        <b/>
        <i val="0"/>
        <color auto="1"/>
      </font>
      <fill>
        <patternFill>
          <bgColor theme="7" tint="0.39994506668294322"/>
        </patternFill>
      </fill>
    </dxf>
    <dxf>
      <font>
        <b/>
        <i val="0"/>
        <color theme="0"/>
      </font>
      <fill>
        <patternFill>
          <bgColor theme="3" tint="-0.24994659260841701"/>
        </patternFill>
      </fill>
    </dxf>
    <dxf>
      <fill>
        <patternFill>
          <fgColor rgb="FFFBF5A7"/>
          <bgColor theme="0" tint="-0.24994659260841701"/>
        </patternFill>
      </fill>
    </dxf>
    <dxf>
      <fill>
        <patternFill>
          <fgColor rgb="FFFBF5A7"/>
          <bgColor rgb="FFFFFFCC"/>
        </patternFill>
      </fill>
    </dxf>
    <dxf>
      <fill>
        <patternFill>
          <fgColor rgb="FFFBF5A7"/>
          <bgColor theme="0" tint="-0.24994659260841701"/>
        </patternFill>
      </fill>
    </dxf>
    <dxf>
      <font>
        <b/>
        <i val="0"/>
        <color theme="1"/>
      </font>
      <fill>
        <patternFill>
          <bgColor theme="0" tint="-0.14996795556505021"/>
        </patternFill>
      </fill>
    </dxf>
    <dxf>
      <fill>
        <patternFill>
          <fgColor rgb="FFFBF5A7"/>
          <bgColor rgb="FFCCECFF"/>
        </patternFill>
      </fill>
    </dxf>
    <dxf>
      <fill>
        <patternFill>
          <fgColor rgb="FFFBF5A7"/>
          <bgColor theme="0" tint="-0.24994659260841701"/>
        </patternFill>
      </fill>
    </dxf>
    <dxf>
      <font>
        <b/>
        <i val="0"/>
        <color theme="1"/>
      </font>
      <fill>
        <patternFill patternType="solid">
          <fgColor rgb="FFFFC7CE"/>
          <bgColor theme="7" tint="0.79998168889431442"/>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tint="-0.24994659260841701"/>
      </font>
      <fill>
        <patternFill>
          <bgColor theme="0" tint="-0.24994659260841701"/>
        </patternFill>
      </fill>
    </dxf>
    <dxf>
      <font>
        <b/>
        <i val="0"/>
        <color auto="1"/>
      </font>
      <fill>
        <patternFill>
          <bgColor theme="7" tint="0.39994506668294322"/>
        </patternFill>
      </fill>
    </dxf>
    <dxf>
      <font>
        <b/>
        <i val="0"/>
        <color auto="1"/>
      </font>
      <fill>
        <patternFill>
          <bgColor rgb="FFFFFF99"/>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color theme="0" tint="-0.2499465926084170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theme="0" tint="-0.24994659260841701"/>
      </font>
      <fill>
        <patternFill>
          <bgColor theme="0" tint="-0.24994659260841701"/>
        </patternFill>
      </fill>
    </dxf>
    <dxf>
      <font>
        <b val="0"/>
        <i val="0"/>
        <color theme="0" tint="-0.24994659260841701"/>
      </font>
      <fill>
        <patternFill>
          <bgColor theme="0" tint="-0.24994659260841701"/>
        </patternFill>
      </fill>
    </dxf>
    <dxf>
      <font>
        <b/>
        <i val="0"/>
        <color theme="0"/>
      </font>
      <fill>
        <patternFill>
          <fgColor rgb="FFFFC7CE"/>
          <bgColor rgb="FFFF7182"/>
        </patternFill>
      </fill>
    </dxf>
    <dxf>
      <font>
        <b/>
        <i val="0"/>
        <color theme="0"/>
      </font>
      <fill>
        <patternFill>
          <fgColor rgb="FFFFC7CE"/>
          <bgColor rgb="FFFF7182"/>
        </patternFill>
      </fill>
    </dxf>
    <dxf>
      <font>
        <b/>
        <i val="0"/>
        <color auto="1"/>
      </font>
      <fill>
        <patternFill>
          <bgColor theme="7" tint="0.39994506668294322"/>
        </patternFill>
      </fill>
    </dxf>
    <dxf>
      <font>
        <b/>
        <i val="0"/>
        <color auto="1"/>
      </font>
      <fill>
        <patternFill>
          <bgColor theme="7" tint="0.39994506668294322"/>
        </patternFill>
      </fill>
    </dxf>
    <dxf>
      <fill>
        <patternFill patternType="none">
          <bgColor auto="1"/>
        </patternFill>
      </fill>
    </dxf>
    <dxf>
      <font>
        <b/>
        <i val="0"/>
        <color theme="0"/>
      </font>
      <fill>
        <patternFill>
          <fgColor rgb="FFFFC7CE"/>
          <bgColor theme="3" tint="-0.24994659260841701"/>
        </patternFill>
      </fill>
      <border>
        <left style="thin">
          <color theme="0" tint="-0.24994659260841701"/>
        </left>
        <right style="thin">
          <color theme="0" tint="-0.24994659260841701"/>
        </right>
        <top style="thin">
          <color theme="0" tint="-0.24994659260841701"/>
        </top>
        <bottom style="thin">
          <color theme="0" tint="-0.24994659260841701"/>
        </bottom>
      </border>
    </dxf>
    <dxf>
      <font>
        <b/>
        <i val="0"/>
        <color auto="1"/>
      </font>
      <fill>
        <patternFill patternType="solid">
          <bgColor theme="0"/>
        </patternFill>
      </fill>
      <border>
        <left style="thin">
          <color auto="1"/>
        </left>
        <right style="thin">
          <color auto="1"/>
        </right>
        <top style="thin">
          <color auto="1"/>
        </top>
        <bottom style="thin">
          <color auto="1"/>
        </bottom>
      </border>
    </dxf>
    <dxf>
      <font>
        <b/>
        <i val="0"/>
        <color theme="0"/>
      </font>
      <fill>
        <patternFill>
          <fgColor rgb="FFFFC7CE"/>
          <bgColor rgb="FFFF7182"/>
        </patternFill>
      </fill>
      <border>
        <left style="thin">
          <color rgb="FFA50021"/>
        </left>
        <right style="thin">
          <color rgb="FFA50021"/>
        </right>
        <top style="thin">
          <color rgb="FFA50021"/>
        </top>
        <bottom style="thin">
          <color rgb="FFA50021"/>
        </bottom>
      </border>
    </dxf>
    <dxf>
      <font>
        <b/>
        <i val="0"/>
        <color theme="0"/>
      </font>
      <fill>
        <patternFill>
          <bgColor theme="3" tint="-0.24994659260841701"/>
        </patternFill>
      </fill>
    </dxf>
    <dxf>
      <font>
        <b/>
        <i val="0"/>
      </font>
      <fill>
        <patternFill>
          <fgColor rgb="FFFBF5A7"/>
          <bgColor theme="7" tint="0.39994506668294322"/>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b/>
        <i val="0"/>
        <color auto="1"/>
      </font>
      <fill>
        <patternFill patternType="solid">
          <fgColor indexed="64"/>
          <bgColor theme="0" tint="-0.24994659260841701"/>
        </patternFill>
      </fill>
      <border>
        <left style="thin">
          <color theme="1"/>
        </left>
        <right style="thin">
          <color theme="1"/>
        </right>
        <top style="thin">
          <color theme="1"/>
        </top>
        <bottom style="thin">
          <color theme="1"/>
        </bottom>
        <vertical/>
        <horizontal/>
      </border>
    </dxf>
    <dxf>
      <font>
        <b/>
        <i val="0"/>
        <color auto="1"/>
      </font>
      <fill>
        <patternFill>
          <bgColor theme="0" tint="-4.9989318521683403E-2"/>
        </patternFill>
      </fill>
    </dxf>
    <dxf>
      <fill>
        <patternFill>
          <bgColor rgb="FFFFFFA3"/>
        </patternFill>
      </fill>
    </dxf>
    <dxf>
      <font>
        <b/>
        <i val="0"/>
        <color theme="0"/>
      </font>
      <fill>
        <patternFill>
          <fgColor rgb="FFFFC7CE"/>
          <bgColor rgb="FFFF7182"/>
        </patternFill>
      </fill>
    </dxf>
    <dxf>
      <font>
        <b/>
        <i val="0"/>
        <color theme="0"/>
      </font>
      <fill>
        <patternFill>
          <fgColor rgb="FFFFC7CE"/>
          <bgColor rgb="FFFF7182"/>
        </patternFill>
      </fill>
    </dxf>
    <dxf>
      <fill>
        <patternFill>
          <bgColor rgb="FFFFFFA3"/>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ill>
        <patternFill>
          <bgColor theme="0" tint="-0.24994659260841701"/>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i val="0"/>
        <color theme="1"/>
      </font>
      <fill>
        <patternFill>
          <bgColor theme="0" tint="-4.9989318521683403E-2"/>
        </patternFill>
      </fill>
    </dxf>
    <dxf>
      <font>
        <b/>
        <i val="0"/>
        <color theme="0"/>
      </font>
      <fill>
        <patternFill>
          <fgColor rgb="FFFFC7CE"/>
          <bgColor rgb="FFFF7182"/>
        </patternFill>
      </fill>
    </dxf>
    <dxf>
      <font>
        <b/>
        <i val="0"/>
        <color auto="1"/>
      </font>
      <fill>
        <patternFill>
          <bgColor theme="7" tint="0.39994506668294322"/>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fgColor rgb="FFFFFFCC"/>
          <bgColor theme="7" tint="0.59996337778862885"/>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val="0"/>
        <i val="0"/>
        <color theme="0" tint="-0.24994659260841701"/>
      </font>
      <fill>
        <patternFill>
          <bgColor theme="0" tint="-0.24994659260841701"/>
        </patternFill>
      </fill>
    </dxf>
    <dxf>
      <font>
        <b/>
        <i val="0"/>
        <color auto="1"/>
      </font>
      <fill>
        <patternFill>
          <bgColor theme="7" tint="0.39994506668294322"/>
        </patternFill>
      </fill>
    </dxf>
    <dxf>
      <font>
        <b/>
        <i val="0"/>
        <color theme="0"/>
      </font>
      <fill>
        <patternFill>
          <fgColor rgb="FFFFC7CE"/>
          <bgColor rgb="FFFF7182"/>
        </patternFill>
      </fill>
    </dxf>
    <dxf>
      <font>
        <b/>
        <i val="0"/>
        <color theme="1"/>
      </font>
      <fill>
        <patternFill>
          <bgColor theme="7" tint="0.39994506668294322"/>
        </patternFill>
      </fill>
    </dxf>
    <dxf>
      <font>
        <b/>
        <i val="0"/>
        <color theme="0"/>
      </font>
      <fill>
        <patternFill>
          <fgColor rgb="FFFFC7CE"/>
          <bgColor rgb="FFFF7182"/>
        </patternFill>
      </fill>
    </dxf>
    <dxf>
      <font>
        <b/>
        <i val="0"/>
        <color theme="0"/>
      </font>
      <fill>
        <patternFill>
          <fgColor rgb="FFFFC7CE"/>
          <bgColor rgb="FFFF7182"/>
        </patternFill>
      </fill>
    </dxf>
    <dxf>
      <fill>
        <patternFill patternType="none">
          <bgColor auto="1"/>
        </patternFill>
      </fill>
    </dxf>
    <dxf>
      <fill>
        <patternFill patternType="none">
          <bgColor auto="1"/>
        </patternFill>
      </fill>
    </dxf>
    <dxf>
      <font>
        <b/>
        <i val="0"/>
        <color theme="0"/>
      </font>
      <fill>
        <patternFill>
          <fgColor rgb="FFFFC7CE"/>
          <bgColor rgb="FFFF7182"/>
        </patternFill>
      </fill>
    </dxf>
    <dxf>
      <fill>
        <patternFill patternType="none">
          <bgColor auto="1"/>
        </patternFill>
      </fill>
    </dxf>
    <dxf>
      <font>
        <b/>
        <i val="0"/>
        <color auto="1"/>
      </font>
      <fill>
        <patternFill>
          <bgColor theme="7" tint="0.39994506668294322"/>
        </patternFill>
      </fill>
    </dxf>
    <dxf>
      <font>
        <b val="0"/>
        <i val="0"/>
        <color theme="0" tint="-0.24994659260841701"/>
      </font>
      <fill>
        <patternFill>
          <bgColor theme="0" tint="-0.24994659260841701"/>
        </patternFill>
      </fill>
    </dxf>
    <dxf>
      <font>
        <b/>
        <i val="0"/>
        <color theme="1"/>
      </font>
      <fill>
        <patternFill>
          <bgColor theme="7" tint="0.39994506668294322"/>
        </patternFill>
      </fill>
    </dxf>
    <dxf>
      <font>
        <b/>
        <i val="0"/>
        <color theme="0"/>
      </font>
      <fill>
        <patternFill>
          <fgColor rgb="FFFFC7CE"/>
          <bgColor rgb="FFFF7182"/>
        </patternFill>
      </fill>
    </dxf>
    <dxf>
      <font>
        <b/>
        <i val="0"/>
        <color theme="1"/>
      </font>
      <fill>
        <patternFill>
          <bgColor theme="7" tint="0.39994506668294322"/>
        </patternFill>
      </fill>
    </dxf>
    <dxf>
      <font>
        <b/>
        <i val="0"/>
        <color auto="1"/>
      </font>
      <fill>
        <patternFill>
          <bgColor theme="7" tint="0.39994506668294322"/>
        </patternFill>
      </fill>
      <border>
        <left style="thin">
          <color auto="1"/>
        </left>
        <right style="thin">
          <color auto="1"/>
        </right>
        <top style="thin">
          <color auto="1"/>
        </top>
        <bottom style="thin">
          <color auto="1"/>
        </bottom>
      </border>
    </dxf>
    <dxf>
      <font>
        <color rgb="FFA50021"/>
      </font>
      <fill>
        <patternFill>
          <fgColor rgb="FFFFC7CE"/>
          <bgColor rgb="FFFFC7CE"/>
        </patternFill>
      </fill>
    </dxf>
    <dxf>
      <font>
        <color rgb="FFA50021"/>
      </font>
      <fill>
        <patternFill>
          <fgColor rgb="FFFFC7CE"/>
          <bgColor rgb="FFFFC7CE"/>
        </patternFill>
      </fill>
    </dxf>
    <dxf>
      <font>
        <b/>
        <i val="0"/>
        <color theme="0"/>
      </font>
      <fill>
        <patternFill>
          <bgColor rgb="FF9C347E"/>
        </patternFill>
      </fill>
    </dxf>
    <dxf>
      <font>
        <color rgb="FFA50021"/>
      </font>
      <fill>
        <patternFill>
          <fgColor rgb="FFFFC7CE"/>
          <bgColor rgb="FFFFC7CE"/>
        </patternFill>
      </fill>
    </dxf>
    <dxf>
      <font>
        <color rgb="FFA50021"/>
      </font>
      <fill>
        <patternFill>
          <fgColor rgb="FFFFC7CE"/>
          <bgColor rgb="FFFFC7CE"/>
        </patternFill>
      </fill>
    </dxf>
    <dxf>
      <font>
        <b/>
        <i val="0"/>
        <color theme="1"/>
      </font>
      <fill>
        <patternFill>
          <bgColor theme="7" tint="0.39994506668294322"/>
        </patternFill>
      </fill>
      <border>
        <left style="thin">
          <color theme="1"/>
        </left>
        <right style="thin">
          <color theme="1"/>
        </right>
        <top style="thin">
          <color theme="1"/>
        </top>
        <bottom style="thin">
          <color theme="1"/>
        </bottom>
      </border>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Types" Target="richData/rdRichValueTyp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Structure" Target="richData/rdrichvaluestructure.xml"/><Relationship Id="rId5" Type="http://schemas.openxmlformats.org/officeDocument/2006/relationships/externalLink" Target="externalLinks/externalLink1.xml"/><Relationship Id="rId10" Type="http://schemas.microsoft.com/office/2017/06/relationships/rdRichValue" Target="richData/rdrichvalue.xml"/><Relationship Id="rId4" Type="http://schemas.openxmlformats.org/officeDocument/2006/relationships/worksheet" Target="worksheets/sheet4.xml"/><Relationship Id="rId9" Type="http://schemas.openxmlformats.org/officeDocument/2006/relationships/sheetMetadata" Target="metadata.xml"/><Relationship Id="rId14" Type="http://schemas.microsoft.com/office/2022/10/relationships/richValueRel" Target="richData/richValueRel.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microsoft.com/office/2007/relationships/hdphoto" Target="../media/hdphoto1.wdp"/><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8" Type="http://schemas.openxmlformats.org/officeDocument/2006/relationships/image" Target="../media/image11.png"/><Relationship Id="rId3" Type="http://schemas.openxmlformats.org/officeDocument/2006/relationships/image" Target="../media/image4.png"/><Relationship Id="rId7" Type="http://schemas.openxmlformats.org/officeDocument/2006/relationships/image" Target="../media/image10.png"/><Relationship Id="rId2" Type="http://schemas.openxmlformats.org/officeDocument/2006/relationships/image" Target="../media/image7.png"/><Relationship Id="rId1" Type="http://schemas.openxmlformats.org/officeDocument/2006/relationships/image" Target="../media/image6.png"/><Relationship Id="rId6" Type="http://schemas.openxmlformats.org/officeDocument/2006/relationships/image" Target="../media/image9.png"/><Relationship Id="rId5" Type="http://schemas.openxmlformats.org/officeDocument/2006/relationships/image" Target="../media/image8.png"/><Relationship Id="rId4" Type="http://schemas.microsoft.com/office/2007/relationships/hdphoto" Target="../media/hdphoto1.wdp"/><Relationship Id="rId9" Type="http://schemas.openxmlformats.org/officeDocument/2006/relationships/image" Target="../media/image12.png"/></Relationships>
</file>

<file path=xl/drawings/_rels/drawing4.x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9</xdr:col>
      <xdr:colOff>552450</xdr:colOff>
      <xdr:row>24</xdr:row>
      <xdr:rowOff>441933</xdr:rowOff>
    </xdr:from>
    <xdr:to>
      <xdr:col>12</xdr:col>
      <xdr:colOff>476250</xdr:colOff>
      <xdr:row>29</xdr:row>
      <xdr:rowOff>208821</xdr:rowOff>
    </xdr:to>
    <xdr:pic>
      <xdr:nvPicPr>
        <xdr:cNvPr id="3" name="Imagen 2" descr="Texto&#10;&#10;Descripción generada automáticamente">
          <a:extLst>
            <a:ext uri="{FF2B5EF4-FFF2-40B4-BE49-F238E27FC236}">
              <a16:creationId xmlns:a16="http://schemas.microsoft.com/office/drawing/2014/main" id="{7368560E-B477-2DAB-3E32-0FE9D4A4D1D4}"/>
            </a:ext>
          </a:extLst>
        </xdr:cNvPr>
        <xdr:cNvPicPr>
          <a:picLocks noChangeAspect="1"/>
        </xdr:cNvPicPr>
      </xdr:nvPicPr>
      <xdr:blipFill>
        <a:blip xmlns:r="http://schemas.openxmlformats.org/officeDocument/2006/relationships" r:embed="rId1"/>
        <a:stretch>
          <a:fillRect/>
        </a:stretch>
      </xdr:blipFill>
      <xdr:spPr>
        <a:xfrm>
          <a:off x="6067425" y="8023833"/>
          <a:ext cx="2209800" cy="1395663"/>
        </a:xfrm>
        <a:prstGeom prst="rect">
          <a:avLst/>
        </a:prstGeom>
      </xdr:spPr>
    </xdr:pic>
    <xdr:clientData/>
  </xdr:twoCellAnchor>
  <xdr:twoCellAnchor editAs="oneCell">
    <xdr:from>
      <xdr:col>9</xdr:col>
      <xdr:colOff>256215</xdr:colOff>
      <xdr:row>31</xdr:row>
      <xdr:rowOff>129114</xdr:rowOff>
    </xdr:from>
    <xdr:to>
      <xdr:col>13</xdr:col>
      <xdr:colOff>723901</xdr:colOff>
      <xdr:row>42</xdr:row>
      <xdr:rowOff>142875</xdr:rowOff>
    </xdr:to>
    <xdr:pic>
      <xdr:nvPicPr>
        <xdr:cNvPr id="5" name="Imagen 4" descr="Captura de pantalla de un celular con texto&#10;&#10;Descripción generada automáticamente">
          <a:extLst>
            <a:ext uri="{FF2B5EF4-FFF2-40B4-BE49-F238E27FC236}">
              <a16:creationId xmlns:a16="http://schemas.microsoft.com/office/drawing/2014/main" id="{56241529-EAF9-C11D-7D59-4584C3731A13}"/>
            </a:ext>
          </a:extLst>
        </xdr:cNvPr>
        <xdr:cNvPicPr>
          <a:picLocks noChangeAspect="1"/>
        </xdr:cNvPicPr>
      </xdr:nvPicPr>
      <xdr:blipFill>
        <a:blip xmlns:r="http://schemas.openxmlformats.org/officeDocument/2006/relationships" r:embed="rId2"/>
        <a:stretch>
          <a:fillRect/>
        </a:stretch>
      </xdr:blipFill>
      <xdr:spPr>
        <a:xfrm>
          <a:off x="5771190" y="9873189"/>
          <a:ext cx="3534736" cy="2947461"/>
        </a:xfrm>
        <a:prstGeom prst="rect">
          <a:avLst/>
        </a:prstGeom>
      </xdr:spPr>
    </xdr:pic>
    <xdr:clientData/>
  </xdr:twoCellAnchor>
  <xdr:twoCellAnchor editAs="oneCell">
    <xdr:from>
      <xdr:col>1</xdr:col>
      <xdr:colOff>190500</xdr:colOff>
      <xdr:row>26</xdr:row>
      <xdr:rowOff>3580</xdr:rowOff>
    </xdr:from>
    <xdr:to>
      <xdr:col>8</xdr:col>
      <xdr:colOff>542925</xdr:colOff>
      <xdr:row>40</xdr:row>
      <xdr:rowOff>8695</xdr:rowOff>
    </xdr:to>
    <xdr:pic>
      <xdr:nvPicPr>
        <xdr:cNvPr id="7" name="Imagen 6" descr="Texto, Carta&#10;&#10;El contenido generado por IA puede ser incorrecto.">
          <a:extLst>
            <a:ext uri="{FF2B5EF4-FFF2-40B4-BE49-F238E27FC236}">
              <a16:creationId xmlns:a16="http://schemas.microsoft.com/office/drawing/2014/main" id="{A5BE8998-5617-9289-952E-5504D5BC2CDD}"/>
            </a:ext>
          </a:extLst>
        </xdr:cNvPr>
        <xdr:cNvPicPr>
          <a:picLocks noChangeAspect="1"/>
        </xdr:cNvPicPr>
      </xdr:nvPicPr>
      <xdr:blipFill>
        <a:blip xmlns:r="http://schemas.openxmlformats.org/officeDocument/2006/relationships" r:embed="rId3"/>
        <a:stretch>
          <a:fillRect/>
        </a:stretch>
      </xdr:blipFill>
      <xdr:spPr>
        <a:xfrm>
          <a:off x="371475" y="8414155"/>
          <a:ext cx="4924425" cy="373891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20</xdr:col>
      <xdr:colOff>1363041</xdr:colOff>
      <xdr:row>18</xdr:row>
      <xdr:rowOff>17318</xdr:rowOff>
    </xdr:from>
    <xdr:to>
      <xdr:col>24</xdr:col>
      <xdr:colOff>106098</xdr:colOff>
      <xdr:row>21</xdr:row>
      <xdr:rowOff>471105</xdr:rowOff>
    </xdr:to>
    <xdr:pic>
      <xdr:nvPicPr>
        <xdr:cNvPr id="2" name="Imagen 1">
          <a:extLst>
            <a:ext uri="{FF2B5EF4-FFF2-40B4-BE49-F238E27FC236}">
              <a16:creationId xmlns:a16="http://schemas.microsoft.com/office/drawing/2014/main" id="{F8F9CB2C-FA09-4061-B5C1-4A9F33D902AA}"/>
            </a:ext>
          </a:extLst>
        </xdr:cNvPr>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36538866" y="9266093"/>
          <a:ext cx="4962882" cy="23492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20</xdr:col>
      <xdr:colOff>432954</xdr:colOff>
      <xdr:row>20</xdr:row>
      <xdr:rowOff>209855</xdr:rowOff>
    </xdr:from>
    <xdr:to>
      <xdr:col>20</xdr:col>
      <xdr:colOff>1587160</xdr:colOff>
      <xdr:row>21</xdr:row>
      <xdr:rowOff>348401</xdr:rowOff>
    </xdr:to>
    <xdr:sp macro="" textlink="">
      <xdr:nvSpPr>
        <xdr:cNvPr id="3" name="Flecha: a la derecha 2">
          <a:extLst>
            <a:ext uri="{FF2B5EF4-FFF2-40B4-BE49-F238E27FC236}">
              <a16:creationId xmlns:a16="http://schemas.microsoft.com/office/drawing/2014/main" id="{5DF3646F-2673-4433-9DDE-B006A33984FA}"/>
            </a:ext>
          </a:extLst>
        </xdr:cNvPr>
        <xdr:cNvSpPr/>
      </xdr:nvSpPr>
      <xdr:spPr>
        <a:xfrm rot="10800000">
          <a:off x="35608779" y="10725455"/>
          <a:ext cx="1154206" cy="767196"/>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editAs="oneCell">
    <xdr:from>
      <xdr:col>20</xdr:col>
      <xdr:colOff>382496</xdr:colOff>
      <xdr:row>103</xdr:row>
      <xdr:rowOff>138545</xdr:rowOff>
    </xdr:from>
    <xdr:to>
      <xdr:col>24</xdr:col>
      <xdr:colOff>96963</xdr:colOff>
      <xdr:row>105</xdr:row>
      <xdr:rowOff>1035557</xdr:rowOff>
    </xdr:to>
    <xdr:pic>
      <xdr:nvPicPr>
        <xdr:cNvPr id="4" name="Imagen 3" descr="Texto, Carta&#10;&#10;El contenido generado por IA puede ser incorrecto.">
          <a:extLst>
            <a:ext uri="{FF2B5EF4-FFF2-40B4-BE49-F238E27FC236}">
              <a16:creationId xmlns:a16="http://schemas.microsoft.com/office/drawing/2014/main" id="{75F7D403-D1E7-BD6E-D6C1-64682B616978}"/>
            </a:ext>
          </a:extLst>
        </xdr:cNvPr>
        <xdr:cNvPicPr>
          <a:picLocks noChangeAspect="1"/>
        </xdr:cNvPicPr>
      </xdr:nvPicPr>
      <xdr:blipFill>
        <a:blip xmlns:r="http://schemas.openxmlformats.org/officeDocument/2006/relationships" r:embed="rId3"/>
        <a:stretch>
          <a:fillRect/>
        </a:stretch>
      </xdr:blipFill>
      <xdr:spPr>
        <a:xfrm>
          <a:off x="35590360" y="72684409"/>
          <a:ext cx="5931694" cy="62829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89648</xdr:colOff>
      <xdr:row>0</xdr:row>
      <xdr:rowOff>78442</xdr:rowOff>
    </xdr:from>
    <xdr:to>
      <xdr:col>0</xdr:col>
      <xdr:colOff>1473014</xdr:colOff>
      <xdr:row>0</xdr:row>
      <xdr:rowOff>1202746</xdr:rowOff>
    </xdr:to>
    <xdr:pic>
      <xdr:nvPicPr>
        <xdr:cNvPr id="2" name="Imagen 1">
          <a:extLst>
            <a:ext uri="{FF2B5EF4-FFF2-40B4-BE49-F238E27FC236}">
              <a16:creationId xmlns:a16="http://schemas.microsoft.com/office/drawing/2014/main" id="{7290841E-3AC1-41EE-849F-23B2F87BCF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648" y="78442"/>
          <a:ext cx="1383366" cy="1124304"/>
        </a:xfrm>
        <a:prstGeom prst="rect">
          <a:avLst/>
        </a:prstGeom>
      </xdr:spPr>
    </xdr:pic>
    <xdr:clientData/>
  </xdr:twoCellAnchor>
  <xdr:twoCellAnchor editAs="oneCell">
    <xdr:from>
      <xdr:col>0</xdr:col>
      <xdr:colOff>638734</xdr:colOff>
      <xdr:row>31</xdr:row>
      <xdr:rowOff>302559</xdr:rowOff>
    </xdr:from>
    <xdr:to>
      <xdr:col>5</xdr:col>
      <xdr:colOff>593911</xdr:colOff>
      <xdr:row>31</xdr:row>
      <xdr:rowOff>3933264</xdr:rowOff>
    </xdr:to>
    <xdr:pic>
      <xdr:nvPicPr>
        <xdr:cNvPr id="3" name="Imagen 2">
          <a:extLst>
            <a:ext uri="{FF2B5EF4-FFF2-40B4-BE49-F238E27FC236}">
              <a16:creationId xmlns:a16="http://schemas.microsoft.com/office/drawing/2014/main" id="{888D9728-7789-4CE5-A58E-FF90CB0F08F9}"/>
            </a:ext>
          </a:extLst>
        </xdr:cNvPr>
        <xdr:cNvPicPr>
          <a:picLocks noChangeAspect="1"/>
        </xdr:cNvPicPr>
      </xdr:nvPicPr>
      <xdr:blipFill rotWithShape="1">
        <a:blip xmlns:r="http://schemas.openxmlformats.org/officeDocument/2006/relationships" r:embed="rId2"/>
        <a:srcRect l="5392" t="5914" r="3595" b="6989"/>
        <a:stretch/>
      </xdr:blipFill>
      <xdr:spPr>
        <a:xfrm>
          <a:off x="638734" y="28287009"/>
          <a:ext cx="10775577" cy="3630705"/>
        </a:xfrm>
        <a:prstGeom prst="rect">
          <a:avLst/>
        </a:prstGeom>
      </xdr:spPr>
    </xdr:pic>
    <xdr:clientData/>
  </xdr:twoCellAnchor>
  <xdr:twoCellAnchor editAs="oneCell">
    <xdr:from>
      <xdr:col>9</xdr:col>
      <xdr:colOff>941293</xdr:colOff>
      <xdr:row>78</xdr:row>
      <xdr:rowOff>627529</xdr:rowOff>
    </xdr:from>
    <xdr:to>
      <xdr:col>14</xdr:col>
      <xdr:colOff>309842</xdr:colOff>
      <xdr:row>80</xdr:row>
      <xdr:rowOff>2038910</xdr:rowOff>
    </xdr:to>
    <xdr:pic>
      <xdr:nvPicPr>
        <xdr:cNvPr id="4" name="Imagen 3">
          <a:extLst>
            <a:ext uri="{FF2B5EF4-FFF2-40B4-BE49-F238E27FC236}">
              <a16:creationId xmlns:a16="http://schemas.microsoft.com/office/drawing/2014/main" id="{0B28B751-78BB-481D-B6A5-8902301B476F}"/>
            </a:ext>
          </a:extLst>
        </xdr:cNvPr>
        <xdr:cNvPicPr>
          <a:picLocks noChangeAspect="1" noChangeArrowheads="1"/>
        </xdr:cNvPicPr>
      </xdr:nvPicPr>
      <xdr:blipFill>
        <a:blip xmlns:r="http://schemas.openxmlformats.org/officeDocument/2006/relationships" r:embed="rId3">
          <a:extLst>
            <a:ext uri="{BEBA8EAE-BF5A-486C-A8C5-ECC9F3942E4B}">
              <a14:imgProps xmlns:a14="http://schemas.microsoft.com/office/drawing/2010/main">
                <a14:imgLayer r:embed="rId4">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16543243" y="65321329"/>
          <a:ext cx="4950199" cy="23448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9</xdr:col>
      <xdr:colOff>11206</xdr:colOff>
      <xdr:row>80</xdr:row>
      <xdr:rowOff>1154206</xdr:rowOff>
    </xdr:from>
    <xdr:to>
      <xdr:col>9</xdr:col>
      <xdr:colOff>1165412</xdr:colOff>
      <xdr:row>80</xdr:row>
      <xdr:rowOff>1916206</xdr:rowOff>
    </xdr:to>
    <xdr:sp macro="" textlink="">
      <xdr:nvSpPr>
        <xdr:cNvPr id="5" name="Flecha: a la derecha 4">
          <a:extLst>
            <a:ext uri="{FF2B5EF4-FFF2-40B4-BE49-F238E27FC236}">
              <a16:creationId xmlns:a16="http://schemas.microsoft.com/office/drawing/2014/main" id="{8CE84D98-A124-4009-8A10-80446F0D6ED4}"/>
            </a:ext>
          </a:extLst>
        </xdr:cNvPr>
        <xdr:cNvSpPr/>
      </xdr:nvSpPr>
      <xdr:spPr>
        <a:xfrm rot="10800000">
          <a:off x="15613156" y="66781456"/>
          <a:ext cx="1154206" cy="762000"/>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9</xdr:col>
      <xdr:colOff>6723</xdr:colOff>
      <xdr:row>78</xdr:row>
      <xdr:rowOff>723901</xdr:rowOff>
    </xdr:from>
    <xdr:to>
      <xdr:col>9</xdr:col>
      <xdr:colOff>1160929</xdr:colOff>
      <xdr:row>80</xdr:row>
      <xdr:rowOff>555813</xdr:rowOff>
    </xdr:to>
    <xdr:sp macro="" textlink="">
      <xdr:nvSpPr>
        <xdr:cNvPr id="6" name="Flecha: a la derecha 5">
          <a:extLst>
            <a:ext uri="{FF2B5EF4-FFF2-40B4-BE49-F238E27FC236}">
              <a16:creationId xmlns:a16="http://schemas.microsoft.com/office/drawing/2014/main" id="{FA19629E-411D-4608-814A-BCA384E28318}"/>
            </a:ext>
          </a:extLst>
        </xdr:cNvPr>
        <xdr:cNvSpPr/>
      </xdr:nvSpPr>
      <xdr:spPr>
        <a:xfrm rot="11637368">
          <a:off x="15608673" y="65417701"/>
          <a:ext cx="1154206" cy="765362"/>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editAs="oneCell">
    <xdr:from>
      <xdr:col>9</xdr:col>
      <xdr:colOff>392206</xdr:colOff>
      <xdr:row>16</xdr:row>
      <xdr:rowOff>448234</xdr:rowOff>
    </xdr:from>
    <xdr:to>
      <xdr:col>17</xdr:col>
      <xdr:colOff>106084</xdr:colOff>
      <xdr:row>21</xdr:row>
      <xdr:rowOff>163440</xdr:rowOff>
    </xdr:to>
    <xdr:pic>
      <xdr:nvPicPr>
        <xdr:cNvPr id="7" name="Imagen 6">
          <a:extLst>
            <a:ext uri="{FF2B5EF4-FFF2-40B4-BE49-F238E27FC236}">
              <a16:creationId xmlns:a16="http://schemas.microsoft.com/office/drawing/2014/main" id="{5D5B6AED-7F24-4A3D-B1E7-776933F6DF77}"/>
            </a:ext>
          </a:extLst>
        </xdr:cNvPr>
        <xdr:cNvPicPr>
          <a:picLocks noChangeAspect="1"/>
        </xdr:cNvPicPr>
      </xdr:nvPicPr>
      <xdr:blipFill>
        <a:blip xmlns:r="http://schemas.openxmlformats.org/officeDocument/2006/relationships" r:embed="rId5"/>
        <a:stretch>
          <a:fillRect/>
        </a:stretch>
      </xdr:blipFill>
      <xdr:spPr>
        <a:xfrm>
          <a:off x="15994156" y="17402734"/>
          <a:ext cx="7438653" cy="5801681"/>
        </a:xfrm>
        <a:prstGeom prst="rect">
          <a:avLst/>
        </a:prstGeom>
      </xdr:spPr>
    </xdr:pic>
    <xdr:clientData/>
  </xdr:twoCellAnchor>
  <xdr:twoCellAnchor editAs="oneCell">
    <xdr:from>
      <xdr:col>0</xdr:col>
      <xdr:colOff>1983441</xdr:colOff>
      <xdr:row>17</xdr:row>
      <xdr:rowOff>862853</xdr:rowOff>
    </xdr:from>
    <xdr:to>
      <xdr:col>3</xdr:col>
      <xdr:colOff>1590922</xdr:colOff>
      <xdr:row>17</xdr:row>
      <xdr:rowOff>1777139</xdr:rowOff>
    </xdr:to>
    <xdr:pic>
      <xdr:nvPicPr>
        <xdr:cNvPr id="8" name="Imagen 7">
          <a:extLst>
            <a:ext uri="{FF2B5EF4-FFF2-40B4-BE49-F238E27FC236}">
              <a16:creationId xmlns:a16="http://schemas.microsoft.com/office/drawing/2014/main" id="{B2206738-D6FB-495E-83C5-994B5763AB65}"/>
            </a:ext>
          </a:extLst>
        </xdr:cNvPr>
        <xdr:cNvPicPr>
          <a:picLocks noChangeAspect="1"/>
        </xdr:cNvPicPr>
      </xdr:nvPicPr>
      <xdr:blipFill>
        <a:blip xmlns:r="http://schemas.openxmlformats.org/officeDocument/2006/relationships" r:embed="rId6"/>
        <a:stretch>
          <a:fillRect/>
        </a:stretch>
      </xdr:blipFill>
      <xdr:spPr>
        <a:xfrm>
          <a:off x="1983441" y="18484103"/>
          <a:ext cx="6979831" cy="914286"/>
        </a:xfrm>
        <a:prstGeom prst="rect">
          <a:avLst/>
        </a:prstGeom>
      </xdr:spPr>
    </xdr:pic>
    <xdr:clientData/>
  </xdr:twoCellAnchor>
  <xdr:twoCellAnchor>
    <xdr:from>
      <xdr:col>9</xdr:col>
      <xdr:colOff>369793</xdr:colOff>
      <xdr:row>13</xdr:row>
      <xdr:rowOff>2879912</xdr:rowOff>
    </xdr:from>
    <xdr:to>
      <xdr:col>17</xdr:col>
      <xdr:colOff>22411</xdr:colOff>
      <xdr:row>16</xdr:row>
      <xdr:rowOff>437029</xdr:rowOff>
    </xdr:to>
    <xdr:sp macro="" textlink="">
      <xdr:nvSpPr>
        <xdr:cNvPr id="9" name="Rectángulo 8">
          <a:extLst>
            <a:ext uri="{FF2B5EF4-FFF2-40B4-BE49-F238E27FC236}">
              <a16:creationId xmlns:a16="http://schemas.microsoft.com/office/drawing/2014/main" id="{FA60CC06-7C65-4513-B0A9-D0ABC7FF582C}"/>
            </a:ext>
          </a:extLst>
        </xdr:cNvPr>
        <xdr:cNvSpPr/>
      </xdr:nvSpPr>
      <xdr:spPr>
        <a:xfrm>
          <a:off x="15971743" y="15329087"/>
          <a:ext cx="7377393" cy="2062442"/>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2800" kern="1200"/>
            <a:t>ESTE</a:t>
          </a:r>
          <a:r>
            <a:rPr lang="es-CO" sz="2800" kern="1200" baseline="0"/>
            <a:t> PUNTO SE ACLARO POR ADENDA 2 : LES DEJO  EL PANTALLAZO DEL ADENDO</a:t>
          </a:r>
          <a:endParaRPr lang="es-CO" sz="2800" kern="1200"/>
        </a:p>
      </xdr:txBody>
    </xdr:sp>
    <xdr:clientData/>
  </xdr:twoCellAnchor>
  <xdr:twoCellAnchor editAs="oneCell">
    <xdr:from>
      <xdr:col>0</xdr:col>
      <xdr:colOff>2801471</xdr:colOff>
      <xdr:row>10</xdr:row>
      <xdr:rowOff>302559</xdr:rowOff>
    </xdr:from>
    <xdr:to>
      <xdr:col>5</xdr:col>
      <xdr:colOff>879235</xdr:colOff>
      <xdr:row>10</xdr:row>
      <xdr:rowOff>4829735</xdr:rowOff>
    </xdr:to>
    <xdr:pic>
      <xdr:nvPicPr>
        <xdr:cNvPr id="10" name="Imagen 9">
          <a:extLst>
            <a:ext uri="{FF2B5EF4-FFF2-40B4-BE49-F238E27FC236}">
              <a16:creationId xmlns:a16="http://schemas.microsoft.com/office/drawing/2014/main" id="{9652FF59-C5EE-2BCA-64B1-2832CBBABC46}"/>
            </a:ext>
            <a:ext uri="{147F2762-F138-4A5C-976F-8EAC2B608ADB}">
              <a16:predDERef xmlns:a16="http://schemas.microsoft.com/office/drawing/2014/main" pred="{FA60CC06-7C65-4513-B0A9-D0ABC7FF582C}"/>
            </a:ext>
          </a:extLst>
        </xdr:cNvPr>
        <xdr:cNvPicPr>
          <a:picLocks noChangeAspect="1"/>
        </xdr:cNvPicPr>
      </xdr:nvPicPr>
      <xdr:blipFill>
        <a:blip xmlns:r="http://schemas.openxmlformats.org/officeDocument/2006/relationships" r:embed="rId7"/>
        <a:stretch>
          <a:fillRect/>
        </a:stretch>
      </xdr:blipFill>
      <xdr:spPr>
        <a:xfrm>
          <a:off x="2801471" y="5479677"/>
          <a:ext cx="8902646" cy="4527176"/>
        </a:xfrm>
        <a:prstGeom prst="rect">
          <a:avLst/>
        </a:prstGeom>
      </xdr:spPr>
    </xdr:pic>
    <xdr:clientData/>
  </xdr:twoCellAnchor>
  <xdr:twoCellAnchor editAs="oneCell">
    <xdr:from>
      <xdr:col>1</xdr:col>
      <xdr:colOff>571500</xdr:colOff>
      <xdr:row>80</xdr:row>
      <xdr:rowOff>242378</xdr:rowOff>
    </xdr:from>
    <xdr:to>
      <xdr:col>5</xdr:col>
      <xdr:colOff>257735</xdr:colOff>
      <xdr:row>80</xdr:row>
      <xdr:rowOff>4134970</xdr:rowOff>
    </xdr:to>
    <xdr:pic>
      <xdr:nvPicPr>
        <xdr:cNvPr id="11" name="Imagen 10" descr="Interfaz de usuario gráfica, Aplicación&#10;&#10;Descripción generada automáticamente">
          <a:extLst>
            <a:ext uri="{FF2B5EF4-FFF2-40B4-BE49-F238E27FC236}">
              <a16:creationId xmlns:a16="http://schemas.microsoft.com/office/drawing/2014/main" id="{C528C740-F7F5-7F15-03C4-F94F8E2067AF}"/>
            </a:ext>
          </a:extLst>
        </xdr:cNvPr>
        <xdr:cNvPicPr>
          <a:picLocks noChangeAspect="1"/>
        </xdr:cNvPicPr>
      </xdr:nvPicPr>
      <xdr:blipFill>
        <a:blip xmlns:r="http://schemas.openxmlformats.org/officeDocument/2006/relationships" r:embed="rId8"/>
        <a:stretch>
          <a:fillRect/>
        </a:stretch>
      </xdr:blipFill>
      <xdr:spPr>
        <a:xfrm>
          <a:off x="3417794" y="65976084"/>
          <a:ext cx="7664823" cy="3892592"/>
        </a:xfrm>
        <a:prstGeom prst="rect">
          <a:avLst/>
        </a:prstGeom>
      </xdr:spPr>
    </xdr:pic>
    <xdr:clientData/>
  </xdr:twoCellAnchor>
  <xdr:twoCellAnchor editAs="oneCell">
    <xdr:from>
      <xdr:col>9</xdr:col>
      <xdr:colOff>212912</xdr:colOff>
      <xdr:row>31</xdr:row>
      <xdr:rowOff>168855</xdr:rowOff>
    </xdr:from>
    <xdr:to>
      <xdr:col>23</xdr:col>
      <xdr:colOff>350073</xdr:colOff>
      <xdr:row>31</xdr:row>
      <xdr:rowOff>4000496</xdr:rowOff>
    </xdr:to>
    <xdr:pic>
      <xdr:nvPicPr>
        <xdr:cNvPr id="12" name="Imagen 11" descr="Una captura de pantalla de una red social&#10;&#10;El contenido generado por IA puede ser incorrecto.">
          <a:extLst>
            <a:ext uri="{FF2B5EF4-FFF2-40B4-BE49-F238E27FC236}">
              <a16:creationId xmlns:a16="http://schemas.microsoft.com/office/drawing/2014/main" id="{A855153A-A7D1-DD10-7396-888BD41DF7C4}"/>
            </a:ext>
          </a:extLst>
        </xdr:cNvPr>
        <xdr:cNvPicPr>
          <a:picLocks noChangeAspect="1"/>
        </xdr:cNvPicPr>
      </xdr:nvPicPr>
      <xdr:blipFill>
        <a:blip xmlns:r="http://schemas.openxmlformats.org/officeDocument/2006/relationships" r:embed="rId9"/>
        <a:stretch>
          <a:fillRect/>
        </a:stretch>
      </xdr:blipFill>
      <xdr:spPr>
        <a:xfrm>
          <a:off x="15822706" y="28194767"/>
          <a:ext cx="12183485" cy="383164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40374</xdr:colOff>
      <xdr:row>0</xdr:row>
      <xdr:rowOff>134511</xdr:rowOff>
    </xdr:from>
    <xdr:to>
      <xdr:col>2</xdr:col>
      <xdr:colOff>1832406</xdr:colOff>
      <xdr:row>1</xdr:row>
      <xdr:rowOff>1327254</xdr:rowOff>
    </xdr:to>
    <xdr:pic>
      <xdr:nvPicPr>
        <xdr:cNvPr id="2" name="Imagen 1">
          <a:extLst>
            <a:ext uri="{FF2B5EF4-FFF2-40B4-BE49-F238E27FC236}">
              <a16:creationId xmlns:a16="http://schemas.microsoft.com/office/drawing/2014/main" id="{E2DD7825-CB2D-46EA-88A3-8F35F4F436A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9999" y="134511"/>
          <a:ext cx="1792032" cy="1421343"/>
        </a:xfrm>
        <a:prstGeom prst="rect">
          <a:avLst/>
        </a:prstGeom>
      </xdr:spPr>
    </xdr:pic>
    <xdr:clientData/>
  </xdr:twoCellAnchor>
  <xdr:twoCellAnchor editAs="oneCell">
    <xdr:from>
      <xdr:col>7</xdr:col>
      <xdr:colOff>561975</xdr:colOff>
      <xdr:row>24</xdr:row>
      <xdr:rowOff>371475</xdr:rowOff>
    </xdr:from>
    <xdr:to>
      <xdr:col>13</xdr:col>
      <xdr:colOff>289213</xdr:colOff>
      <xdr:row>38</xdr:row>
      <xdr:rowOff>104532</xdr:rowOff>
    </xdr:to>
    <xdr:pic>
      <xdr:nvPicPr>
        <xdr:cNvPr id="7" name="Imagen 3">
          <a:extLst>
            <a:ext uri="{FF2B5EF4-FFF2-40B4-BE49-F238E27FC236}">
              <a16:creationId xmlns:a16="http://schemas.microsoft.com/office/drawing/2014/main" id="{BA62C05E-8F3F-4601-B840-64F2A353689E}"/>
            </a:ext>
            <a:ext uri="{147F2762-F138-4A5C-976F-8EAC2B608ADB}">
              <a16:predDERef xmlns:a16="http://schemas.microsoft.com/office/drawing/2014/main" pred="{E2DD7825-CB2D-46EA-88A3-8F35F4F436A5}"/>
            </a:ext>
          </a:extLst>
        </xdr:cNvPr>
        <xdr:cNvPicPr>
          <a:picLocks noChangeAspect="1"/>
        </xdr:cNvPicPr>
      </xdr:nvPicPr>
      <xdr:blipFill>
        <a:blip xmlns:r="http://schemas.openxmlformats.org/officeDocument/2006/relationships" r:embed="rId2"/>
        <a:stretch>
          <a:fillRect/>
        </a:stretch>
      </xdr:blipFill>
      <xdr:spPr>
        <a:xfrm>
          <a:off x="11649075" y="13011150"/>
          <a:ext cx="12376438" cy="581953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personal/proy_infraestructura_mincultura_gov_co/Documents/PROYECTOS%20GIC/01.%20ESTRUCTURACION/PROCESOS%202024/04.%20INF%20NIVEL%20NACIONAL/02.%20OBRA/03.%20EVALUACIONES/OFERTAS/00%20EVALUACION%20PRELIMINAR/CONSOLIDADO%20EVALUACION%20-%20MC-LP-010-2024.xlsm?EF64C98F" TargetMode="External"/><Relationship Id="rId1" Type="http://schemas.openxmlformats.org/officeDocument/2006/relationships/externalLinkPath" Target="file:///\\EF64C98F\CONSOLIDADO%20EVALUACION%20-%20MC-LP-010-202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NTAJE "/>
      <sheetName val="DATOS DEL PROCESO"/>
      <sheetName val="OFERENTES"/>
      <sheetName val="GRUPO INFRAESTRUCTURA"/>
      <sheetName val="PROPONENTE"/>
      <sheetName val="EXPERIENCIA"/>
      <sheetName val="PONDERACIÓN"/>
      <sheetName val="KRESIDUAL"/>
      <sheetName val="RESPUESTAS"/>
      <sheetName val="SALARIOS"/>
      <sheetName val="FORMULACIÓN"/>
    </sheetNames>
    <sheetDataSet>
      <sheetData sheetId="0"/>
      <sheetData sheetId="1">
        <row r="2">
          <cell r="D2" t="str">
            <v>MC-LP-010-2024</v>
          </cell>
        </row>
        <row r="3">
          <cell r="D3" t="str">
            <v>CONSTRUCCIÓN DE LA CASA DE LA CULTURA – CENTRO CULTURAL RROM DEL MUNICIPIO DE SAMPUÉS, DEPARTAMENTO DE SUCRE.</v>
          </cell>
        </row>
        <row r="4">
          <cell r="D4">
            <v>45632</v>
          </cell>
        </row>
        <row r="5">
          <cell r="D5">
            <v>1501251043</v>
          </cell>
        </row>
        <row r="7">
          <cell r="D7">
            <v>6</v>
          </cell>
        </row>
        <row r="8">
          <cell r="D8">
            <v>240</v>
          </cell>
        </row>
        <row r="10">
          <cell r="D10">
            <v>0.5</v>
          </cell>
        </row>
        <row r="12">
          <cell r="D12">
            <v>0.5</v>
          </cell>
        </row>
      </sheetData>
      <sheetData sheetId="2">
        <row r="2">
          <cell r="C2" t="str">
            <v>MC-LP-010-2024</v>
          </cell>
        </row>
        <row r="8">
          <cell r="A8">
            <v>1</v>
          </cell>
          <cell r="B8" t="str">
            <v>MONTAJES DE MARCA S.A.</v>
          </cell>
          <cell r="C8" t="str">
            <v>MONTAJES DE MARCA S.A.</v>
          </cell>
          <cell r="D8">
            <v>1</v>
          </cell>
          <cell r="E8"/>
          <cell r="F8"/>
          <cell r="G8"/>
          <cell r="H8"/>
          <cell r="I8"/>
          <cell r="J8"/>
          <cell r="K8"/>
          <cell r="L8"/>
          <cell r="M8"/>
          <cell r="N8"/>
          <cell r="O8">
            <v>1</v>
          </cell>
          <cell r="P8" t="str">
            <v>HABILITADO</v>
          </cell>
          <cell r="Q8" t="str">
            <v>HABILITADO</v>
          </cell>
          <cell r="R8" t="str">
            <v>HABILITADO</v>
          </cell>
          <cell r="S8" t="str">
            <v>HABILITADO</v>
          </cell>
          <cell r="T8">
            <v>40.5</v>
          </cell>
          <cell r="U8" t="str">
            <v>Observacion a Experiencia 2</v>
          </cell>
          <cell r="V8" t="str">
            <v>Clara Marcela Lozano Lozano</v>
          </cell>
          <cell r="W8" t="str">
            <v>German Camilo Venegas Cuestas</v>
          </cell>
          <cell r="Z8" t="str">
            <v>Proponente Individual</v>
          </cell>
        </row>
        <row r="9">
          <cell r="A9">
            <v>2</v>
          </cell>
          <cell r="B9" t="str">
            <v>CONSORCIO GRUPO EDIFICACIONAL</v>
          </cell>
          <cell r="C9" t="str">
            <v xml:space="preserve">CONSULCON PROYECTOS DE INGENIERIA SAS </v>
          </cell>
          <cell r="D9">
            <v>0.9</v>
          </cell>
          <cell r="E9" t="str">
            <v xml:space="preserve">LUIS FRANCISCO ESPAÑA RAMIREZ </v>
          </cell>
          <cell r="F9">
            <v>0.1</v>
          </cell>
          <cell r="G9"/>
          <cell r="H9"/>
          <cell r="I9"/>
          <cell r="J9"/>
          <cell r="K9"/>
          <cell r="L9"/>
          <cell r="M9"/>
          <cell r="N9"/>
          <cell r="O9">
            <v>1</v>
          </cell>
          <cell r="P9" t="str">
            <v>NO HABILITADO</v>
          </cell>
          <cell r="Q9" t="str">
            <v>NO HABILITADO</v>
          </cell>
          <cell r="R9" t="str">
            <v>HABILITADO</v>
          </cell>
          <cell r="S9" t="str">
            <v>NO HABILITADO</v>
          </cell>
          <cell r="T9">
            <v>40.5</v>
          </cell>
          <cell r="U9" t="str">
            <v>No cumple KRC</v>
          </cell>
          <cell r="V9" t="str">
            <v>Clara Marcela Lozano Lozano</v>
          </cell>
          <cell r="W9" t="str">
            <v>German Camilo Venegas Cuestas</v>
          </cell>
          <cell r="Z9" t="str">
            <v>Proponente Plural</v>
          </cell>
        </row>
        <row r="10">
          <cell r="A10">
            <v>3</v>
          </cell>
          <cell r="B10" t="str">
            <v>COINCO</v>
          </cell>
          <cell r="C10" t="str">
            <v>COINCO</v>
          </cell>
          <cell r="D10">
            <v>1</v>
          </cell>
          <cell r="E10"/>
          <cell r="F10"/>
          <cell r="G10"/>
          <cell r="H10"/>
          <cell r="I10"/>
          <cell r="J10"/>
          <cell r="K10"/>
          <cell r="L10"/>
          <cell r="M10"/>
          <cell r="N10"/>
          <cell r="O10">
            <v>1</v>
          </cell>
          <cell r="P10" t="str">
            <v>HABILITADO</v>
          </cell>
          <cell r="Q10" t="str">
            <v>HABILITADO</v>
          </cell>
          <cell r="R10" t="str">
            <v>HABILITADO</v>
          </cell>
          <cell r="S10" t="str">
            <v>HABILITADO</v>
          </cell>
          <cell r="T10">
            <v>40.5</v>
          </cell>
          <cell r="U10" t="str">
            <v>OK Formulación  - Ok KRC</v>
          </cell>
          <cell r="V10" t="str">
            <v>Clara Marcela Lozano Lozano</v>
          </cell>
          <cell r="W10" t="str">
            <v>German Camilo Venegas Cuestas</v>
          </cell>
          <cell r="Z10" t="str">
            <v>Proponente Individual</v>
          </cell>
        </row>
        <row r="11">
          <cell r="A11">
            <v>4</v>
          </cell>
          <cell r="B11" t="str">
            <v>ARQUITECTURA MAS VERDE</v>
          </cell>
          <cell r="C11" t="str">
            <v>ARQUITECTURA MAS VERDE</v>
          </cell>
          <cell r="D11">
            <v>1</v>
          </cell>
          <cell r="E11"/>
          <cell r="F11"/>
          <cell r="G11"/>
          <cell r="H11"/>
          <cell r="I11"/>
          <cell r="J11"/>
          <cell r="K11"/>
          <cell r="L11"/>
          <cell r="M11"/>
          <cell r="N11"/>
          <cell r="O11">
            <v>1</v>
          </cell>
          <cell r="P11" t="str">
            <v>HABILITADO</v>
          </cell>
          <cell r="Q11" t="str">
            <v>NO HABILITADO</v>
          </cell>
          <cell r="R11" t="str">
            <v>HABILITADO</v>
          </cell>
          <cell r="S11" t="str">
            <v>NO HABILITADO</v>
          </cell>
          <cell r="T11">
            <v>31.5</v>
          </cell>
          <cell r="U11" t="str">
            <v>Ponderable F9- jardines</v>
          </cell>
          <cell r="V11" t="str">
            <v>Clara Marcela Lozano Lozano</v>
          </cell>
          <cell r="W11" t="str">
            <v>German Camilo Venegas Cuestas</v>
          </cell>
          <cell r="Z11" t="str">
            <v>Proponente Individual</v>
          </cell>
        </row>
        <row r="12">
          <cell r="A12">
            <v>5</v>
          </cell>
          <cell r="B12" t="str">
            <v>CONSORCIO OBRAS LIMAGOT.</v>
          </cell>
          <cell r="C12" t="str">
            <v>LIMACOR MY S.A.S.</v>
          </cell>
          <cell r="D12">
            <v>0.9</v>
          </cell>
          <cell r="E12" t="str">
            <v>IGOTEC INGENIERIA S.A.S.</v>
          </cell>
          <cell r="F12">
            <v>0.1</v>
          </cell>
          <cell r="G12"/>
          <cell r="H12"/>
          <cell r="I12"/>
          <cell r="J12"/>
          <cell r="K12"/>
          <cell r="L12"/>
          <cell r="M12"/>
          <cell r="N12"/>
          <cell r="O12">
            <v>1</v>
          </cell>
          <cell r="P12" t="str">
            <v>NO HABILITADO</v>
          </cell>
          <cell r="Q12" t="str">
            <v>HABILITADO</v>
          </cell>
          <cell r="R12" t="str">
            <v>HABILITADO</v>
          </cell>
          <cell r="S12" t="str">
            <v>NO HABILITADO</v>
          </cell>
          <cell r="T12">
            <v>40.5</v>
          </cell>
          <cell r="U12" t="str">
            <v>No cumple KRC</v>
          </cell>
          <cell r="V12" t="str">
            <v>Clara Marcela Lozano Lozano</v>
          </cell>
          <cell r="W12" t="str">
            <v>German Camilo Venegas Cuestas</v>
          </cell>
          <cell r="Z12" t="str">
            <v>Proponente Plural</v>
          </cell>
        </row>
        <row r="13">
          <cell r="A13">
            <v>6</v>
          </cell>
          <cell r="B13" t="str">
            <v>CONSTRUCCIONES ARES SAS</v>
          </cell>
          <cell r="C13" t="str">
            <v>CONSTRUCCIONES ARES SAS</v>
          </cell>
          <cell r="D13">
            <v>1</v>
          </cell>
          <cell r="E13"/>
          <cell r="F13"/>
          <cell r="G13"/>
          <cell r="H13"/>
          <cell r="I13"/>
          <cell r="J13"/>
          <cell r="K13"/>
          <cell r="L13"/>
          <cell r="M13"/>
          <cell r="N13"/>
          <cell r="O13">
            <v>1</v>
          </cell>
          <cell r="P13" t="str">
            <v>NO HABILITADO</v>
          </cell>
          <cell r="Q13" t="str">
            <v>NO HABILITADO</v>
          </cell>
          <cell r="R13" t="str">
            <v>HABILITADO</v>
          </cell>
          <cell r="S13" t="str">
            <v>NO HABILITADO</v>
          </cell>
          <cell r="T13">
            <v>40.5</v>
          </cell>
          <cell r="U13" t="str">
            <v>Observacion por área certificada a la unica certificación</v>
          </cell>
          <cell r="V13" t="str">
            <v>Maria Fernanda Martinez Patiño</v>
          </cell>
          <cell r="W13" t="str">
            <v>Laura Gineth Sanchez Talero</v>
          </cell>
          <cell r="Z13" t="str">
            <v>Proponente Individual</v>
          </cell>
        </row>
        <row r="14">
          <cell r="A14">
            <v>7</v>
          </cell>
          <cell r="B14" t="str">
            <v>CONSORCIO TCONSTRUYE</v>
          </cell>
          <cell r="C14" t="str">
            <v>TCONSTRUYE INGENIERIA SAS</v>
          </cell>
          <cell r="D14">
            <v>0.9</v>
          </cell>
          <cell r="E14" t="str">
            <v>ERNESTO PABA ROYERO</v>
          </cell>
          <cell r="F14">
            <v>0.1</v>
          </cell>
          <cell r="G14"/>
          <cell r="H14"/>
          <cell r="I14"/>
          <cell r="J14"/>
          <cell r="K14"/>
          <cell r="L14"/>
          <cell r="M14"/>
          <cell r="N14"/>
          <cell r="O14">
            <v>1</v>
          </cell>
          <cell r="P14" t="str">
            <v>HABILITADO</v>
          </cell>
          <cell r="Q14" t="str">
            <v>NO HABILITADO</v>
          </cell>
          <cell r="R14" t="str">
            <v>HABILITADO</v>
          </cell>
          <cell r="S14" t="str">
            <v>NO HABILITADO</v>
          </cell>
          <cell r="T14">
            <v>40.5</v>
          </cell>
          <cell r="U14" t="str">
            <v>Observación : contrato antes de la NSR98</v>
          </cell>
          <cell r="V14" t="str">
            <v>Maria Fernanda Martinez Patiño</v>
          </cell>
          <cell r="W14" t="str">
            <v>Laura Gineth Sanchez Talero</v>
          </cell>
          <cell r="Z14" t="str">
            <v>Proponente Plural</v>
          </cell>
        </row>
        <row r="15">
          <cell r="A15">
            <v>8</v>
          </cell>
          <cell r="B15" t="str">
            <v>CONSORCIO INTUR SAMPUES.</v>
          </cell>
          <cell r="C15" t="str">
            <v xml:space="preserve">INVERSIONES INSULARES SAS </v>
          </cell>
          <cell r="D15">
            <v>0.5</v>
          </cell>
          <cell r="E15" t="str">
            <v>TURPIAL INGENIERIA S.A.S.</v>
          </cell>
          <cell r="F15">
            <v>0.5</v>
          </cell>
          <cell r="G15"/>
          <cell r="H15"/>
          <cell r="I15"/>
          <cell r="J15"/>
          <cell r="K15"/>
          <cell r="L15"/>
          <cell r="M15"/>
          <cell r="N15"/>
          <cell r="O15">
            <v>1</v>
          </cell>
          <cell r="P15" t="str">
            <v>HABILITADO</v>
          </cell>
          <cell r="Q15" t="str">
            <v>NO HABILITADO</v>
          </cell>
          <cell r="R15" t="str">
            <v>HABILITADO</v>
          </cell>
          <cell r="S15" t="str">
            <v>NO HABILITADO</v>
          </cell>
          <cell r="T15">
            <v>40.5</v>
          </cell>
          <cell r="U15" t="str">
            <v xml:space="preserve">OK-EXP OK- Ponderables / - OK Formulación </v>
          </cell>
          <cell r="V15" t="str">
            <v>Maria Fernanda Martinez Patiño</v>
          </cell>
          <cell r="W15" t="str">
            <v>Laura Gineth Sanchez Talero</v>
          </cell>
          <cell r="Z15" t="str">
            <v>Proponente Plural</v>
          </cell>
        </row>
        <row r="16">
          <cell r="A16">
            <v>9</v>
          </cell>
          <cell r="B16" t="str">
            <v>DIEGO PAVA INGENIEROS - DPI S.A.S</v>
          </cell>
          <cell r="C16" t="str">
            <v xml:space="preserve">	DIEGO PAVA INGENIEROS - DPI S.A.S.</v>
          </cell>
          <cell r="D16">
            <v>1</v>
          </cell>
          <cell r="E16"/>
          <cell r="F16"/>
          <cell r="G16"/>
          <cell r="H16"/>
          <cell r="I16"/>
          <cell r="J16"/>
          <cell r="K16"/>
          <cell r="L16"/>
          <cell r="M16"/>
          <cell r="N16"/>
          <cell r="O16">
            <v>1</v>
          </cell>
          <cell r="P16" t="str">
            <v>HABILITADO</v>
          </cell>
          <cell r="Q16" t="str">
            <v>NO HABILITADO</v>
          </cell>
          <cell r="R16" t="str">
            <v>HABILITADO</v>
          </cell>
          <cell r="S16" t="str">
            <v>NO HABILITADO</v>
          </cell>
          <cell r="T16">
            <v>39.5</v>
          </cell>
          <cell r="U16" t="str">
            <v>No se adjunta F8 personal discapacitado</v>
          </cell>
          <cell r="V16" t="str">
            <v>Maria Fernanda Martinez Patiño</v>
          </cell>
          <cell r="W16" t="str">
            <v>Laura Gineth Sanchez Talero</v>
          </cell>
          <cell r="Z16" t="str">
            <v>Proponente Individual</v>
          </cell>
        </row>
        <row r="17">
          <cell r="A17">
            <v>10</v>
          </cell>
          <cell r="B17" t="str">
            <v>CONSORCIO SPC 55</v>
          </cell>
          <cell r="C17" t="str">
            <v>CESAR AUGUSTO BRICEÑO SALAS</v>
          </cell>
          <cell r="D17">
            <v>0.55000000000000004</v>
          </cell>
          <cell r="E17" t="str">
            <v>PRAN CONSTRUCCIONES SAS</v>
          </cell>
          <cell r="F17">
            <v>0.45</v>
          </cell>
          <cell r="G17"/>
          <cell r="H17"/>
          <cell r="I17"/>
          <cell r="J17"/>
          <cell r="K17"/>
          <cell r="L17"/>
          <cell r="M17"/>
          <cell r="N17"/>
          <cell r="O17">
            <v>1</v>
          </cell>
          <cell r="P17" t="str">
            <v>HABILITADO</v>
          </cell>
          <cell r="Q17" t="str">
            <v>NO HABILITADO</v>
          </cell>
          <cell r="R17" t="str">
            <v>HABILITADO</v>
          </cell>
          <cell r="S17" t="str">
            <v>NO HABILITADO</v>
          </cell>
          <cell r="T17">
            <v>39.5</v>
          </cell>
          <cell r="U17" t="str">
            <v>Matricula mercantial del integrante se encuentra cancelada</v>
          </cell>
          <cell r="V17" t="str">
            <v>Maria Fernanda Martinez Patiño</v>
          </cell>
          <cell r="W17" t="str">
            <v>Laura Gineth Sanchez Talero</v>
          </cell>
          <cell r="Z17" t="str">
            <v>Proponente Plural</v>
          </cell>
        </row>
        <row r="18">
          <cell r="A18">
            <v>11</v>
          </cell>
          <cell r="B18" t="str">
            <v>CONSORCIO MC RROM 2024</v>
          </cell>
          <cell r="C18" t="str">
            <v>CAMICAL SAS</v>
          </cell>
          <cell r="D18">
            <v>0.1</v>
          </cell>
          <cell r="E18" t="str">
            <v xml:space="preserve">CONSTRUSAR S.A. </v>
          </cell>
          <cell r="F18">
            <v>0.9</v>
          </cell>
          <cell r="G18"/>
          <cell r="H18"/>
          <cell r="I18"/>
          <cell r="J18"/>
          <cell r="K18"/>
          <cell r="L18"/>
          <cell r="M18"/>
          <cell r="N18"/>
          <cell r="O18">
            <v>1</v>
          </cell>
          <cell r="P18" t="str">
            <v>HABILITADO</v>
          </cell>
          <cell r="Q18" t="str">
            <v>NO HABILITADO</v>
          </cell>
          <cell r="R18" t="str">
            <v>HABILITADO</v>
          </cell>
          <cell r="S18" t="str">
            <v>NO HABILITADO</v>
          </cell>
          <cell r="T18">
            <v>40.5</v>
          </cell>
          <cell r="U18" t="str">
            <v>OK Formulación  -</v>
          </cell>
          <cell r="V18" t="str">
            <v>Johanna Mardini Posada</v>
          </cell>
          <cell r="W18" t="str">
            <v>Manuela Silva Orozco</v>
          </cell>
          <cell r="Z18" t="str">
            <v>Proponente Plural</v>
          </cell>
        </row>
        <row r="19">
          <cell r="A19">
            <v>12</v>
          </cell>
          <cell r="B19" t="str">
            <v>CONSORCIO VALI</v>
          </cell>
          <cell r="C19" t="str">
            <v>GRUPO VAMOCI SAS</v>
          </cell>
          <cell r="D19">
            <v>0.495</v>
          </cell>
          <cell r="E19" t="str">
            <v xml:space="preserve">CONSTRUCCONES ELITE 2000 S.A.S </v>
          </cell>
          <cell r="F19">
            <v>0.505</v>
          </cell>
          <cell r="G19"/>
          <cell r="H19"/>
          <cell r="I19"/>
          <cell r="J19"/>
          <cell r="K19"/>
          <cell r="L19"/>
          <cell r="M19"/>
          <cell r="N19"/>
          <cell r="O19">
            <v>1</v>
          </cell>
          <cell r="P19" t="str">
            <v>NO HABILITADO</v>
          </cell>
          <cell r="Q19" t="str">
            <v>NO HABILITADO</v>
          </cell>
          <cell r="R19" t="str">
            <v>HABILITADO</v>
          </cell>
          <cell r="S19" t="str">
            <v>NO HABILITADO</v>
          </cell>
          <cell r="T19">
            <v>10.5</v>
          </cell>
          <cell r="U19" t="str">
            <v>No cumple KRC / Obsevadas todas las certificaciones
PONDERABLES: F12 - F9 errados F8 por la experiencia / F1 errado</v>
          </cell>
          <cell r="V19" t="str">
            <v>Johanna Mardini Posada</v>
          </cell>
          <cell r="W19" t="str">
            <v>Manuela Silva Orozco</v>
          </cell>
          <cell r="Z19" t="str">
            <v>Proponente Plural</v>
          </cell>
        </row>
        <row r="20">
          <cell r="A20">
            <v>13</v>
          </cell>
          <cell r="B20" t="str">
            <v>CONSORCIO OCIMACS-PARCOIN</v>
          </cell>
          <cell r="C20" t="str">
            <v>INGENIERIA OCIMACS S.A.S</v>
          </cell>
          <cell r="D20">
            <v>0.7</v>
          </cell>
          <cell r="E20" t="str">
            <v>J&amp;S ASESORIA E INGENIERIA SAS</v>
          </cell>
          <cell r="F20">
            <v>0.1</v>
          </cell>
          <cell r="G20" t="str">
            <v>PAREDES CONSTRUCCIONES E INVERSIONES S.A.S</v>
          </cell>
          <cell r="H20">
            <v>0.2</v>
          </cell>
          <cell r="I20"/>
          <cell r="J20"/>
          <cell r="K20"/>
          <cell r="L20"/>
          <cell r="M20"/>
          <cell r="N20"/>
          <cell r="O20">
            <v>1</v>
          </cell>
          <cell r="P20" t="str">
            <v>NO HABILITADO</v>
          </cell>
          <cell r="Q20" t="str">
            <v>NO HABILITADO</v>
          </cell>
          <cell r="R20" t="str">
            <v>HABILITADO</v>
          </cell>
          <cell r="S20" t="str">
            <v>NO HABILITADO</v>
          </cell>
          <cell r="T20">
            <v>30.5</v>
          </cell>
          <cell r="U20" t="str">
            <v>Fecha Exp. RUP - Observaciones Certificaciones - No cumple fecha NSR 10</v>
          </cell>
          <cell r="V20" t="str">
            <v>Johanna Mardini Posada</v>
          </cell>
          <cell r="W20" t="str">
            <v>Manuela Silva Orozco</v>
          </cell>
          <cell r="Z20" t="str">
            <v>Proponente Plural</v>
          </cell>
        </row>
        <row r="21">
          <cell r="A21">
            <v>14</v>
          </cell>
          <cell r="B21" t="str">
            <v>CONSORCIO AJR CASA CULTURAL 2024</v>
          </cell>
          <cell r="C21" t="str">
            <v>AJR SOLUCIONES INTEGRALES DE INGENIERIA S.A.S</v>
          </cell>
          <cell r="D21">
            <v>0.5</v>
          </cell>
          <cell r="E21" t="str">
            <v>GRUPO EMPRESARIAL PROYECTAR INGENIERIA S.A.S</v>
          </cell>
          <cell r="F21">
            <v>0.5</v>
          </cell>
          <cell r="G21"/>
          <cell r="H21"/>
          <cell r="I21"/>
          <cell r="J21"/>
          <cell r="K21"/>
          <cell r="L21"/>
          <cell r="M21"/>
          <cell r="N21"/>
          <cell r="O21">
            <v>1</v>
          </cell>
          <cell r="P21" t="str">
            <v>NO HABILITADO</v>
          </cell>
          <cell r="Q21" t="str">
            <v>NO HABILITADO</v>
          </cell>
          <cell r="R21" t="str">
            <v>HABILITADO</v>
          </cell>
          <cell r="S21" t="str">
            <v>NO HABILITADO</v>
          </cell>
          <cell r="T21">
            <v>40.5</v>
          </cell>
          <cell r="U21" t="str">
            <v>Observacion por área certificada en las 2 certificaciones - No cumple KRC</v>
          </cell>
          <cell r="V21" t="str">
            <v>Johanna Mardini Posada</v>
          </cell>
          <cell r="W21" t="str">
            <v>Manuela Silva Orozco</v>
          </cell>
          <cell r="Z21" t="str">
            <v>Proponente Plural</v>
          </cell>
        </row>
        <row r="22">
          <cell r="A22">
            <v>15</v>
          </cell>
          <cell r="B22" t="str">
            <v>CONSTRUCTORA AHA SAS</v>
          </cell>
          <cell r="C22" t="str">
            <v>CONSTRUCTORA AHA SAS</v>
          </cell>
          <cell r="D22">
            <v>1</v>
          </cell>
          <cell r="E22"/>
          <cell r="F22"/>
          <cell r="G22"/>
          <cell r="H22"/>
          <cell r="I22"/>
          <cell r="J22"/>
          <cell r="K22"/>
          <cell r="L22"/>
          <cell r="M22"/>
          <cell r="N22"/>
          <cell r="O22">
            <v>1</v>
          </cell>
          <cell r="P22" t="str">
            <v>NO HABILITADO</v>
          </cell>
          <cell r="Q22" t="str">
            <v>HABILITADO</v>
          </cell>
          <cell r="R22" t="str">
            <v>HABILITADO</v>
          </cell>
          <cell r="S22" t="str">
            <v>NO HABILITADO</v>
          </cell>
          <cell r="T22">
            <v>40.5</v>
          </cell>
          <cell r="U22" t="str">
            <v xml:space="preserve">No cumple KRC </v>
          </cell>
          <cell r="V22" t="str">
            <v>Johanna Mardini Posada</v>
          </cell>
          <cell r="W22" t="str">
            <v>Manuela Silva Orozco</v>
          </cell>
          <cell r="Z22" t="str">
            <v>Proponente Individual</v>
          </cell>
        </row>
        <row r="23">
          <cell r="A23">
            <v>16</v>
          </cell>
          <cell r="B23" t="str">
            <v>CONSORCIO RYR MEDALCON 2024</v>
          </cell>
          <cell r="C23" t="str">
            <v>RYR PROFESIONALES EN INGENIERIA SAS</v>
          </cell>
          <cell r="D23">
            <v>0.5</v>
          </cell>
          <cell r="E23" t="str">
            <v>MEDINA ALBIS CONSTRUCTORES SAS</v>
          </cell>
          <cell r="F23">
            <v>0.5</v>
          </cell>
          <cell r="G23"/>
          <cell r="H23"/>
          <cell r="I23"/>
          <cell r="J23"/>
          <cell r="K23"/>
          <cell r="L23"/>
          <cell r="M23"/>
          <cell r="N23"/>
          <cell r="O23">
            <v>1</v>
          </cell>
          <cell r="P23" t="str">
            <v>NO HABILITADO</v>
          </cell>
          <cell r="Q23" t="str">
            <v>NO HABILITADO</v>
          </cell>
          <cell r="R23" t="str">
            <v>HABILITADO</v>
          </cell>
          <cell r="S23" t="str">
            <v>NO HABILITADO</v>
          </cell>
          <cell r="T23">
            <v>40.5</v>
          </cell>
          <cell r="U23" t="str">
            <v>No cumple KRC- Certificación con privado no anexa certificado de contador</v>
          </cell>
          <cell r="V23" t="str">
            <v>Fabio Enrique Florez Montesino</v>
          </cell>
          <cell r="W23" t="str">
            <v>Ilie Hernandez Ayala</v>
          </cell>
          <cell r="Z23" t="str">
            <v>Proponente Plural</v>
          </cell>
        </row>
        <row r="24">
          <cell r="A24">
            <v>17</v>
          </cell>
          <cell r="B24" t="str">
            <v xml:space="preserve">	DEJO CONSTRUCCIONES SAS</v>
          </cell>
          <cell r="C24" t="str">
            <v xml:space="preserve">	DEJO CONSTRUCCIONES SAS</v>
          </cell>
          <cell r="D24">
            <v>1</v>
          </cell>
          <cell r="E24"/>
          <cell r="F24"/>
          <cell r="G24"/>
          <cell r="H24"/>
          <cell r="I24"/>
          <cell r="J24"/>
          <cell r="K24"/>
          <cell r="L24"/>
          <cell r="M24"/>
          <cell r="N24"/>
          <cell r="O24">
            <v>1</v>
          </cell>
          <cell r="P24" t="str">
            <v>HABILITADO</v>
          </cell>
          <cell r="Q24" t="str">
            <v>HABILITADO</v>
          </cell>
          <cell r="R24" t="str">
            <v>HABILITADO</v>
          </cell>
          <cell r="S24" t="str">
            <v>HABILITADO</v>
          </cell>
          <cell r="T24">
            <v>40.5</v>
          </cell>
          <cell r="U24" t="str">
            <v xml:space="preserve">OK-EXP OK- Ponderables / - OK Formulación </v>
          </cell>
          <cell r="V24" t="str">
            <v>Fabio Enrique Florez Montesino</v>
          </cell>
          <cell r="W24" t="str">
            <v>Ilie Hernandez Ayala</v>
          </cell>
          <cell r="Z24" t="str">
            <v>Proponente Individual</v>
          </cell>
        </row>
        <row r="25">
          <cell r="A25">
            <v>18</v>
          </cell>
          <cell r="B25" t="str">
            <v xml:space="preserve">	VISUAR</v>
          </cell>
          <cell r="C25" t="str">
            <v xml:space="preserve">	VISUAR</v>
          </cell>
          <cell r="D25">
            <v>1</v>
          </cell>
          <cell r="E25"/>
          <cell r="F25"/>
          <cell r="G25"/>
          <cell r="H25"/>
          <cell r="I25"/>
          <cell r="J25"/>
          <cell r="K25"/>
          <cell r="L25"/>
          <cell r="M25"/>
          <cell r="N25"/>
          <cell r="O25">
            <v>1</v>
          </cell>
          <cell r="P25" t="str">
            <v>NO HABILITADO</v>
          </cell>
          <cell r="Q25" t="str">
            <v>HABILITADO</v>
          </cell>
          <cell r="R25" t="str">
            <v>HABILITADO</v>
          </cell>
          <cell r="S25" t="str">
            <v>NO HABILITADO</v>
          </cell>
          <cell r="T25">
            <v>40.5</v>
          </cell>
          <cell r="U25" t="str">
            <v>No cumple KRC</v>
          </cell>
          <cell r="V25" t="str">
            <v>Fabio Enrique Florez Montesino</v>
          </cell>
          <cell r="W25" t="str">
            <v>Ilie Hernandez Ayala</v>
          </cell>
          <cell r="Z25" t="str">
            <v>Proponente Individual</v>
          </cell>
        </row>
        <row r="26">
          <cell r="A26">
            <v>19</v>
          </cell>
          <cell r="B26" t="str">
            <v>CONSORCIO NATIVIDAD</v>
          </cell>
          <cell r="C26" t="str">
            <v>LUIS ALFONSO MAESTRE BROCHERO</v>
          </cell>
          <cell r="D26">
            <v>0.9</v>
          </cell>
          <cell r="E26" t="str">
            <v>SOLTAM S.A.S.</v>
          </cell>
          <cell r="F26">
            <v>0.1</v>
          </cell>
          <cell r="G26"/>
          <cell r="H26"/>
          <cell r="I26"/>
          <cell r="J26"/>
          <cell r="K26"/>
          <cell r="L26"/>
          <cell r="M26"/>
          <cell r="N26"/>
          <cell r="O26">
            <v>1</v>
          </cell>
          <cell r="P26" t="str">
            <v>NO HABILITADO</v>
          </cell>
          <cell r="Q26" t="str">
            <v>NO HABILITADO</v>
          </cell>
          <cell r="R26" t="str">
            <v>HABILITADO</v>
          </cell>
          <cell r="S26" t="str">
            <v>NO HABILITADO</v>
          </cell>
          <cell r="T26">
            <v>40.5</v>
          </cell>
          <cell r="U26" t="str">
            <v>RUP mayor a 30 dias - No cumpe KRC</v>
          </cell>
          <cell r="V26" t="str">
            <v>Fabio Enrique Florez Montesino</v>
          </cell>
          <cell r="W26" t="str">
            <v>Ilie Hernandez Ayala</v>
          </cell>
          <cell r="Z26" t="str">
            <v>Proponente Plural</v>
          </cell>
        </row>
        <row r="27">
          <cell r="A27">
            <v>20</v>
          </cell>
          <cell r="B27" t="str">
            <v>UNION TEMPORAL SAN JUAN</v>
          </cell>
          <cell r="C27" t="str">
            <v>INCIVIAS SAS</v>
          </cell>
          <cell r="D27">
            <v>0.5</v>
          </cell>
          <cell r="E27" t="str">
            <v>ID SAS</v>
          </cell>
          <cell r="F27">
            <v>0.5</v>
          </cell>
          <cell r="G27"/>
          <cell r="H27"/>
          <cell r="I27"/>
          <cell r="J27"/>
          <cell r="K27"/>
          <cell r="L27"/>
          <cell r="M27"/>
          <cell r="N27"/>
          <cell r="O27">
            <v>1</v>
          </cell>
          <cell r="P27" t="str">
            <v>RECHAZADO</v>
          </cell>
          <cell r="Q27" t="str">
            <v>NO HABILITADO</v>
          </cell>
          <cell r="R27" t="str">
            <v>HABILITADO</v>
          </cell>
          <cell r="S27" t="str">
            <v>NO HABILITADO</v>
          </cell>
          <cell r="T27">
            <v>40.5</v>
          </cell>
          <cell r="U27" t="str">
            <v>Fechas de renovaion de RUP posterior a 5 de abril ver literal F numeral 1,15 CAUSALES DE RECHAZO</v>
          </cell>
          <cell r="V27" t="str">
            <v>Fabio Enrique Florez Montesino</v>
          </cell>
          <cell r="W27" t="str">
            <v>Ilie Hernandez Ayala</v>
          </cell>
          <cell r="Z27" t="str">
            <v>Proponente Plural</v>
          </cell>
        </row>
        <row r="28">
          <cell r="A28">
            <v>21</v>
          </cell>
          <cell r="B28" t="str">
            <v>CONSORCIO OBRAS TRECSS 25.</v>
          </cell>
          <cell r="C28" t="str">
            <v>TRED INGENIERIA Y SOLUCIONES SAS</v>
          </cell>
          <cell r="D28">
            <v>0.7</v>
          </cell>
          <cell r="E28" t="str">
            <v>CSS CONSTRUCCIÓN SOSTENIBLE Y SUSTENTABLE SAS</v>
          </cell>
          <cell r="F28">
            <v>0.3</v>
          </cell>
          <cell r="G28"/>
          <cell r="H28"/>
          <cell r="I28"/>
          <cell r="J28"/>
          <cell r="K28"/>
          <cell r="L28"/>
          <cell r="M28"/>
          <cell r="N28"/>
          <cell r="O28">
            <v>1</v>
          </cell>
          <cell r="P28" t="str">
            <v>NO HABILITADO</v>
          </cell>
          <cell r="Q28" t="str">
            <v>HABILITADO</v>
          </cell>
          <cell r="R28" t="str">
            <v>HABILITADO</v>
          </cell>
          <cell r="S28" t="str">
            <v>NO HABILITADO</v>
          </cell>
          <cell r="T28">
            <v>40.5</v>
          </cell>
          <cell r="U28" t="str">
            <v>Observación certificaciones 1 y 4</v>
          </cell>
          <cell r="V28" t="str">
            <v>Ivan Dario Quiñones Sanchez</v>
          </cell>
          <cell r="W28" t="str">
            <v>Angela Maria Bohorquez Moreno</v>
          </cell>
          <cell r="Z28" t="str">
            <v>Proponente Plural</v>
          </cell>
        </row>
        <row r="29">
          <cell r="A29">
            <v>22</v>
          </cell>
          <cell r="B29" t="str">
            <v>CONSORCIO QV CULTURA 10</v>
          </cell>
          <cell r="C29" t="str">
            <v>ISAIAS VARGAS GONZALEZ</v>
          </cell>
          <cell r="D29">
            <v>0.9</v>
          </cell>
          <cell r="E29" t="str">
            <v>CAP QUALITY PROJECT S.A.S</v>
          </cell>
          <cell r="F29">
            <v>0.1</v>
          </cell>
          <cell r="G29"/>
          <cell r="H29"/>
          <cell r="I29"/>
          <cell r="J29"/>
          <cell r="K29"/>
          <cell r="L29"/>
          <cell r="M29"/>
          <cell r="N29"/>
          <cell r="O29">
            <v>1</v>
          </cell>
          <cell r="P29" t="str">
            <v>HABILITADO</v>
          </cell>
          <cell r="Q29" t="str">
            <v>NO HABILITADO</v>
          </cell>
          <cell r="R29" t="str">
            <v>HABILITADO</v>
          </cell>
          <cell r="S29" t="str">
            <v>NO HABILITADO</v>
          </cell>
          <cell r="T29">
            <v>40.5</v>
          </cell>
          <cell r="U29" t="str">
            <v>OK Formulación  -</v>
          </cell>
          <cell r="V29" t="str">
            <v>Ivan Dario Quiñones Sanchez</v>
          </cell>
          <cell r="W29" t="str">
            <v>Angela Maria Bohorquez Moreno</v>
          </cell>
          <cell r="Z29" t="str">
            <v>Proponente Plural</v>
          </cell>
        </row>
        <row r="30">
          <cell r="A30">
            <v>23</v>
          </cell>
          <cell r="B30" t="str">
            <v>CONSORCIO MINCULTURA C&amp;D 2024</v>
          </cell>
          <cell r="C30" t="str">
            <v>DARIO ALFONSO FRANCO</v>
          </cell>
          <cell r="D30">
            <v>0.4</v>
          </cell>
          <cell r="E30" t="str">
            <v>CONSTRUDAR INGENIERIA SAS</v>
          </cell>
          <cell r="F30">
            <v>0.6</v>
          </cell>
          <cell r="G30"/>
          <cell r="H30"/>
          <cell r="I30"/>
          <cell r="J30"/>
          <cell r="K30"/>
          <cell r="L30"/>
          <cell r="M30"/>
          <cell r="N30"/>
          <cell r="O30">
            <v>1</v>
          </cell>
          <cell r="P30"/>
          <cell r="Q30" t="str">
            <v>NO HABILITADO</v>
          </cell>
          <cell r="R30" t="str">
            <v>HABILITADO</v>
          </cell>
          <cell r="S30" t="str">
            <v>NO HABILITADO</v>
          </cell>
          <cell r="T30">
            <v>40.5</v>
          </cell>
          <cell r="U30" t="str">
            <v>No cumple KRC</v>
          </cell>
          <cell r="V30" t="str">
            <v>Ivan Dario Quiñones Sanchez</v>
          </cell>
          <cell r="W30" t="str">
            <v>Angela Maria Bohorquez Moreno</v>
          </cell>
          <cell r="Z30" t="str">
            <v>Proponente Plural</v>
          </cell>
        </row>
        <row r="31">
          <cell r="A31">
            <v>24</v>
          </cell>
          <cell r="B31" t="str">
            <v>CONSORCIO CULTURAL 25</v>
          </cell>
          <cell r="C31" t="str">
            <v>JUAN CARLOS LEDESMA GUTIERREZINTERLOMAS  SAS</v>
          </cell>
          <cell r="D31">
            <v>0.51</v>
          </cell>
          <cell r="E31" t="str">
            <v>YENNY TERESA RANGEL YAÑEZ INTERLOMAS S.A.S.</v>
          </cell>
          <cell r="F31">
            <v>0.49</v>
          </cell>
          <cell r="G31"/>
          <cell r="H31"/>
          <cell r="I31"/>
          <cell r="J31"/>
          <cell r="K31"/>
          <cell r="L31"/>
          <cell r="M31"/>
          <cell r="N31"/>
          <cell r="O31">
            <v>1</v>
          </cell>
          <cell r="P31" t="str">
            <v>NO HABILITADO</v>
          </cell>
          <cell r="Q31" t="str">
            <v>HABILITADO</v>
          </cell>
          <cell r="R31" t="str">
            <v>HABILITADO</v>
          </cell>
          <cell r="S31" t="str">
            <v>NO HABILITADO</v>
          </cell>
          <cell r="T31">
            <v>39.5</v>
          </cell>
          <cell r="U31" t="str">
            <v>No se Anexo experiencia en SECOP II</v>
          </cell>
          <cell r="V31" t="str">
            <v>Ivan Dario Quiñones Sanchez</v>
          </cell>
          <cell r="W31" t="str">
            <v>Angela Maria Bohorquez Moreno</v>
          </cell>
          <cell r="Y31"/>
          <cell r="Z31" t="str">
            <v>Proponente Plural</v>
          </cell>
        </row>
        <row r="32">
          <cell r="A32">
            <v>25</v>
          </cell>
          <cell r="B32" t="str">
            <v>CONSORCIO GRANVAL-EMCO</v>
          </cell>
          <cell r="C32" t="str">
            <v>EULHYN MAYRELL CORREA ORTIZ</v>
          </cell>
          <cell r="D32">
            <v>0.5</v>
          </cell>
          <cell r="E32" t="str">
            <v xml:space="preserve">
BERMORI GRANADA VALENCIA</v>
          </cell>
          <cell r="F32">
            <v>0.5</v>
          </cell>
          <cell r="G32"/>
          <cell r="H32"/>
          <cell r="I32"/>
          <cell r="J32"/>
          <cell r="K32"/>
          <cell r="L32"/>
          <cell r="M32"/>
          <cell r="N32"/>
          <cell r="O32">
            <v>1</v>
          </cell>
          <cell r="P32" t="str">
            <v>NO HABILITADO</v>
          </cell>
          <cell r="Q32" t="str">
            <v>HABILITADO</v>
          </cell>
          <cell r="R32" t="str">
            <v>HABILITADO</v>
          </cell>
          <cell r="S32" t="str">
            <v>NO HABILITADO</v>
          </cell>
          <cell r="T32">
            <v>40.5</v>
          </cell>
          <cell r="U32" t="str">
            <v>Certificaciones con particular sin certificación de contador</v>
          </cell>
          <cell r="V32" t="str">
            <v>Ivan Dario Quiñones Sanchez</v>
          </cell>
          <cell r="W32" t="str">
            <v>Angela Maria Bohorquez Moreno</v>
          </cell>
          <cell r="Y32"/>
          <cell r="Z32" t="str">
            <v>Proponente Plural</v>
          </cell>
        </row>
        <row r="33">
          <cell r="A33">
            <v>26</v>
          </cell>
          <cell r="B33" t="str">
            <v>CONSORCIO PODIM</v>
          </cell>
          <cell r="C33" t="str">
            <v>CARLOS ALBERTO BUELVAS GUERRA</v>
          </cell>
          <cell r="D33">
            <v>0.4</v>
          </cell>
          <cell r="E33" t="str">
            <v>PROINVERCONS SAS</v>
          </cell>
          <cell r="F33">
            <v>0.4</v>
          </cell>
          <cell r="G33" t="str">
            <v>SEICON RR SAS</v>
          </cell>
          <cell r="H33">
            <v>0.2</v>
          </cell>
          <cell r="I33"/>
          <cell r="J33"/>
          <cell r="K33"/>
          <cell r="L33"/>
          <cell r="M33"/>
          <cell r="N33"/>
          <cell r="O33">
            <v>1</v>
          </cell>
          <cell r="P33" t="str">
            <v>NO HABILITADO</v>
          </cell>
          <cell r="Q33" t="str">
            <v>NO HABILITADO</v>
          </cell>
          <cell r="R33" t="str">
            <v>HABILITADO</v>
          </cell>
          <cell r="S33" t="str">
            <v>NO HABILITADO</v>
          </cell>
          <cell r="T33">
            <v>40.5</v>
          </cell>
          <cell r="U33" t="str">
            <v xml:space="preserve">EL PROPONENTE NO ANEXO LA EXPERECIENCIA SE VERIFICO EN SECOP SE DEJO PANTALLAZO EN AL EXPERIENCIA 1 </v>
          </cell>
          <cell r="V33" t="str">
            <v>Mabel Cristina Ferrucho Gonzalez</v>
          </cell>
          <cell r="W33" t="str">
            <v>Elyn Sofia Montoya Gomez</v>
          </cell>
          <cell r="Y33"/>
          <cell r="Z33" t="str">
            <v>Proponente Plural</v>
          </cell>
        </row>
        <row r="34">
          <cell r="A34">
            <v>27</v>
          </cell>
          <cell r="B34" t="str">
            <v>CONSORCIO EDIFICA - CONSTRUCCIONES</v>
          </cell>
          <cell r="C34" t="str">
            <v>HERCOING INGENIERIA PARA EL DESARROLLO CRECIENTE Y SOSTENIBLE DE LA COMUNIDAD SAS</v>
          </cell>
          <cell r="D34">
            <v>0.1</v>
          </cell>
          <cell r="E34" t="str">
            <v>INGENIAR LTDA</v>
          </cell>
          <cell r="F34">
            <v>0.5</v>
          </cell>
          <cell r="G34"/>
          <cell r="H34"/>
          <cell r="I34"/>
          <cell r="J34"/>
          <cell r="K34"/>
          <cell r="L34"/>
          <cell r="M34"/>
          <cell r="N34"/>
          <cell r="O34">
            <v>0.6</v>
          </cell>
          <cell r="P34" t="str">
            <v>NO HABILITADO</v>
          </cell>
          <cell r="Q34" t="str">
            <v>NO HABILITADO</v>
          </cell>
          <cell r="R34" t="str">
            <v>HABILITADO</v>
          </cell>
          <cell r="S34" t="str">
            <v>NO HABILITADO</v>
          </cell>
          <cell r="T34">
            <v>39.25</v>
          </cell>
          <cell r="U34" t="str">
            <v>RUP mayor a 30 dias - No cumpe KRC - No Certificado Discapacitado Min Trabajo</v>
          </cell>
          <cell r="V34" t="str">
            <v>Mabel Cristina Ferrucho Gonzalez</v>
          </cell>
          <cell r="W34" t="str">
            <v>Elyn Sofia Montoya Gomez</v>
          </cell>
          <cell r="Y34"/>
          <cell r="Z34" t="str">
            <v>Proponente Plural</v>
          </cell>
        </row>
        <row r="35">
          <cell r="A35">
            <v>28</v>
          </cell>
          <cell r="B35" t="str">
            <v>CONSORCIO ZF 1</v>
          </cell>
          <cell r="C35" t="str">
            <v>RIVAL CONSTRUCCIONES E INVERSIONES S.A.S.</v>
          </cell>
          <cell r="D35">
            <v>0.9</v>
          </cell>
          <cell r="E35" t="str">
            <v>INGEDUCTOS INGENIERÍA ESPECIALIZADA S.A.S.</v>
          </cell>
          <cell r="F35">
            <v>0.1</v>
          </cell>
          <cell r="G35"/>
          <cell r="H35"/>
          <cell r="I35"/>
          <cell r="J35"/>
          <cell r="K35"/>
          <cell r="L35"/>
          <cell r="M35"/>
          <cell r="N35"/>
          <cell r="O35">
            <v>1</v>
          </cell>
          <cell r="P35" t="str">
            <v>HABILITADO</v>
          </cell>
          <cell r="Q35" t="str">
            <v>NO HABILITADO</v>
          </cell>
          <cell r="R35" t="str">
            <v>HABILITADO</v>
          </cell>
          <cell r="S35" t="str">
            <v>NO HABILITADO</v>
          </cell>
          <cell r="T35">
            <v>31.5</v>
          </cell>
          <cell r="U35" t="str">
            <v>F12 Jardines , adendo 2 cicloparqueaderos</v>
          </cell>
          <cell r="V35" t="str">
            <v>Mabel Cristina Ferrucho Gonzalez</v>
          </cell>
          <cell r="W35" t="str">
            <v>Elyn Sofia Montoya Gomez</v>
          </cell>
          <cell r="Y35"/>
          <cell r="Z35" t="str">
            <v>Proponente Plural</v>
          </cell>
        </row>
        <row r="36">
          <cell r="A36">
            <v>29</v>
          </cell>
          <cell r="B36" t="str">
            <v>OPEN INGENIERIA SAS</v>
          </cell>
          <cell r="C36" t="str">
            <v>OPEN INGENIERIA SAS</v>
          </cell>
          <cell r="D36">
            <v>1</v>
          </cell>
          <cell r="E36"/>
          <cell r="F36"/>
          <cell r="G36"/>
          <cell r="H36"/>
          <cell r="I36"/>
          <cell r="J36"/>
          <cell r="K36"/>
          <cell r="L36"/>
          <cell r="M36"/>
          <cell r="N36"/>
          <cell r="O36">
            <v>1</v>
          </cell>
          <cell r="P36" t="str">
            <v>HABILITADO</v>
          </cell>
          <cell r="Q36" t="str">
            <v>NO HABILITADO</v>
          </cell>
          <cell r="R36" t="str">
            <v>HABILITADO</v>
          </cell>
          <cell r="S36" t="str">
            <v>NO HABILITADO</v>
          </cell>
          <cell r="T36">
            <v>40.5</v>
          </cell>
          <cell r="U36" t="str">
            <v xml:space="preserve">OK-EXP OK- Ponderables / - OK Formulación </v>
          </cell>
          <cell r="V36" t="str">
            <v>Mabel Cristina Ferrucho Gonzalez</v>
          </cell>
          <cell r="W36" t="str">
            <v>Elyn Sofia Montoya Gomez</v>
          </cell>
          <cell r="Y36"/>
          <cell r="Z36" t="str">
            <v>Proponente Individual</v>
          </cell>
        </row>
        <row r="37">
          <cell r="A37">
            <v>30</v>
          </cell>
          <cell r="B37" t="str">
            <v>CONSORCIO GC</v>
          </cell>
          <cell r="C37" t="str">
            <v>GEOCROP SAS</v>
          </cell>
          <cell r="D37">
            <v>0.9</v>
          </cell>
          <cell r="E37" t="str">
            <v>ANDRES MAURICIO CASTRO MURCIA</v>
          </cell>
          <cell r="F37">
            <v>0.1</v>
          </cell>
          <cell r="G37"/>
          <cell r="H37"/>
          <cell r="I37"/>
          <cell r="J37"/>
          <cell r="K37"/>
          <cell r="L37"/>
          <cell r="M37"/>
          <cell r="N37"/>
          <cell r="O37">
            <v>1</v>
          </cell>
          <cell r="P37" t="str">
            <v>HABILITADO</v>
          </cell>
          <cell r="Q37" t="str">
            <v>NO HABILITADO</v>
          </cell>
          <cell r="R37" t="str">
            <v>HABILITADO</v>
          </cell>
          <cell r="S37" t="str">
            <v>NO HABILITADO</v>
          </cell>
          <cell r="T37">
            <v>31.5</v>
          </cell>
          <cell r="U37" t="str">
            <v>F12 Jardines , adendo 2 cicloparqueaderos</v>
          </cell>
          <cell r="V37" t="str">
            <v>Mabel Cristina Ferrucho Gonzalez</v>
          </cell>
          <cell r="W37" t="str">
            <v>Elyn Sofia Montoya Gomez</v>
          </cell>
          <cell r="Y37"/>
          <cell r="Z37" t="str">
            <v>Proponente Plural</v>
          </cell>
        </row>
        <row r="38">
          <cell r="A38">
            <v>31</v>
          </cell>
          <cell r="B38" t="str">
            <v>CONSORCIO RYG</v>
          </cell>
          <cell r="C38" t="str">
            <v>NESTOR ROJAS</v>
          </cell>
          <cell r="D38">
            <v>0.5</v>
          </cell>
          <cell r="E38" t="str">
            <v>GESTION EMPRESARIAL CONSTRUCIVIL SAS</v>
          </cell>
          <cell r="F38">
            <v>0.5</v>
          </cell>
          <cell r="G38"/>
          <cell r="H38"/>
          <cell r="I38"/>
          <cell r="J38"/>
          <cell r="K38"/>
          <cell r="L38"/>
          <cell r="M38"/>
          <cell r="N38"/>
          <cell r="O38">
            <v>1</v>
          </cell>
          <cell r="P38" t="str">
            <v>NO HABILITADO</v>
          </cell>
          <cell r="Q38" t="str">
            <v>NO HABILITADO</v>
          </cell>
          <cell r="R38" t="str">
            <v>HABILITADO</v>
          </cell>
          <cell r="S38" t="str">
            <v>NO HABILITADO</v>
          </cell>
          <cell r="T38">
            <v>30.5</v>
          </cell>
          <cell r="U38" t="str">
            <v>Certificaciones sin fechas y no relacionadas con objeto / F12 jadines , adendo 2 Ciclo parqueaderos</v>
          </cell>
          <cell r="V38" t="str">
            <v>Lilia Estela Rincon Torres</v>
          </cell>
          <cell r="W38" t="str">
            <v>Mariela Garzon Jalbin</v>
          </cell>
          <cell r="Y38"/>
          <cell r="Z38" t="str">
            <v>Proponente Plural</v>
          </cell>
        </row>
        <row r="39">
          <cell r="A39">
            <v>32</v>
          </cell>
          <cell r="B39" t="str">
            <v>CONSORCIO CE CULTURAL SAMPUÉS</v>
          </cell>
          <cell r="C39" t="str">
            <v>CÁDIZ INGENIERÍA Y PROYECTOS SAS</v>
          </cell>
          <cell r="D39">
            <v>0.1</v>
          </cell>
          <cell r="E39" t="str">
            <v>EDELBERTO RAMÓN LOZANO THOME</v>
          </cell>
          <cell r="F39">
            <v>0.9</v>
          </cell>
          <cell r="G39"/>
          <cell r="H39"/>
          <cell r="I39"/>
          <cell r="J39"/>
          <cell r="K39"/>
          <cell r="L39"/>
          <cell r="M39"/>
          <cell r="N39"/>
          <cell r="O39">
            <v>1</v>
          </cell>
          <cell r="P39" t="str">
            <v>NO HABILITADO</v>
          </cell>
          <cell r="Q39" t="str">
            <v>HABILITADO</v>
          </cell>
          <cell r="R39" t="str">
            <v>HABILITADO</v>
          </cell>
          <cell r="S39" t="str">
            <v>NO HABILITADO</v>
          </cell>
          <cell r="T39">
            <v>31.5</v>
          </cell>
          <cell r="U39" t="str">
            <v>No cumple KRC - F 12 F12 Jardines , adendo 2 cicloparqueaderos</v>
          </cell>
          <cell r="V39" t="str">
            <v>Lilia Estela Rincon Torres</v>
          </cell>
          <cell r="W39" t="str">
            <v>Mariela Garzon Jalbin</v>
          </cell>
          <cell r="Y39"/>
          <cell r="Z39" t="str">
            <v>Proponente Plural</v>
          </cell>
        </row>
        <row r="40">
          <cell r="A40">
            <v>33</v>
          </cell>
          <cell r="B40" t="str">
            <v>UNION TEMPORAL CASA SAMPUES</v>
          </cell>
          <cell r="C40" t="str">
            <v>EQUIPOS Y CONSTRUCCIONES VAREGO S.A.S</v>
          </cell>
          <cell r="D40">
            <v>0.5</v>
          </cell>
          <cell r="E40" t="str">
            <v>VAREGO S.A.S</v>
          </cell>
          <cell r="F40">
            <v>0.5</v>
          </cell>
          <cell r="G40"/>
          <cell r="H40"/>
          <cell r="I40"/>
          <cell r="J40"/>
          <cell r="K40"/>
          <cell r="L40"/>
          <cell r="M40"/>
          <cell r="N40"/>
          <cell r="O40">
            <v>1</v>
          </cell>
          <cell r="P40" t="str">
            <v>NO HABILITADO</v>
          </cell>
          <cell r="Q40" t="str">
            <v>NO HABILITADO</v>
          </cell>
          <cell r="R40" t="str">
            <v>HABILITADO</v>
          </cell>
          <cell r="S40" t="str">
            <v>NO HABILITADO</v>
          </cell>
          <cell r="T40">
            <v>40.5</v>
          </cell>
          <cell r="U40" t="str">
            <v>No cumple KRC</v>
          </cell>
          <cell r="V40" t="str">
            <v>Lilia Estela Rincon Torres</v>
          </cell>
          <cell r="W40" t="str">
            <v>Mariela Garzon Jalbin</v>
          </cell>
          <cell r="Y40"/>
          <cell r="Z40" t="str">
            <v>Proponente Plural</v>
          </cell>
        </row>
        <row r="41">
          <cell r="A41">
            <v>34</v>
          </cell>
          <cell r="B41" t="str">
            <v>CONSORCIO CASA DE LA CULTURA</v>
          </cell>
          <cell r="C41" t="str">
            <v>GC INGENIERIA Y CONSTRUCCIONES SAS</v>
          </cell>
          <cell r="D41">
            <v>0.1</v>
          </cell>
          <cell r="E41" t="str">
            <v>PROJECTING DESIGNING AND BUILDING LTDA</v>
          </cell>
          <cell r="F41">
            <v>0.9</v>
          </cell>
          <cell r="G41"/>
          <cell r="H41"/>
          <cell r="I41"/>
          <cell r="J41"/>
          <cell r="K41"/>
          <cell r="L41"/>
          <cell r="M41"/>
          <cell r="N41"/>
          <cell r="O41">
            <v>1</v>
          </cell>
          <cell r="P41" t="str">
            <v>NO HABILITADO</v>
          </cell>
          <cell r="Q41" t="str">
            <v>NO HABILITADO</v>
          </cell>
          <cell r="R41" t="str">
            <v>HABILITADO</v>
          </cell>
          <cell r="S41" t="str">
            <v>NO HABILITADO</v>
          </cell>
          <cell r="T41">
            <v>40.5</v>
          </cell>
          <cell r="U41" t="str">
            <v>el proponente no cargo la experiencia en secop ii, se dejo constacncia en imagen en la certificación 1</v>
          </cell>
          <cell r="V41" t="str">
            <v>Lilia Estela Rincon Torres</v>
          </cell>
          <cell r="W41" t="str">
            <v>Mariela Garzon Jalbin</v>
          </cell>
          <cell r="Y41"/>
          <cell r="Z41" t="str">
            <v>Proponente Plural</v>
          </cell>
        </row>
        <row r="42">
          <cell r="A42">
            <v>35</v>
          </cell>
          <cell r="B42" t="str">
            <v>GESTION RURAL Y URBANA SAS</v>
          </cell>
          <cell r="C42" t="str">
            <v>GESTION RURAL Y URBANA SAS</v>
          </cell>
          <cell r="D42">
            <v>1</v>
          </cell>
          <cell r="E42"/>
          <cell r="F42"/>
          <cell r="G42"/>
          <cell r="H42"/>
          <cell r="I42"/>
          <cell r="J42"/>
          <cell r="K42"/>
          <cell r="L42"/>
          <cell r="M42"/>
          <cell r="N42"/>
          <cell r="O42">
            <v>1</v>
          </cell>
          <cell r="P42" t="str">
            <v>HABILITADO</v>
          </cell>
          <cell r="Q42" t="str">
            <v>HABILITADO</v>
          </cell>
          <cell r="R42" t="str">
            <v>HABILITADO</v>
          </cell>
          <cell r="S42" t="str">
            <v>HABILITADO</v>
          </cell>
          <cell r="T42">
            <v>31.5</v>
          </cell>
          <cell r="U42" t="str">
            <v>F12 Jardines , adendo 2 cicloparqueaderos</v>
          </cell>
          <cell r="V42" t="str">
            <v>Lilia Estela Rincon Torres</v>
          </cell>
          <cell r="W42" t="str">
            <v>Mariela Garzon Jalbin</v>
          </cell>
          <cell r="Z42" t="str">
            <v>Proponente Individual</v>
          </cell>
        </row>
        <row r="43">
          <cell r="A43">
            <v>36</v>
          </cell>
          <cell r="B43" t="str">
            <v>CONSORCIO CASA CULTURAL 2024</v>
          </cell>
          <cell r="C43" t="str">
            <v>MIGUEL ANDRES VALDERRAMA MEDINA</v>
          </cell>
          <cell r="D43">
            <v>0.5</v>
          </cell>
          <cell r="E43" t="str">
            <v>JORGE EDUARDO BLANCO CARDOSO</v>
          </cell>
          <cell r="F43">
            <v>0.4</v>
          </cell>
          <cell r="G43" t="str">
            <v>CONDISCON SAS – CONSULTORIA DISEÑO Y CONSTRUCCION S.A.S.</v>
          </cell>
          <cell r="H43">
            <v>0.1</v>
          </cell>
          <cell r="I43"/>
          <cell r="J43"/>
          <cell r="K43"/>
          <cell r="L43"/>
          <cell r="M43"/>
          <cell r="N43"/>
          <cell r="O43">
            <v>1</v>
          </cell>
          <cell r="P43" t="str">
            <v>NO HABILITADO</v>
          </cell>
          <cell r="Q43" t="str">
            <v>HABILITADO</v>
          </cell>
          <cell r="R43" t="str">
            <v>HABILITADO</v>
          </cell>
          <cell r="S43" t="str">
            <v>NO HABILITADO</v>
          </cell>
          <cell r="T43">
            <v>31.5</v>
          </cell>
          <cell r="U43" t="str">
            <v>No cumple KRC -F12 Jardines , adendo 2 cicloparqueaderos</v>
          </cell>
          <cell r="V43" t="str">
            <v>David Enrique Torres Bernier</v>
          </cell>
          <cell r="W43" t="str">
            <v>Osneyder Valoy Palacio</v>
          </cell>
          <cell r="Z43" t="str">
            <v>Proponente Plural</v>
          </cell>
        </row>
        <row r="44">
          <cell r="A44">
            <v>37</v>
          </cell>
          <cell r="B44" t="str">
            <v>CONSORCIO GRUPO JEROCA 19</v>
          </cell>
          <cell r="C44" t="str">
            <v>INGENIERIA VYL SAS</v>
          </cell>
          <cell r="D44">
            <v>0.1</v>
          </cell>
          <cell r="E44" t="str">
            <v>JML LO MAXIMO EN CONSTRUCCIONES</v>
          </cell>
          <cell r="F44">
            <v>0.9</v>
          </cell>
          <cell r="G44"/>
          <cell r="H44"/>
          <cell r="I44"/>
          <cell r="J44"/>
          <cell r="K44"/>
          <cell r="L44"/>
          <cell r="M44"/>
          <cell r="N44"/>
          <cell r="O44">
            <v>1</v>
          </cell>
          <cell r="P44" t="str">
            <v>HABILITADO</v>
          </cell>
          <cell r="Q44" t="str">
            <v>NO HABILITADO</v>
          </cell>
          <cell r="R44" t="str">
            <v>HABILITADO</v>
          </cell>
          <cell r="S44" t="str">
            <v>NO HABILITADO</v>
          </cell>
          <cell r="T44">
            <v>40.5</v>
          </cell>
          <cell r="U44" t="str">
            <v xml:space="preserve">OK-EXP OK- Ponderables / - OK Formulación </v>
          </cell>
          <cell r="V44" t="str">
            <v>David Enrique Torres Bernier</v>
          </cell>
          <cell r="W44" t="str">
            <v>Osneyder Valoy Palacio</v>
          </cell>
          <cell r="Z44" t="str">
            <v>Proponente Plural</v>
          </cell>
        </row>
        <row r="45">
          <cell r="A45">
            <v>38</v>
          </cell>
          <cell r="B45" t="str">
            <v>CONSORCIO GARFE-ZENU</v>
          </cell>
          <cell r="C45" t="str">
            <v>CONSTRUCTION SUPPLIES AND CONSULTING SAS</v>
          </cell>
          <cell r="D45">
            <v>0.9</v>
          </cell>
          <cell r="E45" t="str">
            <v>GARFE INGENIEROS Y CONSTRUCTORES SAS</v>
          </cell>
          <cell r="F45">
            <v>0.1</v>
          </cell>
          <cell r="G45"/>
          <cell r="H45"/>
          <cell r="I45"/>
          <cell r="J45"/>
          <cell r="K45"/>
          <cell r="L45"/>
          <cell r="M45"/>
          <cell r="N45"/>
          <cell r="O45">
            <v>1</v>
          </cell>
          <cell r="P45" t="str">
            <v>NO HABILITADO</v>
          </cell>
          <cell r="Q45" t="str">
            <v>NO HABILITADO</v>
          </cell>
          <cell r="R45" t="str">
            <v>HABILITADO</v>
          </cell>
          <cell r="S45" t="str">
            <v>NO HABILITADO</v>
          </cell>
          <cell r="T45">
            <v>40.5</v>
          </cell>
          <cell r="U45" t="str">
            <v>no cumple KRC</v>
          </cell>
          <cell r="V45" t="str">
            <v>David Enrique Torres Bernier</v>
          </cell>
          <cell r="W45" t="str">
            <v>Osneyder Valoy Palacio</v>
          </cell>
          <cell r="Z45" t="str">
            <v>Proponente Plural</v>
          </cell>
        </row>
        <row r="46">
          <cell r="A46">
            <v>39</v>
          </cell>
          <cell r="B46" t="str">
            <v>CONSORCIO ALIANZA SAMPUES 2025</v>
          </cell>
          <cell r="C46" t="str">
            <v>AVANZAR INGENIERIA HAL SAS</v>
          </cell>
          <cell r="D46">
            <v>0.5</v>
          </cell>
          <cell r="E46" t="str">
            <v>CARMELO JOSE NAGUIB TAPIA</v>
          </cell>
          <cell r="F46">
            <v>0.5</v>
          </cell>
          <cell r="G46"/>
          <cell r="H46"/>
          <cell r="I46"/>
          <cell r="J46"/>
          <cell r="K46"/>
          <cell r="L46"/>
          <cell r="M46"/>
          <cell r="N46"/>
          <cell r="O46">
            <v>1</v>
          </cell>
          <cell r="P46" t="str">
            <v>HABILITADO</v>
          </cell>
          <cell r="Q46" t="str">
            <v>NO HABILITADO</v>
          </cell>
          <cell r="R46" t="str">
            <v>HABILITADO</v>
          </cell>
          <cell r="S46" t="str">
            <v>NO HABILITADO</v>
          </cell>
          <cell r="T46">
            <v>40.5</v>
          </cell>
          <cell r="U46" t="str">
            <v xml:space="preserve">OK-EXP OK- Ponderables / - OK Formulación </v>
          </cell>
          <cell r="V46" t="str">
            <v>David Enrique Torres Bernier</v>
          </cell>
          <cell r="W46" t="str">
            <v>Osneyder Valoy Palacio</v>
          </cell>
          <cell r="Z46" t="str">
            <v>Proponente Plural</v>
          </cell>
        </row>
        <row r="47">
          <cell r="A47">
            <v>40</v>
          </cell>
          <cell r="B47" t="str">
            <v>INVERSIONES Y CONSTRUCCIONES R2 SAS</v>
          </cell>
          <cell r="C47" t="str">
            <v>INVERSIONES Y CONSTRUCCIONES R2 SAS</v>
          </cell>
          <cell r="D47">
            <v>1</v>
          </cell>
          <cell r="E47"/>
          <cell r="F47"/>
          <cell r="G47"/>
          <cell r="H47"/>
          <cell r="I47"/>
          <cell r="J47"/>
          <cell r="K47"/>
          <cell r="L47"/>
          <cell r="M47"/>
          <cell r="N47"/>
          <cell r="O47">
            <v>1</v>
          </cell>
          <cell r="P47" t="str">
            <v>NO HABILITADO</v>
          </cell>
          <cell r="Q47" t="str">
            <v>NO HABILITADO</v>
          </cell>
          <cell r="R47" t="str">
            <v>HABILITADO</v>
          </cell>
          <cell r="S47" t="str">
            <v>NO HABILITADO</v>
          </cell>
          <cell r="T47">
            <v>40.25</v>
          </cell>
          <cell r="U47" t="str">
            <v>No se evidencia  Mipyme - El proponente no cargo el RUP en la propuesta en SECOP por lo cual no se pudo verificar los codigos unspsc, y no se da la condición pyme en los ponderables</v>
          </cell>
          <cell r="V47" t="str">
            <v>David Enrique Torres Bernier</v>
          </cell>
          <cell r="W47" t="str">
            <v>Osneyder Valoy Palacio</v>
          </cell>
          <cell r="Z47" t="str">
            <v>Proponente Individual</v>
          </cell>
        </row>
        <row r="48">
          <cell r="A48">
            <v>41</v>
          </cell>
          <cell r="B48" t="str">
            <v>INGOSER INGENIERIA DE OBRAS Y SERVICIOS SAS</v>
          </cell>
          <cell r="C48" t="str">
            <v>INGOSER INGENIERIA DE OBRAS Y SERVICIOS SAS</v>
          </cell>
          <cell r="D48">
            <v>1</v>
          </cell>
          <cell r="E48"/>
          <cell r="F48"/>
          <cell r="G48"/>
          <cell r="H48"/>
          <cell r="I48"/>
          <cell r="J48"/>
          <cell r="K48"/>
          <cell r="L48"/>
          <cell r="M48"/>
          <cell r="N48"/>
          <cell r="O48">
            <v>1</v>
          </cell>
          <cell r="P48" t="str">
            <v>NO HABILITADO</v>
          </cell>
          <cell r="Q48" t="str">
            <v>NO HABILITADO</v>
          </cell>
          <cell r="R48" t="str">
            <v>HABILITADO</v>
          </cell>
          <cell r="S48" t="str">
            <v>NO HABILITADO</v>
          </cell>
          <cell r="T48">
            <v>39.5</v>
          </cell>
          <cell r="U48" t="str">
            <v>Experiencia con particulares sin certificaciones contador / F8  personal minusvalido</v>
          </cell>
          <cell r="V48" t="str">
            <v>Claudia Milena Lopez Ramirez</v>
          </cell>
          <cell r="W48" t="str">
            <v>Eduardo Alfonso Leon Fandiño</v>
          </cell>
          <cell r="Z48" t="str">
            <v>Proponente Individual</v>
          </cell>
        </row>
        <row r="49">
          <cell r="A49">
            <v>42</v>
          </cell>
          <cell r="B49" t="str">
            <v>ALCIELO CONSTRUCTORA S.A.S</v>
          </cell>
          <cell r="C49" t="str">
            <v>ALCIELO CONSTRUCTORA S.A.S</v>
          </cell>
          <cell r="D49">
            <v>1</v>
          </cell>
          <cell r="E49"/>
          <cell r="F49"/>
          <cell r="G49"/>
          <cell r="H49"/>
          <cell r="I49"/>
          <cell r="J49"/>
          <cell r="K49"/>
          <cell r="L49"/>
          <cell r="M49"/>
          <cell r="N49"/>
          <cell r="O49">
            <v>1</v>
          </cell>
          <cell r="P49" t="str">
            <v>NO HABILITADO</v>
          </cell>
          <cell r="Q49" t="str">
            <v>NO HABILITADO</v>
          </cell>
          <cell r="R49" t="str">
            <v>HABILITADO</v>
          </cell>
          <cell r="S49" t="str">
            <v>NO HABILITADO</v>
          </cell>
          <cell r="T49">
            <v>40.5</v>
          </cell>
          <cell r="U49" t="str">
            <v>no cumple KRC</v>
          </cell>
          <cell r="V49" t="str">
            <v>Claudia Milena Lopez Ramirez</v>
          </cell>
          <cell r="W49" t="str">
            <v>Eduardo Alfonso Leon Fandiño</v>
          </cell>
          <cell r="Z49" t="str">
            <v>Proponente Individual</v>
          </cell>
        </row>
        <row r="50">
          <cell r="A50">
            <v>43</v>
          </cell>
          <cell r="B50" t="str">
            <v>PM &amp; A CONSTRUCCIONES SAS</v>
          </cell>
          <cell r="C50" t="str">
            <v>PM &amp; A CONSTRUCCIONES SAS</v>
          </cell>
          <cell r="D50">
            <v>1</v>
          </cell>
          <cell r="E50"/>
          <cell r="F50"/>
          <cell r="G50"/>
          <cell r="H50"/>
          <cell r="I50"/>
          <cell r="J50"/>
          <cell r="K50"/>
          <cell r="L50"/>
          <cell r="M50"/>
          <cell r="N50"/>
          <cell r="O50">
            <v>1</v>
          </cell>
          <cell r="P50" t="str">
            <v>HABILITADO</v>
          </cell>
          <cell r="Q50" t="str">
            <v>NO HABILITADO</v>
          </cell>
          <cell r="R50" t="str">
            <v>HABILITADO</v>
          </cell>
          <cell r="S50" t="str">
            <v>NO HABILITADO</v>
          </cell>
          <cell r="T50">
            <v>40.5</v>
          </cell>
          <cell r="U50" t="str">
            <v>OK-EXP OK- Ponderables / - OK Formulación</v>
          </cell>
          <cell r="V50" t="str">
            <v>Claudia Milena Lopez Ramirez</v>
          </cell>
          <cell r="W50" t="str">
            <v>Eduardo Alfonso Leon Fandiño</v>
          </cell>
          <cell r="Z50" t="str">
            <v>Proponente Individual</v>
          </cell>
        </row>
        <row r="51">
          <cell r="A51">
            <v>44</v>
          </cell>
          <cell r="B51" t="str">
            <v>CONSORCIO GG CULTURAL</v>
          </cell>
          <cell r="C51" t="str">
            <v>GEMZA S.A.S</v>
          </cell>
          <cell r="D51">
            <v>0.9</v>
          </cell>
          <cell r="E51" t="str">
            <v>GUSTAVO SAAVEDRA VARGAS</v>
          </cell>
          <cell r="F51">
            <v>0.1</v>
          </cell>
          <cell r="G51"/>
          <cell r="H51"/>
          <cell r="I51"/>
          <cell r="J51"/>
          <cell r="K51"/>
          <cell r="L51"/>
          <cell r="M51"/>
          <cell r="N51"/>
          <cell r="O51">
            <v>1</v>
          </cell>
          <cell r="P51" t="str">
            <v>NO HABILITADO</v>
          </cell>
          <cell r="Q51" t="str">
            <v>NO HABILITADO</v>
          </cell>
          <cell r="R51" t="str">
            <v>HABILITADO</v>
          </cell>
          <cell r="S51" t="str">
            <v>NO HABILITADO</v>
          </cell>
          <cell r="T51">
            <v>39.5</v>
          </cell>
          <cell r="U51" t="str">
            <v>Observaciones a la experiencia / F8 Personal minusvalido</v>
          </cell>
          <cell r="V51" t="str">
            <v>Claudia Milena Lopez Ramirez</v>
          </cell>
          <cell r="W51" t="str">
            <v>Eduardo Alfonso Leon Fandiño</v>
          </cell>
          <cell r="Z51" t="str">
            <v>Proponente Plural</v>
          </cell>
        </row>
        <row r="52">
          <cell r="A52">
            <v>45</v>
          </cell>
          <cell r="B52" t="str">
            <v>LAEL CONSTRUCCIONES S.A.S</v>
          </cell>
          <cell r="C52" t="str">
            <v>LAEL CONSTRUCCIONES S.A.S</v>
          </cell>
          <cell r="D52">
            <v>1</v>
          </cell>
          <cell r="E52"/>
          <cell r="F52"/>
          <cell r="G52"/>
          <cell r="H52"/>
          <cell r="I52"/>
          <cell r="J52"/>
          <cell r="K52"/>
          <cell r="L52"/>
          <cell r="M52"/>
          <cell r="N52"/>
          <cell r="O52">
            <v>1</v>
          </cell>
          <cell r="P52" t="str">
            <v>NO HABILITADO</v>
          </cell>
          <cell r="Q52" t="str">
            <v>NO HABILITADO</v>
          </cell>
          <cell r="R52" t="str">
            <v>HABILITADO</v>
          </cell>
          <cell r="S52" t="str">
            <v>NO HABILITADO</v>
          </cell>
          <cell r="T52">
            <v>40.5</v>
          </cell>
          <cell r="U52" t="str">
            <v>El proponente no cargo la experiencia en la plataforma secop se deja imagen en el campo observacion experiencia 1</v>
          </cell>
          <cell r="V52" t="str">
            <v>Claudia Milena Lopez Ramirez</v>
          </cell>
          <cell r="W52" t="str">
            <v>Eduardo Alfonso Leon Fandiño</v>
          </cell>
          <cell r="Z52" t="str">
            <v>Proponente Individual</v>
          </cell>
        </row>
        <row r="53">
          <cell r="A53">
            <v>46</v>
          </cell>
          <cell r="B53" t="str">
            <v>CONSORCIO OBRAS CULTURALES 2024</v>
          </cell>
          <cell r="C53" t="str">
            <v>ORGANIZACIÓN HAR SAS</v>
          </cell>
          <cell r="D53">
            <v>0.9</v>
          </cell>
          <cell r="E53" t="str">
            <v>CONSTRUARQUITECTURA Y URBANISMO S.A.S.</v>
          </cell>
          <cell r="F53">
            <v>0.1</v>
          </cell>
          <cell r="G53"/>
          <cell r="H53"/>
          <cell r="I53"/>
          <cell r="J53"/>
          <cell r="K53"/>
          <cell r="L53"/>
          <cell r="M53"/>
          <cell r="N53"/>
          <cell r="O53">
            <v>1</v>
          </cell>
          <cell r="P53" t="str">
            <v>HABILITADO</v>
          </cell>
          <cell r="Q53" t="str">
            <v>NO HABILITADO</v>
          </cell>
          <cell r="R53" t="str">
            <v>NO HABILITADO</v>
          </cell>
          <cell r="S53" t="str">
            <v>NO HABILITADO</v>
          </cell>
          <cell r="T53">
            <v>40.5</v>
          </cell>
          <cell r="U53" t="str">
            <v>OK-EXP OK- Ponderables / - OK Formulación</v>
          </cell>
          <cell r="V53" t="str">
            <v>Claudia Marcela Ramirez Ibañez</v>
          </cell>
          <cell r="W53" t="str">
            <v>Sebastian Llano Vesga</v>
          </cell>
          <cell r="Z53" t="str">
            <v>Proponente Plural</v>
          </cell>
        </row>
        <row r="54">
          <cell r="A54">
            <v>47</v>
          </cell>
          <cell r="B54" t="str">
            <v>CONSORCIO CULTURA 2025</v>
          </cell>
          <cell r="C54" t="str">
            <v>CONSTRUCTORA VMJ S.A.S</v>
          </cell>
          <cell r="D54">
            <v>0.9</v>
          </cell>
          <cell r="E54" t="str">
            <v>ACCIONA CONSTRUCCIONES S.A.S</v>
          </cell>
          <cell r="F54">
            <v>0.1</v>
          </cell>
          <cell r="G54"/>
          <cell r="H54"/>
          <cell r="I54"/>
          <cell r="J54"/>
          <cell r="K54"/>
          <cell r="L54"/>
          <cell r="M54"/>
          <cell r="N54"/>
          <cell r="O54">
            <v>1</v>
          </cell>
          <cell r="P54" t="str">
            <v>HABILITADO</v>
          </cell>
          <cell r="Q54" t="str">
            <v>NO HABILITADO</v>
          </cell>
          <cell r="R54" t="str">
            <v>HABILITADO</v>
          </cell>
          <cell r="S54" t="str">
            <v>NO HABILITADO</v>
          </cell>
          <cell r="T54">
            <v>31.5</v>
          </cell>
          <cell r="U54" t="str">
            <v>F12 Jardines , adendo 2 cicloparqueaderos</v>
          </cell>
          <cell r="V54" t="str">
            <v>Claudia Marcela Ramirez Ibañez</v>
          </cell>
          <cell r="W54" t="str">
            <v>Sebastian Llano Vesga</v>
          </cell>
          <cell r="Z54" t="str">
            <v>Proponente Plural</v>
          </cell>
        </row>
        <row r="55">
          <cell r="A55">
            <v>48</v>
          </cell>
          <cell r="B55" t="str">
            <v>VERTICAL DISEÑO SAS</v>
          </cell>
          <cell r="C55" t="str">
            <v>VERTICAL DISEÑO SAS – EN REORGANIZACION</v>
          </cell>
          <cell r="D55">
            <v>1</v>
          </cell>
          <cell r="E55"/>
          <cell r="F55"/>
          <cell r="G55"/>
          <cell r="H55"/>
          <cell r="I55"/>
          <cell r="J55"/>
          <cell r="K55"/>
          <cell r="L55"/>
          <cell r="M55"/>
          <cell r="N55"/>
          <cell r="O55">
            <v>1</v>
          </cell>
          <cell r="P55" t="str">
            <v>HABILITADO</v>
          </cell>
          <cell r="Q55" t="str">
            <v>HABILITADO</v>
          </cell>
          <cell r="R55" t="str">
            <v>HABILITADO</v>
          </cell>
          <cell r="S55" t="str">
            <v>HABILITADO</v>
          </cell>
          <cell r="T55">
            <v>31.5</v>
          </cell>
          <cell r="U55" t="str">
            <v>F12 Jardines , adendo 2 cicloparqueaderos</v>
          </cell>
          <cell r="V55" t="str">
            <v>Claudia Marcela Ramirez Ibañez</v>
          </cell>
          <cell r="W55" t="str">
            <v>Sebastian Llano Vesga</v>
          </cell>
          <cell r="Z55" t="str">
            <v>Proponente Individual</v>
          </cell>
        </row>
        <row r="56">
          <cell r="A56">
            <v>49</v>
          </cell>
          <cell r="B56" t="str">
            <v>CONSROCIO DCARIBE</v>
          </cell>
          <cell r="C56" t="str">
            <v>DC OBRAS E INVERSIONES SAS</v>
          </cell>
          <cell r="D56">
            <v>0.1</v>
          </cell>
          <cell r="E56" t="str">
            <v>CONSTRUCTORA CARIBE NORTE SAS</v>
          </cell>
          <cell r="F56">
            <v>0.9</v>
          </cell>
          <cell r="G56"/>
          <cell r="H56"/>
          <cell r="I56"/>
          <cell r="J56"/>
          <cell r="K56"/>
          <cell r="L56"/>
          <cell r="M56"/>
          <cell r="N56"/>
          <cell r="O56">
            <v>1</v>
          </cell>
          <cell r="P56" t="str">
            <v>NO HABILITADO</v>
          </cell>
          <cell r="Q56" t="str">
            <v>HABILITADO</v>
          </cell>
          <cell r="R56" t="str">
            <v>HABILITADO</v>
          </cell>
          <cell r="S56" t="str">
            <v>NO HABILITADO</v>
          </cell>
          <cell r="T56">
            <v>40.5</v>
          </cell>
          <cell r="U56" t="str">
            <v>Unico contrato Fecha anterior a la NSR 10</v>
          </cell>
          <cell r="V56" t="str">
            <v>Claudia Marcela Ramirez Ibañez</v>
          </cell>
          <cell r="W56" t="str">
            <v>Sebastian Llano Vesga</v>
          </cell>
          <cell r="Z56" t="str">
            <v>Proponente Plural</v>
          </cell>
        </row>
        <row r="57">
          <cell r="A57">
            <v>50</v>
          </cell>
          <cell r="B57" t="str">
            <v>CONSORCIO ERJ</v>
          </cell>
          <cell r="C57" t="str">
            <v>ERJ INGENIERIA E INVERSIONES SAS</v>
          </cell>
          <cell r="D57">
            <v>0.3</v>
          </cell>
          <cell r="E57" t="str">
            <v>CAMILO ERNESTO ROJAS TOVAR</v>
          </cell>
          <cell r="F57">
            <v>0.7</v>
          </cell>
          <cell r="G57"/>
          <cell r="H57"/>
          <cell r="I57"/>
          <cell r="J57"/>
          <cell r="K57"/>
          <cell r="L57"/>
          <cell r="M57"/>
          <cell r="N57"/>
          <cell r="O57">
            <v>1</v>
          </cell>
          <cell r="P57" t="str">
            <v>NO HABILITADO</v>
          </cell>
          <cell r="Q57" t="str">
            <v>HABILITADO</v>
          </cell>
          <cell r="R57" t="str">
            <v>HABILITADO</v>
          </cell>
          <cell r="S57" t="str">
            <v>NO HABILITADO</v>
          </cell>
          <cell r="T57">
            <v>39.5</v>
          </cell>
          <cell r="U57" t="str">
            <v>Observaciones a la experiencia / F8 Personal minusvalido</v>
          </cell>
          <cell r="V57" t="str">
            <v>Claudia Marcela Ramirez Ibañez</v>
          </cell>
          <cell r="W57" t="str">
            <v>Sebastian Llano Vesga</v>
          </cell>
          <cell r="Z57" t="str">
            <v>Proponente Plural</v>
          </cell>
        </row>
        <row r="58">
          <cell r="A58">
            <v>51</v>
          </cell>
          <cell r="B58" t="str">
            <v>CUMBRE ASOCIADOS LIMITADA</v>
          </cell>
          <cell r="C58" t="str">
            <v>CUMBRE ASOCIADOS LIMITADA</v>
          </cell>
          <cell r="D58">
            <v>1</v>
          </cell>
          <cell r="E58"/>
          <cell r="F58"/>
          <cell r="G58"/>
          <cell r="H58"/>
          <cell r="I58"/>
          <cell r="J58"/>
          <cell r="K58"/>
          <cell r="L58"/>
          <cell r="M58"/>
          <cell r="N58"/>
          <cell r="O58">
            <v>1</v>
          </cell>
          <cell r="P58" t="str">
            <v>HABILITADO</v>
          </cell>
          <cell r="Q58" t="str">
            <v>NO HABILITADO</v>
          </cell>
          <cell r="R58" t="str">
            <v>HABILITADO</v>
          </cell>
          <cell r="S58" t="str">
            <v>NO HABILITADO</v>
          </cell>
          <cell r="T58">
            <v>40.5</v>
          </cell>
          <cell r="U58" t="str">
            <v>OK-EXP OK- Ponderables / - OK Formulación</v>
          </cell>
          <cell r="V58" t="str">
            <v>Juan David Hurtado Bernal</v>
          </cell>
          <cell r="W58" t="str">
            <v>Diego Fernando Rozo Cristancho</v>
          </cell>
          <cell r="Z58" t="str">
            <v>Proponente Individual</v>
          </cell>
        </row>
        <row r="59">
          <cell r="A59">
            <v>52</v>
          </cell>
          <cell r="B59" t="str">
            <v>CONSROCO OBRAS SYOC-GT</v>
          </cell>
          <cell r="C59" t="str">
            <v>CONSTRUCTORA GT INGENIEROS SAS</v>
          </cell>
          <cell r="D59">
            <v>0.5</v>
          </cell>
          <cell r="E59" t="str">
            <v>SYOC DISEÑO Y CONSTRUCCION S.A.S.</v>
          </cell>
          <cell r="F59">
            <v>0.5</v>
          </cell>
          <cell r="G59"/>
          <cell r="H59"/>
          <cell r="I59"/>
          <cell r="J59"/>
          <cell r="K59"/>
          <cell r="L59"/>
          <cell r="M59"/>
          <cell r="N59"/>
          <cell r="O59">
            <v>1</v>
          </cell>
          <cell r="P59" t="str">
            <v>HABILITADO</v>
          </cell>
          <cell r="Q59" t="str">
            <v>NO HABILITADO</v>
          </cell>
          <cell r="R59" t="str">
            <v>HABILITADO</v>
          </cell>
          <cell r="S59" t="str">
            <v>NO HABILITADO</v>
          </cell>
          <cell r="T59">
            <v>40.25</v>
          </cell>
          <cell r="U59" t="str">
            <v>F13- Meses reportados seguridad social</v>
          </cell>
          <cell r="V59" t="str">
            <v>Juan David Hurtado Bernal</v>
          </cell>
          <cell r="W59" t="str">
            <v>Diego Fernando Rozo Cristancho</v>
          </cell>
          <cell r="Z59" t="str">
            <v>Proponente Plural</v>
          </cell>
        </row>
        <row r="60">
          <cell r="A60">
            <v>53</v>
          </cell>
          <cell r="B60" t="str">
            <v>R.R CONTRUCIVILES SAS</v>
          </cell>
          <cell r="C60" t="str">
            <v>RR CONSTRUCCIVILES SAS</v>
          </cell>
          <cell r="D60">
            <v>1</v>
          </cell>
          <cell r="E60"/>
          <cell r="F60"/>
          <cell r="G60"/>
          <cell r="H60"/>
          <cell r="I60"/>
          <cell r="J60"/>
          <cell r="K60"/>
          <cell r="L60"/>
          <cell r="M60"/>
          <cell r="N60"/>
          <cell r="O60">
            <v>1</v>
          </cell>
          <cell r="P60" t="str">
            <v>HABILITADO</v>
          </cell>
          <cell r="Q60" t="str">
            <v>NO HABILITADO</v>
          </cell>
          <cell r="R60" t="str">
            <v>HABILITADO</v>
          </cell>
          <cell r="S60" t="str">
            <v>NO HABILITADO</v>
          </cell>
          <cell r="T60">
            <v>40.5</v>
          </cell>
          <cell r="U60" t="str">
            <v>OK-EXP OK- Ponderables / - OK Formulación</v>
          </cell>
          <cell r="V60" t="str">
            <v>Juan David Hurtado Bernal</v>
          </cell>
          <cell r="W60" t="str">
            <v>Diego Fernando Rozo Cristancho</v>
          </cell>
          <cell r="Z60" t="str">
            <v>Proponente Individual</v>
          </cell>
        </row>
        <row r="61">
          <cell r="A61">
            <v>54</v>
          </cell>
          <cell r="B61" t="str">
            <v>CONSORCIO EDIFICACIONES SUCRE 1021</v>
          </cell>
          <cell r="C61" t="str">
            <v>CONSTRUCTORA DEL NORTE ING SAS</v>
          </cell>
          <cell r="D61">
            <v>0.45</v>
          </cell>
          <cell r="E61" t="str">
            <v>MTS CONTRUCCIONES SAS</v>
          </cell>
          <cell r="F61">
            <v>0.45</v>
          </cell>
          <cell r="G61" t="str">
            <v>INGENIERIA TELECOMUNICACIONES DE ANTIOQUIA SAS</v>
          </cell>
          <cell r="H61">
            <v>0.1</v>
          </cell>
          <cell r="I61"/>
          <cell r="J61"/>
          <cell r="K61"/>
          <cell r="L61"/>
          <cell r="M61"/>
          <cell r="N61"/>
          <cell r="O61">
            <v>1</v>
          </cell>
          <cell r="P61" t="str">
            <v>NO HABILITADO</v>
          </cell>
          <cell r="Q61" t="str">
            <v>NO HABILITADO</v>
          </cell>
          <cell r="R61" t="str">
            <v>HABILITADO</v>
          </cell>
          <cell r="S61" t="str">
            <v>NO HABILITADO</v>
          </cell>
          <cell r="T61">
            <v>31.5</v>
          </cell>
          <cell r="U61" t="str">
            <v>Observaciones experiencia - F12 F12 Jardines , adendo 2 cicloparqueaderos</v>
          </cell>
          <cell r="V61" t="str">
            <v>Juan David Hurtado Bernal</v>
          </cell>
          <cell r="W61" t="str">
            <v>Diego Fernando Rozo Cristancho</v>
          </cell>
          <cell r="Z61" t="str">
            <v>Proponente Plural</v>
          </cell>
        </row>
        <row r="62">
          <cell r="A62">
            <v>55</v>
          </cell>
          <cell r="B62" t="str">
            <v>CONSORCIO CENTRO 24</v>
          </cell>
          <cell r="C62" t="str">
            <v>CONCITEC SAS</v>
          </cell>
          <cell r="D62">
            <v>0.5</v>
          </cell>
          <cell r="E62" t="str">
            <v>PAOLA LOPEZ TRIVIÑO</v>
          </cell>
          <cell r="F62">
            <v>0.5</v>
          </cell>
          <cell r="G62"/>
          <cell r="H62"/>
          <cell r="I62"/>
          <cell r="J62"/>
          <cell r="K62"/>
          <cell r="L62"/>
          <cell r="M62"/>
          <cell r="N62"/>
          <cell r="O62">
            <v>1</v>
          </cell>
          <cell r="P62" t="str">
            <v>NO HABILITADO</v>
          </cell>
          <cell r="Q62" t="str">
            <v>HABILITADO</v>
          </cell>
          <cell r="R62" t="str">
            <v>HABILITADO</v>
          </cell>
          <cell r="S62" t="str">
            <v>NO HABILITADO</v>
          </cell>
          <cell r="T62">
            <v>40.25</v>
          </cell>
          <cell r="U62" t="str">
            <v>No cumple KRC - F13 meses seguridad social - observaciones experiencia - F1 no valida</v>
          </cell>
          <cell r="V62" t="str">
            <v>Juan David Hurtado Bernal</v>
          </cell>
          <cell r="W62" t="str">
            <v>Diego Fernando Rozo Cristancho</v>
          </cell>
          <cell r="Z62" t="str">
            <v>Proponente Plural</v>
          </cell>
        </row>
        <row r="63">
          <cell r="A63">
            <v>56</v>
          </cell>
          <cell r="B63" t="str">
            <v>CONSORCIO SAMPUES HS</v>
          </cell>
          <cell r="C63" t="str">
            <v>HINCA SAS</v>
          </cell>
          <cell r="D63">
            <v>0.1</v>
          </cell>
          <cell r="E63" t="str">
            <v>SOUL INGENIERIA CO SAS</v>
          </cell>
          <cell r="F63">
            <v>0.9</v>
          </cell>
          <cell r="G63"/>
          <cell r="H63"/>
          <cell r="I63"/>
          <cell r="J63"/>
          <cell r="K63"/>
          <cell r="L63"/>
          <cell r="M63"/>
          <cell r="N63"/>
          <cell r="O63">
            <v>1</v>
          </cell>
          <cell r="P63" t="str">
            <v>NO HABILITADO</v>
          </cell>
          <cell r="Q63" t="str">
            <v>HABILITADO</v>
          </cell>
          <cell r="R63" t="str">
            <v>HABILITADO</v>
          </cell>
          <cell r="S63" t="str">
            <v>NO HABILITADO</v>
          </cell>
          <cell r="T63">
            <v>20.5</v>
          </cell>
          <cell r="U63" t="str">
            <v>No cumple KRC- Observaciones experiencia -F9 no acepto lso bienes relevantes conforme al pliego de condiciones</v>
          </cell>
          <cell r="V63" t="str">
            <v>Alfonso Enrique Puello Sanchez</v>
          </cell>
          <cell r="W63" t="str">
            <v>Valentina Troncoso Charry</v>
          </cell>
          <cell r="Z63" t="str">
            <v>Proponente Plural</v>
          </cell>
        </row>
        <row r="64">
          <cell r="A64">
            <v>57</v>
          </cell>
          <cell r="B64" t="str">
            <v>CONSORCIO DEPOR HD</v>
          </cell>
          <cell r="C64" t="str">
            <v>HD INGENIERIA Y CONSULTORIA SAS</v>
          </cell>
          <cell r="D64">
            <v>0.9</v>
          </cell>
          <cell r="E64" t="str">
            <v>CONSTRUCTORA INGELAD SAS</v>
          </cell>
          <cell r="F64">
            <v>0.1</v>
          </cell>
          <cell r="G64"/>
          <cell r="H64"/>
          <cell r="I64"/>
          <cell r="J64"/>
          <cell r="K64"/>
          <cell r="L64"/>
          <cell r="M64"/>
          <cell r="N64"/>
          <cell r="O64">
            <v>1</v>
          </cell>
          <cell r="P64" t="str">
            <v>HABILITADO</v>
          </cell>
          <cell r="Q64" t="str">
            <v>HABILITADO</v>
          </cell>
          <cell r="R64" t="str">
            <v>HABILITADO</v>
          </cell>
          <cell r="S64" t="str">
            <v>HABILITADO</v>
          </cell>
          <cell r="T64">
            <v>40.5</v>
          </cell>
          <cell r="U64" t="str">
            <v>OK-EXP OK- Ponderables / - OK Formulación</v>
          </cell>
          <cell r="V64" t="str">
            <v>Alfonso Enrique Puello Sanchez</v>
          </cell>
          <cell r="W64" t="str">
            <v>Valentina Troncoso Charry</v>
          </cell>
          <cell r="Z64" t="str">
            <v>Proponente Plural</v>
          </cell>
        </row>
        <row r="65">
          <cell r="A65">
            <v>58</v>
          </cell>
          <cell r="B65" t="str">
            <v xml:space="preserve">WRUSSY INGENIEROS SAS </v>
          </cell>
          <cell r="C65" t="str">
            <v>WRUSSY INGENIEROS S.A.S</v>
          </cell>
          <cell r="D65">
            <v>1</v>
          </cell>
          <cell r="E65"/>
          <cell r="F65"/>
          <cell r="G65"/>
          <cell r="H65"/>
          <cell r="I65"/>
          <cell r="J65"/>
          <cell r="K65"/>
          <cell r="L65"/>
          <cell r="M65"/>
          <cell r="N65"/>
          <cell r="O65">
            <v>1</v>
          </cell>
          <cell r="P65" t="str">
            <v>HABILITADO</v>
          </cell>
          <cell r="Q65" t="str">
            <v>HABILITADO</v>
          </cell>
          <cell r="R65" t="str">
            <v>HABILITADO</v>
          </cell>
          <cell r="S65" t="str">
            <v>HABILITADO</v>
          </cell>
          <cell r="T65">
            <v>40.5</v>
          </cell>
          <cell r="U65" t="str">
            <v>OK-EXP OK- Ponderables / - OK Formulación</v>
          </cell>
          <cell r="V65" t="str">
            <v>Alfonso Enrique Puello Sanchez</v>
          </cell>
          <cell r="W65" t="str">
            <v>Valentina Troncoso Charry</v>
          </cell>
          <cell r="Z65" t="str">
            <v>Proponente Individual</v>
          </cell>
        </row>
        <row r="66">
          <cell r="A66">
            <v>59</v>
          </cell>
          <cell r="B66" t="str">
            <v>CONSORCIO URBAN CENTRO CULTURAL</v>
          </cell>
          <cell r="C66" t="str">
            <v>ALDEMAR ALVAREZ SALINAS</v>
          </cell>
          <cell r="D66">
            <v>0.5</v>
          </cell>
          <cell r="E66" t="str">
            <v>SERVICIOS INTEGRALES MULTIPROYECTOS S.A.S</v>
          </cell>
          <cell r="F66">
            <v>0.4</v>
          </cell>
          <cell r="G66" t="str">
            <v>CINCO - II INGENIERIA SAS</v>
          </cell>
          <cell r="H66">
            <v>0.1</v>
          </cell>
          <cell r="I66"/>
          <cell r="J66"/>
          <cell r="K66"/>
          <cell r="L66"/>
          <cell r="M66"/>
          <cell r="N66"/>
          <cell r="O66">
            <v>1</v>
          </cell>
          <cell r="P66" t="str">
            <v>NO HABILITADO</v>
          </cell>
          <cell r="Q66" t="str">
            <v>NO HABILITADO</v>
          </cell>
          <cell r="R66" t="str">
            <v>HABILITADO</v>
          </cell>
          <cell r="S66" t="str">
            <v>NO HABILITADO</v>
          </cell>
          <cell r="T66">
            <v>39.5</v>
          </cell>
          <cell r="U66" t="str">
            <v>No cumple KRC - F8 personal minusvalido</v>
          </cell>
          <cell r="V66" t="str">
            <v>Alfonso Enrique Puello Sanchez</v>
          </cell>
          <cell r="W66" t="str">
            <v>Valentina Troncoso Charry</v>
          </cell>
          <cell r="Z66" t="str">
            <v>Proponente Plural</v>
          </cell>
        </row>
        <row r="67">
          <cell r="A67">
            <v>60</v>
          </cell>
          <cell r="B67" t="str">
            <v>CONSORCIO CONSTRUCCIONES RED SABANA</v>
          </cell>
          <cell r="C67" t="str">
            <v>INGENIERIA VERTICAL ING</v>
          </cell>
          <cell r="D67">
            <v>0.9</v>
          </cell>
          <cell r="E67" t="str">
            <v>RT CONSTRUCCIONES &amp; DISEÑOS SAS</v>
          </cell>
          <cell r="F67">
            <v>0.1</v>
          </cell>
          <cell r="G67"/>
          <cell r="H67"/>
          <cell r="I67"/>
          <cell r="J67"/>
          <cell r="K67"/>
          <cell r="L67"/>
          <cell r="M67"/>
          <cell r="N67"/>
          <cell r="O67">
            <v>1</v>
          </cell>
          <cell r="P67" t="str">
            <v>NO HABILITADO</v>
          </cell>
          <cell r="Q67" t="str">
            <v>NO HABILITADO</v>
          </cell>
          <cell r="R67" t="str">
            <v>HABILITADO</v>
          </cell>
          <cell r="S67" t="str">
            <v>NO HABILITADO</v>
          </cell>
          <cell r="T67">
            <v>31.5</v>
          </cell>
          <cell r="U67" t="str">
            <v>No cumple KRC , No f12 -  Jardines , adendo 2 cicloparqueaderos</v>
          </cell>
          <cell r="V67" t="str">
            <v>Alfonso Enrique Puello Sanchez</v>
          </cell>
          <cell r="W67" t="str">
            <v>Valentina Troncoso Charry</v>
          </cell>
          <cell r="Z67" t="str">
            <v>Proponente Plural</v>
          </cell>
        </row>
        <row r="68">
          <cell r="A68">
            <v>61</v>
          </cell>
          <cell r="B68" t="str">
            <v>CONSTRUCTORA CARSU S.A.S</v>
          </cell>
          <cell r="C68" t="str">
            <v>CONSTRUCTORA CARSU S.A.S</v>
          </cell>
          <cell r="D68">
            <v>1</v>
          </cell>
          <cell r="E68"/>
          <cell r="F68"/>
          <cell r="G68"/>
          <cell r="H68"/>
          <cell r="I68"/>
          <cell r="J68"/>
          <cell r="K68"/>
          <cell r="L68"/>
          <cell r="M68"/>
          <cell r="N68"/>
          <cell r="O68">
            <v>1</v>
          </cell>
          <cell r="P68" t="str">
            <v>HABILITADO</v>
          </cell>
          <cell r="Q68" t="str">
            <v>HABILITADO</v>
          </cell>
          <cell r="R68" t="str">
            <v>HABILITADO</v>
          </cell>
          <cell r="S68" t="str">
            <v>HABILITADO</v>
          </cell>
          <cell r="T68">
            <v>40.25</v>
          </cell>
          <cell r="U68" t="str">
            <v>F-13 Meses reportados de seguridad social</v>
          </cell>
          <cell r="V68" t="str">
            <v>Sandra Liliana Ordoñez Oliveros</v>
          </cell>
          <cell r="W68" t="str">
            <v>Rodrigo Sanchez Perez</v>
          </cell>
          <cell r="Z68" t="str">
            <v>Proponente Individual</v>
          </cell>
        </row>
        <row r="69">
          <cell r="A69">
            <v>62</v>
          </cell>
          <cell r="B69" t="str">
            <v>JGV INGENIEROS SAS</v>
          </cell>
          <cell r="C69" t="str">
            <v>JGV INGENIEROS SAS</v>
          </cell>
          <cell r="D69">
            <v>1</v>
          </cell>
          <cell r="E69"/>
          <cell r="F69"/>
          <cell r="G69"/>
          <cell r="H69"/>
          <cell r="I69"/>
          <cell r="J69"/>
          <cell r="K69"/>
          <cell r="L69"/>
          <cell r="M69"/>
          <cell r="N69"/>
          <cell r="O69">
            <v>1</v>
          </cell>
          <cell r="P69" t="str">
            <v>HABILITADO</v>
          </cell>
          <cell r="Q69" t="str">
            <v>HABILITADO</v>
          </cell>
          <cell r="R69" t="str">
            <v>HABILITADO</v>
          </cell>
          <cell r="S69" t="str">
            <v>HABILITADO</v>
          </cell>
          <cell r="T69">
            <v>40.5</v>
          </cell>
          <cell r="U69"/>
          <cell r="V69" t="str">
            <v>Sandra Liliana Ordoñez Oliveros</v>
          </cell>
          <cell r="W69" t="str">
            <v>Rodrigo Sanchez Perez</v>
          </cell>
          <cell r="Z69" t="str">
            <v>Proponente Individual</v>
          </cell>
        </row>
        <row r="70">
          <cell r="A70">
            <v>63</v>
          </cell>
          <cell r="B70" t="str">
            <v>CONSORCIO ESPACIOS CULTURALES 2024</v>
          </cell>
          <cell r="C70" t="str">
            <v>INGESPACIOS HYL SAS</v>
          </cell>
          <cell r="D70">
            <v>0.8</v>
          </cell>
          <cell r="E70" t="str">
            <v>OBRESSA SAS</v>
          </cell>
          <cell r="F70">
            <v>0.2</v>
          </cell>
          <cell r="G70"/>
          <cell r="H70"/>
          <cell r="I70"/>
          <cell r="J70"/>
          <cell r="K70"/>
          <cell r="L70"/>
          <cell r="M70"/>
          <cell r="N70"/>
          <cell r="O70">
            <v>1</v>
          </cell>
          <cell r="P70" t="str">
            <v>NO HABILITADO</v>
          </cell>
          <cell r="Q70" t="str">
            <v>NO HABILITADO</v>
          </cell>
          <cell r="R70" t="str">
            <v>HABILITADO</v>
          </cell>
          <cell r="S70" t="str">
            <v>NO HABILITADO</v>
          </cell>
          <cell r="T70">
            <v>40.5</v>
          </cell>
          <cell r="U70" t="str">
            <v>No cumple KRC - EXP = No cumple fecha NSR 10 y % de experiencia entre los intregrantes</v>
          </cell>
          <cell r="V70" t="str">
            <v>Sandra Liliana Ordoñez Oliveros</v>
          </cell>
          <cell r="W70" t="str">
            <v>Rodrigo Sanchez Perez</v>
          </cell>
          <cell r="Z70" t="str">
            <v>Proponente Plural</v>
          </cell>
        </row>
        <row r="71">
          <cell r="A71">
            <v>64</v>
          </cell>
          <cell r="B71" t="str">
            <v>CONSORCIO SANLUCAS</v>
          </cell>
          <cell r="C71" t="str">
            <v>LUIS FERNANDO TAMAYO PERALTA</v>
          </cell>
          <cell r="D71">
            <v>0.6</v>
          </cell>
          <cell r="E71" t="str">
            <v>CREARQ CONSTRUCCIONES E INGENIERIA S.A.S.</v>
          </cell>
          <cell r="F71">
            <v>0.4</v>
          </cell>
          <cell r="G71"/>
          <cell r="H71"/>
          <cell r="I71"/>
          <cell r="J71"/>
          <cell r="K71"/>
          <cell r="L71"/>
          <cell r="M71"/>
          <cell r="N71"/>
          <cell r="O71">
            <v>1</v>
          </cell>
          <cell r="P71" t="str">
            <v>NO HABILITADO</v>
          </cell>
          <cell r="Q71" t="str">
            <v>NO HABILITADO</v>
          </cell>
          <cell r="R71" t="str">
            <v>HABILITADO</v>
          </cell>
          <cell r="S71" t="str">
            <v>NO HABILITADO</v>
          </cell>
          <cell r="T71">
            <v>40.5</v>
          </cell>
          <cell r="U71" t="str">
            <v>No cumple KRC</v>
          </cell>
          <cell r="V71" t="str">
            <v>Sandra Liliana Ordoñez Oliveros</v>
          </cell>
          <cell r="W71" t="str">
            <v>Rodrigo Sanchez Perez</v>
          </cell>
          <cell r="Z71" t="str">
            <v>Proponente Plural</v>
          </cell>
        </row>
        <row r="72">
          <cell r="A72">
            <v>65</v>
          </cell>
          <cell r="B72" t="str">
            <v>CONSORCIO VAPRO</v>
          </cell>
          <cell r="C72" t="str">
            <v>VANEGAS INGENIEROS SAS</v>
          </cell>
          <cell r="D72">
            <v>0.9</v>
          </cell>
          <cell r="E72" t="str">
            <v>PRONEING SAS</v>
          </cell>
          <cell r="F72">
            <v>0.1</v>
          </cell>
          <cell r="G72"/>
          <cell r="H72"/>
          <cell r="I72"/>
          <cell r="J72"/>
          <cell r="K72"/>
          <cell r="L72"/>
          <cell r="M72"/>
          <cell r="N72"/>
          <cell r="O72">
            <v>1</v>
          </cell>
          <cell r="P72" t="str">
            <v>HABILITADO</v>
          </cell>
          <cell r="Q72" t="str">
            <v>HABILITADO</v>
          </cell>
          <cell r="R72" t="str">
            <v>HABILITADO</v>
          </cell>
          <cell r="S72" t="str">
            <v>HABILITADO</v>
          </cell>
          <cell r="T72">
            <v>40.5</v>
          </cell>
          <cell r="U72"/>
          <cell r="V72" t="str">
            <v>Sandra Liliana Ordoñez Oliveros</v>
          </cell>
          <cell r="W72" t="str">
            <v>Rodrigo Sanchez Perez</v>
          </cell>
          <cell r="Z72" t="str">
            <v>Proponente Plural</v>
          </cell>
        </row>
        <row r="73">
          <cell r="A73">
            <v>66</v>
          </cell>
          <cell r="B73" t="str">
            <v>CONSORCIO ÉXITO 2025</v>
          </cell>
          <cell r="C73" t="str">
            <v>IVAN ECHEVERRI OSORIO</v>
          </cell>
          <cell r="D73">
            <v>0.28000000000000003</v>
          </cell>
          <cell r="E73" t="str">
            <v>INVERSIONES TERRA SA</v>
          </cell>
          <cell r="F73">
            <v>0.1</v>
          </cell>
          <cell r="G73" t="str">
            <v>CRHISTIAN COLLAZOS SANDOVAL</v>
          </cell>
          <cell r="H73">
            <v>0.37</v>
          </cell>
          <cell r="I73" t="str">
            <v>OBRAS Y CONSTRUCCIONES CIVILES SOSTENIBLES S.A.S.</v>
          </cell>
          <cell r="J73">
            <v>0.25</v>
          </cell>
          <cell r="K73"/>
          <cell r="L73"/>
          <cell r="M73"/>
          <cell r="N73"/>
          <cell r="O73">
            <v>1</v>
          </cell>
          <cell r="P73" t="str">
            <v>NO HABILITADO</v>
          </cell>
          <cell r="Q73" t="str">
            <v>HABILITADO</v>
          </cell>
          <cell r="R73" t="str">
            <v>HABILITADO</v>
          </cell>
          <cell r="S73" t="str">
            <v>NO HABILITADO</v>
          </cell>
          <cell r="T73">
            <v>39.5</v>
          </cell>
          <cell r="U73" t="str">
            <v>Certificaciones con privados sin la certificacion de facturacion por contrador 3,5,5 pliegos - F8 minusvalidos</v>
          </cell>
          <cell r="V73" t="str">
            <v>Maria Camila Tobar Vivas</v>
          </cell>
          <cell r="W73" t="str">
            <v>Jenny Alejandra Reyes Diaz</v>
          </cell>
          <cell r="Z73" t="str">
            <v>Proponente Plural</v>
          </cell>
        </row>
        <row r="74">
          <cell r="A74">
            <v>67</v>
          </cell>
          <cell r="B74" t="str">
            <v>CONSORCIO SAMPUES 2024</v>
          </cell>
          <cell r="C74" t="str">
            <v>CONBAR INGENIERIA S.A.S</v>
          </cell>
          <cell r="D74">
            <v>0.1</v>
          </cell>
          <cell r="E74" t="str">
            <v>M&amp;M INGENIEROS ASOCIADOS S.A.S</v>
          </cell>
          <cell r="F74">
            <v>0.9</v>
          </cell>
          <cell r="G74"/>
          <cell r="H74"/>
          <cell r="I74"/>
          <cell r="J74"/>
          <cell r="K74"/>
          <cell r="L74"/>
          <cell r="M74"/>
          <cell r="N74"/>
          <cell r="O74">
            <v>1</v>
          </cell>
          <cell r="P74" t="str">
            <v>NO HABILITADO</v>
          </cell>
          <cell r="Q74" t="str">
            <v>HABILITADO</v>
          </cell>
          <cell r="R74" t="str">
            <v>HABILITADO</v>
          </cell>
          <cell r="S74" t="str">
            <v>NO HABILITADO</v>
          </cell>
          <cell r="T74">
            <v>40.5</v>
          </cell>
          <cell r="U74" t="str">
            <v>No cumple KRC</v>
          </cell>
          <cell r="V74" t="str">
            <v>Maria Camila Tobar Vivas</v>
          </cell>
          <cell r="W74" t="str">
            <v>Jenny Alejandra Reyes Diaz</v>
          </cell>
          <cell r="Z74" t="str">
            <v>Proponente Plural</v>
          </cell>
        </row>
        <row r="75">
          <cell r="A75">
            <v>68</v>
          </cell>
          <cell r="B75" t="str">
            <v>INARTK SAS</v>
          </cell>
          <cell r="C75" t="str">
            <v>NARTK INGENIERIA Y ARQUITECTURA SAS</v>
          </cell>
          <cell r="D75">
            <v>1</v>
          </cell>
          <cell r="E75"/>
          <cell r="F75"/>
          <cell r="G75"/>
          <cell r="H75"/>
          <cell r="I75"/>
          <cell r="J75"/>
          <cell r="K75"/>
          <cell r="L75"/>
          <cell r="M75"/>
          <cell r="N75"/>
          <cell r="O75">
            <v>1</v>
          </cell>
          <cell r="P75" t="str">
            <v>HABILITADO</v>
          </cell>
          <cell r="Q75" t="str">
            <v>NO HABILITADO</v>
          </cell>
          <cell r="R75" t="str">
            <v>HABILITADO</v>
          </cell>
          <cell r="S75" t="str">
            <v>NO HABILITADO</v>
          </cell>
          <cell r="T75">
            <v>40.5</v>
          </cell>
          <cell r="U75"/>
          <cell r="V75" t="str">
            <v>Maria Camila Tobar Vivas</v>
          </cell>
          <cell r="W75" t="str">
            <v>Jenny Alejandra Reyes Diaz</v>
          </cell>
          <cell r="Z75" t="str">
            <v>Proponente Individual</v>
          </cell>
        </row>
        <row r="76">
          <cell r="A76">
            <v>69</v>
          </cell>
          <cell r="B76" t="str">
            <v>UNIÓN TEMPORAL MINCULTURA PYT</v>
          </cell>
          <cell r="C76" t="str">
            <v>PANAM INGENIEROS</v>
          </cell>
          <cell r="D76">
            <v>0.9</v>
          </cell>
          <cell r="E76" t="str">
            <v>TERRA INGENIERIA &amp; CONSULTORIA SAS</v>
          </cell>
          <cell r="F76">
            <v>0.1</v>
          </cell>
          <cell r="G76"/>
          <cell r="H76"/>
          <cell r="I76"/>
          <cell r="J76"/>
          <cell r="K76"/>
          <cell r="L76"/>
          <cell r="M76"/>
          <cell r="N76"/>
          <cell r="O76">
            <v>1</v>
          </cell>
          <cell r="P76" t="str">
            <v>HABILITADO</v>
          </cell>
          <cell r="Q76" t="str">
            <v>HABILITADO</v>
          </cell>
          <cell r="R76" t="str">
            <v>HABILITADO</v>
          </cell>
          <cell r="S76" t="str">
            <v>HABILITADO</v>
          </cell>
          <cell r="T76">
            <v>40.5</v>
          </cell>
          <cell r="U76"/>
          <cell r="V76" t="str">
            <v>Maria Camila Tobar Vivas</v>
          </cell>
          <cell r="W76" t="str">
            <v>Jenny Alejandra Reyes Diaz</v>
          </cell>
          <cell r="Z76" t="str">
            <v>Proponente Plural</v>
          </cell>
        </row>
        <row r="77">
          <cell r="A77">
            <v>70</v>
          </cell>
          <cell r="B77" t="str">
            <v>CONSORCIO CIVICO</v>
          </cell>
          <cell r="C77" t="str">
            <v>CONSTRUDISEÑOS DEL ORIENTE SAS ZOMAC</v>
          </cell>
          <cell r="D77">
            <v>0.1</v>
          </cell>
          <cell r="E77" t="str">
            <v>CIVIND INGENIERIA SAS</v>
          </cell>
          <cell r="F77">
            <v>0.9</v>
          </cell>
          <cell r="G77"/>
          <cell r="H77"/>
          <cell r="I77"/>
          <cell r="J77"/>
          <cell r="K77"/>
          <cell r="L77"/>
          <cell r="M77"/>
          <cell r="N77"/>
          <cell r="O77">
            <v>1</v>
          </cell>
          <cell r="P77" t="str">
            <v>HABILITADO</v>
          </cell>
          <cell r="Q77" t="str">
            <v>NO HABILITADO</v>
          </cell>
          <cell r="R77" t="str">
            <v>HABILITADO</v>
          </cell>
          <cell r="S77" t="str">
            <v>NO HABILITADO</v>
          </cell>
          <cell r="T77">
            <v>40.5</v>
          </cell>
          <cell r="U77"/>
          <cell r="V77" t="str">
            <v>Maria Camila Tobar Vivas</v>
          </cell>
          <cell r="W77" t="str">
            <v>Jenny Alejandra Reyes Diaz</v>
          </cell>
          <cell r="Z77" t="str">
            <v>Proponente Plural</v>
          </cell>
        </row>
        <row r="78">
          <cell r="A78">
            <v>71</v>
          </cell>
          <cell r="B78" t="str">
            <v>CONSORCIO CULTURAL SAMPUES 0108</v>
          </cell>
          <cell r="C78" t="str">
            <v>CONSTRUCCIONES GOLDEN BQ SAS</v>
          </cell>
          <cell r="D78">
            <v>0.9</v>
          </cell>
          <cell r="E78" t="str">
            <v>INGENIERIA &amp; CONSTRUCCIONES TAK SAS</v>
          </cell>
          <cell r="F78">
            <v>0.1</v>
          </cell>
          <cell r="G78"/>
          <cell r="H78"/>
          <cell r="I78"/>
          <cell r="J78"/>
          <cell r="K78"/>
          <cell r="L78"/>
          <cell r="M78"/>
          <cell r="N78"/>
          <cell r="O78">
            <v>1</v>
          </cell>
          <cell r="P78" t="str">
            <v>NO HABILITADO</v>
          </cell>
          <cell r="Q78" t="str">
            <v>NO HABILITADO</v>
          </cell>
          <cell r="R78" t="str">
            <v>HABILITADO</v>
          </cell>
          <cell r="S78" t="str">
            <v>NO HABILITADO</v>
          </cell>
          <cell r="T78">
            <v>31.5</v>
          </cell>
          <cell r="U78" t="str">
            <v>f12 -  Jardines , adendo 2 cicloparqueaderos</v>
          </cell>
          <cell r="V78" t="str">
            <v>Laura Carolina Pineda Bernal</v>
          </cell>
          <cell r="W78" t="str">
            <v>Lucia Tapiero Barreto</v>
          </cell>
          <cell r="Z78" t="str">
            <v>Proponente Plural</v>
          </cell>
        </row>
        <row r="79">
          <cell r="A79">
            <v>72</v>
          </cell>
          <cell r="B79" t="str">
            <v>BERAKAH INGENIERÍA S.A.S_</v>
          </cell>
          <cell r="C79" t="str">
            <v>BERAKAH INGENIERÍA S.A.S_</v>
          </cell>
          <cell r="D79">
            <v>1</v>
          </cell>
          <cell r="E79"/>
          <cell r="F79"/>
          <cell r="G79"/>
          <cell r="H79"/>
          <cell r="I79"/>
          <cell r="J79"/>
          <cell r="K79"/>
          <cell r="L79"/>
          <cell r="M79"/>
          <cell r="N79"/>
          <cell r="O79">
            <v>1</v>
          </cell>
          <cell r="P79" t="str">
            <v>HABILITADO</v>
          </cell>
          <cell r="Q79" t="str">
            <v>NO HABILITADO</v>
          </cell>
          <cell r="R79" t="str">
            <v>HABILITADO</v>
          </cell>
          <cell r="S79" t="str">
            <v>NO HABILITADO</v>
          </cell>
          <cell r="T79">
            <v>40.5</v>
          </cell>
          <cell r="U79"/>
          <cell r="V79" t="str">
            <v>Laura Carolina Pineda Bernal</v>
          </cell>
          <cell r="W79" t="str">
            <v>Lucia Tapiero Barreto</v>
          </cell>
          <cell r="Z79" t="str">
            <v>Proponente Individual</v>
          </cell>
        </row>
        <row r="80">
          <cell r="A80">
            <v>73</v>
          </cell>
          <cell r="B80" t="str">
            <v>COSTRUCCIONES C&amp;G SAS</v>
          </cell>
          <cell r="C80" t="str">
            <v>COSTRUCCIONES C&amp;G SAS</v>
          </cell>
          <cell r="D80">
            <v>1</v>
          </cell>
          <cell r="E80"/>
          <cell r="F80"/>
          <cell r="G80"/>
          <cell r="H80"/>
          <cell r="I80"/>
          <cell r="J80"/>
          <cell r="K80"/>
          <cell r="L80"/>
          <cell r="M80"/>
          <cell r="N80"/>
          <cell r="O80">
            <v>1</v>
          </cell>
          <cell r="P80" t="str">
            <v>HABILITADO</v>
          </cell>
          <cell r="Q80" t="str">
            <v>HABILITADO</v>
          </cell>
          <cell r="R80" t="str">
            <v>HABILITADO</v>
          </cell>
          <cell r="S80" t="str">
            <v>HABILITADO</v>
          </cell>
          <cell r="T80">
            <v>31.5</v>
          </cell>
          <cell r="U80" t="str">
            <v>f12 -  Jardines , adendo 2 cicloparqueaderos</v>
          </cell>
          <cell r="V80" t="str">
            <v>Laura Carolina Pineda Bernal</v>
          </cell>
          <cell r="W80" t="str">
            <v>Lucia Tapiero Barreto</v>
          </cell>
          <cell r="Z80" t="str">
            <v>Proponente Individual</v>
          </cell>
        </row>
        <row r="81">
          <cell r="A81">
            <v>74</v>
          </cell>
          <cell r="B81" t="str">
            <v>CONSTRUCTORA MAGEDA SAS</v>
          </cell>
          <cell r="C81" t="str">
            <v>CONSTRUCTORA MAGEDA SAS</v>
          </cell>
          <cell r="D81">
            <v>1</v>
          </cell>
          <cell r="E81"/>
          <cell r="F81"/>
          <cell r="G81"/>
          <cell r="H81"/>
          <cell r="I81"/>
          <cell r="J81"/>
          <cell r="K81"/>
          <cell r="L81"/>
          <cell r="M81"/>
          <cell r="N81"/>
          <cell r="O81">
            <v>1</v>
          </cell>
          <cell r="P81" t="str">
            <v>NO HABILITADO</v>
          </cell>
          <cell r="Q81" t="str">
            <v>HABILITADO</v>
          </cell>
          <cell r="R81" t="str">
            <v>HABILITADO</v>
          </cell>
          <cell r="S81" t="str">
            <v>NO HABILITADO</v>
          </cell>
          <cell r="T81">
            <v>39.25</v>
          </cell>
          <cell r="U81" t="str">
            <v>No Cumple KRC / f13 NO composición acionaria  - f8 no discapacitados</v>
          </cell>
          <cell r="V81" t="str">
            <v>Laura Carolina Pineda Bernal</v>
          </cell>
          <cell r="W81" t="str">
            <v>Lucia Tapiero Barreto</v>
          </cell>
          <cell r="Z81" t="str">
            <v>Proponente Individual</v>
          </cell>
        </row>
        <row r="82">
          <cell r="A82">
            <v>75</v>
          </cell>
          <cell r="B82" t="str">
            <v>CONSORCIO J Y R</v>
          </cell>
          <cell r="C82" t="str">
            <v>JOSE RAUL GONZALEZ RIVERA</v>
          </cell>
          <cell r="D82">
            <v>0.8</v>
          </cell>
          <cell r="E82" t="str">
            <v xml:space="preserve">RAFAEL ANTONIO ACOSTA DE LA OSSA </v>
          </cell>
          <cell r="F82">
            <v>0.2</v>
          </cell>
          <cell r="G82"/>
          <cell r="H82"/>
          <cell r="I82"/>
          <cell r="J82"/>
          <cell r="K82"/>
          <cell r="L82"/>
          <cell r="M82"/>
          <cell r="N82"/>
          <cell r="O82">
            <v>1</v>
          </cell>
          <cell r="P82" t="str">
            <v>NO HABILITADO</v>
          </cell>
          <cell r="Q82" t="str">
            <v>NO HABILITADO</v>
          </cell>
          <cell r="R82" t="str">
            <v>HABILITADO</v>
          </cell>
          <cell r="S82" t="str">
            <v>NO HABILITADO</v>
          </cell>
          <cell r="T82">
            <v>40.25</v>
          </cell>
          <cell r="U82" t="str">
            <v>NO cumple KRC</v>
          </cell>
          <cell r="V82" t="str">
            <v>Laura Carolina Pineda Bernal</v>
          </cell>
          <cell r="W82" t="str">
            <v>Lucia Tapiero Barreto</v>
          </cell>
          <cell r="Z82" t="str">
            <v>Proponente Plural</v>
          </cell>
        </row>
        <row r="83">
          <cell r="A83">
            <v>76</v>
          </cell>
          <cell r="B83" t="str">
            <v>CONSORCIO ALOPUS</v>
          </cell>
          <cell r="C83" t="str">
            <v>ALTIUM PROYECTOS SAS</v>
          </cell>
          <cell r="D83">
            <v>0.9</v>
          </cell>
          <cell r="E83" t="str">
            <v>OPUS INGENIERIA SAS</v>
          </cell>
          <cell r="F83">
            <v>0.1</v>
          </cell>
          <cell r="G83"/>
          <cell r="H83"/>
          <cell r="I83"/>
          <cell r="J83"/>
          <cell r="K83"/>
          <cell r="L83"/>
          <cell r="M83"/>
          <cell r="N83"/>
          <cell r="O83">
            <v>1</v>
          </cell>
          <cell r="P83" t="str">
            <v>NO HABILITADO</v>
          </cell>
          <cell r="Q83" t="str">
            <v>NO HABILITADO</v>
          </cell>
          <cell r="R83" t="str">
            <v>NO HABILITADO</v>
          </cell>
          <cell r="S83" t="str">
            <v>NO HABILITADO</v>
          </cell>
          <cell r="T83">
            <v>39.5</v>
          </cell>
          <cell r="U83" t="str">
            <v>NO cumple KRC - F8 no anexa certificado min trabajo</v>
          </cell>
          <cell r="V83"/>
          <cell r="W83" t="str">
            <v>Lenin Alejandro Rodriguez Cruz</v>
          </cell>
          <cell r="Z83" t="str">
            <v>Proponente Plural</v>
          </cell>
        </row>
        <row r="84">
          <cell r="A84">
            <v>77</v>
          </cell>
          <cell r="B84" t="str">
            <v>PROPUESTA CONSORCIO CONSTRUCTOR AND - MIN CULTURA</v>
          </cell>
          <cell r="C84" t="str">
            <v>OBRAS CIVILES INTEGRALES SAS</v>
          </cell>
          <cell r="D84">
            <v>0.4</v>
          </cell>
          <cell r="E84" t="str">
            <v>NECONSER SAS</v>
          </cell>
          <cell r="F84">
            <v>0.6</v>
          </cell>
          <cell r="G84"/>
          <cell r="H84"/>
          <cell r="I84"/>
          <cell r="J84"/>
          <cell r="K84"/>
          <cell r="L84"/>
          <cell r="M84"/>
          <cell r="N84"/>
          <cell r="O84">
            <v>1</v>
          </cell>
          <cell r="P84" t="str">
            <v>RECHAZADO</v>
          </cell>
          <cell r="Q84" t="str">
            <v>NO HABILITADO</v>
          </cell>
          <cell r="R84" t="str">
            <v>NO HABILITADO</v>
          </cell>
          <cell r="S84" t="str">
            <v>NO HABILITADO</v>
          </cell>
          <cell r="T84">
            <v>39.5</v>
          </cell>
          <cell r="U84" t="str">
            <v>NO cumple KRC / No remitio RUP de un integrante / Fo8 no certificado min trabajo / f13 no se anexa</v>
          </cell>
          <cell r="V84"/>
          <cell r="W84" t="str">
            <v>Lenin Alejandro Rodriguez Cruz</v>
          </cell>
          <cell r="Z84" t="str">
            <v>Proponente Plural</v>
          </cell>
        </row>
        <row r="85">
          <cell r="A85">
            <v>78</v>
          </cell>
          <cell r="B85" t="str">
            <v>CONSORCIO RAING</v>
          </cell>
          <cell r="C85" t="str">
            <v>RAING PROYECTOS SAS</v>
          </cell>
          <cell r="D85">
            <v>0.4</v>
          </cell>
          <cell r="E85" t="str">
            <v>INGEBLAR SAS</v>
          </cell>
          <cell r="F85">
            <v>0.6</v>
          </cell>
          <cell r="G85"/>
          <cell r="H85"/>
          <cell r="I85"/>
          <cell r="J85"/>
          <cell r="K85"/>
          <cell r="L85"/>
          <cell r="M85"/>
          <cell r="N85"/>
          <cell r="O85">
            <v>1</v>
          </cell>
          <cell r="P85" t="str">
            <v>RECHAZADO</v>
          </cell>
          <cell r="Q85" t="str">
            <v>NO HABILITADO</v>
          </cell>
          <cell r="R85" t="str">
            <v>HABILITADO</v>
          </cell>
          <cell r="S85" t="str">
            <v>NO HABILITADO</v>
          </cell>
          <cell r="T85">
            <v>10.26</v>
          </cell>
          <cell r="U85" t="str">
            <v>No cumple KRC / No Aporto RUP ni experiencia no evaluable / F12 Jardines , adendo 2 cicloparqueaderos / F8  x 40% experiencia</v>
          </cell>
          <cell r="V85"/>
          <cell r="W85" t="str">
            <v>Lenin Alejandro Rodriguez Cruz</v>
          </cell>
          <cell r="Z85" t="str">
            <v>Proponente Plural</v>
          </cell>
        </row>
        <row r="86">
          <cell r="A86">
            <v>79</v>
          </cell>
          <cell r="B86" t="str">
            <v>CONSORCIO MYP</v>
          </cell>
          <cell r="C86" t="str">
            <v>MIRAFLOREZ CIVILES S.A.S.</v>
          </cell>
          <cell r="D86">
            <v>0.9</v>
          </cell>
          <cell r="E86" t="str">
            <v>CONSTRUCIVILES DE COLOMBIA E.P SAS</v>
          </cell>
          <cell r="F86">
            <v>0.1</v>
          </cell>
          <cell r="G86"/>
          <cell r="H86"/>
          <cell r="I86"/>
          <cell r="J86"/>
          <cell r="K86"/>
          <cell r="L86"/>
          <cell r="M86"/>
          <cell r="N86"/>
          <cell r="O86">
            <v>1</v>
          </cell>
          <cell r="P86" t="str">
            <v>NO HABILITADO</v>
          </cell>
          <cell r="Q86" t="str">
            <v>NO HABILITADO</v>
          </cell>
          <cell r="R86" t="str">
            <v>HABILITADO</v>
          </cell>
          <cell r="S86" t="str">
            <v>NO HABILITADO</v>
          </cell>
          <cell r="T86">
            <v>40.5</v>
          </cell>
          <cell r="U86" t="str">
            <v>No cumple KRC / formato 1 a subsanar  /</v>
          </cell>
          <cell r="V86"/>
          <cell r="W86" t="str">
            <v>Lenin Alejandro Rodriguez Cruz</v>
          </cell>
          <cell r="Z86" t="str">
            <v>Proponente Plural</v>
          </cell>
        </row>
        <row r="87">
          <cell r="A87">
            <v>80</v>
          </cell>
          <cell r="B87" t="str">
            <v>CONSORCIO SAMPUES 13</v>
          </cell>
          <cell r="C87" t="str">
            <v>INGESS INGENIERIA ESTRATEGICA SAS</v>
          </cell>
          <cell r="D87">
            <v>0.9</v>
          </cell>
          <cell r="E87" t="str">
            <v>PROINCO AYV INGENIERIA SAS</v>
          </cell>
          <cell r="F87">
            <v>0.1</v>
          </cell>
          <cell r="G87"/>
          <cell r="H87"/>
          <cell r="I87"/>
          <cell r="J87"/>
          <cell r="K87"/>
          <cell r="L87"/>
          <cell r="M87"/>
          <cell r="N87"/>
          <cell r="O87">
            <v>1</v>
          </cell>
          <cell r="P87" t="str">
            <v>HABILITADO</v>
          </cell>
          <cell r="Q87" t="str">
            <v>NO HABILITADO</v>
          </cell>
          <cell r="R87" t="str">
            <v>HABILITADO</v>
          </cell>
          <cell r="S87" t="str">
            <v>NO HABILITADO</v>
          </cell>
          <cell r="T87">
            <v>40.25</v>
          </cell>
          <cell r="U87" t="str">
            <v>No se adjunta formato 13 ni soportes de acreditación emprendimiento</v>
          </cell>
          <cell r="V87"/>
          <cell r="W87" t="str">
            <v>Carlos Eduardo Balen Urrutia</v>
          </cell>
          <cell r="Z87" t="str">
            <v>Proponente Plural</v>
          </cell>
        </row>
        <row r="88">
          <cell r="A88">
            <v>81</v>
          </cell>
          <cell r="B88" t="str">
            <v>CONSORCIO ASEI</v>
          </cell>
          <cell r="C88" t="str">
            <v>EQUIPOS E INGENIERIA DEL CARIBE SAS</v>
          </cell>
          <cell r="D88">
            <v>0.5</v>
          </cell>
          <cell r="E88" t="str">
            <v>ASIRCON CONTRATISTAS SAS</v>
          </cell>
          <cell r="F88">
            <v>0.5</v>
          </cell>
          <cell r="G88"/>
          <cell r="H88"/>
          <cell r="I88"/>
          <cell r="J88"/>
          <cell r="K88"/>
          <cell r="L88"/>
          <cell r="M88"/>
          <cell r="N88"/>
          <cell r="O88">
            <v>1</v>
          </cell>
          <cell r="P88" t="str">
            <v>HABILITADO</v>
          </cell>
          <cell r="Q88" t="str">
            <v>NO HABILITADO</v>
          </cell>
          <cell r="R88" t="str">
            <v>HABILITADO</v>
          </cell>
          <cell r="S88" t="str">
            <v>NO HABILITADO</v>
          </cell>
          <cell r="T88">
            <v>40.5</v>
          </cell>
          <cell r="U88"/>
          <cell r="V88"/>
          <cell r="W88" t="str">
            <v>Carlos Eduardo Balen Urrutia</v>
          </cell>
          <cell r="Z88" t="str">
            <v>Proponente Plural</v>
          </cell>
        </row>
        <row r="89">
          <cell r="A89">
            <v>82</v>
          </cell>
          <cell r="B89" t="str">
            <v>CONSORCIO V &amp; V</v>
          </cell>
          <cell r="C89" t="str">
            <v>CONSTRUCTORA ECODISEÑO SAS</v>
          </cell>
          <cell r="D89">
            <v>0.5</v>
          </cell>
          <cell r="E89" t="str">
            <v>INGEART CV SAS</v>
          </cell>
          <cell r="F89">
            <v>0.33</v>
          </cell>
          <cell r="G89" t="str">
            <v>JORGE FREDY GONZALEZ VARGAS</v>
          </cell>
          <cell r="H89">
            <v>0.17</v>
          </cell>
          <cell r="I89"/>
          <cell r="J89"/>
          <cell r="K89"/>
          <cell r="L89"/>
          <cell r="M89"/>
          <cell r="N89"/>
          <cell r="O89">
            <v>1</v>
          </cell>
          <cell r="P89" t="str">
            <v>NO HABILITADO</v>
          </cell>
          <cell r="Q89" t="str">
            <v>NO HABILITADO</v>
          </cell>
          <cell r="R89" t="str">
            <v>HABILITADO</v>
          </cell>
          <cell r="S89" t="str">
            <v>NO HABILITADO</v>
          </cell>
          <cell r="T89">
            <v>40.5</v>
          </cell>
          <cell r="U89" t="str">
            <v>No cumple KRC</v>
          </cell>
          <cell r="V89"/>
          <cell r="W89" t="str">
            <v>Carlos Eduardo Balen Urrutia</v>
          </cell>
          <cell r="Z89" t="str">
            <v>Proponente Plural</v>
          </cell>
        </row>
        <row r="90">
          <cell r="A90">
            <v>83</v>
          </cell>
          <cell r="B90"/>
          <cell r="C90"/>
          <cell r="D90"/>
          <cell r="E90"/>
          <cell r="F90"/>
          <cell r="G90"/>
          <cell r="H90"/>
          <cell r="I90"/>
          <cell r="J90"/>
          <cell r="K90"/>
          <cell r="L90"/>
          <cell r="M90"/>
          <cell r="N90"/>
          <cell r="O90">
            <v>0</v>
          </cell>
          <cell r="P90"/>
          <cell r="Q90"/>
          <cell r="R90"/>
          <cell r="S90">
            <v>0</v>
          </cell>
          <cell r="T90"/>
          <cell r="U90"/>
          <cell r="V90"/>
          <cell r="W90"/>
        </row>
        <row r="91">
          <cell r="A91">
            <v>84</v>
          </cell>
          <cell r="B91"/>
          <cell r="C91"/>
          <cell r="D91"/>
          <cell r="E91"/>
          <cell r="F91"/>
          <cell r="G91"/>
          <cell r="H91"/>
          <cell r="I91"/>
          <cell r="J91"/>
          <cell r="K91"/>
          <cell r="L91"/>
          <cell r="M91"/>
          <cell r="N91"/>
          <cell r="O91">
            <v>0</v>
          </cell>
          <cell r="P91"/>
          <cell r="Q91"/>
          <cell r="R91"/>
          <cell r="S91">
            <v>0</v>
          </cell>
          <cell r="T91"/>
          <cell r="U91"/>
          <cell r="V91"/>
          <cell r="W91"/>
        </row>
        <row r="92">
          <cell r="A92">
            <v>85</v>
          </cell>
          <cell r="B92"/>
          <cell r="C92"/>
          <cell r="D92"/>
          <cell r="E92"/>
          <cell r="F92"/>
          <cell r="G92"/>
          <cell r="H92"/>
          <cell r="I92"/>
          <cell r="J92"/>
          <cell r="K92"/>
          <cell r="L92"/>
          <cell r="M92"/>
          <cell r="N92"/>
          <cell r="O92">
            <v>0</v>
          </cell>
          <cell r="P92"/>
          <cell r="Q92"/>
          <cell r="R92"/>
          <cell r="S92">
            <v>0</v>
          </cell>
          <cell r="T92"/>
          <cell r="U92"/>
          <cell r="V92"/>
          <cell r="W92"/>
        </row>
        <row r="93">
          <cell r="A93">
            <v>86</v>
          </cell>
          <cell r="B93"/>
          <cell r="C93"/>
          <cell r="D93"/>
          <cell r="E93"/>
          <cell r="F93"/>
          <cell r="G93"/>
          <cell r="H93"/>
          <cell r="I93"/>
          <cell r="J93"/>
          <cell r="K93"/>
          <cell r="L93"/>
          <cell r="M93"/>
          <cell r="N93"/>
          <cell r="O93">
            <v>0</v>
          </cell>
          <cell r="P93"/>
          <cell r="Q93"/>
          <cell r="R93"/>
          <cell r="S93">
            <v>0</v>
          </cell>
          <cell r="T93"/>
          <cell r="U93"/>
          <cell r="W93"/>
          <cell r="X93"/>
        </row>
        <row r="94">
          <cell r="A94">
            <v>87</v>
          </cell>
          <cell r="B94"/>
          <cell r="C94"/>
          <cell r="D94"/>
          <cell r="E94"/>
          <cell r="F94"/>
          <cell r="G94"/>
          <cell r="H94"/>
          <cell r="I94"/>
          <cell r="J94"/>
          <cell r="K94"/>
          <cell r="L94"/>
          <cell r="M94"/>
          <cell r="N94"/>
          <cell r="O94">
            <v>0</v>
          </cell>
          <cell r="P94"/>
          <cell r="Q94"/>
          <cell r="R94"/>
          <cell r="S94">
            <v>0</v>
          </cell>
          <cell r="T94"/>
          <cell r="U94"/>
          <cell r="W94"/>
          <cell r="X94"/>
        </row>
        <row r="95">
          <cell r="A95">
            <v>88</v>
          </cell>
          <cell r="B95"/>
          <cell r="C95"/>
          <cell r="D95"/>
          <cell r="E95"/>
          <cell r="F95"/>
          <cell r="G95"/>
          <cell r="H95"/>
          <cell r="I95"/>
          <cell r="J95"/>
          <cell r="K95"/>
          <cell r="L95"/>
          <cell r="M95"/>
          <cell r="N95"/>
          <cell r="O95">
            <v>0</v>
          </cell>
          <cell r="P95"/>
          <cell r="Q95"/>
          <cell r="R95"/>
          <cell r="S95">
            <v>0</v>
          </cell>
          <cell r="T95"/>
          <cell r="U95"/>
          <cell r="W95"/>
          <cell r="X95"/>
        </row>
        <row r="96">
          <cell r="A96">
            <v>89</v>
          </cell>
          <cell r="B96"/>
          <cell r="C96"/>
          <cell r="D96"/>
          <cell r="E96"/>
          <cell r="F96"/>
          <cell r="G96"/>
          <cell r="H96"/>
          <cell r="I96"/>
          <cell r="J96"/>
          <cell r="K96"/>
          <cell r="L96"/>
          <cell r="M96"/>
          <cell r="N96"/>
          <cell r="O96">
            <v>0</v>
          </cell>
          <cell r="P96"/>
          <cell r="Q96"/>
          <cell r="R96"/>
          <cell r="S96">
            <v>0</v>
          </cell>
          <cell r="T96"/>
          <cell r="U96"/>
          <cell r="W96"/>
          <cell r="X96"/>
        </row>
        <row r="97">
          <cell r="A97">
            <v>90</v>
          </cell>
          <cell r="B97"/>
          <cell r="C97"/>
          <cell r="D97"/>
          <cell r="E97"/>
          <cell r="F97"/>
          <cell r="G97"/>
          <cell r="H97"/>
          <cell r="I97"/>
          <cell r="J97"/>
          <cell r="K97"/>
          <cell r="L97"/>
          <cell r="M97"/>
          <cell r="N97"/>
          <cell r="O97">
            <v>0</v>
          </cell>
          <cell r="P97"/>
          <cell r="Q97"/>
          <cell r="R97"/>
          <cell r="S97">
            <v>0</v>
          </cell>
          <cell r="T97"/>
          <cell r="U97"/>
          <cell r="W97"/>
          <cell r="X97"/>
        </row>
        <row r="98">
          <cell r="A98">
            <v>91</v>
          </cell>
          <cell r="B98"/>
          <cell r="C98"/>
          <cell r="D98"/>
          <cell r="E98"/>
          <cell r="F98"/>
          <cell r="G98"/>
          <cell r="H98"/>
          <cell r="I98"/>
          <cell r="J98"/>
          <cell r="K98"/>
          <cell r="L98"/>
          <cell r="M98"/>
          <cell r="N98"/>
          <cell r="O98">
            <v>0</v>
          </cell>
          <cell r="P98"/>
          <cell r="Q98"/>
          <cell r="R98"/>
          <cell r="S98">
            <v>0</v>
          </cell>
          <cell r="T98"/>
          <cell r="U98"/>
          <cell r="W98"/>
          <cell r="X98"/>
        </row>
        <row r="99">
          <cell r="B99"/>
          <cell r="D99"/>
          <cell r="F99"/>
          <cell r="H99"/>
          <cell r="I99"/>
          <cell r="J99"/>
          <cell r="K99"/>
          <cell r="L99"/>
          <cell r="M99"/>
          <cell r="N99"/>
          <cell r="O99"/>
          <cell r="S99"/>
          <cell r="T99"/>
          <cell r="U99"/>
          <cell r="V99"/>
          <cell r="W99"/>
          <cell r="X99"/>
        </row>
        <row r="100">
          <cell r="B100"/>
          <cell r="D100"/>
          <cell r="F100"/>
          <cell r="H100"/>
          <cell r="I100"/>
          <cell r="J100"/>
          <cell r="K100"/>
          <cell r="L100"/>
          <cell r="M100"/>
          <cell r="N100"/>
          <cell r="O100"/>
          <cell r="S100"/>
          <cell r="T100"/>
          <cell r="U100"/>
          <cell r="V100"/>
          <cell r="W100"/>
          <cell r="X100"/>
        </row>
        <row r="101">
          <cell r="B101"/>
          <cell r="D101"/>
          <cell r="F101"/>
          <cell r="H101"/>
          <cell r="I101"/>
          <cell r="J101"/>
          <cell r="K101"/>
          <cell r="L101"/>
          <cell r="M101"/>
          <cell r="N101"/>
          <cell r="O101"/>
          <cell r="S101"/>
          <cell r="T101"/>
          <cell r="U101"/>
          <cell r="V101"/>
          <cell r="W101"/>
          <cell r="X101"/>
        </row>
        <row r="102">
          <cell r="B102" t="str">
            <v>Comité Técnico Evalluador:</v>
          </cell>
          <cell r="D102"/>
          <cell r="F102"/>
          <cell r="H102"/>
          <cell r="I102"/>
          <cell r="J102"/>
          <cell r="K102"/>
          <cell r="L102"/>
          <cell r="M102"/>
          <cell r="N102"/>
          <cell r="O102"/>
          <cell r="S102"/>
          <cell r="T102"/>
          <cell r="U102"/>
          <cell r="V102"/>
          <cell r="W102"/>
          <cell r="X102"/>
        </row>
        <row r="103">
          <cell r="B103"/>
          <cell r="C103"/>
          <cell r="D103"/>
          <cell r="E103" t="e">
            <v>#VALUE!</v>
          </cell>
          <cell r="F103"/>
          <cell r="G103" t="e">
            <v>#VALUE!</v>
          </cell>
          <cell r="H103"/>
          <cell r="I103" t="e">
            <v>#VALUE!</v>
          </cell>
          <cell r="J103"/>
          <cell r="K103"/>
          <cell r="L103"/>
          <cell r="M103"/>
          <cell r="N103"/>
          <cell r="O103"/>
          <cell r="S103"/>
          <cell r="T103"/>
          <cell r="U103"/>
          <cell r="V103"/>
          <cell r="W103"/>
          <cell r="X103"/>
        </row>
        <row r="104">
          <cell r="B104"/>
          <cell r="C104" t="str">
            <v>Juliana Ramirez Rodriguez</v>
          </cell>
          <cell r="D104"/>
          <cell r="E104" t="str">
            <v>Clara Marcela Lozano Lozano</v>
          </cell>
          <cell r="F104"/>
          <cell r="G104" t="str">
            <v>German Camilo Venegas Cuestas</v>
          </cell>
          <cell r="H104"/>
          <cell r="I104" t="str">
            <v>Maria Fernanda Martinez Patiño</v>
          </cell>
          <cell r="J104"/>
          <cell r="K104"/>
          <cell r="L104"/>
          <cell r="M104"/>
          <cell r="N104"/>
          <cell r="O104"/>
          <cell r="S104"/>
          <cell r="T104"/>
          <cell r="U104"/>
          <cell r="V104"/>
          <cell r="W104"/>
          <cell r="X104"/>
          <cell r="Z104" t="str">
            <v>Proponente Plural</v>
          </cell>
        </row>
        <row r="105">
          <cell r="B105"/>
          <cell r="C105" t="e">
            <v>#VALUE!</v>
          </cell>
          <cell r="D105"/>
          <cell r="E105" t="e">
            <v>#VALUE!</v>
          </cell>
          <cell r="F105"/>
          <cell r="G105" t="e">
            <v>#VALUE!</v>
          </cell>
          <cell r="H105"/>
          <cell r="I105" t="e">
            <v>#VALUE!</v>
          </cell>
          <cell r="J105"/>
          <cell r="K105"/>
          <cell r="L105"/>
          <cell r="M105"/>
          <cell r="N105"/>
          <cell r="O105"/>
          <cell r="S105"/>
          <cell r="T105"/>
          <cell r="U105"/>
          <cell r="V105"/>
          <cell r="W105"/>
          <cell r="X105"/>
        </row>
        <row r="106">
          <cell r="B106"/>
          <cell r="C106" t="str">
            <v>Johanna Mardini Posada</v>
          </cell>
          <cell r="D106"/>
          <cell r="E106" t="str">
            <v>Fabio Enrique Florez Montesino</v>
          </cell>
          <cell r="F106"/>
          <cell r="G106" t="str">
            <v>Mabel Cristina Ferrucho Gonzalez</v>
          </cell>
          <cell r="H106"/>
          <cell r="I106" t="str">
            <v>Lilia Estela Rincon Torres</v>
          </cell>
          <cell r="J106"/>
          <cell r="K106"/>
          <cell r="L106"/>
          <cell r="M106"/>
          <cell r="N106"/>
          <cell r="O106"/>
          <cell r="S106"/>
          <cell r="T106"/>
          <cell r="U106"/>
          <cell r="V106"/>
          <cell r="W106"/>
          <cell r="X106"/>
          <cell r="Z106" t="str">
            <v>Proponente Plural</v>
          </cell>
        </row>
        <row r="107">
          <cell r="B107"/>
          <cell r="C107" t="e">
            <v>#VALUE!</v>
          </cell>
          <cell r="D107"/>
          <cell r="E107" t="e">
            <v>#VALUE!</v>
          </cell>
          <cell r="F107"/>
          <cell r="G107" t="e">
            <v>#VALUE!</v>
          </cell>
          <cell r="H107"/>
          <cell r="I107" t="e">
            <v>#VALUE!</v>
          </cell>
          <cell r="J107"/>
          <cell r="K107"/>
          <cell r="L107"/>
          <cell r="M107"/>
          <cell r="N107"/>
          <cell r="O107"/>
          <cell r="S107"/>
          <cell r="T107"/>
          <cell r="U107"/>
          <cell r="V107"/>
          <cell r="W107"/>
          <cell r="X107"/>
          <cell r="Z107" t="str">
            <v>Proponente Plural</v>
          </cell>
        </row>
        <row r="108">
          <cell r="B108"/>
          <cell r="C108" t="str">
            <v>Claudia Milena Lopez Ramirez</v>
          </cell>
          <cell r="D108"/>
          <cell r="E108" t="str">
            <v>Claudia Marcela Ramirez Ibañez</v>
          </cell>
          <cell r="F108"/>
          <cell r="G108" t="str">
            <v>Juan David Hurtado Bernal</v>
          </cell>
          <cell r="H108"/>
          <cell r="I108" t="str">
            <v>Alfonso Enrique Puello Sanchez</v>
          </cell>
          <cell r="J108"/>
          <cell r="K108"/>
          <cell r="L108"/>
          <cell r="M108"/>
          <cell r="N108"/>
          <cell r="O108"/>
          <cell r="S108"/>
          <cell r="T108"/>
          <cell r="U108"/>
          <cell r="V108"/>
          <cell r="W108"/>
          <cell r="X108"/>
          <cell r="Z108" t="str">
            <v>Proponente Plural</v>
          </cell>
        </row>
        <row r="109">
          <cell r="B109"/>
          <cell r="C109" t="e">
            <v>#VALUE!</v>
          </cell>
          <cell r="D109"/>
          <cell r="E109" t="e">
            <v>#VALUE!</v>
          </cell>
          <cell r="F109"/>
          <cell r="G109" t="e">
            <v>#VALUE!</v>
          </cell>
          <cell r="H109"/>
          <cell r="I109"/>
          <cell r="J109"/>
          <cell r="K109"/>
          <cell r="L109"/>
          <cell r="M109"/>
          <cell r="N109"/>
          <cell r="O109"/>
          <cell r="S109"/>
          <cell r="T109"/>
          <cell r="U109"/>
          <cell r="V109"/>
          <cell r="W109"/>
          <cell r="X109"/>
          <cell r="Z109" t="str">
            <v>Proponente Plural</v>
          </cell>
        </row>
        <row r="110">
          <cell r="B110"/>
          <cell r="C110" t="str">
            <v>Sandra Liliana Ordoñez Oliveros</v>
          </cell>
          <cell r="D110"/>
          <cell r="E110" t="str">
            <v>Maria Camila Tobar Vivas</v>
          </cell>
          <cell r="F110"/>
          <cell r="G110" t="str">
            <v>Laura Carolina Pineda Bernal</v>
          </cell>
          <cell r="H110"/>
          <cell r="I110" t="str">
            <v>Esteban David Martinez Gue</v>
          </cell>
          <cell r="J110"/>
          <cell r="K110"/>
          <cell r="L110"/>
          <cell r="M110"/>
          <cell r="N110"/>
          <cell r="O110"/>
          <cell r="S110"/>
          <cell r="T110"/>
          <cell r="U110"/>
          <cell r="V110"/>
          <cell r="W110"/>
          <cell r="X110"/>
          <cell r="Z110" t="str">
            <v>Proponente Plural</v>
          </cell>
        </row>
        <row r="111">
          <cell r="B111"/>
          <cell r="C111"/>
          <cell r="D111"/>
          <cell r="E111" t="e">
            <v>#VALUE!</v>
          </cell>
          <cell r="F111"/>
          <cell r="H111"/>
          <cell r="I111"/>
          <cell r="J111"/>
          <cell r="K111"/>
          <cell r="L111"/>
          <cell r="M111"/>
          <cell r="N111"/>
          <cell r="O111"/>
          <cell r="S111"/>
          <cell r="T111"/>
          <cell r="U111"/>
          <cell r="V111"/>
          <cell r="W111"/>
          <cell r="X111"/>
        </row>
        <row r="112">
          <cell r="B112"/>
          <cell r="C112" t="str">
            <v>Karen Lorena Garcia Rivera</v>
          </cell>
          <cell r="D112"/>
          <cell r="E112" t="str">
            <v>David Enrique Torres Bernier</v>
          </cell>
          <cell r="F112"/>
          <cell r="G112" t="str">
            <v xml:space="preserve">   </v>
          </cell>
          <cell r="H112"/>
          <cell r="I112" t="str">
            <v xml:space="preserve">   </v>
          </cell>
          <cell r="J112"/>
          <cell r="K112"/>
          <cell r="L112"/>
          <cell r="M112"/>
          <cell r="N112"/>
          <cell r="O112"/>
          <cell r="S112"/>
          <cell r="T112"/>
          <cell r="U112"/>
          <cell r="V112"/>
          <cell r="W112"/>
          <cell r="X112"/>
          <cell r="Z112" t="str">
            <v>Proponente Plural</v>
          </cell>
        </row>
        <row r="113">
          <cell r="B113"/>
          <cell r="D113"/>
          <cell r="F113"/>
          <cell r="H113"/>
          <cell r="I113"/>
          <cell r="J113"/>
          <cell r="K113"/>
          <cell r="L113"/>
          <cell r="M113"/>
          <cell r="N113"/>
          <cell r="O113"/>
          <cell r="S113"/>
          <cell r="T113"/>
          <cell r="U113"/>
          <cell r="V113"/>
          <cell r="W113"/>
          <cell r="X113"/>
        </row>
        <row r="114">
          <cell r="B114" t="str">
            <v>Equipo Técnico Apoyo Visto Bueno</v>
          </cell>
          <cell r="D114"/>
          <cell r="F114"/>
          <cell r="H114"/>
          <cell r="I114"/>
          <cell r="J114"/>
          <cell r="K114"/>
          <cell r="L114"/>
          <cell r="M114"/>
          <cell r="N114"/>
          <cell r="O114"/>
          <cell r="S114"/>
          <cell r="T114"/>
          <cell r="U114"/>
          <cell r="V114"/>
          <cell r="W114"/>
          <cell r="X114"/>
        </row>
        <row r="115">
          <cell r="B115"/>
          <cell r="D115"/>
          <cell r="F115"/>
          <cell r="H115"/>
          <cell r="I115"/>
          <cell r="J115"/>
          <cell r="K115"/>
          <cell r="L115"/>
          <cell r="M115"/>
          <cell r="N115"/>
          <cell r="O115"/>
          <cell r="S115"/>
          <cell r="T115"/>
          <cell r="U115"/>
          <cell r="V115"/>
          <cell r="W115"/>
          <cell r="X115"/>
        </row>
        <row r="116">
          <cell r="B116"/>
          <cell r="C116" t="str">
            <v>Laura Gineth Sanchez Talero</v>
          </cell>
          <cell r="D116"/>
          <cell r="E116" t="str">
            <v>Manuela Silva Orozco</v>
          </cell>
          <cell r="F116"/>
          <cell r="G116" t="str">
            <v>Ilie Hernandez Ayala</v>
          </cell>
          <cell r="H116"/>
          <cell r="I116" t="str">
            <v>Angela Maria Bohorquez Moreno</v>
          </cell>
          <cell r="J116"/>
          <cell r="K116"/>
          <cell r="L116"/>
          <cell r="M116"/>
          <cell r="N116"/>
          <cell r="O116"/>
          <cell r="S116"/>
          <cell r="T116"/>
          <cell r="U116"/>
          <cell r="V116"/>
          <cell r="W116"/>
          <cell r="X116"/>
          <cell r="Z116" t="str">
            <v>Proponente Plural</v>
          </cell>
        </row>
        <row r="117">
          <cell r="B117"/>
          <cell r="C117"/>
          <cell r="D117"/>
          <cell r="E117"/>
          <cell r="F117"/>
          <cell r="G117"/>
          <cell r="H117"/>
          <cell r="I117"/>
          <cell r="J117"/>
          <cell r="K117"/>
          <cell r="L117"/>
          <cell r="M117"/>
          <cell r="N117"/>
          <cell r="O117"/>
          <cell r="S117"/>
          <cell r="T117"/>
          <cell r="U117"/>
          <cell r="V117"/>
          <cell r="W117"/>
          <cell r="X117"/>
        </row>
        <row r="118">
          <cell r="B118"/>
          <cell r="C118" t="str">
            <v>Elyn Sofia Montoya Gomez</v>
          </cell>
          <cell r="D118"/>
          <cell r="E118" t="str">
            <v>Mariela Garzon Jalbin</v>
          </cell>
          <cell r="F118"/>
          <cell r="G118" t="str">
            <v>Osneyder Valoy Palacio</v>
          </cell>
          <cell r="H118"/>
          <cell r="I118" t="str">
            <v>Eduardo Alfonso Leon Fandiño</v>
          </cell>
          <cell r="J118"/>
          <cell r="K118"/>
          <cell r="L118"/>
          <cell r="M118"/>
          <cell r="N118"/>
          <cell r="O118"/>
          <cell r="S118"/>
          <cell r="T118"/>
          <cell r="U118"/>
          <cell r="V118"/>
          <cell r="W118"/>
          <cell r="X118"/>
          <cell r="Z118" t="str">
            <v>Proponente Plural</v>
          </cell>
        </row>
        <row r="119">
          <cell r="B119"/>
          <cell r="C119"/>
          <cell r="D119"/>
          <cell r="E119"/>
          <cell r="F119"/>
          <cell r="G119"/>
          <cell r="H119"/>
          <cell r="I119"/>
          <cell r="J119"/>
          <cell r="K119"/>
          <cell r="L119"/>
          <cell r="M119"/>
          <cell r="N119"/>
          <cell r="O119"/>
          <cell r="S119"/>
          <cell r="T119"/>
          <cell r="U119"/>
          <cell r="V119"/>
          <cell r="W119"/>
          <cell r="X119"/>
        </row>
        <row r="120">
          <cell r="B120"/>
          <cell r="C120" t="str">
            <v>Sebastian Llano Vesga</v>
          </cell>
          <cell r="D120"/>
          <cell r="E120" t="str">
            <v>Diego Fernando Rozo Cristancho</v>
          </cell>
          <cell r="F120"/>
          <cell r="G120" t="str">
            <v>Valentina Troncoso Charry</v>
          </cell>
          <cell r="H120"/>
          <cell r="I120" t="str">
            <v>Rodrigo Sanchez Perez</v>
          </cell>
          <cell r="J120"/>
          <cell r="K120"/>
          <cell r="L120"/>
          <cell r="M120"/>
          <cell r="N120"/>
          <cell r="O120"/>
          <cell r="S120"/>
          <cell r="T120"/>
          <cell r="U120"/>
          <cell r="V120"/>
          <cell r="W120"/>
          <cell r="X120"/>
          <cell r="Z120" t="str">
            <v>Proponente Plural</v>
          </cell>
        </row>
        <row r="121">
          <cell r="B121"/>
          <cell r="C121"/>
          <cell r="D121"/>
          <cell r="E121"/>
          <cell r="F121"/>
          <cell r="G121"/>
          <cell r="H121"/>
          <cell r="I121"/>
          <cell r="J121"/>
          <cell r="K121"/>
          <cell r="L121"/>
          <cell r="M121"/>
          <cell r="N121"/>
          <cell r="O121"/>
          <cell r="S121"/>
          <cell r="T121"/>
          <cell r="U121"/>
          <cell r="V121"/>
          <cell r="W121"/>
          <cell r="X121"/>
        </row>
        <row r="122">
          <cell r="B122"/>
          <cell r="C122" t="str">
            <v>Jenny Alejandra Reyes Diaz</v>
          </cell>
          <cell r="D122"/>
          <cell r="E122" t="str">
            <v>Lucia Tapiero Barreto</v>
          </cell>
          <cell r="F122"/>
          <cell r="G122" t="str">
            <v>Lenin Alejandro Rodriguez Cruz</v>
          </cell>
          <cell r="H122"/>
          <cell r="I122" t="str">
            <v>Carlos Eduardo Balen Urrutia</v>
          </cell>
          <cell r="J122"/>
          <cell r="K122"/>
          <cell r="L122"/>
          <cell r="M122"/>
          <cell r="N122"/>
          <cell r="O122"/>
          <cell r="S122"/>
          <cell r="T122"/>
          <cell r="U122"/>
          <cell r="V122"/>
          <cell r="W122"/>
          <cell r="X122"/>
          <cell r="Z122" t="str">
            <v>Proponente Plural</v>
          </cell>
        </row>
        <row r="123">
          <cell r="B123"/>
          <cell r="D123"/>
          <cell r="F123"/>
          <cell r="H123"/>
          <cell r="I123"/>
          <cell r="J123"/>
          <cell r="K123"/>
          <cell r="L123"/>
          <cell r="M123"/>
          <cell r="N123"/>
          <cell r="O123"/>
          <cell r="S123"/>
          <cell r="T123"/>
          <cell r="U123"/>
          <cell r="V123"/>
          <cell r="W123"/>
          <cell r="X123"/>
        </row>
        <row r="124">
          <cell r="B124"/>
          <cell r="C124" t="str">
            <v>Paula Camila Buitrago Mendivelso</v>
          </cell>
          <cell r="D124"/>
          <cell r="E124" t="str">
            <v>Daysy Liliana Alvarez Contreras</v>
          </cell>
          <cell r="F124"/>
          <cell r="G124" t="str">
            <v>Jorge Antonio Gonzalez Duarte</v>
          </cell>
          <cell r="H124"/>
          <cell r="I124" t="str">
            <v>Ivan Dario Quiñones Sanchez</v>
          </cell>
          <cell r="J124"/>
          <cell r="K124"/>
          <cell r="L124"/>
          <cell r="M124"/>
          <cell r="N124"/>
          <cell r="O124"/>
          <cell r="S124"/>
          <cell r="T124"/>
          <cell r="U124"/>
          <cell r="V124"/>
          <cell r="W124"/>
          <cell r="X124"/>
          <cell r="Z124" t="str">
            <v>Proponente Plural</v>
          </cell>
        </row>
        <row r="125">
          <cell r="B125"/>
          <cell r="D125"/>
          <cell r="F125"/>
          <cell r="H125"/>
          <cell r="I125"/>
          <cell r="J125"/>
          <cell r="K125"/>
          <cell r="L125"/>
          <cell r="M125"/>
          <cell r="N125"/>
          <cell r="O125"/>
          <cell r="S125"/>
          <cell r="T125"/>
          <cell r="U125"/>
          <cell r="V125"/>
          <cell r="W125"/>
          <cell r="X125"/>
        </row>
        <row r="126">
          <cell r="B126"/>
          <cell r="D126"/>
          <cell r="F126"/>
          <cell r="H126"/>
          <cell r="I126"/>
          <cell r="J126"/>
          <cell r="K126"/>
          <cell r="L126"/>
          <cell r="M126"/>
          <cell r="N126"/>
          <cell r="O126"/>
          <cell r="S126"/>
          <cell r="T126"/>
          <cell r="U126"/>
          <cell r="V126"/>
          <cell r="W126"/>
          <cell r="X126"/>
        </row>
      </sheetData>
      <sheetData sheetId="3"/>
      <sheetData sheetId="4"/>
      <sheetData sheetId="5"/>
      <sheetData sheetId="6"/>
      <sheetData sheetId="7"/>
      <sheetData sheetId="8">
        <row r="3">
          <cell r="C3" t="str">
            <v>SIN OBSERVACIONES</v>
          </cell>
          <cell r="D3" t="str">
            <v>El proponente NO APORTO el ANEXO 3 - EXPERIENCIA . Por lo cual en cumplimiento del numeral 1.6 del Pliego de Condiciones se REQUERIE LA SUBSANACIÓN DEL  DOCUMENTO.</v>
          </cell>
          <cell r="H3" t="str">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4">
          <cell r="C4" t="str">
            <v>SIN OBSERVACIONES</v>
          </cell>
          <cell r="E4" t="str">
            <v>Los certificados RUP aportados por los integrantes del proponente NO SE ENCUENTRAN EN FIRME de conformidad con la verificación realizada en la pagina web  de la Cámara de Comercio de Bogotá, por lo  cual su propuesta NO CONTINUA en el proceso.
Link de Verificación:  https://linea.ccb.org.co/consultaordenes/#/tramites</v>
          </cell>
          <cell r="H4" t="str">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ell>
        </row>
        <row r="5">
          <cell r="C5" t="str">
            <v>SIN OBSERVACIONES</v>
          </cell>
          <cell r="E5" t="str">
            <v xml:space="preserve"> Las fechas de los certificados RUP son superior(es) a treinta (30) días calendario anteriores a la fecha de cierre del Proceso de Contratación. </v>
          </cell>
          <cell r="H5" t="str">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6">
          <cell r="C6" t="str">
            <v>SIN OBSERVACIONES</v>
          </cell>
          <cell r="D6" t="str">
            <v>El proponente no cumple la calidad de Mipyme  toda vez que  el RUP presentado no se encuentra  EN FIRME al momento del cierre del proceso, lo cual es causal de RECHAZO DE LA OFERTA.
Ver observación relacionada con la Vigencia y Firmeza del RUP</v>
          </cell>
          <cell r="E6"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6" t="str">
            <v>El proponente NO CUMPLE la calidad de MIPYME toda vez que el porcentaje de participación del o lo(s) INTEGRANTE(S) que aporta la condición de MIPYME es menor al 10%,  por lo cual NO SE CONCEDE LA  HABILITACIÓN DE EXPERIENCIA ADICIONAL, NI SE OTORGA PUNTAJE EN CASO DE SER HABILITADA LA PROPUESTA</v>
          </cell>
          <cell r="H6"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ell>
        </row>
        <row r="7">
          <cell r="C7" t="str">
            <v>SIN OBSERVACIONES</v>
          </cell>
          <cell r="D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E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F7" t="str">
            <v>El proponente no aporto el "formato 13", por lo cual  NO SE CONCEDE LA  HABILITACIÓN DE EXPERIENCIA ADICIONAL, NI SE OTORGA PUNTAJE EN CASO DE SER HABILITADA LA PROPUESTA</v>
          </cell>
          <cell r="H7"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ell>
        </row>
        <row r="8">
          <cell r="B8" t="str">
            <v>EXPERIENCIA GENERAL</v>
          </cell>
          <cell r="C8" t="str">
            <v>SIN OBSERVACIONES</v>
          </cell>
          <cell r="D8" t="str">
            <v>La documentación aportada no permite evidenciar el  cumplimiento de la experiencia  solicitada en  :
CONSTRUCCIÓN Y/O AMPLIACIÓN Y/O RECONSTRUCCIÓN DE EDIFICACIONES.</v>
          </cell>
          <cell r="E8" t="str">
            <v>La documentación aportada no permite evidenciar el  cumplimiento de la experiencia  solicitada en  :
CONSTRUCCIÓN Y/O AMPLIACIÓN Y/O RECONSTRUCCIÓN DE EDIFICACIONES.</v>
          </cell>
          <cell r="F8"/>
          <cell r="G8"/>
          <cell r="H8" t="str">
            <v>3.5.1. CARACTERÍSTICAS DE LOS CONTRATOS PRESENTADOS PARA ACREDITAR LA EXPERIENCIA EXIGIDA
Los contratos para acreditar la experiencia exigida deberán cumplir las siguientes características:
A.Que hayan contenido la ejecución de:
GENERAL: CONSTRUCCIÓN Y/OTERMINACIÓN Y/O AMPLIACIÓN Y/O REMODELACIÓN Y/O REFORZAMIENTO Y/O ADECUACIÓN Y/O MANTENIMIENTO Y/O MEJORAMIENTO Y/O MODIFICACIÓN DE EDIFICACIONES</v>
          </cell>
        </row>
        <row r="9">
          <cell r="B9" t="str">
            <v>CLASIFICADOR DE BIENES Y SERVICIOS
UNSPSC</v>
          </cell>
          <cell r="C9" t="str">
            <v>SIN OBSERVACIONES</v>
          </cell>
          <cell r="D9" t="str">
            <v xml:space="preserve">
La documentación aportada no permite evidenciar que el  contrato  se desarrollo en algunos de los códigos del Clasificador de Bienes y Servicios :
 EXPERIENCIA OBRA : 721214 - 721529 - 721515 - 721519
</v>
          </cell>
          <cell r="E9" t="str">
            <v xml:space="preserve">
La documentación aportada no permite evidenciar que el  contrato  se desarrollo en algunos de los códigos del Clasificador de Bienes y Servicios :
 EXPERIENCIA OBRA : 721214 - 721529 - 721515 - 721519
</v>
          </cell>
          <cell r="F9"/>
          <cell r="G9"/>
          <cell r="H9" t="str">
            <v>3.5.2. CONSIDERACIONES PARA LA VALIDEZ DE LA EXPERIENCIA REQUERIDA
A. En el Clasificador de Bienes y Servicios, el segmento correspondiente para la clasificación de la experiencia es el 72.
B. La Entidad únicamente podrá exigir para la verificación de la experiencia los contratos celebrados por el interesado, identificados con el Clasificador de Bienes y Servicios hasta el tercer nivel.
3.5.3. CLASIFICACIÓN DE LA EXPERIENCIA EN EL “CLASIFICADOR DE BIENES, OBRAS Y SERVICIOS DE LAS NACIONES UNIDAS”
721214 - 721529 - 721515 - 721519</v>
          </cell>
        </row>
        <row r="10">
          <cell r="B10" t="str">
            <v>FECHA DE TERMINACIÓN EJECUCIÓN</v>
          </cell>
          <cell r="C10" t="str">
            <v>SIN OBSERVACIONES</v>
          </cell>
          <cell r="D10" t="str">
            <v xml:space="preserve">La fecha de terminación del contrato aportado es superior a la fecha de cierre del presente proceso.
</v>
          </cell>
          <cell r="E10" t="str">
            <v xml:space="preserve">La fecha de terminación del contrato aportado es superior a la fecha de cierre del presente proceso.
</v>
          </cell>
          <cell r="F10"/>
          <cell r="G10"/>
          <cell r="H10" t="str">
            <v>3.5.1. CARACTERÍSTICAS DE LOS CONTRATOS PRESENTADOS PARA ACREDITAR LA EXPERIENCIA EXIGIDA
D. Deben haber terminado antes de la fecha de cierre del presente procedimiento de selección. Esta fecha corresponde al momento de terminación de la ejecución del Contrato, por lo que no necesariamente coincide con la fecha de entrega y/o recibo final, liquidación o acta final, salvo que de los documentos del numeral 3.5.5 se derive tal información.</v>
          </cell>
        </row>
        <row r="11">
          <cell r="B11" t="str">
            <v>CUMPLIMIENTO INICIO DE EJECUCIÓN DE LOS CONTRATOS POSTERIOR A NSR 98  -  (09/01/1998)</v>
          </cell>
          <cell r="C11" t="str">
            <v>SIN OBSERVACIONES</v>
          </cell>
          <cell r="D11" t="str">
            <v>La(s) fecha(s) de inicio de ejecución de o los contrato(s) aportado(s) por el proponente ES o  SON ANTERIOR(ES) a la fecha de publicación de la NSR 98, la cual es 09 de enero de 1998</v>
          </cell>
          <cell r="E11" t="str">
            <v>La(s) fecha(s) de inicio de ejecución de o los contrato(s) aportado(s) por el proponente ES o  SON ANTERIOR(ES) a la fecha de publicación de la NSR 98, la cual es 09 de enero de 1998</v>
          </cell>
          <cell r="F11"/>
          <cell r="G11"/>
          <cell r="H11" t="str">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ell>
        </row>
        <row r="12">
          <cell r="B12" t="str">
            <v>CUMPLIMIENTO INICIO DE EJECUCIÓN DE LOS CONTRATOS POSTERIOR A NSR 10  -  (15/07/2010)</v>
          </cell>
          <cell r="C12" t="str">
            <v>SIN OBSERVACIONES</v>
          </cell>
          <cell r="D12" t="str">
            <v>La(s) fecha(s) de inicio de ejecución del (o) los contrato(s) aportado(s) por el proponente ES o SON ANTERIORES a la fecha de publicación de la NSR 10 la cual es 15 de julio de 2010</v>
          </cell>
          <cell r="E12" t="str">
            <v>La(s) fecha(s) de inicio de ejecución del (o) los contrato(s) aportado(s) por el proponente ES o SON ANTERIORES a la fecha de publicación de la NSR 10 la cual es 15 de julio de 2010</v>
          </cell>
          <cell r="F12"/>
          <cell r="G12"/>
          <cell r="H12" t="str">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ell>
        </row>
        <row r="13">
          <cell r="B13" t="str">
            <v xml:space="preserve">CUMPLIMIENTO EXPERIENCIA ESPECIFICA: </v>
          </cell>
          <cell r="C13" t="str">
            <v>SIN OBSERVACIONES</v>
          </cell>
          <cell r="D13" t="str">
            <v>Revisada la información del o los contratos válido(s)  como experiencia general ,   no se evidencia el cumplimiento del Área Mínima a certificar, la cual es de 294 m2.</v>
          </cell>
          <cell r="E13" t="str">
            <v>Revisada la información del o los contratos válido(s)  como experiencia general ,   no se evidencia el cumplimiento del Área Mínima a certificar, la cual es de 294 m2.</v>
          </cell>
          <cell r="F13">
            <v>120</v>
          </cell>
          <cell r="G13"/>
          <cell r="H13" t="str">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ell>
        </row>
        <row r="14">
          <cell r="B14" t="str">
            <v xml:space="preserve">CUMPLIMIENTO ACTIVIDAD SECUNDARIA =   50% del POT </v>
          </cell>
          <cell r="C14" t="str">
            <v>SIN OBSERVACIONES</v>
          </cell>
          <cell r="D14" t="str">
            <v xml:space="preserve">Revisada la información del o los contrato(s) válido(s)  como experiencia general , no se evidencia el cumplimiento del porcentaje  mínimo del presupuesto oficial a certificar </v>
          </cell>
          <cell r="E14" t="str">
            <v xml:space="preserve">Revisada la información del o los contrato(s) válido(s)  como experiencia general , no se evidencia el cumplimiento del porcentaje  mínimo del presupuesto oficial a certificar </v>
          </cell>
          <cell r="F14"/>
          <cell r="G14"/>
          <cell r="H14" t="str">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ell>
        </row>
        <row r="15">
          <cell r="B15" t="str">
            <v xml:space="preserve">CUMPLIMIENTO LITERAL 3.5.2 PORCENTAJES DE ACREDITACIÓN POR INTEGRANTE </v>
          </cell>
          <cell r="C15" t="str">
            <v>SIN OBSERVACIONES</v>
          </cell>
          <cell r="D15" t="str">
            <v>El proponente NO CUMPLE  con el porcentaje requerido del valor mínimo a certificar del porcentaje  (%) del presupuesto Oficial de Obra expresado en SMMLV</v>
          </cell>
          <cell r="E15" t="str">
            <v>El proponente plural no cumple con la distribución de porcentajes requeridos del valor mínimo a certificar del porcentaje (%) del presupuesto Oficial de Obra expresado en SMMLV</v>
          </cell>
          <cell r="F15"/>
          <cell r="G15"/>
          <cell r="H15" t="str">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ell>
        </row>
        <row r="16">
          <cell r="B16" t="str">
            <v>VALOR MÍNIMO A CERTIFICAR (COMO % DEL PRESUPUESTO OFICIAL DE OBRA EXPRESADO EN SMMLV)</v>
          </cell>
          <cell r="C16" t="str">
            <v>SIN OBSERVACIONES</v>
          </cell>
          <cell r="D16" t="str">
            <v>El proponente NO CUMPLE  con el valor mínimo a certificar del porcentaje  (%) del presupuesto Oficial de Obra expresado en SMMLV</v>
          </cell>
          <cell r="E16" t="str">
            <v>El proponente NO CUMPLE  con el valor mínimo a certificar del porcentaje  (%) del presupuesto Oficial de Obra expresado en SMMLV</v>
          </cell>
          <cell r="F16"/>
          <cell r="G16"/>
          <cell r="H16" t="str">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ell>
        </row>
        <row r="17">
          <cell r="B17" t="str">
            <v>HABILITADO / NO HABILITADO</v>
          </cell>
          <cell r="C17"/>
          <cell r="D17"/>
          <cell r="E17"/>
          <cell r="F17"/>
          <cell r="G17"/>
          <cell r="H17" t="str">
            <v>El Proponente cumple el requisito de experiencia si la sumatoria de los valores totales ejecutados (incluido IVA) de los contratos expresados en SMMLV es mayor o igual al valor mínimo a certificar establecido en la tabla anterior.
En caso de que el número de contratos con los cuales el Proponente acredita la experiencia no satisface el porcentaje mínimo a certificar establecido en la tabla anterior, se calificará la propuesta como no hábil y el Proponente podrá subsanarla en los términos contemplados en la sección 1.6.</v>
          </cell>
        </row>
        <row r="18">
          <cell r="B18" t="str">
            <v xml:space="preserve">CAPACIDAD RESICUAL </v>
          </cell>
          <cell r="C18" t="str">
            <v>SIN OBSERVACIONES</v>
          </cell>
          <cell r="D18" t="str">
            <v>La CAPACIDAD RESIDUAL del Proponente es menor a la CAPACIDAD RESIDUAL DEL PROCESO por lo cual la oferta NO ES HABIL</v>
          </cell>
          <cell r="E18" t="str">
            <v>La CAPACIDAD RESIDUAL del Proponente es menor a la CAPACIDAD RESIDUAL DEL PROCESO por lo cual la oferta NO ES HABIL</v>
          </cell>
          <cell r="F18"/>
          <cell r="G18"/>
          <cell r="H18" t="str">
            <v xml:space="preserve">3.10 CAPACIDAD RESIDUAL
El Proponente será hábil si su capacidad residual es mayor o igual a la capacidad residual de Proceso de Contratación (CRPC). Así:  
CPR &gt;= CRPC
</v>
          </cell>
        </row>
        <row r="19">
          <cell r="B19" t="str">
            <v>FACTOR DE CALIDAD</v>
          </cell>
          <cell r="C19" t="str">
            <v>SIN OBSERVACIONES</v>
          </cell>
          <cell r="D19" t="str">
            <v>El Proponente no anexo el FORMATO 7A - PROGRAMA DE GERENCIA DE PROYECTOS, por  lo cual no se realizará la  asignación del puntaje establecido   (10 puntos.)</v>
          </cell>
          <cell r="E19" t="str">
            <v>El proponente o uno de sus integrantes cuentan con anotaciones vigentes en Registro Nacional de Obras Civiles Inconclusas , por lo cual se RESTARA UN (1) PUNTO de la sumatoria obtenida del FACTOR DE CALIDAD</v>
          </cell>
          <cell r="F19" t="str">
            <v>El Proponente no anexo el FORMATO 7A - PROGRAMA DE GERENCIA DE PROYECTOS, por  lo cual no se realizará la  asignación del puntaje establecido   (10 puntos.), así mismo realizada la verificación en el  Registro Nacional de Obras Civiles Inconclusas se encontró que el   proponente o uno de sus integrantes cuentan con anotaciones vigentes , por lo cual se RESTARA UN (1) PUNTO de la sumatoria obtenida del FACTOR DE CALIDAD</v>
          </cell>
          <cell r="G19"/>
          <cell r="H19" t="str">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ell>
        </row>
        <row r="20">
          <cell r="B20" t="str">
            <v>FACTORES DE SOSTENIBILIDAD TÉCNICO AMBIENTAL AGREGADO</v>
          </cell>
          <cell r="C20" t="str">
            <v>SIN OBSERVACIONES</v>
          </cell>
          <cell r="D20" t="str">
            <v>El Proponente no anexo el FORMATO 12 - FACTOR DE SOSTENIBILIDAD , por  lo cual no se realizará la  asignación del puntaje establecido   (9 puntos.)</v>
          </cell>
          <cell r="E20"/>
          <cell r="F20"/>
          <cell r="G20"/>
          <cell r="H20" t="str">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ell>
        </row>
        <row r="21">
          <cell r="B21" t="str">
            <v>APOYO A LA INDUSTRIA NACIONAL</v>
          </cell>
          <cell r="C21" t="str">
            <v>SIN OBSERVACIONES</v>
          </cell>
          <cell r="D21" t="str">
            <v>El Proponente NO ANEXO el FORMATO  9A – PROMOCION DE SERVICIOS NACIONALES O CON TRATO NACIONAL , por  lo cual no se realizará la  asignación del puntaje establecido en el pliego de condiciones  (20 puntos.)</v>
          </cell>
          <cell r="E21" t="str">
            <v>EL PROPONENTE NO ANEXO NINGUNO DE LOS FORMATOS ESTABLECIDOS PARA LA ASIGNACIÓN DE PUNTAJE POR APOYO A LA INDUSTRIA NACIONAL ,  por  lo cual no se realizará la  asignación del puntaje establecido en el pliego de condiciones
(FORMATO  9A – PROMOCION DE SERVICIOS NACIONALES O CON TRATO NACIONAL )
(FORMATO 9B – INCORPORACIÓN DE COMPONENTE NACIONAL EN SERVICIOS EXTRANJEROS)</v>
          </cell>
          <cell r="F21" t="str">
            <v>El Proponente NO ANEXO el FORMATO 9B – INCORPORACIÓN DE COMPONENTE NACIONAL EN SERVICIOS EXTRANJEROS , por  lo cual no se realizará la  asignación del puntaje establecido   (5 puntos.)</v>
          </cell>
          <cell r="G21" t="str">
            <v>El proponente NO ADJUNTO en su propuesta  los documentos solicitados en el pliego de condiciones que permiten validar el ANEXO 9A</v>
          </cell>
          <cell r="H21" t="str">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ell>
        </row>
        <row r="22">
          <cell r="B22" t="str">
            <v>BIENES RELEVANTES</v>
          </cell>
          <cell r="C22" t="str">
            <v>SIN OBSERVACIONES</v>
          </cell>
          <cell r="D22" t="str">
            <v>SIN OBSERVACIONES</v>
          </cell>
          <cell r="E22" t="str">
            <v>Para el presente proceso NO se determinó la inclusión de bienes relevantes, por lo cual no será objeto de asignación de puntaje</v>
          </cell>
          <cell r="F22"/>
          <cell r="G22"/>
          <cell r="H22"/>
        </row>
        <row r="23">
          <cell r="B23" t="str">
            <v>VINCULACIÓN DE PERSONAS CON DISCAPACIDAD</v>
          </cell>
          <cell r="C23" t="str">
            <v>SIN OBSERVACIONES</v>
          </cell>
          <cell r="D23" t="str">
            <v>El Proponente NO APORTO el FORMATO 8 VINCULACIÓN DE PERSONAS CON DISCAPACIDAD el cual debe ser suscrito por la persona natural , el representante legal o el revisor fiscal , por  lo cual no se realizará la  asignación del puntaje establecido   (1puntos.)</v>
          </cell>
          <cell r="E23" t="str">
            <v>El proponente NO ACREDITA el  Número mínimo de personas en condición de discapacidad de conformidad con el  CERTIFICADO EXPEDIDO  de Ministerio de Trabajo.</v>
          </cell>
          <cell r="F23" t="str">
            <v>El Certificado expedido por el Ministerio de Trabajo NO SE ENCUENTRA VIGENTE a la fecha de cierre del proceso.</v>
          </cell>
          <cell r="G23" t="str">
            <v>El proponente NO ACREDITA la condicion de porcentaje pPara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cell r="H23" t="str">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row>
        <row r="24">
          <cell r="B24" t="str">
            <v>MIPYME</v>
          </cell>
          <cell r="C24" t="str">
            <v>SIN OBSERVACIONES</v>
          </cell>
          <cell r="D24" t="str">
            <v>El proponente no cumple la calidad de Mipyme  toda vez que  el RUP presentado no se encuentra  EN FIRME al momento del cierre del proceso, lo cual es causal de RECHAZO DE LA OFERTA.
Ver observación relacionada con la Vigencia y Firmeza del RUP</v>
          </cell>
          <cell r="E24"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24" t="str">
            <v xml:space="preserve">El proponente NO CUMPLE la calidad de MIPYME toda vez que el porcentaje de participación del o lo(s) INTEGRANTE(S) que aporta la condición de MIPYME es menor al 10%,  por lo cual NO SE CONCEDE LA  HABILITACIÓN DE EXPERIENCIA ADICIONAL 
</v>
          </cell>
          <cell r="G24"/>
          <cell r="H24" t="str">
            <v>4.7. MIPYME DOMICILIADA EN COLOMBIA
La Entidad otorgará un puntaje de cero punto veinticinco (0.25) puntos al Proponente que acredite la calidad de Mipyme domiciliada en Colombia de conformidad con el artículo 2.2.1.2.4.2.4 del Decreto 1082 de 2015, en concordancia con el parágrafo del artículo 2.2.1.13.2.4 del Decreto 1074 de 2015, o la norma que lo modifique, complemente o sustituya.
Así las cosas, para obtener el puntaje, el Proponente entregará copia del certificado del Registro Único de Proponentes, el cual deberá encontrarse vigente y en firme al momento de su presentación. Si el Proponente debió subsanar la entrega del RUP, éste será válido para los criterios diferenciales en cuanto a los requisitos habilitantes relacionados con el número de contratos aportados para demostrar la experiencia solicitada y los índices de la Capacidad Financiera y Organizacional. Sin embargo, el certificado no se tendrá en cuenta para la asignación del puntaje adicional, por lo que obtendrá cero (0) puntos por este factor de evaluación.
Tratándose de Proponentes Plurales este puntaje se otorgará si por lo menos uno de los integrantes acredita la calidad de Mipyme y tiene una participación igual o superior al diez por ciento (10%) en el Consorcio o en la Unión Temporal.</v>
          </cell>
        </row>
        <row r="25">
          <cell r="B25" t="str">
            <v xml:space="preserve">EMPRENDIMIENTO / MUJER
</v>
          </cell>
          <cell r="C25" t="str">
            <v>SIN OBSERVACIONES</v>
          </cell>
          <cell r="D25" t="str">
            <v>El proponente  no aporto el "formato 13", por lo cual  no se concede la condición de Emprendimiento y/o empresas de mujeres,  por lo cual NO SE CONCEDE EL PUNTAJE DE 0,25.</v>
          </cell>
          <cell r="E25" t="str">
            <v>El proponente   no aporto el "formato 13", por lo cual  no se concede la condición de Emprendimiento y/o empresas de mujeres ,  por lo cual NO SE CONCEDE EL PUNTAJE DE 0,25.</v>
          </cell>
          <cell r="F25" t="str">
            <v>El proponente no cumple con la condición de MUJER O EMPRENDIMIENTO, toda vez que el  porcentaje de participación del o los INTEGRANTE(S) que aporta la condición es menor al 10%, por lo cual NO SE CONCEDE EL PUNTAJE DE 0,25.</v>
          </cell>
          <cell r="G25"/>
          <cell r="H25" t="str">
            <v>4.6. EMPRENDIMIENTOS Y EMPRESAS DE MUJERES
La Entidad asignará un puntaje de cero punto veinticinco (0.25) puntos al Proponente que acredite la calidad de emprendimientos y empresas de mujeres con domicilio en el territorio nacional de conformidad con lo previsto en el artículo 2.2.1.2.4.2.14. del Decreto 1082 de 2015 o la norma que lo modifique, sustituya o complemente.
Para que el Proponente obtenga este puntaje debe diligenciar el Formato 13 – Acreditación de emprendimientos y empresas de mujeres y aportar la documentación requerida. Si el Proponente debió subsanar dicho formato y/o los documentos exigidos para probar esta condición será válido para el criterio diferencial en cuanto al requisito habilitante relacionado con el número de contratos aportados para demostrar la experiencia solicitada. Sin embargo, no se tendrá en cuenta para la asignación de puntaje, por lo que obtendrá cero (0) puntos por este factor de evaluación.
Tratándose de Proponentes Plurales este puntaje se otorgará si por lo menos uno de los integrantes acredita la calidad de emprendimientos y empresas de mujeres y tiene una participación igual o superior al diez por ciento (10 %) en el Consorcio o en la Unión Temporal.</v>
          </cell>
        </row>
      </sheetData>
      <sheetData sheetId="9"/>
      <sheetData sheetId="10"/>
    </sheetDataSet>
  </externalBook>
</externalLink>
</file>

<file path=xl/richData/_rels/richValueRel.xml.rels><?xml version="1.0" encoding="UTF-8" standalone="yes"?>
<Relationships xmlns="http://schemas.openxmlformats.org/package/2006/relationships"><Relationship Id="rId2" Type="http://schemas.openxmlformats.org/officeDocument/2006/relationships/image" Target="../media/image20.png"/><Relationship Id="rId1" Type="http://schemas.openxmlformats.org/officeDocument/2006/relationships/image" Target="../media/image15.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Tema de Offic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obrasinconclusas.contraloria.gov.co/" TargetMode="External"/><Relationship Id="rId2" Type="http://schemas.openxmlformats.org/officeDocument/2006/relationships/hyperlink" Target="https://www.rues.org.co/" TargetMode="External"/><Relationship Id="rId1" Type="http://schemas.openxmlformats.org/officeDocument/2006/relationships/hyperlink" Target="https://obrasinconclusas.contraloria.gov.co/"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s://www.rues.org.co/"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A1E2D-635B-47D3-BAA4-BC89A772931D}">
  <sheetPr codeName="Hoja4">
    <tabColor theme="7" tint="0.59999389629810485"/>
    <pageSetUpPr fitToPage="1"/>
  </sheetPr>
  <dimension ref="A1:O44"/>
  <sheetViews>
    <sheetView tabSelected="1" view="pageBreakPreview" topLeftCell="A19" zoomScaleNormal="130" zoomScaleSheetLayoutView="100" workbookViewId="0">
      <selection activeCell="M15" sqref="M15:N15"/>
    </sheetView>
  </sheetViews>
  <sheetFormatPr baseColWidth="10" defaultColWidth="11.375" defaultRowHeight="16.5"/>
  <cols>
    <col min="1" max="1" width="2.75" style="14" customWidth="1"/>
    <col min="2" max="2" width="11.375" style="14"/>
    <col min="3" max="3" width="7.125" style="14" customWidth="1"/>
    <col min="4" max="4" width="4.25" style="14" customWidth="1"/>
    <col min="5" max="10" width="11.375" style="14"/>
    <col min="11" max="12" width="11.375" style="1"/>
    <col min="13" max="14" width="11.75" style="14" customWidth="1"/>
    <col min="15" max="15" width="3.25" style="1" customWidth="1"/>
    <col min="16" max="16384" width="11.375" style="14"/>
  </cols>
  <sheetData>
    <row r="1" spans="1:14" ht="93" customHeight="1">
      <c r="A1" s="1"/>
      <c r="B1" s="429" t="e" vm="1">
        <v>#VALUE!</v>
      </c>
      <c r="C1" s="429"/>
      <c r="D1" s="430" t="s">
        <v>0</v>
      </c>
      <c r="E1" s="430"/>
      <c r="F1" s="430"/>
      <c r="G1" s="430"/>
      <c r="H1" s="430"/>
      <c r="I1" s="430"/>
      <c r="J1" s="430"/>
      <c r="K1" s="430"/>
      <c r="L1" s="430"/>
      <c r="M1" s="430"/>
      <c r="N1" s="430"/>
    </row>
    <row r="2" spans="1:14">
      <c r="A2" s="1"/>
      <c r="B2" s="1"/>
      <c r="C2" s="1"/>
      <c r="D2" s="1"/>
      <c r="E2" s="1"/>
      <c r="F2" s="1"/>
      <c r="G2" s="1"/>
      <c r="H2" s="1"/>
      <c r="I2" s="1"/>
      <c r="J2" s="1"/>
      <c r="M2" s="1"/>
      <c r="N2" s="1"/>
    </row>
    <row r="3" spans="1:14">
      <c r="A3" s="1"/>
      <c r="B3" s="1"/>
      <c r="C3" s="1"/>
      <c r="D3" s="1"/>
      <c r="E3" s="1"/>
      <c r="F3" s="1"/>
      <c r="G3" s="1"/>
      <c r="H3" s="1"/>
      <c r="I3" s="1"/>
      <c r="J3" s="1"/>
      <c r="M3" s="1"/>
      <c r="N3" s="1"/>
    </row>
    <row r="4" spans="1:14">
      <c r="A4" s="1"/>
      <c r="B4" s="1"/>
      <c r="C4" s="1"/>
      <c r="D4" s="1"/>
      <c r="E4" s="1"/>
      <c r="F4" s="1"/>
      <c r="G4" s="1"/>
      <c r="H4" s="1"/>
      <c r="I4" s="1"/>
      <c r="J4" s="1"/>
      <c r="M4" s="1"/>
      <c r="N4" s="1"/>
    </row>
    <row r="5" spans="1:14" ht="27.75" customHeight="1">
      <c r="A5" s="1"/>
      <c r="B5" s="2" t="s">
        <v>1</v>
      </c>
      <c r="C5" s="270">
        <f>+EXPERIENCIA!D15</f>
        <v>45</v>
      </c>
      <c r="D5" s="3"/>
      <c r="E5" s="431" t="str">
        <f>IF($C$5&gt;0,(VLOOKUP($C$5,[1]OFERENTES!$A$8:$W$1027,2,FALSE)),"")</f>
        <v>LAEL CONSTRUCCIONES S.A.S</v>
      </c>
      <c r="F5" s="432"/>
      <c r="G5" s="432"/>
      <c r="H5" s="432"/>
      <c r="I5" s="432"/>
      <c r="J5" s="432"/>
      <c r="K5" s="433" t="s">
        <v>2</v>
      </c>
      <c r="L5" s="434"/>
      <c r="M5" s="435" t="str">
        <f>IFERROR(VLOOKUP($C$5,[1]OFERENTES!$A$8:$AA$1027,26,FALSE),"")</f>
        <v>Proponente Individual</v>
      </c>
      <c r="N5" s="436"/>
    </row>
    <row r="6" spans="1:14">
      <c r="A6" s="1"/>
      <c r="B6" s="1"/>
      <c r="C6" s="1"/>
      <c r="D6" s="1"/>
      <c r="E6" s="1"/>
      <c r="F6" s="1"/>
      <c r="G6" s="1"/>
      <c r="H6" s="1"/>
      <c r="I6" s="1"/>
      <c r="J6" s="1"/>
      <c r="M6" s="1"/>
      <c r="N6" s="1"/>
    </row>
    <row r="7" spans="1:14">
      <c r="A7" s="1"/>
      <c r="B7" s="1"/>
      <c r="C7" s="1"/>
      <c r="D7" s="1"/>
      <c r="E7" s="1"/>
      <c r="F7" s="1"/>
      <c r="G7" s="1"/>
      <c r="H7" s="1"/>
      <c r="I7" s="1"/>
      <c r="J7" s="1"/>
      <c r="M7" s="1"/>
      <c r="N7" s="1"/>
    </row>
    <row r="8" spans="1:14" s="1" customFormat="1" ht="23.25">
      <c r="B8" s="4" t="s">
        <v>3</v>
      </c>
    </row>
    <row r="9" spans="1:14" s="1" customFormat="1"/>
    <row r="10" spans="1:14" s="1" customFormat="1" ht="18.75">
      <c r="B10" s="5" t="s">
        <v>4</v>
      </c>
    </row>
    <row r="11" spans="1:14" s="1" customFormat="1"/>
    <row r="12" spans="1:14" ht="30.75" customHeight="1">
      <c r="A12" s="1"/>
      <c r="B12" s="442" t="s">
        <v>5</v>
      </c>
      <c r="C12" s="442"/>
      <c r="D12" s="442"/>
      <c r="E12" s="442"/>
      <c r="F12" s="442"/>
      <c r="G12" s="442"/>
      <c r="H12" s="442"/>
      <c r="I12" s="442"/>
      <c r="J12" s="442"/>
      <c r="K12" s="442"/>
      <c r="L12" s="442"/>
      <c r="M12" s="438" t="s">
        <v>10</v>
      </c>
      <c r="N12" s="438"/>
    </row>
    <row r="13" spans="1:14">
      <c r="A13" s="1"/>
      <c r="B13" s="1"/>
      <c r="C13" s="1"/>
      <c r="D13" s="1"/>
      <c r="E13" s="1"/>
      <c r="F13" s="1"/>
      <c r="G13" s="1"/>
      <c r="H13" s="1"/>
      <c r="I13" s="1"/>
      <c r="J13" s="1"/>
      <c r="M13" s="1"/>
      <c r="N13" s="1"/>
    </row>
    <row r="14" spans="1:14">
      <c r="A14" s="1"/>
      <c r="B14" s="6" t="s">
        <v>7</v>
      </c>
      <c r="C14" s="1"/>
      <c r="D14" s="1"/>
      <c r="E14" s="1"/>
      <c r="F14" s="1"/>
      <c r="G14" s="1"/>
      <c r="H14" s="1"/>
      <c r="I14" s="1"/>
      <c r="J14" s="1"/>
      <c r="M14" s="1"/>
      <c r="N14" s="1"/>
    </row>
    <row r="15" spans="1:14" ht="30" customHeight="1">
      <c r="A15" s="1"/>
      <c r="B15" s="437" t="s">
        <v>8</v>
      </c>
      <c r="C15" s="437"/>
      <c r="D15" s="437"/>
      <c r="E15" s="437"/>
      <c r="F15" s="437"/>
      <c r="G15" s="437"/>
      <c r="H15" s="437"/>
      <c r="I15" s="437"/>
      <c r="J15" s="437"/>
      <c r="K15" s="437"/>
      <c r="L15" s="437"/>
      <c r="M15" s="438" t="s">
        <v>10</v>
      </c>
      <c r="N15" s="438"/>
    </row>
    <row r="16" spans="1:14">
      <c r="A16" s="1"/>
      <c r="B16" s="1"/>
      <c r="C16" s="1"/>
      <c r="D16" s="1"/>
      <c r="E16" s="1"/>
      <c r="F16" s="1"/>
      <c r="G16" s="1"/>
      <c r="H16" s="1"/>
      <c r="I16" s="1"/>
      <c r="J16" s="1"/>
      <c r="M16" s="1"/>
      <c r="N16" s="1"/>
    </row>
    <row r="17" spans="1:14" ht="30.75" customHeight="1">
      <c r="A17" s="1"/>
      <c r="B17" s="437" t="s">
        <v>9</v>
      </c>
      <c r="C17" s="437"/>
      <c r="D17" s="437"/>
      <c r="E17" s="437"/>
      <c r="F17" s="437"/>
      <c r="G17" s="437"/>
      <c r="H17" s="437"/>
      <c r="I17" s="437"/>
      <c r="J17" s="437"/>
      <c r="K17" s="437"/>
      <c r="L17" s="437"/>
      <c r="M17" s="438" t="s">
        <v>10</v>
      </c>
      <c r="N17" s="438"/>
    </row>
    <row r="18" spans="1:14">
      <c r="A18" s="1"/>
      <c r="B18" s="1"/>
      <c r="C18" s="1"/>
      <c r="D18" s="1"/>
      <c r="E18" s="1"/>
      <c r="F18" s="1"/>
      <c r="G18" s="1"/>
      <c r="H18" s="1"/>
      <c r="I18" s="1"/>
      <c r="J18" s="1"/>
      <c r="M18" s="1"/>
      <c r="N18" s="1"/>
    </row>
    <row r="19" spans="1:14" ht="30.75" customHeight="1">
      <c r="A19" s="1"/>
      <c r="B19" s="437" t="s">
        <v>11</v>
      </c>
      <c r="C19" s="437"/>
      <c r="D19" s="437"/>
      <c r="E19" s="437"/>
      <c r="F19" s="437"/>
      <c r="G19" s="437"/>
      <c r="H19" s="437"/>
      <c r="I19" s="437"/>
      <c r="J19" s="437"/>
      <c r="K19" s="437"/>
      <c r="L19" s="437"/>
      <c r="M19" s="438" t="s">
        <v>10</v>
      </c>
      <c r="N19" s="438"/>
    </row>
    <row r="20" spans="1:14">
      <c r="A20" s="1"/>
      <c r="B20" s="1"/>
      <c r="C20" s="1"/>
      <c r="D20" s="1"/>
      <c r="E20" s="1"/>
      <c r="F20" s="1"/>
      <c r="G20" s="1"/>
      <c r="H20" s="1"/>
      <c r="I20" s="1"/>
      <c r="J20" s="1"/>
      <c r="M20" s="1"/>
      <c r="N20" s="1"/>
    </row>
    <row r="21" spans="1:14" ht="32.25" customHeight="1">
      <c r="A21" s="1"/>
      <c r="B21" s="437" t="s">
        <v>12</v>
      </c>
      <c r="C21" s="437"/>
      <c r="D21" s="437"/>
      <c r="E21" s="437"/>
      <c r="F21" s="437"/>
      <c r="G21" s="437"/>
      <c r="H21" s="437"/>
      <c r="I21" s="437"/>
      <c r="J21" s="437"/>
      <c r="K21" s="437"/>
      <c r="L21" s="437"/>
      <c r="M21" s="438" t="s">
        <v>10</v>
      </c>
      <c r="N21" s="438"/>
    </row>
    <row r="22" spans="1:14">
      <c r="A22" s="1"/>
      <c r="B22" s="1"/>
      <c r="C22" s="1"/>
      <c r="D22" s="1"/>
      <c r="E22" s="1"/>
      <c r="F22" s="1"/>
      <c r="G22" s="1"/>
      <c r="H22" s="1"/>
      <c r="I22" s="1"/>
      <c r="J22" s="1"/>
      <c r="M22" s="1"/>
      <c r="N22" s="1"/>
    </row>
    <row r="23" spans="1:14" ht="33" customHeight="1">
      <c r="A23" s="1"/>
      <c r="B23" s="443" t="s">
        <v>13</v>
      </c>
      <c r="C23" s="443"/>
      <c r="D23" s="443"/>
      <c r="E23" s="443"/>
      <c r="F23" s="443"/>
      <c r="G23" s="443"/>
      <c r="H23" s="443"/>
      <c r="I23" s="443"/>
      <c r="J23" s="443"/>
      <c r="K23" s="443"/>
      <c r="L23" s="443"/>
      <c r="M23" s="444" t="str">
        <f>IF($M$12="","",IF(COUNTIF(M12:M21,"si")&gt;4,"CUMPLE","NO CUMPLE"))</f>
        <v>CUMPLE</v>
      </c>
      <c r="N23" s="444"/>
    </row>
    <row r="24" spans="1:14" ht="32.25" customHeight="1">
      <c r="A24" s="1"/>
      <c r="B24" s="6" t="s">
        <v>14</v>
      </c>
      <c r="C24" s="1"/>
      <c r="D24" s="1"/>
      <c r="E24" s="1"/>
      <c r="F24" s="1"/>
      <c r="G24" s="1"/>
      <c r="H24" s="1"/>
      <c r="I24" s="1"/>
      <c r="J24" s="1"/>
      <c r="M24" s="1"/>
      <c r="N24" s="1"/>
    </row>
    <row r="25" spans="1:14" ht="44.25" customHeight="1">
      <c r="A25" s="1"/>
      <c r="B25" s="439"/>
      <c r="C25" s="440"/>
      <c r="D25" s="440"/>
      <c r="E25" s="440"/>
      <c r="F25" s="440"/>
      <c r="G25" s="440"/>
      <c r="H25" s="440"/>
      <c r="I25" s="440"/>
      <c r="J25" s="440"/>
      <c r="K25" s="440"/>
      <c r="L25" s="440"/>
      <c r="M25" s="440"/>
      <c r="N25" s="441"/>
    </row>
    <row r="26" spans="1:14" ht="21" customHeight="1">
      <c r="A26" s="1"/>
      <c r="B26" s="425"/>
      <c r="C26" s="8"/>
      <c r="D26" s="8"/>
      <c r="E26" s="8"/>
      <c r="F26" s="8"/>
      <c r="G26" s="8"/>
      <c r="H26" s="8"/>
      <c r="I26" s="8"/>
      <c r="J26" s="8"/>
      <c r="K26" s="8"/>
      <c r="L26" s="8"/>
      <c r="M26" s="8"/>
      <c r="N26" s="9"/>
    </row>
    <row r="27" spans="1:14" ht="21" customHeight="1">
      <c r="A27" s="1"/>
      <c r="B27" s="10"/>
      <c r="C27" s="8"/>
      <c r="D27" s="8"/>
      <c r="E27" s="8"/>
      <c r="F27" s="8"/>
      <c r="G27" s="8"/>
      <c r="H27" s="8"/>
      <c r="I27" s="8"/>
      <c r="J27" s="8"/>
      <c r="K27" s="8"/>
      <c r="L27" s="8"/>
      <c r="M27" s="8"/>
      <c r="N27" s="9"/>
    </row>
    <row r="28" spans="1:14" ht="21" customHeight="1">
      <c r="A28" s="1"/>
      <c r="B28" s="7"/>
      <c r="C28" s="8"/>
      <c r="D28" s="8"/>
      <c r="E28" s="8"/>
      <c r="F28" s="8"/>
      <c r="G28" s="8"/>
      <c r="H28" s="8"/>
      <c r="I28" s="8"/>
      <c r="J28" s="8"/>
      <c r="K28" s="8"/>
      <c r="L28" s="8"/>
      <c r="M28" s="8"/>
      <c r="N28" s="9"/>
    </row>
    <row r="29" spans="1:14" ht="21" customHeight="1">
      <c r="A29" s="1"/>
      <c r="B29" s="7"/>
      <c r="C29" s="8"/>
      <c r="D29" s="8"/>
      <c r="E29" s="8"/>
      <c r="F29" s="8"/>
      <c r="G29" s="8"/>
      <c r="H29" s="8"/>
      <c r="I29" s="8"/>
      <c r="J29" s="8"/>
      <c r="K29" s="8"/>
      <c r="L29" s="8"/>
      <c r="M29" s="8"/>
      <c r="N29" s="9"/>
    </row>
    <row r="30" spans="1:14" ht="21" customHeight="1">
      <c r="A30" s="1"/>
      <c r="B30" s="7"/>
      <c r="C30" s="8"/>
      <c r="D30" s="8"/>
      <c r="E30" s="8"/>
      <c r="F30" s="8"/>
      <c r="G30" s="8"/>
      <c r="H30" s="8"/>
      <c r="I30" s="8"/>
      <c r="J30" s="8"/>
      <c r="K30" s="8"/>
      <c r="L30" s="8"/>
      <c r="M30" s="8"/>
      <c r="N30" s="9"/>
    </row>
    <row r="31" spans="1:14" ht="21" customHeight="1">
      <c r="A31" s="1"/>
      <c r="B31" s="7"/>
      <c r="C31" s="8"/>
      <c r="D31" s="8"/>
      <c r="E31" s="8"/>
      <c r="F31" s="8"/>
      <c r="G31" s="8"/>
      <c r="H31" s="8"/>
      <c r="I31" s="8"/>
      <c r="J31" s="8"/>
      <c r="K31" s="8"/>
      <c r="L31" s="8"/>
      <c r="M31" s="8"/>
      <c r="N31" s="9"/>
    </row>
    <row r="32" spans="1:14" ht="21" customHeight="1">
      <c r="A32" s="1"/>
      <c r="B32" s="7"/>
      <c r="C32" s="8"/>
      <c r="D32" s="8"/>
      <c r="E32" s="8"/>
      <c r="F32" s="8"/>
      <c r="G32" s="8"/>
      <c r="H32" s="8"/>
      <c r="I32" s="8"/>
      <c r="J32" s="8"/>
      <c r="K32" s="8"/>
      <c r="L32" s="8"/>
      <c r="M32" s="8"/>
      <c r="N32" s="9"/>
    </row>
    <row r="33" spans="1:14" ht="21" customHeight="1">
      <c r="A33" s="1"/>
      <c r="B33" s="7"/>
      <c r="C33" s="8"/>
      <c r="D33" s="8"/>
      <c r="E33" s="8"/>
      <c r="F33" s="8"/>
      <c r="G33" s="8"/>
      <c r="H33" s="8"/>
      <c r="I33" s="8"/>
      <c r="J33" s="8"/>
      <c r="K33" s="8"/>
      <c r="L33" s="8"/>
      <c r="M33" s="8"/>
      <c r="N33" s="9"/>
    </row>
    <row r="34" spans="1:14" ht="21" customHeight="1">
      <c r="A34" s="1"/>
      <c r="B34" s="7"/>
      <c r="C34" s="8"/>
      <c r="D34" s="8"/>
      <c r="E34" s="8"/>
      <c r="F34" s="8"/>
      <c r="G34" s="8"/>
      <c r="H34" s="8"/>
      <c r="I34" s="8"/>
      <c r="J34" s="8"/>
      <c r="K34" s="8"/>
      <c r="L34" s="8"/>
      <c r="M34" s="8"/>
      <c r="N34" s="9"/>
    </row>
    <row r="35" spans="1:14" ht="21" customHeight="1">
      <c r="A35" s="1"/>
      <c r="B35" s="7"/>
      <c r="C35" s="8"/>
      <c r="D35" s="8"/>
      <c r="E35" s="8"/>
      <c r="F35" s="8"/>
      <c r="G35" s="8"/>
      <c r="H35" s="8"/>
      <c r="I35" s="8"/>
      <c r="J35" s="8"/>
      <c r="K35" s="8"/>
      <c r="L35" s="8"/>
      <c r="M35" s="8"/>
      <c r="N35" s="9"/>
    </row>
    <row r="36" spans="1:14" ht="21" customHeight="1">
      <c r="A36" s="1"/>
      <c r="B36" s="7"/>
      <c r="C36" s="8"/>
      <c r="D36" s="8"/>
      <c r="E36" s="8"/>
      <c r="F36" s="8"/>
      <c r="G36" s="8"/>
      <c r="H36" s="8"/>
      <c r="I36" s="8"/>
      <c r="J36" s="8"/>
      <c r="K36" s="8"/>
      <c r="L36" s="8"/>
      <c r="M36" s="8"/>
      <c r="N36" s="9"/>
    </row>
    <row r="37" spans="1:14" ht="21" customHeight="1">
      <c r="A37" s="1"/>
      <c r="B37" s="7"/>
      <c r="C37" s="8"/>
      <c r="D37" s="8"/>
      <c r="E37" s="8"/>
      <c r="F37" s="8"/>
      <c r="G37" s="8"/>
      <c r="H37" s="8"/>
      <c r="I37" s="8"/>
      <c r="J37" s="8"/>
      <c r="K37" s="8"/>
      <c r="L37" s="8"/>
      <c r="M37" s="8"/>
      <c r="N37" s="9"/>
    </row>
    <row r="38" spans="1:14" ht="21" customHeight="1">
      <c r="A38" s="1"/>
      <c r="B38" s="7"/>
      <c r="C38" s="8"/>
      <c r="D38" s="8"/>
      <c r="E38" s="8"/>
      <c r="F38" s="8"/>
      <c r="G38" s="8"/>
      <c r="H38" s="8"/>
      <c r="I38" s="8"/>
      <c r="J38" s="8"/>
      <c r="K38" s="8"/>
      <c r="L38" s="8"/>
      <c r="M38" s="8"/>
      <c r="N38" s="9"/>
    </row>
    <row r="39" spans="1:14" ht="21" customHeight="1">
      <c r="A39" s="1"/>
      <c r="B39" s="7"/>
      <c r="C39" s="8"/>
      <c r="D39" s="8"/>
      <c r="E39" s="8"/>
      <c r="F39" s="8"/>
      <c r="G39" s="8"/>
      <c r="H39" s="8"/>
      <c r="I39" s="8"/>
      <c r="J39" s="8"/>
      <c r="K39" s="8"/>
      <c r="L39" s="8"/>
      <c r="M39" s="8"/>
      <c r="N39" s="9"/>
    </row>
    <row r="40" spans="1:14" ht="21" customHeight="1">
      <c r="A40" s="1"/>
      <c r="B40" s="7"/>
      <c r="C40" s="8"/>
      <c r="D40" s="8"/>
      <c r="E40" s="8"/>
      <c r="F40" s="8"/>
      <c r="G40" s="8"/>
      <c r="H40" s="8"/>
      <c r="I40" s="8"/>
      <c r="J40" s="8"/>
      <c r="K40" s="8"/>
      <c r="L40" s="8"/>
      <c r="M40" s="8"/>
      <c r="N40" s="9"/>
    </row>
    <row r="41" spans="1:14" ht="21" customHeight="1">
      <c r="A41" s="1"/>
      <c r="B41" s="7"/>
      <c r="C41" s="8"/>
      <c r="D41" s="8"/>
      <c r="E41" s="8"/>
      <c r="F41" s="8"/>
      <c r="G41" s="8"/>
      <c r="H41" s="8"/>
      <c r="I41" s="8"/>
      <c r="J41" s="8"/>
      <c r="K41" s="8"/>
      <c r="L41" s="8"/>
      <c r="M41" s="8"/>
      <c r="N41" s="9"/>
    </row>
    <row r="42" spans="1:14" ht="21" customHeight="1">
      <c r="A42" s="1"/>
      <c r="B42" s="7"/>
      <c r="C42" s="8"/>
      <c r="D42" s="8"/>
      <c r="E42" s="8"/>
      <c r="F42" s="8"/>
      <c r="G42" s="8"/>
      <c r="H42" s="8"/>
      <c r="I42" s="8"/>
      <c r="J42" s="8"/>
      <c r="K42" s="8"/>
      <c r="L42" s="8"/>
      <c r="M42" s="8"/>
      <c r="N42" s="9"/>
    </row>
    <row r="43" spans="1:14" ht="21" customHeight="1">
      <c r="A43" s="1"/>
      <c r="B43" s="11"/>
      <c r="C43" s="12"/>
      <c r="D43" s="12"/>
      <c r="E43" s="12"/>
      <c r="F43" s="12"/>
      <c r="G43" s="12"/>
      <c r="H43" s="12"/>
      <c r="I43" s="12"/>
      <c r="J43" s="12"/>
      <c r="K43" s="12"/>
      <c r="L43" s="12"/>
      <c r="M43" s="12"/>
      <c r="N43" s="13"/>
    </row>
    <row r="44" spans="1:14">
      <c r="A44" s="1"/>
      <c r="B44" s="1"/>
      <c r="C44" s="1"/>
      <c r="D44" s="1"/>
      <c r="E44" s="1"/>
      <c r="F44" s="1"/>
      <c r="G44" s="1"/>
      <c r="H44" s="1"/>
      <c r="I44" s="1"/>
      <c r="J44" s="1"/>
      <c r="M44" s="1"/>
      <c r="N44" s="1"/>
    </row>
  </sheetData>
  <sheetProtection formatRows="0"/>
  <mergeCells count="18">
    <mergeCell ref="B19:L19"/>
    <mergeCell ref="M19:N19"/>
    <mergeCell ref="B25:N25"/>
    <mergeCell ref="B12:L12"/>
    <mergeCell ref="M12:N12"/>
    <mergeCell ref="B21:L21"/>
    <mergeCell ref="M21:N21"/>
    <mergeCell ref="B23:L23"/>
    <mergeCell ref="M23:N23"/>
    <mergeCell ref="B15:L15"/>
    <mergeCell ref="M15:N15"/>
    <mergeCell ref="B17:L17"/>
    <mergeCell ref="M17:N17"/>
    <mergeCell ref="B1:C1"/>
    <mergeCell ref="D1:N1"/>
    <mergeCell ref="E5:J5"/>
    <mergeCell ref="K5:L5"/>
    <mergeCell ref="M5:N5"/>
  </mergeCells>
  <conditionalFormatting sqref="M21 M12 M15 M17 M19">
    <cfRule type="containsText" dxfId="111" priority="3" operator="containsText" text="SI">
      <formula>NOT(ISERROR(SEARCH("SI",M12)))</formula>
    </cfRule>
  </conditionalFormatting>
  <conditionalFormatting sqref="M12:N12 M19:N19">
    <cfRule type="containsText" dxfId="110" priority="7" operator="containsText" text="NO">
      <formula>NOT(ISERROR(SEARCH("NO",M12)))</formula>
    </cfRule>
  </conditionalFormatting>
  <conditionalFormatting sqref="M15:N15">
    <cfRule type="containsText" dxfId="109" priority="5" operator="containsText" text="NO">
      <formula>NOT(ISERROR(SEARCH("NO",M15)))</formula>
    </cfRule>
    <cfRule type="containsText" dxfId="108" priority="6" operator="containsText" text="SI">
      <formula>NOT(ISERROR(SEARCH("SI",M15)))</formula>
    </cfRule>
  </conditionalFormatting>
  <conditionalFormatting sqref="M17:N17">
    <cfRule type="containsText" dxfId="107" priority="4" operator="containsText" text="NO">
      <formula>NOT(ISERROR(SEARCH("NO",M17)))</formula>
    </cfRule>
  </conditionalFormatting>
  <conditionalFormatting sqref="M21:N21">
    <cfRule type="containsText" dxfId="106" priority="2" operator="containsText" text="NO">
      <formula>NOT(ISERROR(SEARCH("NO",M21)))</formula>
    </cfRule>
  </conditionalFormatting>
  <conditionalFormatting sqref="M23:N23">
    <cfRule type="containsText" dxfId="105" priority="1" operator="containsText" text="cumple">
      <formula>NOT(ISERROR(SEARCH("cumple",M23)))</formula>
    </cfRule>
  </conditionalFormatting>
  <dataValidations count="2">
    <dataValidation type="list" allowBlank="1" showInputMessage="1" showErrorMessage="1" sqref="M12:N12 M17:N17 M19:N19 M21:N21 M15:N15" xr:uid="{043D96E5-EE55-4541-B99F-54772B1693A8}">
      <formula1>"SI,NO"</formula1>
    </dataValidation>
    <dataValidation type="whole" allowBlank="1" showErrorMessage="1" sqref="C5:D5" xr:uid="{C9C651BE-638F-423B-BC61-65CFCF7FDBFF}">
      <formula1>1</formula1>
      <formula2>100</formula2>
    </dataValidation>
  </dataValidations>
  <printOptions horizontalCentered="1"/>
  <pageMargins left="0" right="0" top="0.19685039370078741" bottom="0" header="0.31496062992125984" footer="0.31496062992125984"/>
  <pageSetup paperSize="9" scale="7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5B7A8-DE77-43E6-AA17-991DF4A7CE62}">
  <sheetPr codeName="Hoja2">
    <tabColor theme="7" tint="0.59999389629810485"/>
    <pageSetUpPr fitToPage="1"/>
  </sheetPr>
  <dimension ref="A1:U142"/>
  <sheetViews>
    <sheetView showGridLines="0" tabSelected="1" view="pageBreakPreview" topLeftCell="E36" zoomScale="55" zoomScaleNormal="100" zoomScaleSheetLayoutView="55" zoomScalePageLayoutView="70" workbookViewId="0">
      <pane ySplit="6165" topLeftCell="A104" activePane="bottomLeft"/>
      <selection activeCell="M15" sqref="M15:N15"/>
      <selection pane="bottomLeft" activeCell="M15" sqref="M15:N15"/>
    </sheetView>
  </sheetViews>
  <sheetFormatPr baseColWidth="10" defaultColWidth="14.375" defaultRowHeight="15" customHeight="1" outlineLevelRow="1"/>
  <cols>
    <col min="1" max="1" width="2.125" style="15" customWidth="1"/>
    <col min="2" max="2" width="38.125" style="16" customWidth="1"/>
    <col min="3" max="3" width="1.625" style="16" customWidth="1"/>
    <col min="4" max="4" width="44.75" style="16" customWidth="1"/>
    <col min="5" max="5" width="39.125" style="16" customWidth="1"/>
    <col min="6" max="6" width="21.625" style="16" customWidth="1"/>
    <col min="7" max="7" width="21.75" style="16" customWidth="1"/>
    <col min="8" max="8" width="22.75" style="16" customWidth="1"/>
    <col min="9" max="9" width="25.875" style="16" customWidth="1"/>
    <col min="10" max="10" width="33.75" style="16" customWidth="1"/>
    <col min="11" max="11" width="30.375" style="16" customWidth="1"/>
    <col min="12" max="12" width="24.875" style="16" customWidth="1"/>
    <col min="13" max="13" width="30.125" style="16" customWidth="1"/>
    <col min="14" max="14" width="32.375" style="16" customWidth="1"/>
    <col min="15" max="15" width="38.75" style="16" customWidth="1"/>
    <col min="16" max="16" width="3.875" style="128" customWidth="1"/>
    <col min="17" max="17" width="39.125" style="16" customWidth="1"/>
    <col min="18" max="18" width="35.75" style="16" customWidth="1"/>
    <col min="19" max="19" width="34.625" style="16" customWidth="1"/>
    <col min="20" max="20" width="6.375" style="16" customWidth="1"/>
    <col min="21" max="21" width="31.625" style="16" customWidth="1"/>
    <col min="22" max="22" width="33.875" style="59" customWidth="1"/>
    <col min="23" max="23" width="18.75" style="59" customWidth="1"/>
    <col min="24" max="26" width="9.125" style="59" customWidth="1"/>
    <col min="27" max="27" width="42.125" style="59" customWidth="1"/>
    <col min="28" max="36" width="9.125" style="59" customWidth="1"/>
    <col min="37" max="39" width="10.75" style="59" customWidth="1"/>
    <col min="40" max="16384" width="14.375" style="59"/>
  </cols>
  <sheetData>
    <row r="1" spans="1:20" ht="15" customHeight="1">
      <c r="A1" s="1"/>
      <c r="B1" s="272"/>
      <c r="C1" s="1"/>
      <c r="D1" s="1"/>
      <c r="E1" s="1"/>
      <c r="F1" s="1"/>
      <c r="G1" s="1"/>
      <c r="H1" s="1"/>
      <c r="I1" s="1"/>
      <c r="J1" s="1"/>
      <c r="K1" s="1"/>
      <c r="L1" s="1"/>
      <c r="M1" s="1"/>
      <c r="N1" s="1"/>
      <c r="O1" s="1"/>
      <c r="P1" s="273"/>
      <c r="Q1" s="1"/>
      <c r="R1" s="1"/>
      <c r="S1" s="1"/>
      <c r="T1" s="15"/>
    </row>
    <row r="2" spans="1:20" ht="57.75" customHeight="1">
      <c r="A2" s="1"/>
      <c r="B2" s="449" t="e" vm="2">
        <v>#VALUE!</v>
      </c>
      <c r="C2" s="450" t="s">
        <v>15</v>
      </c>
      <c r="D2" s="451"/>
      <c r="E2" s="451"/>
      <c r="F2" s="451"/>
      <c r="G2" s="451"/>
      <c r="H2" s="451"/>
      <c r="I2" s="451"/>
      <c r="J2" s="451"/>
      <c r="K2" s="451"/>
      <c r="L2" s="451"/>
      <c r="M2" s="451"/>
      <c r="N2" s="451"/>
      <c r="O2" s="451"/>
      <c r="P2" s="452"/>
      <c r="Q2" s="456" t="s">
        <v>16</v>
      </c>
      <c r="R2" s="456"/>
      <c r="S2" s="456"/>
      <c r="T2" s="15"/>
    </row>
    <row r="3" spans="1:20" ht="58.5" customHeight="1">
      <c r="A3" s="1"/>
      <c r="B3" s="449"/>
      <c r="C3" s="453"/>
      <c r="D3" s="454"/>
      <c r="E3" s="454"/>
      <c r="F3" s="454"/>
      <c r="G3" s="454"/>
      <c r="H3" s="454"/>
      <c r="I3" s="454"/>
      <c r="J3" s="454"/>
      <c r="K3" s="454"/>
      <c r="L3" s="454"/>
      <c r="M3" s="454"/>
      <c r="N3" s="454"/>
      <c r="O3" s="454"/>
      <c r="P3" s="455"/>
      <c r="Q3" s="457" t="str">
        <f>IF($J$25="NO CUMPLE","OFERTA RECHAZADA",IF(COUNTIF(L65:$M$70,"CUMPLE")=6,"CUMPLE","NO CUMPLE"))</f>
        <v>CUMPLE</v>
      </c>
      <c r="R3" s="457"/>
      <c r="S3" s="457"/>
      <c r="T3" s="15"/>
    </row>
    <row r="4" spans="1:20" ht="39" customHeight="1">
      <c r="A4" s="1"/>
      <c r="B4" s="274"/>
      <c r="C4" s="274"/>
      <c r="D4" s="274"/>
      <c r="E4" s="274"/>
      <c r="F4" s="275"/>
      <c r="G4" s="274"/>
      <c r="H4" s="274"/>
      <c r="I4" s="274"/>
      <c r="J4" s="274"/>
      <c r="K4" s="274"/>
      <c r="L4" s="274"/>
      <c r="M4" s="274"/>
      <c r="N4" s="274"/>
      <c r="O4" s="274"/>
      <c r="P4" s="273"/>
      <c r="Q4" s="276"/>
      <c r="R4" s="276"/>
      <c r="S4" s="274"/>
      <c r="T4" s="15"/>
    </row>
    <row r="5" spans="1:20" ht="33.75">
      <c r="A5" s="1"/>
      <c r="B5" s="277" t="s">
        <v>17</v>
      </c>
      <c r="C5" s="278"/>
      <c r="D5" s="278"/>
      <c r="E5" s="278"/>
      <c r="F5" s="278"/>
      <c r="G5" s="278"/>
      <c r="H5" s="278"/>
      <c r="I5" s="278"/>
      <c r="J5" s="278"/>
      <c r="K5" s="278"/>
      <c r="L5" s="278"/>
      <c r="M5" s="279"/>
      <c r="N5" s="279"/>
      <c r="O5" s="279"/>
      <c r="P5" s="273"/>
      <c r="Q5" s="279"/>
      <c r="R5" s="279"/>
      <c r="S5" s="279"/>
      <c r="T5" s="15"/>
    </row>
    <row r="6" spans="1:20" ht="24" customHeight="1">
      <c r="A6" s="1"/>
      <c r="B6" s="277"/>
      <c r="C6" s="278"/>
      <c r="D6" s="278"/>
      <c r="E6" s="278"/>
      <c r="F6" s="278"/>
      <c r="G6" s="278"/>
      <c r="H6" s="278"/>
      <c r="I6" s="278"/>
      <c r="J6" s="278"/>
      <c r="K6" s="278"/>
      <c r="L6" s="278"/>
      <c r="M6" s="279"/>
      <c r="N6" s="279"/>
      <c r="O6" s="279"/>
      <c r="P6" s="273"/>
      <c r="Q6" s="279"/>
      <c r="R6" s="279"/>
      <c r="S6" s="279"/>
      <c r="T6" s="15"/>
    </row>
    <row r="7" spans="1:20" ht="18">
      <c r="A7" s="1"/>
      <c r="B7" s="17"/>
      <c r="C7" s="18"/>
      <c r="D7" s="19"/>
      <c r="E7" s="19"/>
      <c r="F7" s="19"/>
      <c r="G7" s="19"/>
      <c r="H7" s="19"/>
      <c r="I7" s="19"/>
      <c r="J7" s="19"/>
      <c r="K7" s="19"/>
      <c r="L7" s="19"/>
      <c r="M7" s="19"/>
      <c r="N7" s="19"/>
      <c r="O7" s="19"/>
      <c r="P7" s="20"/>
      <c r="Q7" s="19"/>
      <c r="R7" s="19"/>
      <c r="S7" s="21"/>
      <c r="T7" s="15"/>
    </row>
    <row r="8" spans="1:20" ht="79.5" customHeight="1">
      <c r="A8" s="1"/>
      <c r="B8" s="22" t="s">
        <v>18</v>
      </c>
      <c r="C8" s="23"/>
      <c r="D8" s="458" t="str">
        <f>+'[1]DATOS DEL PROCESO'!D3</f>
        <v>CONSTRUCCIÓN DE LA CASA DE LA CULTURA – CENTRO CULTURAL RROM DEL MUNICIPIO DE SAMPUÉS, DEPARTAMENTO DE SUCRE.</v>
      </c>
      <c r="E8" s="459"/>
      <c r="F8" s="459"/>
      <c r="G8" s="459"/>
      <c r="H8" s="459"/>
      <c r="I8" s="459"/>
      <c r="J8" s="459"/>
      <c r="K8" s="459"/>
      <c r="L8" s="459"/>
      <c r="M8" s="459"/>
      <c r="N8" s="459"/>
      <c r="O8" s="459"/>
      <c r="P8" s="459"/>
      <c r="Q8" s="459"/>
      <c r="R8" s="459"/>
      <c r="S8" s="24"/>
      <c r="T8" s="15"/>
    </row>
    <row r="9" spans="1:20" s="15" customFormat="1" ht="45" customHeight="1">
      <c r="A9" s="1"/>
      <c r="B9" s="25"/>
      <c r="C9" s="26"/>
      <c r="D9" s="27"/>
      <c r="E9" s="27"/>
      <c r="F9" s="27"/>
      <c r="G9" s="27"/>
      <c r="H9" s="27"/>
      <c r="I9" s="27"/>
      <c r="J9" s="27"/>
      <c r="K9" s="27"/>
      <c r="L9" s="27"/>
      <c r="M9" s="27"/>
      <c r="N9" s="27"/>
      <c r="O9" s="27"/>
      <c r="P9" s="28"/>
      <c r="Q9" s="29"/>
      <c r="R9" s="29"/>
      <c r="S9" s="24"/>
    </row>
    <row r="10" spans="1:20" ht="52.5" customHeight="1">
      <c r="A10" s="1"/>
      <c r="B10" s="22" t="s">
        <v>19</v>
      </c>
      <c r="C10" s="23"/>
      <c r="D10" s="30" t="str">
        <f>+'[1]DATOS DEL PROCESO'!D2</f>
        <v>MC-LP-010-2024</v>
      </c>
      <c r="E10" s="31" t="s">
        <v>20</v>
      </c>
      <c r="F10" s="32">
        <f>+'[1]DATOS DEL PROCESO'!D4</f>
        <v>45632</v>
      </c>
      <c r="G10" s="31" t="s">
        <v>21</v>
      </c>
      <c r="H10" s="33">
        <f>+'[1]DATOS DEL PROCESO'!D7</f>
        <v>6</v>
      </c>
      <c r="I10" s="31" t="s">
        <v>22</v>
      </c>
      <c r="J10" s="34">
        <f>+'[1]DATOS DEL PROCESO'!D5</f>
        <v>1501251043</v>
      </c>
      <c r="K10" s="31" t="s">
        <v>23</v>
      </c>
      <c r="L10" s="30">
        <f>+J10/1300000</f>
        <v>1154.8084946153847</v>
      </c>
      <c r="M10" s="31" t="s">
        <v>24</v>
      </c>
      <c r="N10" s="35">
        <f>+'[1]DATOS DEL PROCESO'!D12</f>
        <v>0.5</v>
      </c>
      <c r="O10" s="31" t="s">
        <v>25</v>
      </c>
      <c r="P10" s="28"/>
      <c r="Q10" s="36">
        <f>+'[1]DATOS DEL PROCESO'!D8</f>
        <v>240</v>
      </c>
      <c r="R10" s="36">
        <f>+Q10*'[1]DATOS DEL PROCESO'!D10</f>
        <v>120</v>
      </c>
      <c r="S10" s="24"/>
      <c r="T10" s="15"/>
    </row>
    <row r="11" spans="1:20" s="15" customFormat="1" ht="25.5" customHeight="1">
      <c r="A11" s="1"/>
      <c r="B11" s="37"/>
      <c r="C11" s="38"/>
      <c r="D11" s="38"/>
      <c r="E11" s="38"/>
      <c r="F11" s="39">
        <f>+F10-30</f>
        <v>45602</v>
      </c>
      <c r="G11" s="38"/>
      <c r="H11" s="38"/>
      <c r="I11" s="38"/>
      <c r="J11" s="38"/>
      <c r="K11" s="38"/>
      <c r="L11" s="38"/>
      <c r="M11" s="38"/>
      <c r="N11" s="40"/>
      <c r="O11" s="40"/>
      <c r="P11" s="40"/>
      <c r="Q11" s="40"/>
      <c r="R11" s="40"/>
      <c r="S11" s="41"/>
    </row>
    <row r="12" spans="1:20" s="15" customFormat="1" ht="53.25" customHeight="1">
      <c r="A12" s="1"/>
      <c r="B12" s="274"/>
      <c r="C12" s="274"/>
      <c r="D12" s="274"/>
      <c r="E12" s="274"/>
      <c r="F12" s="275"/>
      <c r="G12" s="274"/>
      <c r="H12" s="274"/>
      <c r="I12" s="274"/>
      <c r="J12" s="274"/>
      <c r="L12" s="274"/>
      <c r="M12" s="274"/>
      <c r="N12" s="279"/>
      <c r="O12" s="274"/>
      <c r="P12" s="273"/>
      <c r="Q12" s="274"/>
      <c r="R12" s="274"/>
      <c r="S12" s="274"/>
    </row>
    <row r="13" spans="1:20" s="15" customFormat="1" ht="60" customHeight="1">
      <c r="A13" s="1"/>
      <c r="B13" s="277" t="s">
        <v>26</v>
      </c>
      <c r="C13" s="278"/>
      <c r="D13" s="278"/>
      <c r="E13" s="278"/>
      <c r="F13" s="278"/>
      <c r="G13" s="278"/>
      <c r="H13" s="278"/>
      <c r="I13" s="278"/>
      <c r="J13" s="278"/>
      <c r="K13" s="278"/>
      <c r="L13" s="278"/>
      <c r="M13" s="279"/>
      <c r="N13" s="279"/>
      <c r="O13" s="279"/>
      <c r="P13" s="273"/>
      <c r="Q13" s="279"/>
      <c r="R13" s="279"/>
      <c r="S13" s="279"/>
    </row>
    <row r="14" spans="1:20" s="15" customFormat="1" ht="16.5" customHeight="1">
      <c r="A14" s="1"/>
      <c r="B14" s="42"/>
      <c r="C14" s="43"/>
      <c r="D14" s="43"/>
      <c r="E14" s="43"/>
      <c r="F14" s="43"/>
      <c r="G14" s="43"/>
      <c r="H14" s="43"/>
      <c r="I14" s="43"/>
      <c r="J14" s="43"/>
      <c r="K14" s="43"/>
      <c r="L14" s="43"/>
      <c r="M14" s="44"/>
      <c r="N14" s="44"/>
      <c r="O14" s="19"/>
      <c r="P14" s="20"/>
      <c r="Q14" s="19"/>
      <c r="R14" s="19"/>
      <c r="S14" s="21"/>
    </row>
    <row r="15" spans="1:20" ht="37.5" customHeight="1">
      <c r="A15" s="1"/>
      <c r="B15" s="45" t="s">
        <v>1</v>
      </c>
      <c r="C15" s="46"/>
      <c r="D15" s="271">
        <v>45</v>
      </c>
      <c r="E15" s="47"/>
      <c r="F15" s="460" t="str">
        <f>IF($D$15&gt;0,(VLOOKUP($D$15,[1]OFERENTES!$A$8:$W$1027,2,FALSE)),"")</f>
        <v>LAEL CONSTRUCCIONES S.A.S</v>
      </c>
      <c r="G15" s="461"/>
      <c r="H15" s="461"/>
      <c r="I15" s="461"/>
      <c r="J15" s="461"/>
      <c r="K15" s="461"/>
      <c r="L15" s="462" t="s">
        <v>2</v>
      </c>
      <c r="M15" s="463"/>
      <c r="N15" s="464" t="str">
        <f>IFERROR(VLOOKUP(EXPERIENCIA!$D$15,[1]OFERENTES!$A$8:$AA$1027,26,FALSE),"")</f>
        <v>Proponente Individual</v>
      </c>
      <c r="O15" s="465"/>
      <c r="P15" s="28"/>
      <c r="Q15" s="48"/>
      <c r="R15" s="48"/>
      <c r="S15" s="24"/>
      <c r="T15" s="15"/>
    </row>
    <row r="16" spans="1:20" s="15" customFormat="1" ht="37.5" customHeight="1">
      <c r="A16" s="1"/>
      <c r="B16" s="49"/>
      <c r="C16" s="46"/>
      <c r="D16" s="46"/>
      <c r="E16" s="46"/>
      <c r="F16" s="46"/>
      <c r="G16" s="46"/>
      <c r="H16" s="46"/>
      <c r="I16" s="46"/>
      <c r="J16" s="46"/>
      <c r="K16" s="46"/>
      <c r="L16" s="46"/>
      <c r="M16" s="50"/>
      <c r="N16" s="51"/>
      <c r="O16" s="27"/>
      <c r="P16" s="28"/>
      <c r="Q16" s="48"/>
      <c r="R16" s="48"/>
      <c r="S16" s="24"/>
    </row>
    <row r="17" spans="1:21" ht="66" customHeight="1">
      <c r="A17" s="1"/>
      <c r="B17" s="49"/>
      <c r="C17" s="46"/>
      <c r="D17" s="474" t="s">
        <v>27</v>
      </c>
      <c r="E17" s="474"/>
      <c r="F17" s="474"/>
      <c r="G17" s="474"/>
      <c r="H17" s="474"/>
      <c r="I17" s="52" t="s">
        <v>28</v>
      </c>
      <c r="J17" s="52" t="s">
        <v>29</v>
      </c>
      <c r="K17" s="52" t="s">
        <v>30</v>
      </c>
      <c r="L17" s="53" t="s">
        <v>31</v>
      </c>
      <c r="M17" s="53" t="s">
        <v>32</v>
      </c>
      <c r="N17" s="54" t="s">
        <v>33</v>
      </c>
      <c r="O17" s="53" t="s">
        <v>34</v>
      </c>
      <c r="P17" s="55"/>
      <c r="Q17" s="52" t="s">
        <v>35</v>
      </c>
      <c r="R17" s="56" t="s">
        <v>36</v>
      </c>
      <c r="S17" s="24"/>
      <c r="T17" s="57"/>
      <c r="U17" s="58"/>
    </row>
    <row r="18" spans="1:21" ht="9" customHeight="1">
      <c r="A18" s="48"/>
      <c r="B18" s="60"/>
      <c r="C18" s="61"/>
      <c r="D18" s="61"/>
      <c r="E18" s="61"/>
      <c r="F18" s="61"/>
      <c r="G18" s="61"/>
      <c r="H18" s="61"/>
      <c r="I18" s="61"/>
      <c r="J18" s="280"/>
      <c r="K18" s="280"/>
      <c r="L18" s="280"/>
      <c r="M18" s="281"/>
      <c r="N18" s="280"/>
      <c r="O18" s="282"/>
      <c r="P18" s="283"/>
      <c r="Q18" s="62"/>
      <c r="R18" s="62"/>
      <c r="S18" s="21"/>
      <c r="T18" s="15"/>
    </row>
    <row r="19" spans="1:21" ht="50.25" customHeight="1">
      <c r="A19" s="63" t="str">
        <f>IF(AND($I19&gt;=10%,$N19="CUMPLE"),"V","F")</f>
        <v>V</v>
      </c>
      <c r="B19" s="64" t="s">
        <v>37</v>
      </c>
      <c r="C19" s="65" t="str">
        <f>IF(AND($I19&gt;=10%,$J19="CUMPLE",$L19="SE CLASIFICA"),"V","F")</f>
        <v>V</v>
      </c>
      <c r="D19" s="446" t="str">
        <f>IFERROR(IF(EXPERIENCIA!$N$15="Proponente Plural",IF(ISBLANK((VLOOKUP(EXPERIENCIA!$D$15,[1]OFERENTES!$A$8:$H$101027,3,FALSE))),"",VLOOKUP(EXPERIENCIA!$D$15,[1]OFERENTES!$A$8:$H$101027,3,FALSE)),VLOOKUP(EXPERIENCIA!$D$15,[1]OFERENTES!$A$8:$H$1027,3,FALSE)),"")</f>
        <v>LAEL CONSTRUCCIONES S.A.S</v>
      </c>
      <c r="E19" s="447"/>
      <c r="F19" s="447"/>
      <c r="G19" s="447"/>
      <c r="H19" s="448"/>
      <c r="I19" s="66">
        <f>IF(EXPERIENCIA!$D$15&gt;0,IF(ISBLANK((VLOOKUP(EXPERIENCIA!$D$15,[1]OFERENTES!$A$8:$AH$1027,4,FALSE))),"",(VLOOKUP(EXPERIENCIA!$D$15,[1]OFERENTES!$A$8:$AH$1027,4,FALSE))),"")</f>
        <v>1</v>
      </c>
      <c r="J19" s="67" t="s">
        <v>38</v>
      </c>
      <c r="K19" s="67">
        <v>45624</v>
      </c>
      <c r="L19" s="68" t="s">
        <v>39</v>
      </c>
      <c r="M19" s="69" t="s">
        <v>40</v>
      </c>
      <c r="N19" s="70" t="str">
        <f>IF(EXPERIENCIA!M19="","",IF(EXPERIENCIA!M19="SE ANEXA","CUMPLE","NO CUMPLE"))</f>
        <v>CUMPLE</v>
      </c>
      <c r="O19" s="475" t="s">
        <v>38</v>
      </c>
      <c r="P19" s="284"/>
      <c r="Q19" s="445" t="str">
        <f>IF($J$25="","",IF(COUNTIFS(EXPERIENCIA!$I$19:$I$24,"&gt;=0,1",EXPERIENCIA!$J$19:$J$24,"CUMPLE",EXPERIENCIA!$L$19:$L$24,"SE CLASIFICA"),"APLICA","NO CUMPLE"))</f>
        <v>APLICA</v>
      </c>
      <c r="R19" s="445" t="str">
        <f>IF($N$19="","",IF(COUNTIFS($I$19:$I$24,"&gt;=0,1",$N$19:$N$24,"CUMPLE"),"CUMPLE","NO CUMPLE"))</f>
        <v>CUMPLE</v>
      </c>
      <c r="S19" s="71"/>
      <c r="T19" s="57"/>
      <c r="U19" s="72"/>
    </row>
    <row r="20" spans="1:21" ht="49.5" customHeight="1">
      <c r="A20" s="63" t="str">
        <f t="shared" ref="A20:A24" si="0">IF(AND($I20&gt;=10%,$N20="CUMPLE"),"V","F")</f>
        <v>F</v>
      </c>
      <c r="B20" s="73" t="s">
        <v>41</v>
      </c>
      <c r="C20" s="65" t="str">
        <f t="shared" ref="C20:C24" si="1">IF(AND($I20&gt;=10%,$J20="CUMPLE",$L20="SE CLASIFICA"),"V","F")</f>
        <v>F</v>
      </c>
      <c r="D20" s="446" t="str">
        <f>IF(EXPERIENCIA!$N$15="Proponente Plural",IF(ISBLANK((VLOOKUP(EXPERIENCIA!$D$15,[1]OFERENTES!$A$8:$H$1027,5,FALSE))),"",VLOOKUP(EXPERIENCIA!$D$15,[1]OFERENTES!$A$8:$H$1027,5,FALSE)),"")</f>
        <v/>
      </c>
      <c r="E20" s="447"/>
      <c r="F20" s="447"/>
      <c r="G20" s="447"/>
      <c r="H20" s="448"/>
      <c r="I20" s="66" t="str">
        <f>IF(EXPERIENCIA!$D$15&gt;0,IF(ISBLANK((VLOOKUP(EXPERIENCIA!$D$15,[1]OFERENTES!$A$8:$AH$1027,6,FALSE))),"",(VLOOKUP(EXPERIENCIA!$D$15,[1]OFERENTES!$A$8:$AH$1027,6,FALSE))),"")</f>
        <v/>
      </c>
      <c r="J20" s="67"/>
      <c r="K20" s="67"/>
      <c r="L20" s="68"/>
      <c r="M20" s="69"/>
      <c r="N20" s="70" t="str">
        <f>IF(EXPERIENCIA!M20="","",IF(EXPERIENCIA!M20="SE ANEXA","CUMPLE","NO CUMPLE"))</f>
        <v/>
      </c>
      <c r="O20" s="475"/>
      <c r="P20" s="284"/>
      <c r="Q20" s="445"/>
      <c r="R20" s="445"/>
      <c r="S20" s="71"/>
      <c r="T20" s="74"/>
      <c r="U20" s="72"/>
    </row>
    <row r="21" spans="1:21" ht="49.5" customHeight="1">
      <c r="A21" s="63" t="str">
        <f t="shared" si="0"/>
        <v>F</v>
      </c>
      <c r="B21" s="73" t="s">
        <v>42</v>
      </c>
      <c r="C21" s="65" t="str">
        <f t="shared" si="1"/>
        <v>F</v>
      </c>
      <c r="D21" s="446" t="str">
        <f>IF(EXPERIENCIA!$N$15="Proponente Plural",IF(ISBLANK((VLOOKUP(EXPERIENCIA!$D$15,[1]OFERENTES!$A$8:$H$1027,7,FALSE))),"",VLOOKUP(EXPERIENCIA!$D$15,[1]OFERENTES!$A$8:$H$1027,7,FALSE)),"")</f>
        <v/>
      </c>
      <c r="E21" s="447"/>
      <c r="F21" s="447"/>
      <c r="G21" s="447"/>
      <c r="H21" s="448"/>
      <c r="I21" s="66" t="str">
        <f>IF(EXPERIENCIA!$D$15&gt;0,IF(ISBLANK((VLOOKUP(EXPERIENCIA!$D$15,[1]OFERENTES!$A$8:$AH$1027,8,FALSE))),"",(VLOOKUP(EXPERIENCIA!$D$15,[1]OFERENTES!$A$8:$AH$1027,8,FALSE))),"")</f>
        <v/>
      </c>
      <c r="J21" s="67"/>
      <c r="K21" s="67"/>
      <c r="L21" s="68"/>
      <c r="M21" s="69"/>
      <c r="N21" s="70" t="str">
        <f>IF(EXPERIENCIA!M21="","",IF(EXPERIENCIA!M21="SE ANEXA","CUMPLE","NO CUMPLE"))</f>
        <v/>
      </c>
      <c r="O21" s="475"/>
      <c r="P21" s="284"/>
      <c r="Q21" s="445"/>
      <c r="R21" s="445"/>
      <c r="S21" s="71"/>
      <c r="T21" s="74"/>
      <c r="U21" s="72"/>
    </row>
    <row r="22" spans="1:21" ht="49.5" customHeight="1">
      <c r="A22" s="63" t="str">
        <f t="shared" si="0"/>
        <v>F</v>
      </c>
      <c r="B22" s="73" t="s">
        <v>43</v>
      </c>
      <c r="C22" s="65" t="str">
        <f t="shared" si="1"/>
        <v>F</v>
      </c>
      <c r="D22" s="446" t="str">
        <f>IF(EXPERIENCIA!$N$15="Proponente Plural",IF(ISBLANK((VLOOKUP(EXPERIENCIA!$D$15,[1]OFERENTES!$A$8:$AA$1027,9,FALSE))),"",VLOOKUP(EXPERIENCIA!$D$15,[1]OFERENTES!$A$8:$AA$1027,9,FALSE)),"")</f>
        <v/>
      </c>
      <c r="E22" s="447"/>
      <c r="F22" s="447"/>
      <c r="G22" s="447"/>
      <c r="H22" s="448"/>
      <c r="I22" s="66" t="str">
        <f>IF(EXPERIENCIA!$D$15&gt;0,IF(ISBLANK((VLOOKUP(EXPERIENCIA!$D$15,[1]OFERENTES!$A$8:$AH$1027,10,FALSE))),"",(VLOOKUP(EXPERIENCIA!$D$15,[1]OFERENTES!$A$8:$AH$1027,10,FALSE))),"")</f>
        <v/>
      </c>
      <c r="J22" s="67"/>
      <c r="K22" s="67"/>
      <c r="L22" s="68"/>
      <c r="M22" s="69"/>
      <c r="N22" s="70" t="str">
        <f>IF(EXPERIENCIA!M22="","",IF(EXPERIENCIA!M22="SE ANEXA","CUMPLE","NO CUMPLE"))</f>
        <v/>
      </c>
      <c r="O22" s="475"/>
      <c r="P22" s="284"/>
      <c r="Q22" s="445"/>
      <c r="R22" s="445"/>
      <c r="S22" s="71"/>
      <c r="T22" s="74"/>
      <c r="U22" s="72"/>
    </row>
    <row r="23" spans="1:21" ht="49.5" customHeight="1">
      <c r="A23" s="63" t="str">
        <f t="shared" si="0"/>
        <v>F</v>
      </c>
      <c r="B23" s="73" t="s">
        <v>44</v>
      </c>
      <c r="C23" s="65" t="str">
        <f t="shared" si="1"/>
        <v>F</v>
      </c>
      <c r="D23" s="446" t="str">
        <f>IF(EXPERIENCIA!$N$15="Proponente Plural",IF(ISBLANK((VLOOKUP(EXPERIENCIA!$D$15,[1]OFERENTES!$A$8:$AA$1027,11,FALSE))),"",VLOOKUP(EXPERIENCIA!$D$15,[1]OFERENTES!$A$8:$AA$1027,11,FALSE)),"")</f>
        <v/>
      </c>
      <c r="E23" s="447"/>
      <c r="F23" s="447"/>
      <c r="G23" s="447"/>
      <c r="H23" s="448"/>
      <c r="I23" s="66" t="str">
        <f>IF(EXPERIENCIA!$N$15="Proponente Plural",IF(ISBLANK((VLOOKUP(EXPERIENCIA!$D$15,[1]OFERENTES!$A$8:$AA$1027,11,FALSE))),"",VLOOKUP(EXPERIENCIA!$D$15,[1]OFERENTES!$A$8:$AA$1027,11,FALSE)),"")</f>
        <v/>
      </c>
      <c r="J23" s="67"/>
      <c r="K23" s="67"/>
      <c r="L23" s="68"/>
      <c r="M23" s="69"/>
      <c r="N23" s="70" t="str">
        <f>IF(EXPERIENCIA!M23="","",IF(EXPERIENCIA!M23="SE ANEXA","CUMPLE","NO CUMPLE"))</f>
        <v/>
      </c>
      <c r="O23" s="475"/>
      <c r="P23" s="284"/>
      <c r="Q23" s="445"/>
      <c r="R23" s="445"/>
      <c r="S23" s="71"/>
      <c r="T23" s="57"/>
      <c r="U23" s="72"/>
    </row>
    <row r="24" spans="1:21" ht="49.5" customHeight="1">
      <c r="A24" s="63" t="str">
        <f t="shared" si="0"/>
        <v>F</v>
      </c>
      <c r="B24" s="73" t="s">
        <v>45</v>
      </c>
      <c r="C24" s="65" t="str">
        <f t="shared" si="1"/>
        <v>F</v>
      </c>
      <c r="D24" s="446" t="str">
        <f>IF(EXPERIENCIA!$N$15="Proponente Plural",IF(ISBLANK((VLOOKUP(EXPERIENCIA!$D$15,[1]OFERENTES!$A$8:$AA$1027,13,FALSE))),"",VLOOKUP(EXPERIENCIA!$D$15,[1]OFERENTES!$A$8:$AA$1027,13,FALSE)),"")</f>
        <v/>
      </c>
      <c r="E24" s="447"/>
      <c r="F24" s="447"/>
      <c r="G24" s="447"/>
      <c r="H24" s="448"/>
      <c r="I24" s="66" t="str">
        <f>IF(EXPERIENCIA!$D$15&gt;0,IF(ISBLANK((VLOOKUP(EXPERIENCIA!$D$15,[1]OFERENTES!$A$8:$AH$1027,14,FALSE))),"",(VLOOKUP(EXPERIENCIA!$D$15,[1]OFERENTES!$A$8:$AH$1027,14,FALSE))),"")</f>
        <v/>
      </c>
      <c r="J24" s="67"/>
      <c r="K24" s="67"/>
      <c r="L24" s="68"/>
      <c r="M24" s="69"/>
      <c r="N24" s="70" t="str">
        <f>IF(EXPERIENCIA!M24="","",IF(EXPERIENCIA!M24="SE ANEXA","CUMPLE","NO CUMPLE"))</f>
        <v/>
      </c>
      <c r="O24" s="475"/>
      <c r="P24" s="284"/>
      <c r="Q24" s="445"/>
      <c r="R24" s="445"/>
      <c r="S24" s="71"/>
      <c r="T24" s="57"/>
      <c r="U24" s="72"/>
    </row>
    <row r="25" spans="1:21" ht="29.25" customHeight="1">
      <c r="A25" s="48"/>
      <c r="B25" s="75"/>
      <c r="C25" s="76"/>
      <c r="D25" s="77"/>
      <c r="E25" s="78"/>
      <c r="F25" s="77"/>
      <c r="G25" s="77"/>
      <c r="H25" s="77"/>
      <c r="I25" s="79">
        <f>IF(I19="","",SUM(I19:I24))</f>
        <v>1</v>
      </c>
      <c r="J25" s="285" t="str">
        <f>IF(J19="","",IF(COUNTIF($J$19:$J$24,"NO CUMPLE"),"NO CUMPLE","CUMPLE"))</f>
        <v>CUMPLE</v>
      </c>
      <c r="K25" s="285" t="str">
        <f>IF(K19="","",IF(COUNTIF($K$19:$K$24,"&lt;2/11/2024")&gt;=1,"NO CUMPLE","CUMPLE"))</f>
        <v>CUMPLE</v>
      </c>
      <c r="L25" s="1"/>
      <c r="M25" s="1"/>
      <c r="N25" s="1"/>
      <c r="O25" s="1"/>
      <c r="P25" s="273"/>
      <c r="Q25" s="48"/>
      <c r="R25" s="48"/>
      <c r="S25" s="71"/>
      <c r="T25" s="15"/>
    </row>
    <row r="26" spans="1:21" ht="18.75" customHeight="1">
      <c r="A26" s="48"/>
      <c r="B26" s="75"/>
      <c r="C26" s="76"/>
      <c r="D26" s="77"/>
      <c r="E26" s="77"/>
      <c r="F26" s="77"/>
      <c r="G26" s="77"/>
      <c r="H26" s="77"/>
      <c r="I26" s="77"/>
      <c r="J26" s="286"/>
      <c r="K26" s="286"/>
      <c r="L26" s="1"/>
      <c r="M26" s="1"/>
      <c r="N26" s="1"/>
      <c r="O26" s="1"/>
      <c r="P26" s="273"/>
      <c r="Q26" s="48"/>
      <c r="R26" s="48"/>
      <c r="S26" s="71"/>
      <c r="T26" s="15"/>
    </row>
    <row r="27" spans="1:21" ht="18.75" customHeight="1">
      <c r="A27" s="48"/>
      <c r="B27" s="80"/>
      <c r="C27" s="81"/>
      <c r="D27" s="82"/>
      <c r="E27" s="82"/>
      <c r="F27" s="82"/>
      <c r="G27" s="82"/>
      <c r="H27" s="82"/>
      <c r="I27" s="82"/>
      <c r="J27" s="287"/>
      <c r="K27" s="288"/>
      <c r="L27" s="287"/>
      <c r="M27" s="289"/>
      <c r="N27" s="290"/>
      <c r="O27" s="291"/>
      <c r="P27" s="292"/>
      <c r="Q27" s="83"/>
      <c r="R27" s="83"/>
      <c r="S27" s="84"/>
      <c r="T27" s="15"/>
    </row>
    <row r="28" spans="1:21" s="15" customFormat="1" ht="57" customHeight="1">
      <c r="A28" s="1"/>
      <c r="B28" s="293"/>
      <c r="C28" s="293"/>
      <c r="D28" s="294"/>
      <c r="E28" s="295" t="str">
        <f>IF(J19="NO",D19,"")</f>
        <v/>
      </c>
      <c r="F28" s="293"/>
      <c r="G28" s="274"/>
      <c r="H28" s="274"/>
      <c r="I28" s="274"/>
      <c r="J28" s="274"/>
      <c r="K28" s="274"/>
      <c r="L28" s="274"/>
      <c r="M28" s="274"/>
      <c r="N28" s="274"/>
      <c r="O28" s="274"/>
      <c r="P28" s="273"/>
      <c r="Q28" s="274"/>
      <c r="R28" s="274"/>
      <c r="S28" s="274"/>
    </row>
    <row r="29" spans="1:21" s="15" customFormat="1" ht="42.75" customHeight="1">
      <c r="A29" s="1"/>
      <c r="B29" s="277" t="s">
        <v>46</v>
      </c>
      <c r="C29" s="295"/>
      <c r="D29" s="295"/>
      <c r="E29" s="1"/>
      <c r="F29" s="295"/>
      <c r="G29" s="295"/>
      <c r="H29" s="295"/>
      <c r="I29" s="295"/>
      <c r="J29" s="295"/>
      <c r="K29" s="295"/>
      <c r="L29" s="295"/>
      <c r="M29" s="279"/>
      <c r="N29" s="279"/>
      <c r="O29" s="279"/>
      <c r="P29" s="273"/>
      <c r="Q29" s="279"/>
      <c r="R29" s="279"/>
      <c r="S29" s="279"/>
    </row>
    <row r="30" spans="1:21" s="15" customFormat="1" ht="18">
      <c r="A30" s="1"/>
      <c r="B30" s="296"/>
      <c r="C30" s="297"/>
      <c r="D30" s="298"/>
      <c r="E30" s="298"/>
      <c r="F30" s="298"/>
      <c r="G30" s="298"/>
      <c r="H30" s="298"/>
      <c r="I30" s="298"/>
      <c r="J30" s="298"/>
      <c r="K30" s="298"/>
      <c r="L30" s="282"/>
      <c r="M30" s="282"/>
      <c r="N30" s="282"/>
      <c r="O30" s="282"/>
      <c r="P30" s="283"/>
      <c r="Q30" s="282"/>
      <c r="R30" s="282"/>
      <c r="S30" s="299"/>
    </row>
    <row r="31" spans="1:21" ht="90.75" customHeight="1">
      <c r="A31" s="1"/>
      <c r="B31" s="300" t="s">
        <v>47</v>
      </c>
      <c r="C31" s="301"/>
      <c r="D31" s="466" t="s">
        <v>48</v>
      </c>
      <c r="E31" s="466"/>
      <c r="F31" s="466"/>
      <c r="G31" s="466"/>
      <c r="H31" s="466"/>
      <c r="I31" s="466"/>
      <c r="J31" s="466"/>
      <c r="K31" s="466"/>
      <c r="L31" s="466"/>
      <c r="M31" s="466"/>
      <c r="N31" s="466"/>
      <c r="O31" s="466"/>
      <c r="P31" s="466"/>
      <c r="Q31" s="466"/>
      <c r="R31" s="302"/>
      <c r="S31" s="303"/>
      <c r="T31" s="15"/>
    </row>
    <row r="32" spans="1:21" ht="65.25" customHeight="1">
      <c r="A32" s="1"/>
      <c r="B32" s="304"/>
      <c r="C32" s="274"/>
      <c r="D32" s="467" t="s">
        <v>49</v>
      </c>
      <c r="E32" s="467"/>
      <c r="F32" s="468" t="s">
        <v>50</v>
      </c>
      <c r="G32" s="468"/>
      <c r="H32" s="468"/>
      <c r="I32" s="468"/>
      <c r="J32" s="468" t="s">
        <v>51</v>
      </c>
      <c r="K32" s="468"/>
      <c r="L32" s="468"/>
      <c r="M32" s="468"/>
      <c r="N32" s="468"/>
      <c r="O32" s="469" t="s">
        <v>52</v>
      </c>
      <c r="P32" s="470"/>
      <c r="Q32" s="85" t="s">
        <v>53</v>
      </c>
      <c r="R32" s="302"/>
      <c r="S32" s="305"/>
      <c r="T32" s="15"/>
    </row>
    <row r="33" spans="1:21" ht="288.75" customHeight="1">
      <c r="A33" s="1"/>
      <c r="B33" s="304"/>
      <c r="C33" s="274"/>
      <c r="D33" s="467"/>
      <c r="E33" s="467"/>
      <c r="F33" s="471" t="s">
        <v>54</v>
      </c>
      <c r="G33" s="471"/>
      <c r="H33" s="471"/>
      <c r="I33" s="471"/>
      <c r="J33" s="471" t="s">
        <v>55</v>
      </c>
      <c r="K33" s="471"/>
      <c r="L33" s="471"/>
      <c r="M33" s="471"/>
      <c r="N33" s="471"/>
      <c r="O33" s="472" t="s">
        <v>56</v>
      </c>
      <c r="P33" s="473"/>
      <c r="Q33" s="86" t="s">
        <v>57</v>
      </c>
      <c r="R33" s="304"/>
      <c r="S33" s="305"/>
      <c r="T33" s="15"/>
    </row>
    <row r="34" spans="1:21" s="15" customFormat="1" ht="18">
      <c r="A34" s="1"/>
      <c r="B34" s="306"/>
      <c r="C34" s="307"/>
      <c r="D34" s="291"/>
      <c r="E34" s="307"/>
      <c r="F34" s="291"/>
      <c r="G34" s="291"/>
      <c r="H34" s="291"/>
      <c r="I34" s="291"/>
      <c r="J34" s="291"/>
      <c r="K34" s="291"/>
      <c r="L34" s="291"/>
      <c r="M34" s="291"/>
      <c r="N34" s="308"/>
      <c r="O34" s="308"/>
      <c r="P34" s="292"/>
      <c r="Q34" s="308"/>
      <c r="R34" s="308"/>
      <c r="S34" s="309"/>
    </row>
    <row r="35" spans="1:21" s="15" customFormat="1" ht="18">
      <c r="A35" s="1"/>
      <c r="B35" s="1"/>
      <c r="C35" s="310"/>
      <c r="D35" s="1"/>
      <c r="E35" s="310"/>
      <c r="F35" s="1"/>
      <c r="G35" s="1"/>
      <c r="H35" s="1"/>
      <c r="I35" s="1"/>
      <c r="J35" s="1"/>
      <c r="K35" s="1"/>
      <c r="L35" s="1"/>
      <c r="M35" s="1"/>
      <c r="N35" s="311"/>
      <c r="O35" s="311"/>
      <c r="P35" s="273"/>
      <c r="Q35" s="311"/>
      <c r="R35" s="311"/>
      <c r="S35" s="311"/>
    </row>
    <row r="36" spans="1:21" ht="64.5" customHeight="1">
      <c r="A36" s="1"/>
      <c r="B36" s="476" t="s">
        <v>58</v>
      </c>
      <c r="C36" s="477"/>
      <c r="D36" s="477"/>
      <c r="E36" s="477"/>
      <c r="F36" s="477"/>
      <c r="G36" s="477"/>
      <c r="H36" s="477"/>
      <c r="I36" s="477"/>
      <c r="J36" s="477"/>
      <c r="K36" s="477"/>
      <c r="L36" s="477"/>
      <c r="M36" s="477"/>
      <c r="N36" s="477"/>
      <c r="O36" s="477"/>
      <c r="P36" s="477"/>
      <c r="Q36" s="477"/>
      <c r="R36" s="477"/>
      <c r="S36" s="478"/>
      <c r="T36" s="15"/>
    </row>
    <row r="37" spans="1:21" s="15" customFormat="1" ht="18">
      <c r="A37" s="1"/>
      <c r="B37" s="1"/>
      <c r="C37" s="310"/>
      <c r="D37" s="1"/>
      <c r="E37" s="310"/>
      <c r="F37" s="1"/>
      <c r="G37" s="1"/>
      <c r="H37" s="1"/>
      <c r="I37" s="1"/>
      <c r="J37" s="1"/>
      <c r="K37" s="1"/>
      <c r="L37" s="1"/>
      <c r="M37" s="1"/>
      <c r="N37" s="311"/>
      <c r="O37" s="311"/>
      <c r="P37" s="273"/>
      <c r="Q37" s="311"/>
      <c r="R37" s="311"/>
      <c r="S37" s="311"/>
    </row>
    <row r="38" spans="1:21" s="15" customFormat="1" ht="23.25" customHeight="1" thickBot="1">
      <c r="A38" s="1"/>
      <c r="B38" s="1"/>
      <c r="C38" s="310"/>
      <c r="D38" s="307"/>
      <c r="E38" s="307"/>
      <c r="F38" s="307"/>
      <c r="G38" s="307"/>
      <c r="H38" s="307"/>
      <c r="I38" s="307"/>
      <c r="J38" s="307"/>
      <c r="K38" s="307"/>
      <c r="L38" s="307"/>
      <c r="M38" s="307"/>
      <c r="N38" s="307"/>
      <c r="O38" s="307"/>
      <c r="P38" s="273"/>
      <c r="Q38" s="311"/>
      <c r="R38" s="311"/>
      <c r="S38" s="311"/>
    </row>
    <row r="39" spans="1:21" ht="75.75" customHeight="1" thickBot="1">
      <c r="A39" s="1"/>
      <c r="B39" s="1"/>
      <c r="C39" s="310"/>
      <c r="D39" s="312" t="s">
        <v>59</v>
      </c>
      <c r="E39" s="312" t="s">
        <v>60</v>
      </c>
      <c r="F39" s="312" t="s">
        <v>61</v>
      </c>
      <c r="G39" s="312" t="s">
        <v>62</v>
      </c>
      <c r="H39" s="312" t="s">
        <v>63</v>
      </c>
      <c r="I39" s="312" t="s">
        <v>64</v>
      </c>
      <c r="J39" s="313" t="s">
        <v>65</v>
      </c>
      <c r="K39" s="313" t="s">
        <v>66</v>
      </c>
      <c r="L39" s="313" t="s">
        <v>67</v>
      </c>
      <c r="M39" s="312" t="s">
        <v>68</v>
      </c>
      <c r="N39" s="312" t="s">
        <v>69</v>
      </c>
      <c r="O39" s="314" t="s">
        <v>70</v>
      </c>
      <c r="P39" s="87"/>
      <c r="Q39" s="88" t="s">
        <v>71</v>
      </c>
      <c r="R39" s="88" t="s">
        <v>72</v>
      </c>
      <c r="S39" s="88" t="s">
        <v>73</v>
      </c>
      <c r="T39" s="15"/>
    </row>
    <row r="40" spans="1:21" ht="39" customHeight="1">
      <c r="A40" s="1"/>
      <c r="B40" s="479" t="s">
        <v>74</v>
      </c>
      <c r="C40" s="315"/>
      <c r="D40" s="481" t="s">
        <v>75</v>
      </c>
      <c r="E40" s="89" t="s">
        <v>76</v>
      </c>
      <c r="F40" s="89" t="s">
        <v>77</v>
      </c>
      <c r="G40" s="90">
        <v>0.34</v>
      </c>
      <c r="H40" s="91">
        <v>8</v>
      </c>
      <c r="I40" s="484">
        <v>5563.54</v>
      </c>
      <c r="J40" s="487">
        <v>42885</v>
      </c>
      <c r="K40" s="487">
        <v>43845</v>
      </c>
      <c r="L40" s="490">
        <v>1898.4</v>
      </c>
      <c r="M40" s="493" t="s">
        <v>277</v>
      </c>
      <c r="N40" s="493" t="s">
        <v>277</v>
      </c>
      <c r="O40" s="496" t="str">
        <f>IF(D40="","",IF(AND($M40="CUMPLE",$N40="CUMPLE",$K40&lt;$F$10),"VALIDA","NO VALIDA"))</f>
        <v>VALIDA</v>
      </c>
      <c r="P40" s="87"/>
      <c r="Q40" s="499">
        <f>IF($D40="","",IF($O40="NO VALIDA","",($L40*SUM($G$40:$G$42))))</f>
        <v>645.45600000000013</v>
      </c>
      <c r="R40" s="92">
        <f>IFERROR(ROUND(IF($D40="","",IF(AND($L$65="CUMPLE",$O40="VALIDA"),$I40*$G40,IF(AND($O40="VALIDA",$J40&gt;35804),I40*$G40,""))),0),"")</f>
        <v>1892</v>
      </c>
      <c r="S40" s="501">
        <f>IF(SUM(R40:R42)=0,"",SUM(R40:R42))</f>
        <v>1892</v>
      </c>
      <c r="T40" s="15"/>
      <c r="U40" s="93"/>
    </row>
    <row r="41" spans="1:21" ht="39" customHeight="1">
      <c r="A41" s="1"/>
      <c r="B41" s="479"/>
      <c r="C41" s="315"/>
      <c r="D41" s="482"/>
      <c r="E41" s="89"/>
      <c r="F41" s="89"/>
      <c r="G41" s="90"/>
      <c r="H41" s="91"/>
      <c r="I41" s="485"/>
      <c r="J41" s="488"/>
      <c r="K41" s="488"/>
      <c r="L41" s="491"/>
      <c r="M41" s="494"/>
      <c r="N41" s="494"/>
      <c r="O41" s="497"/>
      <c r="P41" s="87"/>
      <c r="Q41" s="499"/>
      <c r="R41" s="92">
        <f>IFERROR(ROUND(IF($D40="","",IF(AND($L$65="CUMPLE",$O40="VALIDA"),$I40*$G41,IF(AND($O40="VALIDA",$J40&gt;35804),I40*$G41,""))),0),"")</f>
        <v>0</v>
      </c>
      <c r="S41" s="502"/>
      <c r="T41" s="15"/>
      <c r="U41" s="93"/>
    </row>
    <row r="42" spans="1:21" ht="39" customHeight="1" thickBot="1">
      <c r="A42" s="1"/>
      <c r="B42" s="480"/>
      <c r="C42" s="315"/>
      <c r="D42" s="483"/>
      <c r="E42" s="94"/>
      <c r="F42" s="94"/>
      <c r="G42" s="95"/>
      <c r="H42" s="96"/>
      <c r="I42" s="486"/>
      <c r="J42" s="489"/>
      <c r="K42" s="489"/>
      <c r="L42" s="492"/>
      <c r="M42" s="495"/>
      <c r="N42" s="495"/>
      <c r="O42" s="498"/>
      <c r="P42" s="87"/>
      <c r="Q42" s="500"/>
      <c r="R42" s="97">
        <f>IFERROR(ROUND(IF($D40="","",IF(AND($L$65="CUMPLE",$O40="VALIDA"),$I40*$G42,IF(AND($O40="VALIDA",$J40&gt;35804),I40*$G42,""))),0),"")</f>
        <v>0</v>
      </c>
      <c r="S42" s="503"/>
      <c r="T42" s="15"/>
      <c r="U42" s="93"/>
    </row>
    <row r="43" spans="1:21" ht="39" customHeight="1" thickTop="1">
      <c r="A43" s="1"/>
      <c r="B43" s="510" t="s">
        <v>78</v>
      </c>
      <c r="C43" s="315"/>
      <c r="D43" s="513"/>
      <c r="E43" s="98"/>
      <c r="F43" s="98"/>
      <c r="G43" s="99"/>
      <c r="H43" s="100"/>
      <c r="I43" s="505"/>
      <c r="J43" s="506"/>
      <c r="K43" s="506"/>
      <c r="L43" s="509"/>
      <c r="M43" s="504"/>
      <c r="N43" s="514"/>
      <c r="O43" s="517" t="str">
        <f t="shared" ref="O43" si="2">IF(D43="","",IF(AND($M43="CUMPLE",$N43="CUMPLE",$K43&lt;$F$10),"VALIDA","NO VALIDA"))</f>
        <v/>
      </c>
      <c r="P43" s="87"/>
      <c r="Q43" s="499" t="str">
        <f>IF($D43="","",IF($O43="NO VALIDA","",($L43*SUM($G$43:$G$45))))</f>
        <v/>
      </c>
      <c r="R43" s="92" t="str">
        <f>IFERROR(ROUND(IF($D43="","",IF(AND($L$65="CUMPLE",$O43="VALIDA"),$I43*$G43,IF(AND($O43="VALIDA",$J43&gt;35804),I43*$G43,""))),0),"")</f>
        <v/>
      </c>
      <c r="S43" s="501" t="str">
        <f>IF(SUM(R43:R45)=0,"",SUM(R43:R45))</f>
        <v/>
      </c>
      <c r="T43" s="101"/>
    </row>
    <row r="44" spans="1:21" ht="39" customHeight="1">
      <c r="A44" s="1"/>
      <c r="B44" s="511"/>
      <c r="C44" s="315"/>
      <c r="D44" s="482"/>
      <c r="E44" s="89"/>
      <c r="F44" s="89"/>
      <c r="G44" s="90"/>
      <c r="H44" s="91"/>
      <c r="I44" s="485"/>
      <c r="J44" s="507"/>
      <c r="K44" s="507"/>
      <c r="L44" s="491"/>
      <c r="M44" s="494"/>
      <c r="N44" s="515"/>
      <c r="O44" s="497"/>
      <c r="P44" s="87"/>
      <c r="Q44" s="499"/>
      <c r="R44" s="92" t="str">
        <f>IFERROR(ROUND(IF($D43="","",IF(AND($L$65="CUMPLE",$O43="VALIDA"),$I43*$G44,IF(AND($O43="VALIDA",$J43&gt;35804),I43*$G44,""))),0),"")</f>
        <v/>
      </c>
      <c r="S44" s="502"/>
      <c r="T44" s="101"/>
    </row>
    <row r="45" spans="1:21" ht="39" customHeight="1" thickBot="1">
      <c r="A45" s="1"/>
      <c r="B45" s="512"/>
      <c r="C45" s="315"/>
      <c r="D45" s="483"/>
      <c r="E45" s="94"/>
      <c r="F45" s="94"/>
      <c r="G45" s="95"/>
      <c r="H45" s="96"/>
      <c r="I45" s="486"/>
      <c r="J45" s="508"/>
      <c r="K45" s="508"/>
      <c r="L45" s="492"/>
      <c r="M45" s="495"/>
      <c r="N45" s="516"/>
      <c r="O45" s="498"/>
      <c r="P45" s="87"/>
      <c r="Q45" s="500"/>
      <c r="R45" s="97" t="str">
        <f>IFERROR(ROUND(IF($D43="","",IF(AND($L$65="CUMPLE",$O43="VALIDA"),$I43*$G45,IF(AND($O43="VALIDA",$J43&gt;35804),I43*$G45,""))),0),"")</f>
        <v/>
      </c>
      <c r="S45" s="503"/>
      <c r="T45" s="101"/>
    </row>
    <row r="46" spans="1:21" ht="39" customHeight="1" thickTop="1">
      <c r="A46" s="1"/>
      <c r="B46" s="479" t="s">
        <v>79</v>
      </c>
      <c r="C46" s="315"/>
      <c r="D46" s="504"/>
      <c r="E46" s="102"/>
      <c r="F46" s="102"/>
      <c r="G46" s="103"/>
      <c r="H46" s="104"/>
      <c r="I46" s="505"/>
      <c r="J46" s="506"/>
      <c r="K46" s="506"/>
      <c r="L46" s="509"/>
      <c r="M46" s="504"/>
      <c r="N46" s="514"/>
      <c r="O46" s="517" t="str">
        <f t="shared" ref="O46" si="3">IF(D46="","",IF(AND($M46="CUMPLE",$N46="CUMPLE",$K46&lt;$F$10),"VALIDA","NO VALIDA"))</f>
        <v/>
      </c>
      <c r="P46" s="87"/>
      <c r="Q46" s="499" t="str">
        <f>IF($D46="","",IF($O46="NO VALIDA","",($L46*SUM($G$46:$G$48))))</f>
        <v/>
      </c>
      <c r="R46" s="92" t="str">
        <f>IFERROR(ROUND(IF($D46="","",IF(AND($L$65="CUMPLE",$O46="VALIDA"),$I46*$G46,IF(AND($O46="VALIDA",$J46&gt;35804),I46*$G46,""))),0),"")</f>
        <v/>
      </c>
      <c r="S46" s="501" t="str">
        <f>IF(SUM(R46:R48)=0,"",SUM(R46:R48))</f>
        <v/>
      </c>
      <c r="T46" s="105"/>
    </row>
    <row r="47" spans="1:21" ht="39" customHeight="1">
      <c r="A47" s="1"/>
      <c r="B47" s="479"/>
      <c r="C47" s="315"/>
      <c r="D47" s="494"/>
      <c r="E47" s="89"/>
      <c r="F47" s="89"/>
      <c r="G47" s="90"/>
      <c r="H47" s="91"/>
      <c r="I47" s="485"/>
      <c r="J47" s="507"/>
      <c r="K47" s="507"/>
      <c r="L47" s="491"/>
      <c r="M47" s="494"/>
      <c r="N47" s="515"/>
      <c r="O47" s="497"/>
      <c r="P47" s="87"/>
      <c r="Q47" s="499"/>
      <c r="R47" s="92" t="str">
        <f>IFERROR(ROUND(IF($D46="","",IF(AND($L$65="CUMPLE",$O46="VALIDA"),$I46*$G47,IF(AND($O46="VALIDA",$J46&gt;35804),I46*$G47,""))),0),"")</f>
        <v/>
      </c>
      <c r="S47" s="502"/>
      <c r="T47" s="105"/>
    </row>
    <row r="48" spans="1:21" ht="39" customHeight="1" thickBot="1">
      <c r="A48" s="1"/>
      <c r="B48" s="480"/>
      <c r="C48" s="315"/>
      <c r="D48" s="495"/>
      <c r="E48" s="94"/>
      <c r="F48" s="94"/>
      <c r="G48" s="95"/>
      <c r="H48" s="96"/>
      <c r="I48" s="486"/>
      <c r="J48" s="508"/>
      <c r="K48" s="508"/>
      <c r="L48" s="492"/>
      <c r="M48" s="495"/>
      <c r="N48" s="516"/>
      <c r="O48" s="498"/>
      <c r="P48" s="87"/>
      <c r="Q48" s="500"/>
      <c r="R48" s="97" t="str">
        <f>IFERROR(ROUND(IF($D46="","",IF(AND($L$65="CUMPLE",$O46="VALIDA"),$I46*$G48,IF(AND($O46="VALIDA",$J46&gt;35804),I46*$G48,""))),0),"")</f>
        <v/>
      </c>
      <c r="S48" s="503"/>
      <c r="T48" s="105"/>
    </row>
    <row r="49" spans="1:20" ht="39" customHeight="1" thickTop="1">
      <c r="A49" s="1"/>
      <c r="B49" s="510" t="s">
        <v>80</v>
      </c>
      <c r="C49" s="315"/>
      <c r="D49" s="513"/>
      <c r="E49" s="102"/>
      <c r="F49" s="102"/>
      <c r="G49" s="103"/>
      <c r="H49" s="104"/>
      <c r="I49" s="505"/>
      <c r="J49" s="506"/>
      <c r="K49" s="506"/>
      <c r="L49" s="509"/>
      <c r="M49" s="504"/>
      <c r="N49" s="514"/>
      <c r="O49" s="517" t="str">
        <f t="shared" ref="O49" si="4">IF(D49="","",IF(AND($M49="CUMPLE",$N49="CUMPLE",$K49&lt;$F$10),"VALIDA","NO VALIDA"))</f>
        <v/>
      </c>
      <c r="P49" s="87"/>
      <c r="Q49" s="499" t="str">
        <f>IF($D49="","",IF($O49="NO VALIDA","",($L49*SUM($G$49:$G$51))))</f>
        <v/>
      </c>
      <c r="R49" s="92" t="str">
        <f>IFERROR(ROUND(IF($D49="","",IF(AND($L$65="CUMPLE",$O49="VALIDA"),$I49*$G49,IF(AND($O49="VALIDA",$J49&gt;35804),I49*$G49,""))),0),"")</f>
        <v/>
      </c>
      <c r="S49" s="501" t="str">
        <f>IF(SUM(R49:R51)=0,"",SUM(R49:R51))</f>
        <v/>
      </c>
      <c r="T49" s="106"/>
    </row>
    <row r="50" spans="1:20" ht="39" customHeight="1">
      <c r="A50" s="1"/>
      <c r="B50" s="511"/>
      <c r="C50" s="315"/>
      <c r="D50" s="482"/>
      <c r="E50" s="89"/>
      <c r="F50" s="89"/>
      <c r="G50" s="90"/>
      <c r="H50" s="91"/>
      <c r="I50" s="485"/>
      <c r="J50" s="507"/>
      <c r="K50" s="507"/>
      <c r="L50" s="491"/>
      <c r="M50" s="494"/>
      <c r="N50" s="515"/>
      <c r="O50" s="497"/>
      <c r="P50" s="87"/>
      <c r="Q50" s="499"/>
      <c r="R50" s="92" t="str">
        <f>IFERROR(ROUND(IF($D49="","",IF(AND($L$65="CUMPLE",$O49="VALIDA"),$I49*$G50,IF(AND($O49="VALIDA",$J49&gt;35804),I49*$G50,""))),0),"")</f>
        <v/>
      </c>
      <c r="S50" s="502"/>
      <c r="T50" s="106"/>
    </row>
    <row r="51" spans="1:20" ht="39" customHeight="1" thickBot="1">
      <c r="A51" s="1"/>
      <c r="B51" s="512"/>
      <c r="C51" s="315"/>
      <c r="D51" s="483"/>
      <c r="E51" s="94"/>
      <c r="F51" s="94"/>
      <c r="G51" s="95"/>
      <c r="H51" s="96"/>
      <c r="I51" s="486"/>
      <c r="J51" s="508"/>
      <c r="K51" s="508"/>
      <c r="L51" s="492"/>
      <c r="M51" s="495"/>
      <c r="N51" s="516"/>
      <c r="O51" s="498"/>
      <c r="P51" s="87"/>
      <c r="Q51" s="500"/>
      <c r="R51" s="97" t="str">
        <f>IFERROR(ROUND(IF($D49="","",IF(AND($L$65="CUMPLE",$O49="VALIDA"),$I49*$G51,IF(AND($O49="VALIDA",$J49&gt;35804),I49*$G51,""))),0),"")</f>
        <v/>
      </c>
      <c r="S51" s="503"/>
      <c r="T51" s="106"/>
    </row>
    <row r="52" spans="1:20" ht="39" customHeight="1" thickTop="1">
      <c r="A52" s="1"/>
      <c r="B52" s="479" t="s">
        <v>81</v>
      </c>
      <c r="C52" s="315"/>
      <c r="D52" s="513"/>
      <c r="E52" s="102"/>
      <c r="F52" s="102"/>
      <c r="G52" s="103"/>
      <c r="H52" s="104"/>
      <c r="I52" s="505"/>
      <c r="J52" s="506"/>
      <c r="K52" s="506"/>
      <c r="L52" s="509"/>
      <c r="M52" s="504"/>
      <c r="N52" s="514"/>
      <c r="O52" s="517" t="str">
        <f t="shared" ref="O52" si="5">IF(D52="","",IF(AND($M52="CUMPLE",$N52="CUMPLE",$K52&lt;$F$10),"VALIDA","NO VALIDA"))</f>
        <v/>
      </c>
      <c r="P52" s="87"/>
      <c r="Q52" s="499" t="str">
        <f>IF($D52="","",IF($O52="NO VALIDA","",($L52*SUM($G$52:$G$54))))</f>
        <v/>
      </c>
      <c r="R52" s="92" t="str">
        <f>IFERROR(ROUND(IF($D52="","",IF(AND($L$65="CUMPLE",$O52="VALIDA"),$I52*$G52,IF(AND($O52="VALIDA",$J52&gt;35804),I52*$G52,""))),0),"")</f>
        <v/>
      </c>
      <c r="S52" s="501" t="str">
        <f>IF(SUM(R52:R54)=0,"",SUM(R52:R54))</f>
        <v/>
      </c>
      <c r="T52" s="107"/>
    </row>
    <row r="53" spans="1:20" ht="39" customHeight="1">
      <c r="A53" s="1"/>
      <c r="B53" s="479"/>
      <c r="C53" s="315"/>
      <c r="D53" s="482"/>
      <c r="E53" s="89"/>
      <c r="F53" s="89"/>
      <c r="G53" s="90"/>
      <c r="H53" s="91"/>
      <c r="I53" s="485"/>
      <c r="J53" s="507"/>
      <c r="K53" s="507"/>
      <c r="L53" s="491"/>
      <c r="M53" s="494"/>
      <c r="N53" s="515"/>
      <c r="O53" s="497"/>
      <c r="P53" s="87"/>
      <c r="Q53" s="499"/>
      <c r="R53" s="92" t="str">
        <f>IFERROR(ROUND(IF($D52="","",IF(AND($L$65="CUMPLE",$O52="VALIDA"),$I52*$G53,IF(AND($O52="VALIDA",$J52&gt;35804),I52*$G53,""))),0),"")</f>
        <v/>
      </c>
      <c r="S53" s="502"/>
      <c r="T53" s="107"/>
    </row>
    <row r="54" spans="1:20" ht="39" customHeight="1" thickBot="1">
      <c r="A54" s="1"/>
      <c r="B54" s="480"/>
      <c r="C54" s="315"/>
      <c r="D54" s="483"/>
      <c r="E54" s="94"/>
      <c r="F54" s="94"/>
      <c r="G54" s="95"/>
      <c r="H54" s="96"/>
      <c r="I54" s="486"/>
      <c r="J54" s="508"/>
      <c r="K54" s="508"/>
      <c r="L54" s="492"/>
      <c r="M54" s="495"/>
      <c r="N54" s="516"/>
      <c r="O54" s="498"/>
      <c r="P54" s="87"/>
      <c r="Q54" s="500"/>
      <c r="R54" s="97" t="str">
        <f>IFERROR(ROUND(IF($D52="","",IF(AND($L$65="CUMPLE",$O52="VALIDA"),$I52*$G54,IF(AND($O52="VALIDA",$J52&gt;35804),I52*$G54,""))),0),"")</f>
        <v/>
      </c>
      <c r="S54" s="503"/>
      <c r="T54" s="107"/>
    </row>
    <row r="55" spans="1:20" ht="39" customHeight="1" thickTop="1">
      <c r="A55" s="1"/>
      <c r="B55" s="510" t="s">
        <v>82</v>
      </c>
      <c r="C55" s="315"/>
      <c r="D55" s="524"/>
      <c r="E55" s="108"/>
      <c r="F55" s="108"/>
      <c r="G55" s="108"/>
      <c r="H55" s="108"/>
      <c r="I55" s="521"/>
      <c r="J55" s="521"/>
      <c r="K55" s="521"/>
      <c r="L55" s="521"/>
      <c r="M55" s="521"/>
      <c r="N55" s="521"/>
      <c r="O55" s="536" t="str">
        <f t="shared" ref="O55" si="6">IF(D55="","",IF(AND($M55="CUMPLE",$N55="CUMPLE",$K55&lt;$F$10),"VALIDA","NO VALIDA"))</f>
        <v/>
      </c>
      <c r="P55" s="87"/>
      <c r="Q55" s="530" t="str">
        <f>IF($D55="","",IF($O55="NO VALIDA","",($L55*SUM($G$55:$G$57))))</f>
        <v/>
      </c>
      <c r="R55" s="108" t="str">
        <f>IFERROR(ROUND(IF($D55="","",IF(AND($L$65="CUMPLE",$O55="VALIDA"),$I55*$G55,IF(AND($O55="VALIDA",$J55&gt;35804),I55*$G55,""))),0),"")</f>
        <v/>
      </c>
      <c r="S55" s="533" t="str">
        <f>IF(SUM(R55:R57)=0,"",SUM(R55:R57))</f>
        <v/>
      </c>
      <c r="T55" s="106"/>
    </row>
    <row r="56" spans="1:20" ht="39" customHeight="1">
      <c r="A56" s="1"/>
      <c r="B56" s="511"/>
      <c r="C56" s="315"/>
      <c r="D56" s="525"/>
      <c r="E56" s="109"/>
      <c r="F56" s="109"/>
      <c r="G56" s="109"/>
      <c r="H56" s="109"/>
      <c r="I56" s="522"/>
      <c r="J56" s="522"/>
      <c r="K56" s="522"/>
      <c r="L56" s="522"/>
      <c r="M56" s="522"/>
      <c r="N56" s="522"/>
      <c r="O56" s="537"/>
      <c r="P56" s="87"/>
      <c r="Q56" s="531"/>
      <c r="R56" s="109" t="str">
        <f>IFERROR(ROUND(IF($D55="","",IF(AND($L$65="CUMPLE",$O55="VALIDA"),$I55*$G56,IF(AND($O55="VALIDA",$J55&gt;35804),I55*$G56,""))),0),"")</f>
        <v/>
      </c>
      <c r="S56" s="534"/>
      <c r="T56" s="106"/>
    </row>
    <row r="57" spans="1:20" ht="39" customHeight="1" thickBot="1">
      <c r="A57" s="1"/>
      <c r="B57" s="512"/>
      <c r="C57" s="315"/>
      <c r="D57" s="526"/>
      <c r="E57" s="110"/>
      <c r="F57" s="110"/>
      <c r="G57" s="110"/>
      <c r="H57" s="110"/>
      <c r="I57" s="523"/>
      <c r="J57" s="523"/>
      <c r="K57" s="523"/>
      <c r="L57" s="523"/>
      <c r="M57" s="523"/>
      <c r="N57" s="523"/>
      <c r="O57" s="538"/>
      <c r="P57" s="87"/>
      <c r="Q57" s="532"/>
      <c r="R57" s="110" t="str">
        <f>IFERROR(ROUND(IF($D55="","",IF(AND($L$65="CUMPLE",$O55="VALIDA"),$I55*$G57,IF(AND($O55="VALIDA",$J55&gt;35804),I55*$G57,""))),0),"")</f>
        <v/>
      </c>
      <c r="S57" s="535"/>
      <c r="T57" s="106"/>
    </row>
    <row r="58" spans="1:20" ht="39" customHeight="1" thickTop="1">
      <c r="A58" s="1"/>
      <c r="B58" s="479" t="s">
        <v>83</v>
      </c>
      <c r="C58" s="315"/>
      <c r="D58" s="518"/>
      <c r="E58" s="108"/>
      <c r="F58" s="108"/>
      <c r="G58" s="108"/>
      <c r="H58" s="108"/>
      <c r="I58" s="521"/>
      <c r="J58" s="521"/>
      <c r="K58" s="521"/>
      <c r="L58" s="521"/>
      <c r="M58" s="521"/>
      <c r="N58" s="521"/>
      <c r="O58" s="527" t="str">
        <f t="shared" ref="O58" si="7">IF(D58="","",IF(AND($M58="CUMPLE",$N58="CUMPLE",$K58&lt;$F$10),"VALIDA","NO VALIDA"))</f>
        <v/>
      </c>
      <c r="P58" s="87"/>
      <c r="Q58" s="530" t="str">
        <f>IF($D58="","",IF($O58="NO VALIDA","",($L58*SUM($G$58:$G$60))))</f>
        <v/>
      </c>
      <c r="R58" s="108" t="str">
        <f>IFERROR(ROUND(IF($D58="","",IF(AND($L$65="CUMPLE",$O58="VALIDA"),$I58*$G58,IF(AND($O58="VALIDA",$J58&gt;35804),I58*$G58,""))),0),"")</f>
        <v/>
      </c>
      <c r="S58" s="533" t="str">
        <f>IF(SUM(R58:R60)=0,"",SUM(R58:R60))</f>
        <v/>
      </c>
      <c r="T58" s="107"/>
    </row>
    <row r="59" spans="1:20" ht="39" customHeight="1">
      <c r="A59" s="1"/>
      <c r="B59" s="479"/>
      <c r="C59" s="315"/>
      <c r="D59" s="519"/>
      <c r="E59" s="109"/>
      <c r="F59" s="109"/>
      <c r="G59" s="109"/>
      <c r="H59" s="109"/>
      <c r="I59" s="522"/>
      <c r="J59" s="522"/>
      <c r="K59" s="522"/>
      <c r="L59" s="522"/>
      <c r="M59" s="522"/>
      <c r="N59" s="522"/>
      <c r="O59" s="528"/>
      <c r="P59" s="87"/>
      <c r="Q59" s="531"/>
      <c r="R59" s="109" t="str">
        <f>IFERROR(ROUND(IF($D58="","",IF(AND($L$65="CUMPLE",$O58="VALIDA"),$I58*$G59,IF(AND($O58="VALIDA",$J58&gt;35804),I58*$G59,""))),0),"")</f>
        <v/>
      </c>
      <c r="S59" s="534"/>
      <c r="T59" s="107"/>
    </row>
    <row r="60" spans="1:20" ht="39" customHeight="1" thickBot="1">
      <c r="A60" s="1"/>
      <c r="B60" s="480"/>
      <c r="C60" s="315"/>
      <c r="D60" s="520"/>
      <c r="E60" s="110"/>
      <c r="F60" s="110"/>
      <c r="G60" s="110"/>
      <c r="H60" s="110"/>
      <c r="I60" s="523"/>
      <c r="J60" s="523"/>
      <c r="K60" s="523"/>
      <c r="L60" s="523"/>
      <c r="M60" s="523"/>
      <c r="N60" s="523"/>
      <c r="O60" s="529"/>
      <c r="P60" s="316"/>
      <c r="Q60" s="532"/>
      <c r="R60" s="110" t="str">
        <f>IFERROR(ROUND(IF($D58="","",IF(AND($L$65="CUMPLE",$O58="VALIDA"),$I58*$G60,IF(AND($O58="VALIDA",$J58&gt;35804),I58*$G60,""))),0),"")</f>
        <v/>
      </c>
      <c r="S60" s="535"/>
      <c r="T60" s="107"/>
    </row>
    <row r="61" spans="1:20" s="15" customFormat="1" ht="35.25" customHeight="1" thickTop="1">
      <c r="A61" s="1"/>
      <c r="B61" s="315"/>
      <c r="C61" s="315"/>
      <c r="D61" s="539" t="s">
        <v>84</v>
      </c>
      <c r="E61" s="539"/>
      <c r="F61" s="539"/>
      <c r="G61" s="539"/>
      <c r="H61" s="539"/>
      <c r="I61" s="539"/>
      <c r="J61" s="539"/>
      <c r="K61" s="539"/>
      <c r="L61" s="539"/>
      <c r="M61" s="539"/>
      <c r="N61" s="539"/>
      <c r="O61" s="539"/>
      <c r="P61" s="316"/>
      <c r="Q61" s="317"/>
      <c r="R61" s="318"/>
      <c r="S61" s="318"/>
    </row>
    <row r="62" spans="1:20" s="16" customFormat="1" ht="58.5" customHeight="1">
      <c r="A62" s="1"/>
      <c r="B62" s="315"/>
      <c r="C62" s="315"/>
      <c r="D62" s="540" t="s">
        <v>85</v>
      </c>
      <c r="E62" s="540"/>
      <c r="F62" s="540"/>
      <c r="G62" s="540"/>
      <c r="H62" s="540"/>
      <c r="I62" s="540"/>
      <c r="J62" s="540"/>
      <c r="K62" s="540"/>
      <c r="L62" s="540"/>
      <c r="M62" s="540"/>
      <c r="N62" s="540"/>
      <c r="O62" s="540"/>
      <c r="P62" s="316"/>
      <c r="Q62" s="541" t="s">
        <v>86</v>
      </c>
      <c r="R62" s="541"/>
      <c r="S62" s="111">
        <f>SUM(S40:S58)</f>
        <v>1892</v>
      </c>
      <c r="T62" s="15"/>
    </row>
    <row r="63" spans="1:20" s="16" customFormat="1" ht="58.5" customHeight="1">
      <c r="A63" s="1"/>
      <c r="B63" s="315"/>
      <c r="C63" s="315"/>
      <c r="D63" s="319"/>
      <c r="E63" s="319"/>
      <c r="F63" s="319"/>
      <c r="G63" s="319"/>
      <c r="H63" s="319"/>
      <c r="I63" s="319"/>
      <c r="J63" s="319"/>
      <c r="K63" s="319"/>
      <c r="L63" s="319"/>
      <c r="M63" s="319"/>
      <c r="N63" s="319"/>
      <c r="O63" s="319"/>
      <c r="P63" s="319"/>
      <c r="Q63" s="542" t="s">
        <v>87</v>
      </c>
      <c r="R63" s="542"/>
      <c r="S63" s="542"/>
      <c r="T63" s="15"/>
    </row>
    <row r="64" spans="1:20" s="16" customFormat="1" ht="111" customHeight="1">
      <c r="A64" s="1"/>
      <c r="B64" s="315"/>
      <c r="C64" s="315"/>
      <c r="D64" s="320" t="s">
        <v>88</v>
      </c>
      <c r="E64" s="320" t="s">
        <v>89</v>
      </c>
      <c r="F64" s="1"/>
      <c r="G64" s="1"/>
      <c r="H64" s="1"/>
      <c r="I64" s="1"/>
      <c r="J64" s="1"/>
      <c r="K64" s="1"/>
      <c r="L64" s="1"/>
      <c r="M64" s="1"/>
      <c r="N64" s="1"/>
      <c r="O64" s="317"/>
      <c r="P64" s="273"/>
      <c r="Q64" s="542"/>
      <c r="R64" s="542"/>
      <c r="S64" s="542"/>
      <c r="T64" s="15"/>
    </row>
    <row r="65" spans="1:21" s="16" customFormat="1" ht="61.5" customHeight="1">
      <c r="A65" s="1"/>
      <c r="B65" s="1"/>
      <c r="C65" s="1"/>
      <c r="D65" s="543" t="s">
        <v>90</v>
      </c>
      <c r="E65" s="321" t="s">
        <v>91</v>
      </c>
      <c r="F65" s="546" t="s">
        <v>92</v>
      </c>
      <c r="G65" s="547"/>
      <c r="H65" s="547"/>
      <c r="I65" s="547"/>
      <c r="J65" s="547"/>
      <c r="K65" s="548"/>
      <c r="L65" s="549" t="str">
        <f>IF($J$40="","",IF(COUNTIFS(EXPERIENCIA!$O$40:$O$60,"valida",EXPERIENCIA!$J$40:$J$60,"&gt;35804")&gt;=COUNTIFS(EXPERIENCIA!$O$40:$O$60,"VALIDA")-1,"CUMPLE","NO CUMPLE"))</f>
        <v>CUMPLE</v>
      </c>
      <c r="M65" s="550"/>
      <c r="N65" s="1"/>
      <c r="O65" s="1"/>
      <c r="P65" s="1"/>
      <c r="Q65" s="1"/>
      <c r="R65" s="1"/>
      <c r="S65" s="318"/>
      <c r="T65" s="112"/>
    </row>
    <row r="66" spans="1:21" s="16" customFormat="1" ht="61.5" customHeight="1">
      <c r="A66" s="1"/>
      <c r="B66" s="1"/>
      <c r="C66" s="1"/>
      <c r="D66" s="544"/>
      <c r="E66" s="321" t="s">
        <v>93</v>
      </c>
      <c r="F66" s="546" t="s">
        <v>94</v>
      </c>
      <c r="G66" s="547"/>
      <c r="H66" s="547"/>
      <c r="I66" s="547"/>
      <c r="J66" s="547"/>
      <c r="K66" s="548"/>
      <c r="L66" s="549" t="str">
        <f>IF($J$40="","",IF(COUNTIFS(EXPERIENCIA!$O$40:$O$60,"VALIDA",EXPERIENCIA!$J$40:$J$60,"&gt;15/7/2010")&gt;=1,"CUMPLE","NO CUMPLE"))</f>
        <v>CUMPLE</v>
      </c>
      <c r="M66" s="550"/>
      <c r="N66" s="322"/>
      <c r="O66" s="1"/>
      <c r="P66" s="1"/>
      <c r="Q66" s="1"/>
      <c r="R66" s="1"/>
      <c r="S66" s="318"/>
      <c r="T66" s="15"/>
    </row>
    <row r="67" spans="1:21" s="16" customFormat="1" ht="61.5" customHeight="1">
      <c r="A67" s="1"/>
      <c r="B67" s="1"/>
      <c r="C67" s="1"/>
      <c r="D67" s="544"/>
      <c r="E67" s="551" t="s">
        <v>95</v>
      </c>
      <c r="F67" s="562" t="s">
        <v>96</v>
      </c>
      <c r="G67" s="563"/>
      <c r="H67" s="563"/>
      <c r="I67" s="563"/>
      <c r="J67" s="323">
        <v>0.5</v>
      </c>
      <c r="K67" s="324">
        <f>+R10</f>
        <v>120</v>
      </c>
      <c r="L67" s="549" t="str">
        <f>IF(O40="","",IF(GESTEP(_xlfn.MAXIFS($Q$40:$Q$60,$O$40:$O$60,"VALIDA"),$K$67)&gt;=1,"CUMPLE","NO CUMPLE"))</f>
        <v>CUMPLE</v>
      </c>
      <c r="M67" s="550"/>
      <c r="N67" s="1"/>
      <c r="O67" s="1"/>
      <c r="P67" s="1"/>
      <c r="Q67" s="325"/>
      <c r="R67" s="325"/>
      <c r="S67" s="318"/>
      <c r="T67" s="15"/>
    </row>
    <row r="68" spans="1:21" s="16" customFormat="1" ht="61.5" customHeight="1">
      <c r="A68" s="1"/>
      <c r="B68" s="1"/>
      <c r="C68" s="1"/>
      <c r="D68" s="545"/>
      <c r="E68" s="552"/>
      <c r="F68" s="562" t="s">
        <v>97</v>
      </c>
      <c r="G68" s="563"/>
      <c r="H68" s="563"/>
      <c r="I68" s="323">
        <v>0</v>
      </c>
      <c r="J68" s="326" t="s">
        <v>98</v>
      </c>
      <c r="K68" s="113">
        <f>ROUND(L10*I68,0)</f>
        <v>0</v>
      </c>
      <c r="L68" s="549" t="str">
        <f>IF(O40="","",IF(GESTEP(_xlfn.MAXIFS($S$40:$S$60,$O$40:$O$60,"VALIDA"),$K$68)&gt;=1,"CUMPLE","NO CUMPLE"))</f>
        <v>CUMPLE</v>
      </c>
      <c r="M68" s="550"/>
      <c r="N68" s="15"/>
      <c r="O68" s="1"/>
      <c r="P68" s="327"/>
      <c r="Q68" s="325"/>
      <c r="R68" s="325"/>
      <c r="S68" s="318"/>
      <c r="T68" s="15"/>
    </row>
    <row r="69" spans="1:21" s="16" customFormat="1" ht="61.5" customHeight="1">
      <c r="A69" s="1"/>
      <c r="B69" s="328"/>
      <c r="C69" s="328"/>
      <c r="D69" s="329" t="s">
        <v>99</v>
      </c>
      <c r="E69" s="321" t="s">
        <v>93</v>
      </c>
      <c r="F69" s="546" t="s">
        <v>100</v>
      </c>
      <c r="G69" s="547"/>
      <c r="H69" s="547"/>
      <c r="I69" s="547"/>
      <c r="J69" s="547"/>
      <c r="K69" s="548"/>
      <c r="L69" s="549" t="str">
        <f>IF($D$80="","",IF(COUNTIF($J$80:$J$85,"CUMPLE")= (COUNTA($D$80:$D$85)-COUNTBLANK($D$80:$D$85)),"CUMPLE","NO CUMPLE"))</f>
        <v>CUMPLE</v>
      </c>
      <c r="M69" s="550"/>
      <c r="N69" s="1"/>
      <c r="O69" s="1"/>
      <c r="P69" s="1"/>
      <c r="Q69" s="325"/>
      <c r="R69" s="325"/>
      <c r="S69" s="318"/>
      <c r="T69" s="15"/>
    </row>
    <row r="70" spans="1:21" s="16" customFormat="1" ht="61.5" customHeight="1">
      <c r="A70" s="1"/>
      <c r="B70" s="328"/>
      <c r="C70" s="328"/>
      <c r="D70" s="329" t="s">
        <v>101</v>
      </c>
      <c r="E70" s="321"/>
      <c r="F70" s="546" t="s">
        <v>102</v>
      </c>
      <c r="G70" s="547"/>
      <c r="H70" s="547"/>
      <c r="I70" s="547"/>
      <c r="J70" s="547"/>
      <c r="K70" s="548"/>
      <c r="L70" s="549" t="str">
        <f>IF($J$76=0,"",IF(GESTEP(I77,J76)&gt;=1,"CUMPLE","NO CUMPLE"))</f>
        <v>CUMPLE</v>
      </c>
      <c r="M70" s="550"/>
      <c r="N70" s="1"/>
      <c r="O70" s="1"/>
      <c r="P70" s="1"/>
      <c r="Q70" s="325"/>
      <c r="R70" s="325"/>
      <c r="S70" s="318"/>
      <c r="T70" s="15"/>
    </row>
    <row r="71" spans="1:21" s="15" customFormat="1" ht="23.25" customHeight="1">
      <c r="A71" s="1"/>
      <c r="B71" s="315"/>
      <c r="C71" s="315"/>
      <c r="D71" s="1"/>
      <c r="E71" s="1"/>
      <c r="F71" s="1"/>
      <c r="G71" s="1"/>
      <c r="H71" s="1"/>
      <c r="I71" s="1"/>
      <c r="J71" s="1"/>
      <c r="K71" s="1"/>
      <c r="L71" s="1"/>
      <c r="M71" s="1"/>
      <c r="N71" s="1"/>
      <c r="O71" s="318"/>
      <c r="P71" s="273"/>
      <c r="Q71" s="318"/>
      <c r="R71" s="318"/>
      <c r="S71" s="318"/>
    </row>
    <row r="72" spans="1:21" s="16" customFormat="1" ht="55.5" customHeight="1">
      <c r="A72" s="1"/>
      <c r="B72" s="476" t="s">
        <v>101</v>
      </c>
      <c r="C72" s="477"/>
      <c r="D72" s="477"/>
      <c r="E72" s="477"/>
      <c r="F72" s="477"/>
      <c r="G72" s="477"/>
      <c r="H72" s="477"/>
      <c r="I72" s="477"/>
      <c r="J72" s="477"/>
      <c r="K72" s="477"/>
      <c r="L72" s="477"/>
      <c r="M72" s="477"/>
      <c r="N72" s="477"/>
      <c r="O72" s="477"/>
      <c r="P72" s="477"/>
      <c r="Q72" s="477"/>
      <c r="R72" s="477"/>
      <c r="S72" s="478"/>
      <c r="T72" s="15"/>
    </row>
    <row r="73" spans="1:21" s="15" customFormat="1" ht="36.75" customHeight="1">
      <c r="A73" s="1"/>
      <c r="B73" s="315"/>
      <c r="C73" s="315"/>
      <c r="D73" s="1"/>
      <c r="E73" s="1"/>
      <c r="F73" s="1"/>
      <c r="G73" s="1"/>
      <c r="H73" s="1"/>
      <c r="I73" s="1"/>
      <c r="J73" s="1"/>
      <c r="K73" s="1"/>
      <c r="L73" s="1"/>
      <c r="M73" s="1"/>
      <c r="N73" s="1"/>
      <c r="O73" s="318"/>
      <c r="P73" s="273"/>
      <c r="Q73" s="318"/>
      <c r="R73" s="318"/>
      <c r="S73" s="318"/>
    </row>
    <row r="74" spans="1:21" s="16" customFormat="1" ht="51.75" customHeight="1">
      <c r="A74" s="1"/>
      <c r="B74" s="1"/>
      <c r="C74" s="1"/>
      <c r="D74" s="553" t="s">
        <v>103</v>
      </c>
      <c r="E74" s="554"/>
      <c r="F74" s="554"/>
      <c r="G74" s="554"/>
      <c r="H74" s="554"/>
      <c r="I74" s="554"/>
      <c r="J74" s="555"/>
      <c r="K74" s="1"/>
      <c r="L74" s="556" t="s">
        <v>104</v>
      </c>
      <c r="M74" s="557"/>
      <c r="N74" s="558"/>
      <c r="O74" s="559" t="s">
        <v>105</v>
      </c>
      <c r="P74" s="560"/>
      <c r="Q74" s="561"/>
      <c r="R74" s="318"/>
      <c r="S74" s="274"/>
      <c r="T74" s="15"/>
    </row>
    <row r="75" spans="1:21" s="16" customFormat="1" ht="51.75" customHeight="1">
      <c r="A75" s="1"/>
      <c r="B75" s="1"/>
      <c r="C75" s="1"/>
      <c r="D75" s="564" t="s">
        <v>106</v>
      </c>
      <c r="E75" s="564"/>
      <c r="F75" s="564"/>
      <c r="G75" s="564"/>
      <c r="H75" s="564"/>
      <c r="I75" s="575">
        <f>COUNTA($D$40:$D$60)</f>
        <v>1</v>
      </c>
      <c r="J75" s="576"/>
      <c r="K75" s="330"/>
      <c r="L75" s="566" t="s">
        <v>107</v>
      </c>
      <c r="M75" s="567"/>
      <c r="N75" s="568"/>
      <c r="O75" s="569">
        <v>0.75</v>
      </c>
      <c r="P75" s="567"/>
      <c r="Q75" s="568"/>
      <c r="R75" s="318"/>
      <c r="S75" s="274"/>
      <c r="T75" s="15"/>
    </row>
    <row r="76" spans="1:21" s="16" customFormat="1" ht="51.75" customHeight="1">
      <c r="A76" s="1"/>
      <c r="B76" s="1"/>
      <c r="C76" s="1"/>
      <c r="D76" s="577" t="s">
        <v>102</v>
      </c>
      <c r="E76" s="577"/>
      <c r="F76" s="577"/>
      <c r="G76" s="577"/>
      <c r="H76" s="577"/>
      <c r="I76" s="114">
        <f>IF($I$75&gt;=5,$O$77,IF($I$75&gt;=3,$O$76,IF($I$75&gt;=1,$O$75,"0")))</f>
        <v>0.75</v>
      </c>
      <c r="J76" s="115">
        <f>ROUND(I76*L10,2)</f>
        <v>866.11</v>
      </c>
      <c r="K76" s="1"/>
      <c r="L76" s="566" t="s">
        <v>108</v>
      </c>
      <c r="M76" s="567"/>
      <c r="N76" s="568"/>
      <c r="O76" s="569">
        <v>1.2</v>
      </c>
      <c r="P76" s="567"/>
      <c r="Q76" s="568"/>
      <c r="R76" s="318"/>
      <c r="S76" s="274"/>
      <c r="T76" s="15"/>
    </row>
    <row r="77" spans="1:21" s="16" customFormat="1" ht="51.75" customHeight="1">
      <c r="A77" s="1"/>
      <c r="B77" s="1"/>
      <c r="C77" s="1"/>
      <c r="D77" s="564" t="s">
        <v>109</v>
      </c>
      <c r="E77" s="564"/>
      <c r="F77" s="564"/>
      <c r="G77" s="564"/>
      <c r="H77" s="564"/>
      <c r="I77" s="565">
        <f>+S62</f>
        <v>1892</v>
      </c>
      <c r="J77" s="565"/>
      <c r="K77" s="1"/>
      <c r="L77" s="566" t="s">
        <v>110</v>
      </c>
      <c r="M77" s="567"/>
      <c r="N77" s="568"/>
      <c r="O77" s="569">
        <v>1.5</v>
      </c>
      <c r="P77" s="567"/>
      <c r="Q77" s="568"/>
      <c r="R77" s="318"/>
      <c r="S77" s="274"/>
      <c r="T77" s="15"/>
      <c r="U77" s="16">
        <f>COUNTIF(O40:O58,"VALIDA")</f>
        <v>1</v>
      </c>
    </row>
    <row r="78" spans="1:21" s="15" customFormat="1" ht="19.5" customHeight="1">
      <c r="A78" s="1"/>
      <c r="B78" s="331"/>
      <c r="C78" s="331"/>
      <c r="D78" s="332"/>
      <c r="E78" s="332"/>
      <c r="F78" s="332"/>
      <c r="G78" s="332"/>
      <c r="H78" s="332"/>
      <c r="I78" s="333"/>
      <c r="J78" s="333"/>
      <c r="K78" s="1"/>
      <c r="L78" s="276"/>
      <c r="M78" s="276"/>
      <c r="N78" s="1"/>
      <c r="O78" s="318"/>
      <c r="P78" s="318"/>
      <c r="Q78" s="318"/>
      <c r="R78" s="318"/>
      <c r="S78" s="274"/>
    </row>
    <row r="79" spans="1:21" s="16" customFormat="1" ht="46.5" customHeight="1">
      <c r="A79" s="1"/>
      <c r="B79" s="315"/>
      <c r="C79" s="315"/>
      <c r="D79" s="570" t="s">
        <v>111</v>
      </c>
      <c r="E79" s="571"/>
      <c r="F79" s="571"/>
      <c r="G79" s="571"/>
      <c r="H79" s="334" t="s">
        <v>112</v>
      </c>
      <c r="I79" s="335" t="s">
        <v>113</v>
      </c>
      <c r="J79" s="336" t="s">
        <v>114</v>
      </c>
      <c r="K79" s="1"/>
      <c r="L79" s="337"/>
      <c r="M79" s="318"/>
      <c r="N79" s="318"/>
      <c r="O79" s="318"/>
      <c r="P79" s="318"/>
      <c r="Q79" s="318"/>
      <c r="R79" s="274"/>
      <c r="S79" s="274"/>
      <c r="T79" s="15"/>
      <c r="U79" s="15"/>
    </row>
    <row r="80" spans="1:21" s="16" customFormat="1" ht="36.75" customHeight="1">
      <c r="A80" s="1"/>
      <c r="B80" s="315"/>
      <c r="C80" s="315"/>
      <c r="D80" s="116" t="str">
        <f>IFERROR(IF(EXPERIENCIA!$N$15="Proponente Plural",IF(ISBLANK((VLOOKUP(EXPERIENCIA!$D$15,[1]OFERENTES!$A$8:$H$1027,3,FALSE))),"",VLOOKUP(EXPERIENCIA!$D$15,[1]OFERENTES!$A$8:$H$1027,3,FALSE)),VLOOKUP(EXPERIENCIA!$D$15,[1]OFERENTES!$A$8:$H$1027,3,FALSE)),"")</f>
        <v>LAEL CONSTRUCCIONES S.A.S</v>
      </c>
      <c r="E80" s="117"/>
      <c r="F80" s="117"/>
      <c r="G80" s="118"/>
      <c r="H80" s="66">
        <f>IF(EXPERIENCIA!$D$15&gt;0,IF(ISBLANK((VLOOKUP(EXPERIENCIA!$D$15,[1]OFERENTES!$A$8:$AH$1027,4,FALSE))),"",(VLOOKUP(EXPERIENCIA!$D$15,[1]OFERENTES!$A$8:$AH$1027,4,FALSE))),"")</f>
        <v>1</v>
      </c>
      <c r="I80" s="119">
        <f>IFERROR(ROUND((SUMIFS($R$40:$R$60,$E$40:$E$60,$D80)/$J$76),2),"")</f>
        <v>2.1800000000000002</v>
      </c>
      <c r="J80" s="120" t="str">
        <f>IF($H80="","",IF(COUNTIF($I$80:$I$85,"&gt;=50%")&lt;1,"NO CUMPLE",IF($I80&gt;=50%,"CUMPLE",IF($I80&gt;=5%,"CUMPLE",IF(AND($I80=0%,$H80&lt;10%),"CUMPLE","NO CUMPLE")))))</f>
        <v>CUMPLE</v>
      </c>
      <c r="K80" s="1"/>
      <c r="L80" s="276"/>
      <c r="M80" s="338"/>
      <c r="N80" s="339"/>
      <c r="O80" s="318"/>
      <c r="P80" s="318"/>
      <c r="Q80" s="318"/>
      <c r="R80" s="274"/>
      <c r="S80" s="274"/>
      <c r="T80" s="15"/>
      <c r="U80" s="15"/>
    </row>
    <row r="81" spans="1:21" s="16" customFormat="1" ht="36.75" customHeight="1">
      <c r="A81" s="1"/>
      <c r="B81" s="315"/>
      <c r="C81" s="315"/>
      <c r="D81" s="116" t="str">
        <f>IF(EXPERIENCIA!$N$15="Proponente Plural",IF(ISBLANK((VLOOKUP(EXPERIENCIA!$D$15,[1]OFERENTES!$A$8:$H$1027,5,FALSE))),"",VLOOKUP(EXPERIENCIA!$D$15,[1]OFERENTES!$A$8:$H$1027,5,FALSE)),"")</f>
        <v/>
      </c>
      <c r="E81" s="117"/>
      <c r="F81" s="117"/>
      <c r="G81" s="118"/>
      <c r="H81" s="66" t="str">
        <f>IF(EXPERIENCIA!$D$15&gt;0,IF(ISBLANK((VLOOKUP(EXPERIENCIA!$D$15,[1]OFERENTES!$A$8:$AH$1027,6,FALSE))),"",(VLOOKUP(EXPERIENCIA!$D$15,[1]OFERENTES!$A$8:$AH$1027,6,FALSE))),"")</f>
        <v/>
      </c>
      <c r="I81" s="119">
        <f t="shared" ref="I81:I85" si="8">IFERROR(ROUND((SUMIFS($R$40:$R$60,$E$40:$E$60,$D81)/$J$76),2),"")</f>
        <v>0</v>
      </c>
      <c r="J81" s="120" t="str">
        <f>IF($H81="","",IF(COUNTIF($I$80:$I$85,"&gt;=50%")&lt;1,"NO CUMPLE",IF($I81&gt;=50%,"CUMPLE",IF($I81&gt;=5%,"CUMPLE",IF(AND($I81=0%,$H81&lt;10%),"CUMPLE","NO CUMPLE")))))</f>
        <v/>
      </c>
      <c r="K81" s="1"/>
      <c r="L81" s="331"/>
      <c r="M81" s="340"/>
      <c r="N81" s="318"/>
      <c r="O81" s="318"/>
      <c r="P81" s="318"/>
      <c r="Q81" s="318"/>
      <c r="R81" s="274"/>
      <c r="S81" s="274"/>
      <c r="T81" s="15"/>
      <c r="U81" s="15"/>
    </row>
    <row r="82" spans="1:21" s="16" customFormat="1" ht="36.75" customHeight="1">
      <c r="A82" s="1"/>
      <c r="B82" s="315"/>
      <c r="C82" s="315"/>
      <c r="D82" s="116" t="str">
        <f>IF(EXPERIENCIA!$N$15="Proponente Plural",IF(ISBLANK((VLOOKUP(EXPERIENCIA!$D$15,[1]OFERENTES!$A$8:$H$1027,7,FALSE))),"",VLOOKUP(EXPERIENCIA!$D$15,[1]OFERENTES!$A$8:$H$1027,7,FALSE)),"")</f>
        <v/>
      </c>
      <c r="E82" s="117"/>
      <c r="F82" s="117"/>
      <c r="G82" s="118"/>
      <c r="H82" s="66" t="str">
        <f>IF(EXPERIENCIA!$D$15&gt;0,IF(ISBLANK((VLOOKUP(EXPERIENCIA!$D$15,[1]OFERENTES!$A$8:$AH$1027,8,FALSE))),"",(VLOOKUP(EXPERIENCIA!$D$15,[1]OFERENTES!$A$8:$AH$1027,8,FALSE))),"")</f>
        <v/>
      </c>
      <c r="I82" s="119">
        <f t="shared" si="8"/>
        <v>0</v>
      </c>
      <c r="J82" s="120" t="str">
        <f t="shared" ref="J82:J85" si="9">IF($H82="","",IF(COUNTIF($I$80:$I$85,"&gt;=50%")&lt;1,"NO CUMPLE",IF($I82&gt;=50%,"CUMPLE",IF($I82&gt;=5%,"CUMPLE",IF(AND($I82=0%,$H82&lt;10%),"CUMPLE","NO CUMPLE")))))</f>
        <v/>
      </c>
      <c r="K82" s="1"/>
      <c r="L82" s="341"/>
      <c r="M82" s="318"/>
      <c r="N82" s="318"/>
      <c r="O82" s="318"/>
      <c r="P82" s="318"/>
      <c r="Q82" s="318"/>
      <c r="R82" s="274"/>
      <c r="S82" s="274"/>
      <c r="T82" s="15"/>
      <c r="U82" s="15"/>
    </row>
    <row r="83" spans="1:21" s="16" customFormat="1" ht="36.75" customHeight="1">
      <c r="A83" s="1"/>
      <c r="B83" s="315"/>
      <c r="C83" s="315"/>
      <c r="D83" s="116" t="str">
        <f>IF(EXPERIENCIA!$N$15="Proponente Plural",IF(ISBLANK((VLOOKUP(EXPERIENCIA!$D$15,[1]OFERENTES!$A$8:$AA$1027,9,FALSE))),"",VLOOKUP(EXPERIENCIA!$D$15,[1]OFERENTES!$A$8:$AA$1027,9,FALSE)),"")</f>
        <v/>
      </c>
      <c r="E83" s="117"/>
      <c r="F83" s="117"/>
      <c r="G83" s="118"/>
      <c r="H83" s="66" t="str">
        <f>IF(EXPERIENCIA!$D$15&gt;0,IF(ISBLANK((VLOOKUP(EXPERIENCIA!$D$15,[1]OFERENTES!$A$8:$AH$1027,10,FALSE))),"",(VLOOKUP(EXPERIENCIA!$D$15,[1]OFERENTES!$A$8:$AH$1027,10,FALSE))),"")</f>
        <v/>
      </c>
      <c r="I83" s="119">
        <f t="shared" si="8"/>
        <v>0</v>
      </c>
      <c r="J83" s="120" t="str">
        <f t="shared" si="9"/>
        <v/>
      </c>
      <c r="K83" s="1"/>
      <c r="L83" s="1"/>
      <c r="M83" s="318"/>
      <c r="N83" s="318"/>
      <c r="O83" s="318"/>
      <c r="P83" s="318"/>
      <c r="Q83" s="318"/>
      <c r="R83" s="274"/>
      <c r="S83" s="274"/>
      <c r="T83" s="15"/>
      <c r="U83" s="15"/>
    </row>
    <row r="84" spans="1:21" s="16" customFormat="1" ht="36.75" customHeight="1">
      <c r="A84" s="1"/>
      <c r="B84" s="315"/>
      <c r="C84" s="315"/>
      <c r="D84" s="116" t="str">
        <f>IF(EXPERIENCIA!$N$15="Proponente Plural",IF(ISBLANK((VLOOKUP(EXPERIENCIA!$D$15,[1]OFERENTES!$A$8:$AA$1027,11,FALSE))),"",VLOOKUP(EXPERIENCIA!$D$15,[1]OFERENTES!$A$8:$AA$1027,11,FALSE)),"")</f>
        <v/>
      </c>
      <c r="E84" s="117"/>
      <c r="F84" s="117"/>
      <c r="G84" s="118"/>
      <c r="H84" s="66" t="str">
        <f>IF(EXPERIENCIA!$N$15="Proponente Plural",IF(ISBLANK((VLOOKUP(EXPERIENCIA!$D$15,[1]OFERENTES!$A$8:$AA$1027,11,FALSE))),"",VLOOKUP(EXPERIENCIA!$D$15,[1]OFERENTES!$A$8:$AA$1027,11,FALSE)),"")</f>
        <v/>
      </c>
      <c r="I84" s="119">
        <f t="shared" si="8"/>
        <v>0</v>
      </c>
      <c r="J84" s="120" t="str">
        <f t="shared" si="9"/>
        <v/>
      </c>
      <c r="K84" s="1"/>
      <c r="L84" s="1"/>
      <c r="M84" s="318"/>
      <c r="N84" s="318"/>
      <c r="O84" s="318"/>
      <c r="P84" s="318"/>
      <c r="Q84" s="318"/>
      <c r="R84" s="274"/>
      <c r="S84" s="274"/>
      <c r="T84" s="15"/>
      <c r="U84" s="15"/>
    </row>
    <row r="85" spans="1:21" s="16" customFormat="1" ht="44.25" customHeight="1">
      <c r="A85" s="1"/>
      <c r="B85" s="315"/>
      <c r="C85" s="315"/>
      <c r="D85" s="116" t="str">
        <f>IF(EXPERIENCIA!$N$15="Proponente Plural",IF(ISBLANK((VLOOKUP(EXPERIENCIA!$D$15,[1]OFERENTES!$A$8:$AA$1027,13,FALSE))),"",VLOOKUP(EXPERIENCIA!$D$15,[1]OFERENTES!$A$8:$AA$1027,13,FALSE)),"")</f>
        <v/>
      </c>
      <c r="E85" s="117"/>
      <c r="F85" s="117"/>
      <c r="G85" s="118"/>
      <c r="H85" s="66" t="str">
        <f>IF(EXPERIENCIA!$D$15&gt;0,IF(ISBLANK((VLOOKUP(EXPERIENCIA!$D$15,[1]OFERENTES!$A$8:$AH$1027,14,FALSE))),"",(VLOOKUP(EXPERIENCIA!$D$15,[1]OFERENTES!$A$8:$AH$1027,14,FALSE))),"")</f>
        <v/>
      </c>
      <c r="I85" s="119">
        <f t="shared" si="8"/>
        <v>0</v>
      </c>
      <c r="J85" s="120" t="str">
        <f t="shared" si="9"/>
        <v/>
      </c>
      <c r="K85" s="1"/>
      <c r="L85" s="1"/>
      <c r="M85" s="318"/>
      <c r="N85" s="318"/>
      <c r="O85" s="318"/>
      <c r="P85" s="318"/>
      <c r="Q85" s="318"/>
      <c r="R85" s="274"/>
      <c r="S85" s="274"/>
      <c r="T85" s="15"/>
      <c r="U85" s="15"/>
    </row>
    <row r="86" spans="1:21" s="16" customFormat="1" ht="36.75" customHeight="1">
      <c r="A86" s="1"/>
      <c r="B86" s="315"/>
      <c r="C86" s="315"/>
      <c r="D86" s="1"/>
      <c r="E86" s="1"/>
      <c r="F86" s="1"/>
      <c r="G86" s="1"/>
      <c r="H86" s="121">
        <f>SUM(H80:H85)</f>
        <v>1</v>
      </c>
      <c r="I86" s="121">
        <f>SUM(I80:I85)</f>
        <v>2.1800000000000002</v>
      </c>
      <c r="J86" s="1"/>
      <c r="K86" s="1"/>
      <c r="L86" s="342"/>
      <c r="M86" s="318"/>
      <c r="N86" s="318"/>
      <c r="O86" s="318"/>
      <c r="P86" s="318"/>
      <c r="Q86" s="318"/>
      <c r="R86" s="318"/>
      <c r="S86" s="274"/>
      <c r="T86" s="15"/>
      <c r="U86" s="15"/>
    </row>
    <row r="87" spans="1:21" s="16" customFormat="1" ht="36.75" customHeight="1">
      <c r="A87" s="1"/>
      <c r="B87" s="315"/>
      <c r="C87" s="315"/>
      <c r="D87" s="1"/>
      <c r="E87" s="1"/>
      <c r="F87" s="1"/>
      <c r="G87" s="1"/>
      <c r="H87" s="1"/>
      <c r="I87" s="1"/>
      <c r="J87" s="318"/>
      <c r="K87" s="273"/>
      <c r="L87" s="276"/>
      <c r="M87" s="318"/>
      <c r="N87" s="318"/>
      <c r="O87" s="318"/>
      <c r="P87" s="318"/>
      <c r="Q87" s="318"/>
      <c r="R87" s="318"/>
      <c r="S87" s="274"/>
      <c r="T87" s="15"/>
      <c r="U87" s="15"/>
    </row>
    <row r="88" spans="1:21" ht="71.25" customHeight="1">
      <c r="A88" s="1"/>
      <c r="B88" s="572" t="s">
        <v>115</v>
      </c>
      <c r="C88" s="573"/>
      <c r="D88" s="573"/>
      <c r="E88" s="573"/>
      <c r="F88" s="573"/>
      <c r="G88" s="573"/>
      <c r="H88" s="573"/>
      <c r="I88" s="573"/>
      <c r="J88" s="573"/>
      <c r="K88" s="573"/>
      <c r="L88" s="573"/>
      <c r="M88" s="573"/>
      <c r="N88" s="573"/>
      <c r="O88" s="573"/>
      <c r="P88" s="573"/>
      <c r="Q88" s="573"/>
      <c r="R88" s="573"/>
      <c r="S88" s="574"/>
      <c r="T88" s="15"/>
    </row>
    <row r="89" spans="1:21" s="15" customFormat="1" ht="24" customHeight="1">
      <c r="A89" s="1"/>
      <c r="B89" s="328"/>
      <c r="C89" s="319"/>
      <c r="D89" s="328"/>
      <c r="E89" s="328"/>
      <c r="F89" s="328"/>
      <c r="G89" s="328"/>
      <c r="H89" s="1"/>
      <c r="I89" s="328"/>
      <c r="J89" s="343"/>
      <c r="K89" s="328"/>
      <c r="L89" s="328"/>
      <c r="M89" s="274"/>
      <c r="N89" s="274"/>
      <c r="O89" s="274"/>
      <c r="P89" s="273"/>
      <c r="Q89" s="274"/>
      <c r="R89" s="274"/>
      <c r="S89" s="274"/>
    </row>
    <row r="90" spans="1:21" s="122" customFormat="1" ht="69.75" customHeight="1">
      <c r="A90" s="344"/>
      <c r="B90" s="345" t="s">
        <v>116</v>
      </c>
      <c r="C90" s="346"/>
      <c r="D90" s="588" t="s">
        <v>117</v>
      </c>
      <c r="E90" s="589"/>
      <c r="F90" s="589"/>
      <c r="G90" s="589"/>
      <c r="H90" s="589"/>
      <c r="I90" s="590"/>
      <c r="J90" s="588" t="s">
        <v>118</v>
      </c>
      <c r="K90" s="589"/>
      <c r="L90" s="589"/>
      <c r="M90" s="589"/>
      <c r="N90" s="589"/>
      <c r="O90" s="590"/>
      <c r="P90" s="347"/>
      <c r="Q90" s="348" t="s">
        <v>119</v>
      </c>
      <c r="R90" s="348" t="s">
        <v>120</v>
      </c>
      <c r="S90" s="348" t="s">
        <v>121</v>
      </c>
      <c r="T90" s="15"/>
    </row>
    <row r="91" spans="1:21" s="15" customFormat="1" ht="12.75" customHeight="1">
      <c r="A91" s="1"/>
      <c r="B91" s="275"/>
      <c r="C91" s="274"/>
      <c r="D91" s="275"/>
      <c r="E91" s="275"/>
      <c r="F91" s="275"/>
      <c r="G91" s="275"/>
      <c r="H91" s="275"/>
      <c r="I91" s="275"/>
      <c r="J91" s="275"/>
      <c r="K91" s="275"/>
      <c r="L91" s="275"/>
      <c r="M91" s="274"/>
      <c r="N91" s="274"/>
      <c r="O91" s="274"/>
      <c r="P91" s="273"/>
      <c r="Q91" s="274"/>
      <c r="R91" s="274"/>
      <c r="S91" s="274"/>
    </row>
    <row r="92" spans="1:21" ht="254.25" customHeight="1" outlineLevel="1">
      <c r="A92" s="1"/>
      <c r="B92" s="349" t="s">
        <v>122</v>
      </c>
      <c r="C92" s="274"/>
      <c r="D92" s="579" t="str">
        <f>IFERROR(IF($O$19="NO CUMPLE",[1]RESPUESTAS!$D$3,[1]RESPUESTAS!$C$3),"")</f>
        <v>SIN OBSERVACIONES</v>
      </c>
      <c r="E92" s="579"/>
      <c r="F92" s="579"/>
      <c r="G92" s="579"/>
      <c r="H92" s="579"/>
      <c r="I92" s="579"/>
      <c r="J92" s="579" t="str">
        <f>+[1]RESPUESTAS!H3</f>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2" s="579"/>
      <c r="L92" s="579"/>
      <c r="M92" s="579"/>
      <c r="N92" s="579"/>
      <c r="O92" s="579"/>
      <c r="P92" s="28"/>
      <c r="Q92" s="123" t="str">
        <f>IF($O$19="NO","SUBSANAR DOCUMENTO","SIN OBSERVACIONES")</f>
        <v>SIN OBSERVACIONES</v>
      </c>
      <c r="R92" s="124"/>
      <c r="S92" s="350"/>
      <c r="T92" s="15"/>
    </row>
    <row r="93" spans="1:21" ht="221.25" customHeight="1" outlineLevel="1">
      <c r="A93" s="1"/>
      <c r="B93" s="335" t="s">
        <v>123</v>
      </c>
      <c r="C93" s="274"/>
      <c r="D93" s="578" t="str">
        <f>IFERROR(IF($J$25="NO CUMPLE",[1]RESPUESTAS!$E$4,[1]RESPUESTAS!$C$4),"")</f>
        <v>SIN OBSERVACIONES</v>
      </c>
      <c r="E93" s="578"/>
      <c r="F93" s="578"/>
      <c r="G93" s="578"/>
      <c r="H93" s="578"/>
      <c r="I93" s="578"/>
      <c r="J93" s="579" t="str">
        <f>+[1]RESPUESTAS!H4</f>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
      <c r="K93" s="579"/>
      <c r="L93" s="579"/>
      <c r="M93" s="579"/>
      <c r="N93" s="579"/>
      <c r="O93" s="579"/>
      <c r="P93" s="28"/>
      <c r="Q93" s="125" t="str">
        <f>IF(D93="SIN OBSERVACIONES","SIN OBSERVACIONES","OFERTA RECHAZADA")</f>
        <v>SIN OBSERVACIONES</v>
      </c>
      <c r="R93" s="126"/>
      <c r="S93" s="350"/>
      <c r="T93" s="15"/>
    </row>
    <row r="94" spans="1:21" ht="244.5" customHeight="1" outlineLevel="1">
      <c r="A94" s="1"/>
      <c r="B94" s="335" t="s">
        <v>124</v>
      </c>
      <c r="C94" s="274"/>
      <c r="D94" s="578" t="str">
        <f>IFERROR(IF($K$25="NO CUMPLE",[1]RESPUESTAS!$E$5,[1]RESPUESTAS!$C$5),"")</f>
        <v>SIN OBSERVACIONES</v>
      </c>
      <c r="E94" s="578"/>
      <c r="F94" s="578"/>
      <c r="G94" s="578"/>
      <c r="H94" s="578"/>
      <c r="I94" s="578"/>
      <c r="J94" s="579" t="str">
        <f>+[1]RESPUESTAS!H5</f>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4" s="579"/>
      <c r="L94" s="579"/>
      <c r="M94" s="579"/>
      <c r="N94" s="579"/>
      <c r="O94" s="579"/>
      <c r="P94" s="28"/>
      <c r="Q94" s="123" t="str">
        <f>IF($D94="sin observaciones","SIN OBSERVACIONES","SUBSANAR DOCUMENTO")</f>
        <v>SIN OBSERVACIONES</v>
      </c>
      <c r="R94" s="124"/>
      <c r="S94" s="350"/>
      <c r="T94" s="15"/>
    </row>
    <row r="95" spans="1:21" ht="117.75" customHeight="1" outlineLevel="1" collapsed="1">
      <c r="A95" s="1"/>
      <c r="B95" s="580" t="s">
        <v>31</v>
      </c>
      <c r="C95" s="274"/>
      <c r="D95" s="127" t="s">
        <v>125</v>
      </c>
      <c r="E95" s="581" t="str">
        <f>IFERROR(IF(AND($Q$19="NO",COUNTIFS(EXPERIENCIA!$I$19:$I$24,"&lt;10%",EXPERIENCIA!$L$19:$L$24,"SE CLASIFICA")&gt;0),[1]RESPUESTAS!$F$6,[1]RESPUESTAS!$C$6),"")</f>
        <v>SIN OBSERVACIONES</v>
      </c>
      <c r="F95" s="578"/>
      <c r="G95" s="578"/>
      <c r="H95" s="578"/>
      <c r="I95" s="578"/>
      <c r="J95" s="582" t="str">
        <f>+[1]RESPUESTAS!H6</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
      <c r="K95" s="583"/>
      <c r="L95" s="583"/>
      <c r="M95" s="583"/>
      <c r="N95" s="583"/>
      <c r="O95" s="584"/>
      <c r="P95" s="28"/>
      <c r="Q95" s="123" t="str">
        <f>IF(E95="SIN OBSERVACIONES","SIN OBSERVACIONES","NO SE OTORGA CONDICION MIPYME")</f>
        <v>SIN OBSERVACIONES</v>
      </c>
      <c r="R95" s="124"/>
      <c r="S95" s="350"/>
      <c r="T95" s="15"/>
    </row>
    <row r="96" spans="1:21" ht="120.75" customHeight="1" outlineLevel="1">
      <c r="A96" s="1"/>
      <c r="B96" s="580"/>
      <c r="C96" s="274"/>
      <c r="D96" s="127" t="s">
        <v>126</v>
      </c>
      <c r="E96" s="578" t="str">
        <f>IFERROR(IF(AND(IFERROR(VLOOKUP(EXPERIENCIA!$D$15,[1]OFERENTES!$A$8:$AA$107,26,FALSE),"")="Proponente Plural",$Q$19="no",COUNTIFS(EXPERIENCIA!$J$19:$J$24,"NO",EXPERIENCIA!$L$19:$L$24,"SI")&gt;0),[1]RESPUESTAS!$E$6,IF(AND(IFERROR(VLOOKUP(EXPERIENCIA!$D$15,[1]OFERENTES!$A$8:$AA$107,26,FALSE),"")="Único Proponente",$Q$19="no",COUNTIFS(EXPERIENCIA!$J$19:$J$24,"NO",EXPERIENCIA!$L$19:$L$24,"SI")&gt;0),[1]RESPUESTAS!D6,[1]RESPUESTAS!$C$6)),"")</f>
        <v>SIN OBSERVACIONES</v>
      </c>
      <c r="F96" s="578"/>
      <c r="G96" s="578"/>
      <c r="H96" s="578"/>
      <c r="I96" s="578"/>
      <c r="J96" s="585"/>
      <c r="K96" s="586"/>
      <c r="L96" s="586"/>
      <c r="M96" s="586"/>
      <c r="N96" s="586"/>
      <c r="O96" s="587"/>
      <c r="P96" s="28"/>
      <c r="Q96" s="123" t="str">
        <f>IF(E96="SIN OBSERVACIONES","SIN OBSERVACIONES","OFERTA RECHAZADA")</f>
        <v>SIN OBSERVACIONES</v>
      </c>
      <c r="R96" s="124"/>
      <c r="S96" s="350"/>
      <c r="T96" s="15"/>
    </row>
    <row r="97" spans="1:20" ht="161.25" customHeight="1" outlineLevel="1">
      <c r="A97" s="1"/>
      <c r="B97" s="592" t="s">
        <v>127</v>
      </c>
      <c r="C97" s="274"/>
      <c r="D97" s="127" t="s">
        <v>125</v>
      </c>
      <c r="E97" s="581" t="str">
        <f>IFERROR(IF(AND(IFERROR(VLOOKUP(EXPERIENCIA!$D$15,[1]OFERENTES!$A$8:$AA$107,26,FALSE),"")="Proponente Plural",$R$19="NO",COUNTIFS(EXPERIENCIA!$I$19:$I$24,"&lt;10%",EXPERIENCIA!$N$19:$N$24,"si")&gt;0),[1]RESPUESTAS!$E$7,IF(AND(IFERROR(VLOOKUP(EXPERIENCIA!$D$15,[1]OFERENTES!$A$8:$AA$107,26,FALSE),"")="Único Proponente",$R$19="NO",COUNTIFS(EXPERIENCIA!$I$19:$I$24,"&lt;10%",EXPERIENCIA!$N$19:$N$24,"si")&gt;0),[1]RESPUESTAS!$D$7,[1]RESPUESTAS!$C$7)),"")</f>
        <v>SIN OBSERVACIONES</v>
      </c>
      <c r="F97" s="578"/>
      <c r="G97" s="578"/>
      <c r="H97" s="578"/>
      <c r="I97" s="578"/>
      <c r="J97" s="593" t="str">
        <f>+[1]RESPUESTAS!H7</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
      <c r="K97" s="594"/>
      <c r="L97" s="594"/>
      <c r="M97" s="594"/>
      <c r="N97" s="594"/>
      <c r="O97" s="595"/>
      <c r="P97" s="28"/>
      <c r="Q97" s="123" t="str">
        <f>IF(E97="SIN OBSERVACIONES","SIN OBSERVACIONES","NO SE OTORGA CONDICION EMPRENDIMIENTO O EMPRESA MUJER")</f>
        <v>SIN OBSERVACIONES</v>
      </c>
      <c r="R97" s="124"/>
      <c r="S97" s="350"/>
      <c r="T97" s="15"/>
    </row>
    <row r="98" spans="1:20" ht="161.25" customHeight="1" outlineLevel="1">
      <c r="A98" s="1"/>
      <c r="B98" s="592"/>
      <c r="C98" s="274"/>
      <c r="D98" s="127" t="s">
        <v>126</v>
      </c>
      <c r="E98" s="578" t="str">
        <f>IFERROR(IF($R$19="NO CUMPLE",[1]RESPUESTAS!$F$7,[1]RESPUESTAS!$C$7),"")</f>
        <v>SIN OBSERVACIONES</v>
      </c>
      <c r="F98" s="578"/>
      <c r="G98" s="578"/>
      <c r="H98" s="578"/>
      <c r="I98" s="578"/>
      <c r="J98" s="596"/>
      <c r="K98" s="597"/>
      <c r="L98" s="597"/>
      <c r="M98" s="597"/>
      <c r="N98" s="597"/>
      <c r="O98" s="598"/>
      <c r="P98" s="28"/>
      <c r="Q98" s="123" t="str">
        <f>IF(E98="SIN OBSERVACIONES","SIN OBSERVACIONES","NO SE OTORGA CONDICION EMPRENDIMIENTO O EMPRESA MUJER")</f>
        <v>SIN OBSERVACIONES</v>
      </c>
      <c r="R98" s="124"/>
      <c r="S98" s="350"/>
      <c r="T98" s="15"/>
    </row>
    <row r="99" spans="1:20" s="16" customFormat="1" ht="48.75" customHeight="1" outlineLevel="1">
      <c r="A99" s="1"/>
      <c r="B99" s="351"/>
      <c r="C99" s="274"/>
      <c r="D99" s="352"/>
      <c r="E99" s="353"/>
      <c r="F99" s="353"/>
      <c r="G99" s="353"/>
      <c r="H99" s="353"/>
      <c r="I99" s="353"/>
      <c r="J99" s="352"/>
      <c r="K99" s="353"/>
      <c r="L99" s="353"/>
      <c r="M99" s="353"/>
      <c r="N99" s="353"/>
      <c r="O99" s="353"/>
      <c r="P99" s="273"/>
      <c r="Q99" s="354"/>
      <c r="R99" s="354"/>
      <c r="S99" s="274"/>
      <c r="T99" s="15"/>
    </row>
    <row r="100" spans="1:20" ht="69.75" customHeight="1">
      <c r="A100" s="1"/>
      <c r="B100" s="599" t="s">
        <v>128</v>
      </c>
      <c r="C100" s="600"/>
      <c r="D100" s="600"/>
      <c r="E100" s="600"/>
      <c r="F100" s="600"/>
      <c r="G100" s="600"/>
      <c r="H100" s="600"/>
      <c r="I100" s="600"/>
      <c r="J100" s="600"/>
      <c r="K100" s="600"/>
      <c r="L100" s="600"/>
      <c r="M100" s="600"/>
      <c r="N100" s="600"/>
      <c r="O100" s="600"/>
      <c r="P100" s="600"/>
      <c r="Q100" s="600"/>
      <c r="R100" s="600"/>
      <c r="S100" s="600"/>
      <c r="T100" s="15"/>
    </row>
    <row r="101" spans="1:20" s="128" customFormat="1" ht="39.75" customHeight="1">
      <c r="A101" s="273"/>
      <c r="B101" s="273"/>
      <c r="C101" s="273"/>
      <c r="D101" s="273"/>
      <c r="E101" s="273"/>
      <c r="F101" s="273"/>
      <c r="G101" s="273"/>
      <c r="H101" s="273"/>
      <c r="I101" s="273"/>
      <c r="J101" s="273"/>
      <c r="K101" s="273"/>
      <c r="L101" s="273"/>
      <c r="M101" s="273"/>
      <c r="N101" s="273"/>
      <c r="O101" s="273"/>
      <c r="P101" s="273"/>
      <c r="Q101" s="273"/>
      <c r="R101" s="273"/>
      <c r="S101" s="273"/>
      <c r="T101" s="15"/>
    </row>
    <row r="102" spans="1:20" ht="59.25" customHeight="1">
      <c r="A102" s="1"/>
      <c r="B102" s="345" t="s">
        <v>116</v>
      </c>
      <c r="C102" s="346"/>
      <c r="D102" s="588" t="s">
        <v>117</v>
      </c>
      <c r="E102" s="589"/>
      <c r="F102" s="589"/>
      <c r="G102" s="589"/>
      <c r="H102" s="589"/>
      <c r="I102" s="590"/>
      <c r="J102" s="588" t="s">
        <v>129</v>
      </c>
      <c r="K102" s="589"/>
      <c r="L102" s="589"/>
      <c r="M102" s="589"/>
      <c r="N102" s="589"/>
      <c r="O102" s="590"/>
      <c r="P102" s="347"/>
      <c r="Q102" s="348" t="s">
        <v>119</v>
      </c>
      <c r="R102" s="348" t="s">
        <v>120</v>
      </c>
      <c r="S102" s="348" t="s">
        <v>121</v>
      </c>
      <c r="T102" s="15"/>
    </row>
    <row r="103" spans="1:20" s="87" customFormat="1" ht="13.5" customHeight="1">
      <c r="A103" s="273"/>
      <c r="B103" s="273"/>
      <c r="C103" s="273"/>
      <c r="D103" s="273"/>
      <c r="E103" s="273"/>
      <c r="F103" s="273"/>
      <c r="G103" s="273"/>
      <c r="H103" s="273"/>
      <c r="I103" s="273"/>
      <c r="J103" s="273"/>
      <c r="K103" s="273"/>
      <c r="L103" s="273"/>
      <c r="M103" s="273"/>
      <c r="N103" s="273"/>
      <c r="O103" s="273"/>
      <c r="P103" s="273"/>
      <c r="Q103" s="273"/>
      <c r="R103" s="273"/>
      <c r="S103" s="274"/>
      <c r="T103" s="15"/>
    </row>
    <row r="104" spans="1:20" ht="229.5" customHeight="1" outlineLevel="1">
      <c r="A104" s="1"/>
      <c r="B104" s="479" t="s">
        <v>74</v>
      </c>
      <c r="C104" s="274"/>
      <c r="D104" s="129" t="s">
        <v>130</v>
      </c>
      <c r="E104" s="591" t="str">
        <f>IFERROR(IF($O$40="NO VALIDA",IF(OR($M$40="NO CUMPLE",$N40="NO CUMPLE"),[1]RESPUESTAS!$D$8,"SIN OBSERVACIONES"),"SIN OBSERVACIONES"),"")</f>
        <v>SIN OBSERVACIONES</v>
      </c>
      <c r="F104" s="591"/>
      <c r="G104" s="591"/>
      <c r="H104" s="591"/>
      <c r="I104" s="591"/>
      <c r="J104" s="738"/>
      <c r="K104" s="739"/>
      <c r="L104" s="739"/>
      <c r="M104" s="739"/>
      <c r="N104" s="739"/>
      <c r="O104" s="740"/>
      <c r="P104" s="273"/>
      <c r="Q104" s="123" t="str">
        <f>IF($E104="sin observaciones","SIN OBSERVACIONES","SUBSANAR DOCUMENTO")</f>
        <v>SIN OBSERVACIONES</v>
      </c>
      <c r="R104" s="428" t="s">
        <v>278</v>
      </c>
      <c r="S104" s="350"/>
      <c r="T104" s="15"/>
    </row>
    <row r="105" spans="1:20" ht="195" customHeight="1" outlineLevel="1">
      <c r="A105" s="1"/>
      <c r="B105" s="479"/>
      <c r="C105" s="274"/>
      <c r="D105" s="129" t="s">
        <v>131</v>
      </c>
      <c r="E105" s="591" t="str">
        <f>IFERROR(IF($O$40="NO VALIDA",IF(OR($M$40="NO CUMPLE",$N$40="NO CUMPLE"),[1]RESPUESTAS!$D$9,"SIN OBSERVACIONES"),"SIN OBSERVACIONES"),"")</f>
        <v>SIN OBSERVACIONES</v>
      </c>
      <c r="F105" s="591"/>
      <c r="G105" s="591"/>
      <c r="H105" s="591"/>
      <c r="I105" s="591"/>
      <c r="J105" s="741"/>
      <c r="K105" s="742"/>
      <c r="L105" s="742"/>
      <c r="M105" s="742"/>
      <c r="N105" s="742"/>
      <c r="O105" s="743"/>
      <c r="P105" s="273"/>
      <c r="Q105" s="123" t="str">
        <f t="shared" ref="Q105:Q124" si="10">IF($E105="sin observaciones","SIN OBSERVACIONES","SUBSANAR DOCUMENTO")</f>
        <v>SIN OBSERVACIONES</v>
      </c>
      <c r="R105" s="130"/>
      <c r="S105" s="350"/>
      <c r="T105" s="15"/>
    </row>
    <row r="106" spans="1:20" ht="195" customHeight="1" outlineLevel="1">
      <c r="A106" s="1"/>
      <c r="B106" s="480"/>
      <c r="C106" s="274"/>
      <c r="D106" s="129" t="s">
        <v>132</v>
      </c>
      <c r="E106" s="591" t="str">
        <f>IFERROR(IF($O$40="NO VALIDA",IF($K$40&gt;$F$10,[1]RESPUESTAS!$D$10,"SIN OBSERVACIONES"),"SIN OBSERVACIONES"),"")</f>
        <v>SIN OBSERVACIONES</v>
      </c>
      <c r="F106" s="591"/>
      <c r="G106" s="591"/>
      <c r="H106" s="591"/>
      <c r="I106" s="591"/>
      <c r="J106" s="744"/>
      <c r="K106" s="745"/>
      <c r="L106" s="745"/>
      <c r="M106" s="745"/>
      <c r="N106" s="745"/>
      <c r="O106" s="746"/>
      <c r="P106" s="273"/>
      <c r="Q106" s="123" t="str">
        <f t="shared" si="10"/>
        <v>SIN OBSERVACIONES</v>
      </c>
      <c r="R106" s="130"/>
      <c r="S106" s="350"/>
      <c r="T106" s="15"/>
    </row>
    <row r="107" spans="1:20" ht="195" customHeight="1" outlineLevel="1">
      <c r="A107" s="1"/>
      <c r="B107" s="510" t="s">
        <v>78</v>
      </c>
      <c r="C107" s="274"/>
      <c r="D107" s="129" t="s">
        <v>130</v>
      </c>
      <c r="E107" s="591" t="str">
        <f>IFERROR(IF($O$43="NO VALIDA",IF(OR($M$43="NO CUMPLE",$N$43="NO CUMPLE"),[1]RESPUESTAS!$D$8,"SIN OBSERVACIONES"),"SIN OBSERVACIONES"),"")</f>
        <v>SIN OBSERVACIONES</v>
      </c>
      <c r="F107" s="591"/>
      <c r="G107" s="591"/>
      <c r="H107" s="591"/>
      <c r="I107" s="591"/>
      <c r="J107" s="602"/>
      <c r="K107" s="602"/>
      <c r="L107" s="602"/>
      <c r="M107" s="602"/>
      <c r="N107" s="602"/>
      <c r="O107" s="602"/>
      <c r="P107" s="273"/>
      <c r="Q107" s="123" t="str">
        <f t="shared" si="10"/>
        <v>SIN OBSERVACIONES</v>
      </c>
      <c r="R107" s="130"/>
      <c r="S107" s="350"/>
      <c r="T107" s="15"/>
    </row>
    <row r="108" spans="1:20" ht="195" customHeight="1" outlineLevel="1">
      <c r="A108" s="1"/>
      <c r="B108" s="511"/>
      <c r="C108" s="274"/>
      <c r="D108" s="129" t="s">
        <v>131</v>
      </c>
      <c r="E108" s="591" t="str">
        <f>IFERROR(IF($O$43="NO VALIDA",IF(OR($M$43="NO CUMPLE",$N$43="NO CUMPLE"),[1]RESPUESTAS!$D$8,"SIN OBSERVACIONES"),"SIN OBSERVACIONES"),"")</f>
        <v>SIN OBSERVACIONES</v>
      </c>
      <c r="F108" s="591"/>
      <c r="G108" s="591"/>
      <c r="H108" s="591"/>
      <c r="I108" s="591"/>
      <c r="J108" s="602"/>
      <c r="K108" s="602"/>
      <c r="L108" s="602"/>
      <c r="M108" s="602"/>
      <c r="N108" s="602"/>
      <c r="O108" s="602"/>
      <c r="P108" s="273"/>
      <c r="Q108" s="123" t="str">
        <f t="shared" si="10"/>
        <v>SIN OBSERVACIONES</v>
      </c>
      <c r="R108" s="130"/>
      <c r="S108" s="350"/>
      <c r="T108" s="15"/>
    </row>
    <row r="109" spans="1:20" ht="195" customHeight="1" outlineLevel="1">
      <c r="A109" s="1"/>
      <c r="B109" s="512"/>
      <c r="C109" s="274"/>
      <c r="D109" s="129" t="s">
        <v>132</v>
      </c>
      <c r="E109" s="591" t="str">
        <f>IFERROR(IF($O$43="NO VALIDA",IF($K$43&gt;$F$10,[1]RESPUESTAS!$D$10,"SIN OBSERVACIONES"),"SIN OBSERVACIONES"),"")</f>
        <v>SIN OBSERVACIONES</v>
      </c>
      <c r="F109" s="591"/>
      <c r="G109" s="591"/>
      <c r="H109" s="591"/>
      <c r="I109" s="591"/>
      <c r="J109" s="602"/>
      <c r="K109" s="602"/>
      <c r="L109" s="602"/>
      <c r="M109" s="602"/>
      <c r="N109" s="602"/>
      <c r="O109" s="602"/>
      <c r="P109" s="273"/>
      <c r="Q109" s="123" t="str">
        <f t="shared" si="10"/>
        <v>SIN OBSERVACIONES</v>
      </c>
      <c r="R109" s="130"/>
      <c r="S109" s="350"/>
      <c r="T109" s="15"/>
    </row>
    <row r="110" spans="1:20" ht="195" customHeight="1" outlineLevel="1">
      <c r="A110" s="1"/>
      <c r="B110" s="479" t="s">
        <v>79</v>
      </c>
      <c r="C110" s="274"/>
      <c r="D110" s="129" t="s">
        <v>130</v>
      </c>
      <c r="E110" s="591" t="str">
        <f>IFERROR(IF($O$46="NO VALIDA",IF(OR($M$46="NO CUMPLE",$N$46="NO CUMPLE"),[1]RESPUESTAS!$D$8,"SIN OBSERVACIONES"),"SIN OBSERVACIONES"),"")</f>
        <v>SIN OBSERVACIONES</v>
      </c>
      <c r="F110" s="591"/>
      <c r="G110" s="591"/>
      <c r="H110" s="591"/>
      <c r="I110" s="591"/>
      <c r="J110" s="601"/>
      <c r="K110" s="601"/>
      <c r="L110" s="601"/>
      <c r="M110" s="601"/>
      <c r="N110" s="601"/>
      <c r="O110" s="601"/>
      <c r="P110" s="273"/>
      <c r="Q110" s="123" t="str">
        <f t="shared" si="10"/>
        <v>SIN OBSERVACIONES</v>
      </c>
      <c r="R110" s="130"/>
      <c r="S110" s="350"/>
      <c r="T110" s="15"/>
    </row>
    <row r="111" spans="1:20" ht="195" customHeight="1" outlineLevel="1">
      <c r="A111" s="1"/>
      <c r="B111" s="479"/>
      <c r="C111" s="274"/>
      <c r="D111" s="129" t="s">
        <v>131</v>
      </c>
      <c r="E111" s="591" t="str">
        <f>IFERROR(IF($O$46="NO VALIDA",IF(OR($M$46="NO CUMPLE",$N$46="NO CUMPLE"),[1]RESPUESTAS!$D$8,"SIN OBSERVACIONES"),"SIN OBSERVACIONES"),"")</f>
        <v>SIN OBSERVACIONES</v>
      </c>
      <c r="F111" s="591"/>
      <c r="G111" s="591"/>
      <c r="H111" s="591"/>
      <c r="I111" s="591"/>
      <c r="J111" s="601"/>
      <c r="K111" s="601"/>
      <c r="L111" s="601"/>
      <c r="M111" s="601"/>
      <c r="N111" s="601"/>
      <c r="O111" s="601"/>
      <c r="P111" s="273"/>
      <c r="Q111" s="123" t="str">
        <f t="shared" si="10"/>
        <v>SIN OBSERVACIONES</v>
      </c>
      <c r="R111" s="130"/>
      <c r="S111" s="350"/>
      <c r="T111" s="15"/>
    </row>
    <row r="112" spans="1:20" ht="195" customHeight="1" outlineLevel="1">
      <c r="A112" s="1"/>
      <c r="B112" s="480"/>
      <c r="C112" s="274"/>
      <c r="D112" s="129" t="s">
        <v>132</v>
      </c>
      <c r="E112" s="591" t="str">
        <f>IFERROR(IF($O$46="NO VALIDA",IF($K$46&gt;$F$10,[1]RESPUESTAS!$D$10,"SIN OBSERVACIONES"),"SIN OBSERVACIONES"),"")</f>
        <v>SIN OBSERVACIONES</v>
      </c>
      <c r="F112" s="591"/>
      <c r="G112" s="591"/>
      <c r="H112" s="591"/>
      <c r="I112" s="591"/>
      <c r="J112" s="601"/>
      <c r="K112" s="601"/>
      <c r="L112" s="601"/>
      <c r="M112" s="601"/>
      <c r="N112" s="601"/>
      <c r="O112" s="601"/>
      <c r="P112" s="273"/>
      <c r="Q112" s="123" t="str">
        <f t="shared" si="10"/>
        <v>SIN OBSERVACIONES</v>
      </c>
      <c r="R112" s="130"/>
      <c r="S112" s="350"/>
      <c r="T112" s="15"/>
    </row>
    <row r="113" spans="1:20" ht="195" customHeight="1" outlineLevel="1">
      <c r="A113" s="1"/>
      <c r="B113" s="510" t="s">
        <v>80</v>
      </c>
      <c r="C113" s="274"/>
      <c r="D113" s="129" t="s">
        <v>130</v>
      </c>
      <c r="E113" s="591" t="str">
        <f>IFERROR(IF($O$49="NO VALIDA",IF(OR($M$49="NO CUMPLE",$N$49="NO CUMPLE"),[1]RESPUESTAS!$D$8,"SIN OBSERVACIONES"),"SIN OBSERVACIONES"),"")</f>
        <v>SIN OBSERVACIONES</v>
      </c>
      <c r="F113" s="591"/>
      <c r="G113" s="591"/>
      <c r="H113" s="591"/>
      <c r="I113" s="591"/>
      <c r="J113" s="601"/>
      <c r="K113" s="601"/>
      <c r="L113" s="601"/>
      <c r="M113" s="601"/>
      <c r="N113" s="601"/>
      <c r="O113" s="601"/>
      <c r="P113" s="273"/>
      <c r="Q113" s="123" t="str">
        <f t="shared" si="10"/>
        <v>SIN OBSERVACIONES</v>
      </c>
      <c r="R113" s="130"/>
      <c r="S113" s="350"/>
      <c r="T113" s="15"/>
    </row>
    <row r="114" spans="1:20" ht="195" customHeight="1" outlineLevel="1">
      <c r="A114" s="1"/>
      <c r="B114" s="511"/>
      <c r="C114" s="274"/>
      <c r="D114" s="129" t="s">
        <v>131</v>
      </c>
      <c r="E114" s="591" t="str">
        <f>IFERROR(IF($O$49="NO VALIDA",IF(OR($M$49="NO CUMPLE",$N$49="NO CUMPLE"),[1]RESPUESTAS!$D$8,"SIN OBSERVACIONES"),"SIN OBSERVACIONES"),"")</f>
        <v>SIN OBSERVACIONES</v>
      </c>
      <c r="F114" s="591"/>
      <c r="G114" s="591"/>
      <c r="H114" s="591"/>
      <c r="I114" s="591"/>
      <c r="J114" s="601"/>
      <c r="K114" s="601"/>
      <c r="L114" s="601"/>
      <c r="M114" s="601"/>
      <c r="N114" s="601"/>
      <c r="O114" s="601"/>
      <c r="P114" s="273"/>
      <c r="Q114" s="123" t="str">
        <f t="shared" si="10"/>
        <v>SIN OBSERVACIONES</v>
      </c>
      <c r="R114" s="130"/>
      <c r="S114" s="350"/>
      <c r="T114" s="15"/>
    </row>
    <row r="115" spans="1:20" ht="195" customHeight="1" outlineLevel="1">
      <c r="A115" s="1"/>
      <c r="B115" s="512"/>
      <c r="C115" s="274"/>
      <c r="D115" s="129" t="s">
        <v>132</v>
      </c>
      <c r="E115" s="591" t="str">
        <f>IFERROR(IF($O$49="NO VALIDA",IF($K$49&gt;$F$10,[1]RESPUESTAS!$D$10,"SIN OBSERVACIONES"),"SIN OBSERVACIONES"),"")</f>
        <v>SIN OBSERVACIONES</v>
      </c>
      <c r="F115" s="591"/>
      <c r="G115" s="591"/>
      <c r="H115" s="591"/>
      <c r="I115" s="591"/>
      <c r="J115" s="601"/>
      <c r="K115" s="601"/>
      <c r="L115" s="601"/>
      <c r="M115" s="601"/>
      <c r="N115" s="601"/>
      <c r="O115" s="601"/>
      <c r="P115" s="273"/>
      <c r="Q115" s="123" t="str">
        <f t="shared" si="10"/>
        <v>SIN OBSERVACIONES</v>
      </c>
      <c r="R115" s="130"/>
      <c r="S115" s="350"/>
      <c r="T115" s="15"/>
    </row>
    <row r="116" spans="1:20" ht="195" customHeight="1" outlineLevel="1">
      <c r="A116" s="1"/>
      <c r="B116" s="479" t="s">
        <v>81</v>
      </c>
      <c r="C116" s="274"/>
      <c r="D116" s="129" t="s">
        <v>130</v>
      </c>
      <c r="E116" s="591" t="str">
        <f>IFERROR(IF($O$52="NO VALIDA",IF(OR($M$52="NO CUMPLE",$N$52="NO CUMPLE"),[1]RESPUESTAS!$D$8,"SIN OBSERVACIONES"),"SIN OBSERVACIONES"),"")</f>
        <v>SIN OBSERVACIONES</v>
      </c>
      <c r="F116" s="591"/>
      <c r="G116" s="591"/>
      <c r="H116" s="591"/>
      <c r="I116" s="591"/>
      <c r="J116" s="601"/>
      <c r="K116" s="601"/>
      <c r="L116" s="601"/>
      <c r="M116" s="601"/>
      <c r="N116" s="601"/>
      <c r="O116" s="601"/>
      <c r="P116" s="273"/>
      <c r="Q116" s="123" t="str">
        <f t="shared" si="10"/>
        <v>SIN OBSERVACIONES</v>
      </c>
      <c r="R116" s="130"/>
      <c r="S116" s="350"/>
      <c r="T116" s="15"/>
    </row>
    <row r="117" spans="1:20" ht="195" customHeight="1" outlineLevel="1">
      <c r="A117" s="1"/>
      <c r="B117" s="479"/>
      <c r="C117" s="274"/>
      <c r="D117" s="129" t="s">
        <v>131</v>
      </c>
      <c r="E117" s="591" t="str">
        <f>IFERROR(IF($O$52="NO VALIDA",IF(OR($M$52="NO CUMPLE",$N$52="NO CUMPLE"),[1]RESPUESTAS!$D$8,"SIN OBSERVACIONES"),"SIN OBSERVACIONES"),"")</f>
        <v>SIN OBSERVACIONES</v>
      </c>
      <c r="F117" s="591"/>
      <c r="G117" s="591"/>
      <c r="H117" s="591"/>
      <c r="I117" s="591"/>
      <c r="J117" s="601"/>
      <c r="K117" s="601"/>
      <c r="L117" s="601"/>
      <c r="M117" s="601"/>
      <c r="N117" s="601"/>
      <c r="O117" s="601"/>
      <c r="P117" s="273"/>
      <c r="Q117" s="123" t="str">
        <f t="shared" si="10"/>
        <v>SIN OBSERVACIONES</v>
      </c>
      <c r="R117" s="130"/>
      <c r="S117" s="350"/>
      <c r="T117" s="15"/>
    </row>
    <row r="118" spans="1:20" ht="195" customHeight="1" outlineLevel="1">
      <c r="A118" s="1"/>
      <c r="B118" s="480"/>
      <c r="C118" s="274"/>
      <c r="D118" s="129" t="s">
        <v>132</v>
      </c>
      <c r="E118" s="591" t="str">
        <f>IFERROR(IF($O$52="NO VALIDA",IF($K$52&gt;$F$10,[1]RESPUESTAS!$D$10,"SIN OBSERVACIONES"),"SIN OBSERVACIONES"),"")</f>
        <v>SIN OBSERVACIONES</v>
      </c>
      <c r="F118" s="591"/>
      <c r="G118" s="591"/>
      <c r="H118" s="591"/>
      <c r="I118" s="591"/>
      <c r="J118" s="601"/>
      <c r="K118" s="601"/>
      <c r="L118" s="601"/>
      <c r="M118" s="601"/>
      <c r="N118" s="601"/>
      <c r="O118" s="601"/>
      <c r="P118" s="273"/>
      <c r="Q118" s="123" t="str">
        <f t="shared" si="10"/>
        <v>SIN OBSERVACIONES</v>
      </c>
      <c r="R118" s="130"/>
      <c r="S118" s="350"/>
      <c r="T118" s="15"/>
    </row>
    <row r="119" spans="1:20" ht="195" customHeight="1" outlineLevel="1">
      <c r="A119" s="1"/>
      <c r="B119" s="510" t="s">
        <v>82</v>
      </c>
      <c r="C119" s="274"/>
      <c r="D119" s="129" t="s">
        <v>130</v>
      </c>
      <c r="E119" s="591" t="str">
        <f>IFERROR(IF($O$55="NO VALIDA",IF(OR($M$55="NO CUMPLE",$N$55="NO CUMPLE"),[1]RESPUESTAS!$D$8,"SIN OBSERVACIONES"),"SIN OBSERVACIONES"),"")</f>
        <v>SIN OBSERVACIONES</v>
      </c>
      <c r="F119" s="591"/>
      <c r="G119" s="591"/>
      <c r="H119" s="591"/>
      <c r="I119" s="591"/>
      <c r="J119" s="601"/>
      <c r="K119" s="601"/>
      <c r="L119" s="601"/>
      <c r="M119" s="601"/>
      <c r="N119" s="601"/>
      <c r="O119" s="601"/>
      <c r="P119" s="273"/>
      <c r="Q119" s="123" t="str">
        <f t="shared" si="10"/>
        <v>SIN OBSERVACIONES</v>
      </c>
      <c r="R119" s="130"/>
      <c r="S119" s="350"/>
      <c r="T119" s="15"/>
    </row>
    <row r="120" spans="1:20" ht="195" customHeight="1" outlineLevel="1">
      <c r="A120" s="1"/>
      <c r="B120" s="511"/>
      <c r="C120" s="274"/>
      <c r="D120" s="129" t="s">
        <v>131</v>
      </c>
      <c r="E120" s="591" t="str">
        <f>IFERROR(IF($O$55="NO VALIDA",IF(OR($M$55="NO CUMPLE",$N$55="NO CUMPLE"),[1]RESPUESTAS!$D$8,"SIN OBSERVACIONES"),"SIN OBSERVACIONES"),"")</f>
        <v>SIN OBSERVACIONES</v>
      </c>
      <c r="F120" s="591"/>
      <c r="G120" s="591"/>
      <c r="H120" s="591"/>
      <c r="I120" s="591"/>
      <c r="J120" s="601"/>
      <c r="K120" s="601"/>
      <c r="L120" s="601"/>
      <c r="M120" s="601"/>
      <c r="N120" s="601"/>
      <c r="O120" s="601"/>
      <c r="P120" s="273"/>
      <c r="Q120" s="123" t="str">
        <f t="shared" si="10"/>
        <v>SIN OBSERVACIONES</v>
      </c>
      <c r="R120" s="130"/>
      <c r="S120" s="350"/>
      <c r="T120" s="15"/>
    </row>
    <row r="121" spans="1:20" ht="195" customHeight="1" outlineLevel="1">
      <c r="A121" s="1"/>
      <c r="B121" s="512"/>
      <c r="C121" s="274"/>
      <c r="D121" s="129" t="s">
        <v>132</v>
      </c>
      <c r="E121" s="591" t="str">
        <f>IFERROR(IF($O$55="NO VALIDA",IF($K$55&gt;$F$10,[1]RESPUESTAS!$D$10,"SIN OBSERVACIONES"),"SIN OBSERVACIONES"),"")</f>
        <v>SIN OBSERVACIONES</v>
      </c>
      <c r="F121" s="591"/>
      <c r="G121" s="591"/>
      <c r="H121" s="591"/>
      <c r="I121" s="591"/>
      <c r="J121" s="601"/>
      <c r="K121" s="601"/>
      <c r="L121" s="601"/>
      <c r="M121" s="601"/>
      <c r="N121" s="601"/>
      <c r="O121" s="601"/>
      <c r="P121" s="273"/>
      <c r="Q121" s="123" t="str">
        <f t="shared" si="10"/>
        <v>SIN OBSERVACIONES</v>
      </c>
      <c r="R121" s="130"/>
      <c r="S121" s="350"/>
      <c r="T121" s="15"/>
    </row>
    <row r="122" spans="1:20" ht="195" customHeight="1" outlineLevel="1">
      <c r="A122" s="1"/>
      <c r="B122" s="479" t="s">
        <v>83</v>
      </c>
      <c r="C122" s="274"/>
      <c r="D122" s="129" t="s">
        <v>130</v>
      </c>
      <c r="E122" s="591" t="str">
        <f>IFERROR(IF($O$58="NO VALIDA",IF(OR($M$58="NO CUMPLE",$N$58="NO CUMPLE"),[1]RESPUESTAS!$D$8,"SIN OBSERVACIONES"),"SIN OBSERVACIONES"),"")</f>
        <v>SIN OBSERVACIONES</v>
      </c>
      <c r="F122" s="591"/>
      <c r="G122" s="591"/>
      <c r="H122" s="591"/>
      <c r="I122" s="591"/>
      <c r="J122" s="601"/>
      <c r="K122" s="601"/>
      <c r="L122" s="601"/>
      <c r="M122" s="601"/>
      <c r="N122" s="601"/>
      <c r="O122" s="601"/>
      <c r="P122" s="273"/>
      <c r="Q122" s="123" t="str">
        <f t="shared" si="10"/>
        <v>SIN OBSERVACIONES</v>
      </c>
      <c r="R122" s="130"/>
      <c r="S122" s="350"/>
      <c r="T122" s="15"/>
    </row>
    <row r="123" spans="1:20" ht="195" customHeight="1" outlineLevel="1">
      <c r="A123" s="1"/>
      <c r="B123" s="479"/>
      <c r="C123" s="274"/>
      <c r="D123" s="129" t="s">
        <v>131</v>
      </c>
      <c r="E123" s="591" t="str">
        <f>IFERROR(IF($O$58="NO VALIDA",IF(OR($M$58="NO CUMPLE",$N$58="NO CUMPLE"),[1]RESPUESTAS!$D$8,"SIN OBSERVACIONES"),"SIN OBSERVACIONES"),"")</f>
        <v>SIN OBSERVACIONES</v>
      </c>
      <c r="F123" s="591"/>
      <c r="G123" s="591"/>
      <c r="H123" s="591"/>
      <c r="I123" s="591"/>
      <c r="J123" s="601"/>
      <c r="K123" s="601"/>
      <c r="L123" s="601"/>
      <c r="M123" s="601"/>
      <c r="N123" s="601"/>
      <c r="O123" s="601"/>
      <c r="P123" s="273"/>
      <c r="Q123" s="123" t="str">
        <f t="shared" si="10"/>
        <v>SIN OBSERVACIONES</v>
      </c>
      <c r="R123" s="130"/>
      <c r="S123" s="350"/>
      <c r="T123" s="15"/>
    </row>
    <row r="124" spans="1:20" ht="195" customHeight="1" outlineLevel="1">
      <c r="A124" s="1"/>
      <c r="B124" s="480"/>
      <c r="C124" s="274"/>
      <c r="D124" s="129" t="s">
        <v>132</v>
      </c>
      <c r="E124" s="591" t="str">
        <f>IFERROR(IF($O$58="NO VALIDA",IF($K$58&gt;$F$10,[1]RESPUESTAS!$D$10,"SIN OBSERVACIONES"),"SIN OBSERVACIONES"),"")</f>
        <v>SIN OBSERVACIONES</v>
      </c>
      <c r="F124" s="591"/>
      <c r="G124" s="591"/>
      <c r="H124" s="591"/>
      <c r="I124" s="591"/>
      <c r="J124" s="601"/>
      <c r="K124" s="601"/>
      <c r="L124" s="601"/>
      <c r="M124" s="601"/>
      <c r="N124" s="601"/>
      <c r="O124" s="601"/>
      <c r="P124" s="273"/>
      <c r="Q124" s="123" t="str">
        <f t="shared" si="10"/>
        <v>SIN OBSERVACIONES</v>
      </c>
      <c r="R124" s="130"/>
      <c r="S124" s="350"/>
      <c r="T124" s="15"/>
    </row>
    <row r="125" spans="1:20" s="15" customFormat="1" ht="30" customHeight="1">
      <c r="A125" s="1"/>
      <c r="B125" s="355"/>
      <c r="C125" s="274"/>
      <c r="D125" s="356"/>
      <c r="E125" s="331"/>
      <c r="F125" s="331"/>
      <c r="G125" s="331"/>
      <c r="H125" s="331"/>
      <c r="I125" s="331"/>
      <c r="J125" s="357"/>
      <c r="K125" s="357"/>
      <c r="L125" s="357"/>
      <c r="M125" s="357"/>
      <c r="N125" s="357"/>
      <c r="O125" s="357"/>
      <c r="P125" s="273"/>
      <c r="Q125" s="357"/>
      <c r="R125" s="293"/>
      <c r="S125" s="274"/>
    </row>
    <row r="126" spans="1:20" s="16" customFormat="1" ht="66" customHeight="1">
      <c r="A126" s="1"/>
      <c r="B126" s="345" t="s">
        <v>116</v>
      </c>
      <c r="C126" s="346"/>
      <c r="D126" s="588" t="s">
        <v>117</v>
      </c>
      <c r="E126" s="589"/>
      <c r="F126" s="589"/>
      <c r="G126" s="589"/>
      <c r="H126" s="589"/>
      <c r="I126" s="590"/>
      <c r="J126" s="588" t="s">
        <v>118</v>
      </c>
      <c r="K126" s="589"/>
      <c r="L126" s="589"/>
      <c r="M126" s="589"/>
      <c r="N126" s="589"/>
      <c r="O126" s="590"/>
      <c r="P126" s="347"/>
      <c r="Q126" s="348" t="s">
        <v>119</v>
      </c>
      <c r="R126" s="348" t="s">
        <v>120</v>
      </c>
      <c r="S126" s="348" t="s">
        <v>121</v>
      </c>
      <c r="T126" s="15"/>
    </row>
    <row r="127" spans="1:20" s="87" customFormat="1" ht="18" customHeight="1">
      <c r="A127" s="273"/>
      <c r="B127" s="273"/>
      <c r="C127" s="273"/>
      <c r="D127" s="273"/>
      <c r="E127" s="273"/>
      <c r="F127" s="273"/>
      <c r="G127" s="273"/>
      <c r="H127" s="273"/>
      <c r="I127" s="273"/>
      <c r="J127" s="273"/>
      <c r="K127" s="273"/>
      <c r="L127" s="273"/>
      <c r="M127" s="273"/>
      <c r="N127" s="273"/>
      <c r="O127" s="273"/>
      <c r="P127" s="273"/>
      <c r="Q127" s="273"/>
      <c r="R127" s="273"/>
      <c r="S127" s="274"/>
    </row>
    <row r="128" spans="1:20" ht="160.5" customHeight="1" outlineLevel="1">
      <c r="A128" s="1"/>
      <c r="B128" s="358" t="s">
        <v>92</v>
      </c>
      <c r="C128" s="1"/>
      <c r="D128" s="603" t="str">
        <f>IF(EXPERIENCIA!$L$65="CUMPLE","SIN OBSERVACIONES",VLOOKUP(EXPERIENCIA!$B$128,[1]RESPUESTAS!$B$8:$H$75,3,FALSE))</f>
        <v>SIN OBSERVACIONES</v>
      </c>
      <c r="E128" s="604"/>
      <c r="F128" s="604"/>
      <c r="G128" s="604"/>
      <c r="H128" s="604"/>
      <c r="I128" s="604"/>
      <c r="J128" s="579" t="str">
        <f>+[1]RESPUESTAS!H11</f>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
      <c r="K128" s="579"/>
      <c r="L128" s="579"/>
      <c r="M128" s="579"/>
      <c r="N128" s="579"/>
      <c r="O128" s="579"/>
      <c r="P128" s="28"/>
      <c r="Q128" s="123" t="str">
        <f>IF($D128="sin observaciones","SIN OBSERVACIONES","SUBSANAR DOCUMENTO")</f>
        <v>SIN OBSERVACIONES</v>
      </c>
      <c r="R128" s="130"/>
      <c r="S128" s="350"/>
      <c r="T128" s="15"/>
    </row>
    <row r="129" spans="1:20" ht="245.25" customHeight="1" outlineLevel="1">
      <c r="A129" s="1"/>
      <c r="B129" s="358" t="s">
        <v>94</v>
      </c>
      <c r="C129" s="1"/>
      <c r="D129" s="603" t="str">
        <f>IF(EXPERIENCIA!$L$66="CUMPLE","SIN OBSERVACIONES",VLOOKUP(EXPERIENCIA!$B$129,[1]RESPUESTAS!$B$8:$H$75,3,FALSE))</f>
        <v>SIN OBSERVACIONES</v>
      </c>
      <c r="E129" s="604"/>
      <c r="F129" s="604"/>
      <c r="G129" s="604"/>
      <c r="H129" s="604"/>
      <c r="I129" s="604"/>
      <c r="J129" s="579" t="str">
        <f>+[1]RESPUESTAS!H12</f>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
      <c r="K129" s="579"/>
      <c r="L129" s="579"/>
      <c r="M129" s="579"/>
      <c r="N129" s="579"/>
      <c r="O129" s="579"/>
      <c r="P129" s="28"/>
      <c r="Q129" s="123" t="str">
        <f t="shared" ref="Q129:Q133" si="11">IF($D129="sin observaciones","SIN OBSERVACIONES","SUBSANAR DOCUMENTO")</f>
        <v>SIN OBSERVACIONES</v>
      </c>
      <c r="R129" s="130"/>
      <c r="S129" s="350"/>
      <c r="T129" s="15"/>
    </row>
    <row r="130" spans="1:20" ht="114.75" customHeight="1" outlineLevel="1">
      <c r="A130" s="1"/>
      <c r="B130" s="358" t="s">
        <v>133</v>
      </c>
      <c r="C130" s="1"/>
      <c r="D130" s="603" t="str">
        <f>IF(EXPERIENCIA!$L$67="CUMPLE","SIN OBSERVACIONES",VLOOKUP(EXPERIENCIA!$B$130,[1]RESPUESTAS!$B$8:$H$75,3,FALSE))</f>
        <v>SIN OBSERVACIONES</v>
      </c>
      <c r="E130" s="604"/>
      <c r="F130" s="604"/>
      <c r="G130" s="604"/>
      <c r="H130" s="604"/>
      <c r="I130" s="604"/>
      <c r="J130" s="579" t="str">
        <f>+[1]RESPUESTAS!H13</f>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
      <c r="K130" s="579"/>
      <c r="L130" s="579"/>
      <c r="M130" s="579"/>
      <c r="N130" s="579"/>
      <c r="O130" s="579"/>
      <c r="P130" s="28"/>
      <c r="Q130" s="123" t="str">
        <f t="shared" si="11"/>
        <v>SIN OBSERVACIONES</v>
      </c>
      <c r="R130" s="130"/>
      <c r="S130" s="350"/>
      <c r="T130" s="15"/>
    </row>
    <row r="131" spans="1:20" ht="144.75" customHeight="1" outlineLevel="1">
      <c r="A131" s="1"/>
      <c r="B131" s="359" t="s">
        <v>134</v>
      </c>
      <c r="C131" s="1"/>
      <c r="D131" s="603" t="str">
        <f>IF(EXPERIENCIA!$L$68="CUMPLE","SIN OBSERVACIONES",VLOOKUP(EXPERIENCIA!$B$131,[1]RESPUESTAS!$B$8:$H$75,3,FALSE))</f>
        <v>SIN OBSERVACIONES</v>
      </c>
      <c r="E131" s="604"/>
      <c r="F131" s="604"/>
      <c r="G131" s="604"/>
      <c r="H131" s="604"/>
      <c r="I131" s="604"/>
      <c r="J131" s="579" t="str">
        <f>+[1]RESPUESTAS!H14</f>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
      <c r="K131" s="579"/>
      <c r="L131" s="579"/>
      <c r="M131" s="579"/>
      <c r="N131" s="579"/>
      <c r="O131" s="579"/>
      <c r="P131" s="28"/>
      <c r="Q131" s="123" t="str">
        <f t="shared" si="11"/>
        <v>SIN OBSERVACIONES</v>
      </c>
      <c r="R131" s="130"/>
      <c r="S131" s="350"/>
      <c r="T131" s="15"/>
    </row>
    <row r="132" spans="1:20" ht="409.5" customHeight="1" outlineLevel="1">
      <c r="A132" s="1"/>
      <c r="B132" s="358" t="s">
        <v>100</v>
      </c>
      <c r="C132" s="1"/>
      <c r="D132" s="603" t="str">
        <f>IF(EXPERIENCIA!$L$69="CUMPLE","SIN OBSERVACIONES",VLOOKUP(EXPERIENCIA!$B$132,[1]RESPUESTAS!$B$8:$H$75,3,FALSE))</f>
        <v>SIN OBSERVACIONES</v>
      </c>
      <c r="E132" s="604"/>
      <c r="F132" s="604"/>
      <c r="G132" s="604"/>
      <c r="H132" s="604"/>
      <c r="I132" s="604"/>
      <c r="J132" s="579" t="str">
        <f>+[1]RESPUESTAS!H15</f>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
      <c r="K132" s="579"/>
      <c r="L132" s="579"/>
      <c r="M132" s="579"/>
      <c r="N132" s="579"/>
      <c r="O132" s="579"/>
      <c r="P132" s="28"/>
      <c r="Q132" s="123" t="str">
        <f t="shared" si="11"/>
        <v>SIN OBSERVACIONES</v>
      </c>
      <c r="R132" s="130"/>
      <c r="S132" s="350"/>
      <c r="T132" s="15"/>
    </row>
    <row r="133" spans="1:20" ht="314.25" customHeight="1" outlineLevel="1">
      <c r="A133" s="1"/>
      <c r="B133" s="358" t="s">
        <v>102</v>
      </c>
      <c r="C133" s="1"/>
      <c r="D133" s="603" t="str">
        <f>IF(EXPERIENCIA!$L$70="CUMPLE","SIN OBSERVACIONES",VLOOKUP(EXPERIENCIA!$B$133,[1]RESPUESTAS!$B$8:$H$75,3,FALSE))</f>
        <v>SIN OBSERVACIONES</v>
      </c>
      <c r="E133" s="604"/>
      <c r="F133" s="604"/>
      <c r="G133" s="604"/>
      <c r="H133" s="604"/>
      <c r="I133" s="604"/>
      <c r="J133" s="579" t="str">
        <f>+[1]RESPUESTAS!H16</f>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
      <c r="K133" s="579"/>
      <c r="L133" s="579"/>
      <c r="M133" s="579"/>
      <c r="N133" s="579"/>
      <c r="O133" s="579"/>
      <c r="P133" s="28"/>
      <c r="Q133" s="123" t="str">
        <f t="shared" si="11"/>
        <v>SIN OBSERVACIONES</v>
      </c>
      <c r="R133" s="130"/>
      <c r="S133" s="350"/>
      <c r="T133" s="15"/>
    </row>
    <row r="134" spans="1:20" s="131" customFormat="1" ht="15" customHeight="1">
      <c r="A134" s="360"/>
      <c r="B134" s="360"/>
      <c r="C134" s="360"/>
      <c r="D134" s="360"/>
      <c r="E134" s="360"/>
      <c r="F134" s="360"/>
      <c r="G134" s="360"/>
      <c r="H134" s="360"/>
      <c r="I134" s="360"/>
      <c r="J134" s="360"/>
      <c r="K134" s="360"/>
      <c r="L134" s="360"/>
      <c r="M134" s="360"/>
      <c r="N134" s="360"/>
      <c r="O134" s="360"/>
      <c r="P134" s="361"/>
      <c r="Q134" s="360"/>
      <c r="R134" s="360"/>
      <c r="S134" s="360"/>
      <c r="T134" s="15"/>
    </row>
    <row r="135" spans="1:20" ht="15" customHeight="1">
      <c r="A135" s="1"/>
      <c r="B135" s="14"/>
      <c r="C135" s="14"/>
      <c r="D135" s="14"/>
      <c r="E135" s="14"/>
      <c r="F135" s="14"/>
      <c r="G135" s="14"/>
      <c r="H135" s="14"/>
      <c r="I135" s="14"/>
      <c r="J135" s="14"/>
      <c r="K135" s="14"/>
      <c r="L135" s="14"/>
      <c r="M135" s="14"/>
      <c r="N135" s="14"/>
      <c r="O135" s="14"/>
      <c r="P135" s="362"/>
      <c r="Q135" s="14"/>
      <c r="R135" s="14"/>
      <c r="S135" s="14"/>
      <c r="T135" s="15"/>
    </row>
    <row r="136" spans="1:20" ht="15" customHeight="1">
      <c r="A136" s="1"/>
      <c r="B136" s="14"/>
      <c r="C136" s="14"/>
      <c r="D136" s="14"/>
      <c r="E136" s="14"/>
      <c r="F136" s="14"/>
      <c r="G136" s="14"/>
      <c r="H136" s="14"/>
      <c r="I136" s="14"/>
      <c r="J136" s="14"/>
      <c r="K136" s="14"/>
      <c r="L136" s="14"/>
      <c r="M136" s="14"/>
      <c r="N136" s="14"/>
      <c r="O136" s="14"/>
      <c r="P136" s="362"/>
      <c r="Q136" s="14"/>
      <c r="R136" s="14"/>
      <c r="S136" s="14"/>
      <c r="T136" s="15"/>
    </row>
    <row r="137" spans="1:20" ht="15" customHeight="1">
      <c r="A137" s="1"/>
      <c r="B137" s="14"/>
      <c r="C137" s="14"/>
      <c r="D137" s="14"/>
      <c r="E137" s="14"/>
      <c r="F137" s="14"/>
      <c r="G137" s="14"/>
      <c r="H137" s="14"/>
      <c r="I137" s="14"/>
      <c r="J137" s="14"/>
      <c r="K137" s="14"/>
      <c r="L137" s="14"/>
      <c r="M137" s="14"/>
      <c r="N137" s="14"/>
      <c r="O137" s="14"/>
      <c r="P137" s="362"/>
      <c r="Q137" s="14"/>
      <c r="R137" s="14"/>
      <c r="S137" s="14"/>
      <c r="T137" s="15"/>
    </row>
    <row r="138" spans="1:20" ht="15" customHeight="1">
      <c r="A138" s="1"/>
      <c r="B138" s="14"/>
      <c r="C138" s="14"/>
      <c r="D138" s="14"/>
      <c r="E138" s="14"/>
      <c r="F138" s="14"/>
      <c r="G138" s="14"/>
      <c r="H138" s="14"/>
      <c r="I138" s="14"/>
      <c r="J138" s="14"/>
      <c r="K138" s="14"/>
      <c r="L138" s="14"/>
      <c r="M138" s="14"/>
      <c r="N138" s="14"/>
      <c r="O138" s="14"/>
      <c r="P138" s="362"/>
      <c r="Q138" s="14"/>
      <c r="R138" s="14"/>
      <c r="S138" s="14"/>
      <c r="T138" s="15"/>
    </row>
    <row r="139" spans="1:20" ht="15" customHeight="1">
      <c r="A139" s="1"/>
      <c r="B139" s="14"/>
      <c r="C139" s="14"/>
      <c r="D139" s="14"/>
      <c r="E139" s="14"/>
      <c r="F139" s="14"/>
      <c r="G139" s="14"/>
      <c r="H139" s="14"/>
      <c r="I139" s="14"/>
      <c r="J139" s="14"/>
      <c r="K139" s="14"/>
      <c r="L139" s="14"/>
      <c r="M139" s="14"/>
      <c r="N139" s="14"/>
      <c r="O139" s="14"/>
      <c r="P139" s="362"/>
      <c r="Q139" s="14"/>
      <c r="R139" s="14"/>
      <c r="S139" s="14"/>
      <c r="T139" s="15"/>
    </row>
    <row r="140" spans="1:20" ht="15" customHeight="1">
      <c r="A140" s="1"/>
      <c r="B140" s="14"/>
      <c r="C140" s="14"/>
      <c r="D140" s="14"/>
      <c r="E140" s="14"/>
      <c r="F140" s="14"/>
      <c r="G140" s="14"/>
      <c r="H140" s="14"/>
      <c r="I140" s="14"/>
      <c r="J140" s="14"/>
      <c r="K140" s="14"/>
      <c r="L140" s="14"/>
      <c r="M140" s="14"/>
      <c r="N140" s="14"/>
      <c r="O140" s="14"/>
      <c r="P140" s="362"/>
      <c r="Q140" s="14"/>
      <c r="R140" s="14"/>
      <c r="S140" s="14"/>
    </row>
    <row r="141" spans="1:20" ht="15" customHeight="1">
      <c r="A141" s="1"/>
      <c r="B141" s="14"/>
      <c r="C141" s="14"/>
      <c r="D141" s="14"/>
      <c r="E141" s="14"/>
      <c r="F141" s="14"/>
      <c r="G141" s="14"/>
      <c r="H141" s="14"/>
      <c r="I141" s="14"/>
      <c r="J141" s="14"/>
      <c r="K141" s="14"/>
      <c r="L141" s="14"/>
      <c r="M141" s="14"/>
      <c r="N141" s="14"/>
      <c r="O141" s="14"/>
      <c r="P141" s="362"/>
      <c r="Q141" s="14"/>
      <c r="R141" s="14"/>
      <c r="S141" s="14"/>
    </row>
    <row r="142" spans="1:20" ht="15" customHeight="1">
      <c r="A142" s="1"/>
      <c r="B142" s="14"/>
      <c r="C142" s="14"/>
      <c r="D142" s="14"/>
      <c r="E142" s="14"/>
      <c r="F142" s="14"/>
      <c r="G142" s="14"/>
      <c r="H142" s="14"/>
      <c r="I142" s="14"/>
      <c r="J142" s="14"/>
      <c r="K142" s="14"/>
      <c r="L142" s="14"/>
      <c r="M142" s="14"/>
      <c r="N142" s="14"/>
      <c r="O142" s="14"/>
      <c r="P142" s="362"/>
      <c r="Q142" s="14"/>
      <c r="R142" s="14"/>
      <c r="S142" s="14"/>
    </row>
  </sheetData>
  <sheetProtection formatCells="0" formatRows="0"/>
  <mergeCells count="219">
    <mergeCell ref="D133:I133"/>
    <mergeCell ref="J133:O133"/>
    <mergeCell ref="D130:I130"/>
    <mergeCell ref="J130:O130"/>
    <mergeCell ref="D131:I131"/>
    <mergeCell ref="J131:O131"/>
    <mergeCell ref="D132:I132"/>
    <mergeCell ref="J132:O132"/>
    <mergeCell ref="D126:I126"/>
    <mergeCell ref="J126:O126"/>
    <mergeCell ref="D128:I128"/>
    <mergeCell ref="J128:O128"/>
    <mergeCell ref="D129:I129"/>
    <mergeCell ref="J129:O129"/>
    <mergeCell ref="B122:B124"/>
    <mergeCell ref="E122:I122"/>
    <mergeCell ref="J122:O122"/>
    <mergeCell ref="E123:I123"/>
    <mergeCell ref="J123:O123"/>
    <mergeCell ref="E124:I124"/>
    <mergeCell ref="J124:O124"/>
    <mergeCell ref="B119:B121"/>
    <mergeCell ref="E119:I119"/>
    <mergeCell ref="J119:O119"/>
    <mergeCell ref="E120:I120"/>
    <mergeCell ref="J120:O120"/>
    <mergeCell ref="E121:I121"/>
    <mergeCell ref="J121:O121"/>
    <mergeCell ref="B116:B118"/>
    <mergeCell ref="E116:I116"/>
    <mergeCell ref="J116:O116"/>
    <mergeCell ref="E117:I117"/>
    <mergeCell ref="J117:O117"/>
    <mergeCell ref="E118:I118"/>
    <mergeCell ref="J118:O118"/>
    <mergeCell ref="B113:B115"/>
    <mergeCell ref="E113:I113"/>
    <mergeCell ref="J113:O113"/>
    <mergeCell ref="E114:I114"/>
    <mergeCell ref="J114:O114"/>
    <mergeCell ref="E115:I115"/>
    <mergeCell ref="J115:O115"/>
    <mergeCell ref="B110:B112"/>
    <mergeCell ref="E110:I110"/>
    <mergeCell ref="J110:O110"/>
    <mergeCell ref="E111:I111"/>
    <mergeCell ref="J111:O111"/>
    <mergeCell ref="E112:I112"/>
    <mergeCell ref="J112:O112"/>
    <mergeCell ref="B107:B109"/>
    <mergeCell ref="E107:I107"/>
    <mergeCell ref="J107:O107"/>
    <mergeCell ref="E108:I108"/>
    <mergeCell ref="J108:O108"/>
    <mergeCell ref="E109:I109"/>
    <mergeCell ref="J109:O109"/>
    <mergeCell ref="B104:B106"/>
    <mergeCell ref="E104:I104"/>
    <mergeCell ref="E105:I105"/>
    <mergeCell ref="E106:I106"/>
    <mergeCell ref="B97:B98"/>
    <mergeCell ref="E97:I97"/>
    <mergeCell ref="J97:O98"/>
    <mergeCell ref="E98:I98"/>
    <mergeCell ref="B100:S100"/>
    <mergeCell ref="D102:I102"/>
    <mergeCell ref="J102:O102"/>
    <mergeCell ref="J104:O106"/>
    <mergeCell ref="D94:I94"/>
    <mergeCell ref="J94:O94"/>
    <mergeCell ref="B95:B96"/>
    <mergeCell ref="E95:I95"/>
    <mergeCell ref="J95:O96"/>
    <mergeCell ref="E96:I96"/>
    <mergeCell ref="D90:I90"/>
    <mergeCell ref="J90:O90"/>
    <mergeCell ref="D92:I92"/>
    <mergeCell ref="J92:O92"/>
    <mergeCell ref="D93:I93"/>
    <mergeCell ref="J93:O93"/>
    <mergeCell ref="D77:H77"/>
    <mergeCell ref="I77:J77"/>
    <mergeCell ref="L77:N77"/>
    <mergeCell ref="O77:Q77"/>
    <mergeCell ref="D79:G79"/>
    <mergeCell ref="B88:S88"/>
    <mergeCell ref="D75:H75"/>
    <mergeCell ref="I75:J75"/>
    <mergeCell ref="L75:N75"/>
    <mergeCell ref="O75:Q75"/>
    <mergeCell ref="D76:H76"/>
    <mergeCell ref="L76:N76"/>
    <mergeCell ref="O76:Q76"/>
    <mergeCell ref="F70:K70"/>
    <mergeCell ref="L70:M70"/>
    <mergeCell ref="B72:S72"/>
    <mergeCell ref="D74:J74"/>
    <mergeCell ref="L74:N74"/>
    <mergeCell ref="O74:Q74"/>
    <mergeCell ref="F67:I67"/>
    <mergeCell ref="L67:M67"/>
    <mergeCell ref="F68:H68"/>
    <mergeCell ref="L68:M68"/>
    <mergeCell ref="F69:K69"/>
    <mergeCell ref="L69:M69"/>
    <mergeCell ref="D61:O61"/>
    <mergeCell ref="D62:O62"/>
    <mergeCell ref="Q62:R62"/>
    <mergeCell ref="Q63:S64"/>
    <mergeCell ref="D65:D68"/>
    <mergeCell ref="F65:K65"/>
    <mergeCell ref="L65:M65"/>
    <mergeCell ref="F66:K66"/>
    <mergeCell ref="L66:M66"/>
    <mergeCell ref="E67:E68"/>
    <mergeCell ref="Q49:Q51"/>
    <mergeCell ref="S49:S51"/>
    <mergeCell ref="B58:B60"/>
    <mergeCell ref="D58:D60"/>
    <mergeCell ref="I58:I60"/>
    <mergeCell ref="J58:J60"/>
    <mergeCell ref="K58:K60"/>
    <mergeCell ref="B55:B57"/>
    <mergeCell ref="D55:D57"/>
    <mergeCell ref="I55:I57"/>
    <mergeCell ref="J55:J57"/>
    <mergeCell ref="K55:K57"/>
    <mergeCell ref="L58:L60"/>
    <mergeCell ref="M58:M60"/>
    <mergeCell ref="N58:N60"/>
    <mergeCell ref="O58:O60"/>
    <mergeCell ref="Q58:Q60"/>
    <mergeCell ref="S58:S60"/>
    <mergeCell ref="M55:M57"/>
    <mergeCell ref="N55:N57"/>
    <mergeCell ref="O55:O57"/>
    <mergeCell ref="Q55:Q57"/>
    <mergeCell ref="S55:S57"/>
    <mergeCell ref="L55:L57"/>
    <mergeCell ref="B52:B54"/>
    <mergeCell ref="D52:D54"/>
    <mergeCell ref="I52:I54"/>
    <mergeCell ref="J52:J54"/>
    <mergeCell ref="K52:K54"/>
    <mergeCell ref="N46:N48"/>
    <mergeCell ref="O46:O48"/>
    <mergeCell ref="Q46:Q48"/>
    <mergeCell ref="S46:S48"/>
    <mergeCell ref="B49:B51"/>
    <mergeCell ref="D49:D51"/>
    <mergeCell ref="I49:I51"/>
    <mergeCell ref="J49:J51"/>
    <mergeCell ref="K49:K51"/>
    <mergeCell ref="L49:L51"/>
    <mergeCell ref="L52:L54"/>
    <mergeCell ref="M52:M54"/>
    <mergeCell ref="N52:N54"/>
    <mergeCell ref="O52:O54"/>
    <mergeCell ref="Q52:Q54"/>
    <mergeCell ref="S52:S54"/>
    <mergeCell ref="M49:M51"/>
    <mergeCell ref="N49:N51"/>
    <mergeCell ref="O49:O51"/>
    <mergeCell ref="Q43:Q45"/>
    <mergeCell ref="S43:S45"/>
    <mergeCell ref="B46:B48"/>
    <mergeCell ref="D46:D48"/>
    <mergeCell ref="I46:I48"/>
    <mergeCell ref="J46:J48"/>
    <mergeCell ref="K46:K48"/>
    <mergeCell ref="L46:L48"/>
    <mergeCell ref="M46:M48"/>
    <mergeCell ref="B43:B45"/>
    <mergeCell ref="D43:D45"/>
    <mergeCell ref="I43:I45"/>
    <mergeCell ref="J43:J45"/>
    <mergeCell ref="K43:K45"/>
    <mergeCell ref="L43:L45"/>
    <mergeCell ref="M43:M45"/>
    <mergeCell ref="N43:N45"/>
    <mergeCell ref="O43:O45"/>
    <mergeCell ref="B36:S36"/>
    <mergeCell ref="B40:B42"/>
    <mergeCell ref="D40:D42"/>
    <mergeCell ref="I40:I42"/>
    <mergeCell ref="J40:J42"/>
    <mergeCell ref="K40:K42"/>
    <mergeCell ref="L40:L42"/>
    <mergeCell ref="M40:M42"/>
    <mergeCell ref="N40:N42"/>
    <mergeCell ref="O40:O42"/>
    <mergeCell ref="Q40:Q42"/>
    <mergeCell ref="S40:S42"/>
    <mergeCell ref="D31:Q31"/>
    <mergeCell ref="D32:E33"/>
    <mergeCell ref="F32:I32"/>
    <mergeCell ref="J32:N32"/>
    <mergeCell ref="O32:P32"/>
    <mergeCell ref="F33:I33"/>
    <mergeCell ref="J33:N33"/>
    <mergeCell ref="O33:P33"/>
    <mergeCell ref="D17:H17"/>
    <mergeCell ref="D19:H19"/>
    <mergeCell ref="O19:O24"/>
    <mergeCell ref="Q19:Q24"/>
    <mergeCell ref="R19:R24"/>
    <mergeCell ref="D20:H20"/>
    <mergeCell ref="D21:H21"/>
    <mergeCell ref="D22:H22"/>
    <mergeCell ref="D23:H23"/>
    <mergeCell ref="D24:H24"/>
    <mergeCell ref="B2:B3"/>
    <mergeCell ref="C2:P3"/>
    <mergeCell ref="Q2:S2"/>
    <mergeCell ref="Q3:S3"/>
    <mergeCell ref="D8:R8"/>
    <mergeCell ref="F15:K15"/>
    <mergeCell ref="L15:M15"/>
    <mergeCell ref="N15:O15"/>
  </mergeCells>
  <conditionalFormatting sqref="D55 D58">
    <cfRule type="expression" dxfId="104" priority="11">
      <formula>AND(D55="VALIDA")</formula>
    </cfRule>
    <cfRule type="containsText" dxfId="103" priority="10" operator="containsText" text="NO">
      <formula>NOT(ISERROR(SEARCH("NO",D55)))</formula>
    </cfRule>
  </conditionalFormatting>
  <conditionalFormatting sqref="E55:H60">
    <cfRule type="cellIs" dxfId="102" priority="7" operator="between">
      <formula>$Q$10</formula>
      <formula>100000000000</formula>
    </cfRule>
  </conditionalFormatting>
  <conditionalFormatting sqref="H81:H85">
    <cfRule type="expression" dxfId="101" priority="18">
      <formula>$N$15="Proponente Individual"</formula>
    </cfRule>
  </conditionalFormatting>
  <conditionalFormatting sqref="I55:N55 I58:N58">
    <cfRule type="expression" dxfId="100" priority="9">
      <formula>AND(I55="VALIDA")</formula>
    </cfRule>
  </conditionalFormatting>
  <conditionalFormatting sqref="I55:O55 I58:O58 D55 D58 E55:H60 R56:R57 R59:R60">
    <cfRule type="expression" dxfId="99" priority="42">
      <formula>AND($Q$19="APLICA",$R$19="CUMPLE")</formula>
    </cfRule>
  </conditionalFormatting>
  <conditionalFormatting sqref="I55:O55 I58:O58">
    <cfRule type="containsText" dxfId="98" priority="8" operator="containsText" text="NO">
      <formula>NOT(ISERROR(SEARCH("NO",I55)))</formula>
    </cfRule>
  </conditionalFormatting>
  <conditionalFormatting sqref="I55:O55 Q55:S55 D55 E55:H57 R56:R57">
    <cfRule type="expression" dxfId="97" priority="40">
      <formula>AND($R$19="CUMPLE")</formula>
    </cfRule>
    <cfRule type="expression" dxfId="96" priority="41">
      <formula>AND($Q$19="CUMPLE")</formula>
    </cfRule>
  </conditionalFormatting>
  <conditionalFormatting sqref="J40 J43 J46 J49 J52">
    <cfRule type="cellIs" dxfId="95" priority="33" operator="between">
      <formula>1</formula>
      <formula>35804</formula>
    </cfRule>
  </conditionalFormatting>
  <conditionalFormatting sqref="K19:K24">
    <cfRule type="expression" dxfId="94" priority="25">
      <formula>AND(K19&lt;45602,K19&gt;1)</formula>
    </cfRule>
  </conditionalFormatting>
  <conditionalFormatting sqref="K40 K43 K46 K49 K52">
    <cfRule type="cellIs" dxfId="93" priority="35" operator="between">
      <formula>1</formula>
      <formula>$F$10</formula>
    </cfRule>
    <cfRule type="cellIs" dxfId="92" priority="36" operator="greaterThan">
      <formula>$F$10</formula>
    </cfRule>
  </conditionalFormatting>
  <conditionalFormatting sqref="L19:L24">
    <cfRule type="expression" dxfId="91" priority="12">
      <formula>$L19="SE CLASIFICA"</formula>
    </cfRule>
    <cfRule type="expression" dxfId="90" priority="13">
      <formula>$N$15="Proponente Individual"</formula>
    </cfRule>
    <cfRule type="containsText" dxfId="89" priority="14" operator="containsText" text="CUMPLE">
      <formula>NOT(ISERROR(SEARCH("CUMPLE",L19)))</formula>
    </cfRule>
  </conditionalFormatting>
  <conditionalFormatting sqref="L75:Q75">
    <cfRule type="expression" dxfId="88" priority="32">
      <formula>$I$75&lt;3</formula>
    </cfRule>
  </conditionalFormatting>
  <conditionalFormatting sqref="L76:Q76">
    <cfRule type="expression" dxfId="87" priority="31">
      <formula>$I$75=4</formula>
    </cfRule>
    <cfRule type="expression" dxfId="86" priority="29">
      <formula>$I$75=3</formula>
    </cfRule>
  </conditionalFormatting>
  <conditionalFormatting sqref="L77:Q77">
    <cfRule type="expression" dxfId="85" priority="28">
      <formula>$I$75=5</formula>
    </cfRule>
    <cfRule type="expression" dxfId="84" priority="30">
      <formula>$I$75&gt;=6</formula>
    </cfRule>
  </conditionalFormatting>
  <conditionalFormatting sqref="M40:N40 M43:N43 M46:N46 M49:N49 M52:N52 L65:M70 J80:J85">
    <cfRule type="beginsWith" dxfId="83" priority="37" operator="beginsWith" text="CUMPLE">
      <formula>LEFT(J40,LEN("CUMPLE"))="CUMPLE"</formula>
    </cfRule>
  </conditionalFormatting>
  <conditionalFormatting sqref="M40:O40 M43:O43 M46:O46 M49:O49 M52:O52 L65:M70 J80:J85 O19 J19:J24">
    <cfRule type="containsText" dxfId="82" priority="38" operator="containsText" text="NO">
      <formula>NOT(ISERROR(SEARCH("NO",J19)))</formula>
    </cfRule>
  </conditionalFormatting>
  <conditionalFormatting sqref="N19:N24">
    <cfRule type="containsText" dxfId="81" priority="34" operator="containsText" text="NO">
      <formula>NOT(ISERROR(SEARCH("NO",N19)))</formula>
    </cfRule>
  </conditionalFormatting>
  <conditionalFormatting sqref="O19 J19:J24 N19:N24 R19:R24">
    <cfRule type="containsText" dxfId="80" priority="43" operator="containsText" text="CUMPLE">
      <formula>NOT(ISERROR(SEARCH("CUMPLE",J19)))</formula>
    </cfRule>
  </conditionalFormatting>
  <conditionalFormatting sqref="O40 O43 O46 O49 O52 O55 O58">
    <cfRule type="expression" dxfId="79" priority="39">
      <formula>AND(O40="VALIDA")</formula>
    </cfRule>
  </conditionalFormatting>
  <conditionalFormatting sqref="Q19:Q24">
    <cfRule type="beginsWith" dxfId="78" priority="5" operator="beginsWith" text="NO">
      <formula>LEFT(Q19,LEN("NO"))="NO"</formula>
    </cfRule>
    <cfRule type="containsText" dxfId="77" priority="6" operator="containsText" text="APLICA">
      <formula>NOT(ISERROR(SEARCH("APLICA",Q19)))</formula>
    </cfRule>
  </conditionalFormatting>
  <conditionalFormatting sqref="Q55 Q58 Q40 Q43 Q46 Q49 Q52">
    <cfRule type="cellIs" dxfId="76" priority="17" operator="between">
      <formula>$R$10</formula>
      <formula>100000000000</formula>
    </cfRule>
  </conditionalFormatting>
  <conditionalFormatting sqref="Q92:Q98">
    <cfRule type="beginsWith" dxfId="75" priority="23" operator="beginsWith" text="SUBSANAR">
      <formula>LEFT(Q92,LEN("SUBSANAR"))="SUBSANAR"</formula>
    </cfRule>
  </conditionalFormatting>
  <conditionalFormatting sqref="Q93">
    <cfRule type="containsText" dxfId="74" priority="24" operator="containsText" text="recha">
      <formula>NOT(ISERROR(SEARCH("recha",Q93)))</formula>
    </cfRule>
  </conditionalFormatting>
  <conditionalFormatting sqref="Q96">
    <cfRule type="containsText" dxfId="73" priority="22" operator="containsText" text="recha">
      <formula>NOT(ISERROR(SEARCH("recha",Q96)))</formula>
    </cfRule>
  </conditionalFormatting>
  <conditionalFormatting sqref="Q104:Q125 Q128:Q133">
    <cfRule type="beginsWith" dxfId="72" priority="21" operator="beginsWith" text="SUBSANAR">
      <formula>LEFT(Q104,LEN("SUBSANAR"))="SUBSANAR"</formula>
    </cfRule>
  </conditionalFormatting>
  <conditionalFormatting sqref="Q19:R24">
    <cfRule type="containsText" dxfId="71" priority="4" operator="containsText" text="NO">
      <formula>NOT(ISERROR(SEARCH("NO",Q19)))</formula>
    </cfRule>
  </conditionalFormatting>
  <conditionalFormatting sqref="Q2:S2">
    <cfRule type="expression" dxfId="70" priority="2">
      <formula>$Q$3="CUMPLE"</formula>
    </cfRule>
    <cfRule type="expression" dxfId="69" priority="3">
      <formula>$Q$3="NO CUMPLE"</formula>
    </cfRule>
    <cfRule type="expression" dxfId="68" priority="1">
      <formula>$Q$3="OFERTA RECHAZADA"</formula>
    </cfRule>
  </conditionalFormatting>
  <conditionalFormatting sqref="Q3:S3">
    <cfRule type="beginsWith" dxfId="67" priority="26" operator="beginsWith" text="OFERTA">
      <formula>LEFT(Q3,LEN("OFERTA"))="OFERTA"</formula>
    </cfRule>
    <cfRule type="beginsWith" dxfId="66" priority="27" operator="beginsWith" text="cumple">
      <formula>LEFT(Q3,LEN("cumple"))="cumple"</formula>
    </cfRule>
    <cfRule type="beginsWith" dxfId="65" priority="19" operator="beginsWith" text="NO">
      <formula>LEFT(Q3,LEN("NO"))="NO"</formula>
    </cfRule>
  </conditionalFormatting>
  <conditionalFormatting sqref="Q55:S55 Q58:S58">
    <cfRule type="expression" dxfId="64" priority="16">
      <formula>AND($Q$19="APLICA",$R$19="CUMPLE")</formula>
    </cfRule>
  </conditionalFormatting>
  <conditionalFormatting sqref="R40:R60">
    <cfRule type="cellIs" dxfId="63" priority="44" operator="between">
      <formula>$Q$10</formula>
      <formula>100000000000</formula>
    </cfRule>
  </conditionalFormatting>
  <conditionalFormatting sqref="S40 S43 S46 S49 S52 S55 S58">
    <cfRule type="cellIs" dxfId="62" priority="46" operator="between">
      <formula>$L$10/2</formula>
      <formula>1000000000000</formula>
    </cfRule>
  </conditionalFormatting>
  <conditionalFormatting sqref="S55 S58 S40 S43 S46 S49 S52">
    <cfRule type="expression" dxfId="61" priority="45">
      <formula>AND(J40&lt;35804,J40&gt;1)</formula>
    </cfRule>
  </conditionalFormatting>
  <conditionalFormatting sqref="S55 S58">
    <cfRule type="cellIs" dxfId="60" priority="15" operator="between">
      <formula>1</formula>
      <formula>35804</formula>
    </cfRule>
  </conditionalFormatting>
  <dataValidations count="14">
    <dataValidation type="list" allowBlank="1" showInputMessage="1" showErrorMessage="1" promptTitle="EXPERIENCIA OBRA" prompt="NO APLICA LA SIGUIENTE EXPERIENCIA_x000a__x000a_PARQUEADEROS 1 PISO_x000a_INFRAESTRUCTURA DE TRANSPORTE_x000a_OBRAS HIDRAHULICAS (represas, alcantarillados acueductos..etc)_x000a_OBRAS DE URBANISMO Y PAISAJISMO" sqref="M40:M60" xr:uid="{84A3E1C2-A15C-4E85-865F-1AC3E1AB0582}">
      <formula1>"Cumple,No Cumple"</formula1>
    </dataValidation>
    <dataValidation type="list" allowBlank="1" showInputMessage="1" showErrorMessage="1" sqref="E43:E60" xr:uid="{9DEE4383-7063-4354-A0F5-9397A955FD8B}">
      <formula1>$D$19:$D$28</formula1>
    </dataValidation>
    <dataValidation type="list" allowBlank="1" showInputMessage="1" showErrorMessage="1" promptTitle="MODALIDAD" prompt="_x000a_I = INDIVIDUAL_x000a_C= CONSORCIO_x000a_UT = UNIÓN TEMPORAL" sqref="F40:F60" xr:uid="{DAD6B097-18DA-4A37-84B5-995B1BC3694D}">
      <formula1>"I , C , UT"</formula1>
    </dataValidation>
    <dataValidation type="list" allowBlank="1" showInputMessage="1" showErrorMessage="1" promptTitle="El Formato 3 – Experiencia" prompt="Todos los proponentes deben diligenciar el Formato 3 – Experiencia" sqref="O19:O24" xr:uid="{B5250540-2D19-440D-91F1-8D3EC15DF7ED}">
      <formula1>"CUMPLE,NO CUMPLE"</formula1>
    </dataValidation>
    <dataValidation type="list" allowBlank="1" showInputMessage="1" showErrorMessage="1" errorTitle="ADVERTENCIA" error="POR FAVOR TEN EN CUENTA LAS OPCIONES UNICAS DE SELECCION" promptTitle="VERIFICAR RUP" prompt="Para acreditar la condición de Mipyme, el Proponente entregará copia del certificado del Registro Único de Proponentes, el cual deberá encontrarse vigente y en firme al momento de su presentación." sqref="L19:L24" xr:uid="{66070960-33F1-411E-A62E-EFB5D117CB09}">
      <formula1>"SE CLASIFICA, NO SE CLASIFICA"</formula1>
    </dataValidation>
    <dataValidation type="list" allowBlank="1" showInputMessage="1" showErrorMessage="1" sqref="E40:E42" xr:uid="{83EA998D-90C9-4681-BFE7-71E44920BE86}">
      <formula1>$D$19:$D$25</formula1>
    </dataValidation>
    <dataValidation type="whole" allowBlank="1" showErrorMessage="1" sqref="D15:E15" xr:uid="{B0B41E4A-3DD5-400A-9BF3-8468F835A4A3}">
      <formula1>1</formula1>
      <formula2>100</formula2>
    </dataValidation>
    <dataValidation type="list" allowBlank="1" showInputMessage="1" showErrorMessage="1" promptTitle="Codigos" prompt="72-12-14_x000a_72-15-15_x000a_72-15-19_x000a_72-15-29" sqref="N40 N43 N46 N49 N52 N55 N58" xr:uid="{D05E813E-4E5F-4069-A10A-230FD6962927}">
      <formula1>"Cumple,No Cumple"</formula1>
    </dataValidation>
    <dataValidation allowBlank="1" showInputMessage="1" showErrorMessage="1" promptTitle="AREA" prompt="_x000a_Registre el área total certificada en los documentos del contrato" sqref="L40 L43 L46 L49 L52 L55 L58" xr:uid="{7A00DD2D-B1CE-4385-8C08-B82F417943CA}"/>
    <dataValidation type="list" allowBlank="1" showInputMessage="1" showErrorMessage="1" promptTitle="VIGENCIA T FIRMEZA " prompt="Haz clik en la Lupa para verificar firmeza del RUP" sqref="J19:J24" xr:uid="{CBD11D05-E7F1-4726-933A-B57497805E47}">
      <formula1>"CUMPLE,NO CUMPLE"</formula1>
    </dataValidation>
    <dataValidation type="list" allowBlank="1" showInputMessage="1" showErrorMessage="1" promptTitle="El Formato 3 – Experiencia" prompt="Todos los proponentes deben diligenciar el Formato 3 – Experiencia" sqref="M19:M24" xr:uid="{C77292FA-31E5-4DF4-8EA8-324E1292A316}">
      <formula1>"SE ANEXA, NO ANEXA"</formula1>
    </dataValidation>
    <dataValidation allowBlank="1" showInputMessage="1" showErrorMessage="1" promptTitle="NSR 10" prompt="Literal H. _x000a_Por lo menos 1 contrato debe iniciar ejecución posterior a la fecha 10 de julio de 2010 NSR 10" sqref="L66:M66 L70" xr:uid="{FDD71BBF-3EF5-4199-BB07-13D9135079E1}"/>
    <dataValidation allowBlank="1" showInputMessage="1" showErrorMessage="1" promptTitle="NSR 98" prompt="Literal E : Iniciar ejecución déspues del 9 de enero de 1998_x000a_Literal F : Solo 1 contrato relacionado con edificaciones puede  iniciar ejecución antes del 9 de enero de 1998." sqref="F65 L65" xr:uid="{7A1452CC-2495-4D0B-9F62-1478BD58755C}"/>
    <dataValidation allowBlank="1" showInputMessage="1" showErrorMessage="1" errorTitle="ADVERTENCIA" error="POR FAVOR TEN EN CUENTA LAS OPCIONES UNICAS DE SELECCION" sqref="N19:N24" xr:uid="{CBAC4246-736A-4FC0-9024-A40E217B5592}"/>
  </dataValidations>
  <hyperlinks>
    <hyperlink ref="B40" location="EXPERIENCIA!B90" display="Certificación 1" xr:uid="{7FA3E7AB-9352-43AF-82BE-E1FD6310D530}"/>
    <hyperlink ref="B43" location="EXPERIENCIA!B93" display="Certificación 2" xr:uid="{30AB52EA-2781-4F46-8AA3-73131786261E}"/>
    <hyperlink ref="B46" location="EXPERIENCIA!B96" display="Certificación 3" xr:uid="{FC008DDD-4053-45BA-B2EB-25526797E026}"/>
    <hyperlink ref="B49" location="EXPERIENCIA!B99" display="Certificación 4" xr:uid="{61B07508-9591-4791-AE1A-39F9ED3E4D88}"/>
    <hyperlink ref="B52" location="EXPERIENCIA!B102" display="Certificación 5" xr:uid="{D8A187D9-E016-4B9C-AC48-C4293BBB2DFA}"/>
    <hyperlink ref="B55" location="EXPERIENCIA!B105" display="Certificación 6" xr:uid="{36D61305-55FE-44D6-A8A6-496EC0B73746}"/>
    <hyperlink ref="B58" location="EXPERIENCIA!B108" display="Certificación 7" xr:uid="{1F739064-122F-4E37-8339-2BBC8C60B615}"/>
    <hyperlink ref="B104:B106" location="EXPERIENCIA!B40" display="Certificación 1" xr:uid="{9C72EC1B-28F4-4FD0-9222-FC21F6EC1E90}"/>
    <hyperlink ref="B107:B109" location="EXPERIENCIA!B43" display="Certificación 2" xr:uid="{EC19F6A1-A7B9-49B7-B106-F155B5CA1213}"/>
    <hyperlink ref="B110:B112" location="EXPERIENCIA!B46" display="Certificación 3" xr:uid="{73A7BBB1-8775-485F-9CE8-DC05E0BF0202}"/>
    <hyperlink ref="B113:B115" location="EXPERIENCIA!B49" display="Certificación 4" xr:uid="{846213B6-718B-47C8-B7F9-F9E14DA15EC7}"/>
    <hyperlink ref="B116:B118" location="EXPERIENCIA!B52" display="Certificación 5" xr:uid="{8A789892-D9A8-4FF4-9578-6384A5E3DEF9}"/>
    <hyperlink ref="B119:B121" location="EXPERIENCIA!B55" display="Certificación 6" xr:uid="{FC30B839-DAC8-402B-9FF4-A26205A1ECB0}"/>
    <hyperlink ref="B122:B124" location="EXPERIENCIA!B58" display="Certificación 7" xr:uid="{9BB5E62F-8D15-4D89-9799-035E0FEC0477}"/>
    <hyperlink ref="B40:B42" location="EXPERIENCIA!B104" display="Certificación 1" xr:uid="{65DBF0F2-DC9F-4249-B453-77D5C3F4DC7F}"/>
    <hyperlink ref="B43:B45" location="EXPERIENCIA!B107" display="Certificación 2" xr:uid="{A1C0D03C-9749-49F0-8E0E-DCF4446F7339}"/>
    <hyperlink ref="B46:B48" location="EXPERIENCIA!B110" display="Certificación 3" xr:uid="{82583665-CBF7-44B0-A576-CC150FC5DE78}"/>
    <hyperlink ref="B49:B51" location="EXPERIENCIA!B114" display="Certificación 4" xr:uid="{87D7D18F-EF8E-4E15-A7C6-5F69B32705CE}"/>
    <hyperlink ref="B52:B54" location="EXPERIENCIA!B116" display="Certificación 5" xr:uid="{1E6D4ADB-F40A-4FD9-ACA9-0077F401F7C2}"/>
    <hyperlink ref="B55:B57" location="EXPERIENCIA!B120" display="Certificación 6" xr:uid="{51E77E5C-8BFD-4660-8C90-3746938724E3}"/>
    <hyperlink ref="B58:B60" location="EXPERIENCIA!B124" display="Certificación 7" xr:uid="{99E0FA17-62EB-47C5-AFFB-F439E5391EBF}"/>
  </hyperlinks>
  <printOptions horizontalCentered="1"/>
  <pageMargins left="0" right="0" top="0" bottom="0" header="0" footer="0"/>
  <pageSetup paperSize="5" scale="33" fitToHeight="7" orientation="landscape" r:id="rId1"/>
  <headerFooter alignWithMargins="0"/>
  <rowBreaks count="1" manualBreakCount="1">
    <brk id="32" max="1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BF479-94C7-4BEC-9B6F-5DEB94C4D0DF}">
  <sheetPr codeName="Hoja3">
    <tabColor theme="7" tint="0.59999389629810485"/>
    <pageSetUpPr fitToPage="1"/>
  </sheetPr>
  <dimension ref="A1:L93"/>
  <sheetViews>
    <sheetView showGridLines="0" tabSelected="1" view="pageBreakPreview" topLeftCell="A29" zoomScale="85" zoomScaleNormal="100" zoomScaleSheetLayoutView="85" workbookViewId="0">
      <selection activeCell="M15" sqref="M15:N15"/>
    </sheetView>
  </sheetViews>
  <sheetFormatPr baseColWidth="10" defaultColWidth="14.375" defaultRowHeight="15" customHeight="1"/>
  <cols>
    <col min="1" max="1" width="42.75" style="136" customWidth="1"/>
    <col min="2" max="2" width="30.75" style="136" customWidth="1"/>
    <col min="3" max="3" width="37.125" style="136" customWidth="1"/>
    <col min="4" max="4" width="24.625" style="136" customWidth="1"/>
    <col min="5" max="5" width="27.125" style="136" customWidth="1"/>
    <col min="6" max="6" width="25.75" style="136" customWidth="1"/>
    <col min="7" max="7" width="20.25" style="136" customWidth="1"/>
    <col min="8" max="8" width="20.875" style="136" customWidth="1"/>
    <col min="9" max="9" width="4.875" style="138" customWidth="1"/>
    <col min="10" max="10" width="40.875" style="136" bestFit="1" customWidth="1"/>
    <col min="11" max="29" width="10.75" style="136" customWidth="1"/>
    <col min="30" max="16384" width="14.375" style="136"/>
  </cols>
  <sheetData>
    <row r="1" spans="1:12" ht="98.25" customHeight="1">
      <c r="A1" s="132"/>
      <c r="B1" s="608" t="s">
        <v>135</v>
      </c>
      <c r="C1" s="608"/>
      <c r="D1" s="608"/>
      <c r="E1" s="608"/>
      <c r="F1" s="608"/>
      <c r="G1" s="609" t="str">
        <f>+[1]OFERENTES!C2</f>
        <v>MC-LP-010-2024</v>
      </c>
      <c r="H1" s="609"/>
      <c r="I1" s="133"/>
      <c r="J1" s="134"/>
      <c r="K1" s="135">
        <v>1</v>
      </c>
      <c r="L1" s="135" t="s">
        <v>136</v>
      </c>
    </row>
    <row r="2" spans="1:12" s="138" customFormat="1" ht="16.5" customHeight="1">
      <c r="A2" s="133"/>
      <c r="B2" s="133"/>
      <c r="C2" s="133"/>
      <c r="D2" s="133"/>
      <c r="E2" s="132"/>
      <c r="F2" s="133"/>
      <c r="G2" s="133"/>
      <c r="H2" s="133"/>
      <c r="I2" s="133"/>
      <c r="J2" s="137" t="s">
        <v>137</v>
      </c>
      <c r="K2" s="137">
        <v>2</v>
      </c>
      <c r="L2" s="137" t="s">
        <v>138</v>
      </c>
    </row>
    <row r="3" spans="1:12" ht="40.5" customHeight="1">
      <c r="A3" s="139" t="s">
        <v>139</v>
      </c>
      <c r="B3" s="269">
        <f>+EXPERIENCIA!D15</f>
        <v>45</v>
      </c>
      <c r="C3" s="140" t="s">
        <v>140</v>
      </c>
      <c r="D3" s="610" t="str">
        <f>IF($B$3&gt;0,(VLOOKUP($B$3,[1]OFERENTES!$A$8:$W$1027,2,FALSE)),"")</f>
        <v>LAEL CONSTRUCCIONES S.A.S</v>
      </c>
      <c r="E3" s="611"/>
      <c r="F3" s="141" t="s">
        <v>2</v>
      </c>
      <c r="G3" s="610" t="str">
        <f>IFERROR(VLOOKUP($B$3,[1]OFERENTES!$A$8:$AA$1027,26,FALSE),"")</f>
        <v>Proponente Individual</v>
      </c>
      <c r="H3" s="611"/>
      <c r="I3" s="133"/>
    </row>
    <row r="4" spans="1:12" ht="17.25" customHeight="1">
      <c r="A4" s="139"/>
      <c r="B4" s="139"/>
      <c r="C4" s="139"/>
      <c r="D4" s="139"/>
      <c r="E4" s="139"/>
      <c r="F4" s="139"/>
      <c r="G4" s="139"/>
      <c r="H4" s="139"/>
      <c r="I4" s="133"/>
    </row>
    <row r="5" spans="1:12" ht="40.5" customHeight="1">
      <c r="A5" s="139"/>
      <c r="B5" s="139"/>
      <c r="C5" s="139"/>
      <c r="D5" s="139"/>
      <c r="E5" s="139"/>
      <c r="F5" s="142" t="s">
        <v>141</v>
      </c>
      <c r="G5" s="612" t="str">
        <f>IFERROR(VLOOKUP($B$3,[1]OFERENTES!$A$8:$S$31,19,FALSE),"")</f>
        <v/>
      </c>
      <c r="H5" s="613"/>
      <c r="I5" s="133"/>
    </row>
    <row r="6" spans="1:12" s="138" customFormat="1" ht="12" customHeight="1">
      <c r="A6" s="143"/>
      <c r="B6" s="143"/>
      <c r="C6" s="143"/>
      <c r="D6" s="143"/>
      <c r="E6" s="143"/>
      <c r="F6" s="143"/>
      <c r="G6" s="143"/>
      <c r="H6" s="143"/>
      <c r="I6" s="133"/>
    </row>
    <row r="7" spans="1:12" ht="31.5" customHeight="1">
      <c r="A7" s="614" t="s">
        <v>142</v>
      </c>
      <c r="B7" s="614"/>
      <c r="C7" s="614"/>
      <c r="D7" s="614"/>
      <c r="E7" s="615"/>
      <c r="F7" s="615"/>
      <c r="G7" s="615"/>
      <c r="H7" s="615"/>
      <c r="I7" s="133"/>
    </row>
    <row r="8" spans="1:12" ht="51.75" customHeight="1">
      <c r="A8" s="616" t="s">
        <v>143</v>
      </c>
      <c r="B8" s="616"/>
      <c r="C8" s="616"/>
      <c r="D8" s="616"/>
      <c r="E8" s="616"/>
      <c r="F8" s="145" t="s">
        <v>144</v>
      </c>
      <c r="G8" s="146" t="s">
        <v>145</v>
      </c>
      <c r="H8" s="146" t="s">
        <v>146</v>
      </c>
      <c r="I8" s="133"/>
    </row>
    <row r="9" spans="1:12" ht="36" customHeight="1">
      <c r="A9" s="606" t="s">
        <v>147</v>
      </c>
      <c r="B9" s="606"/>
      <c r="C9" s="606"/>
      <c r="D9" s="606"/>
      <c r="E9" s="617"/>
      <c r="F9" s="147" t="s">
        <v>10</v>
      </c>
      <c r="G9" s="148">
        <v>10</v>
      </c>
      <c r="H9" s="618">
        <f>IF(AND($F$9="SI",$F$10="NO")=TRUE,G9,IF(AND($F$9="si",$F$10="si"),$G$9-$G$10,0))</f>
        <v>10</v>
      </c>
      <c r="I9" s="133"/>
    </row>
    <row r="10" spans="1:12" ht="61.5" customHeight="1">
      <c r="A10" s="606" t="s">
        <v>148</v>
      </c>
      <c r="B10" s="606"/>
      <c r="C10" s="606"/>
      <c r="D10" s="606"/>
      <c r="E10" s="363" t="s">
        <v>149</v>
      </c>
      <c r="F10" s="147" t="s">
        <v>6</v>
      </c>
      <c r="G10" s="148">
        <v>1</v>
      </c>
      <c r="H10" s="618"/>
      <c r="I10" s="133"/>
      <c r="J10" s="150" t="s">
        <v>149</v>
      </c>
    </row>
    <row r="11" spans="1:12" ht="409.5" customHeight="1">
      <c r="A11" s="619"/>
      <c r="B11" s="620"/>
      <c r="C11" s="620"/>
      <c r="D11" s="620"/>
      <c r="E11" s="620"/>
      <c r="F11" s="620"/>
      <c r="G11" s="620"/>
      <c r="H11" s="621"/>
      <c r="I11" s="133"/>
      <c r="J11" s="150"/>
    </row>
    <row r="12" spans="1:12" ht="82.5" customHeight="1">
      <c r="A12" s="605" t="s">
        <v>150</v>
      </c>
      <c r="B12" s="152" t="s">
        <v>151</v>
      </c>
      <c r="C12" s="606" t="str">
        <f>IF($F$9="NO",[1]RESPUESTAS!$D$19,[1]RESPUESTAS!$C$19)</f>
        <v>SIN OBSERVACIONES</v>
      </c>
      <c r="D12" s="606"/>
      <c r="E12" s="606"/>
      <c r="F12" s="606"/>
      <c r="G12" s="606"/>
      <c r="H12" s="606"/>
      <c r="I12" s="133"/>
    </row>
    <row r="13" spans="1:12" ht="82.5" customHeight="1">
      <c r="A13" s="605"/>
      <c r="B13" s="152" t="s">
        <v>152</v>
      </c>
      <c r="C13" s="606" t="str">
        <f>IF($F$10="SI",[1]RESPUESTAS!$E$19,[1]RESPUESTAS!$C$19)</f>
        <v>SIN OBSERVACIONES</v>
      </c>
      <c r="D13" s="606"/>
      <c r="E13" s="606"/>
      <c r="F13" s="606"/>
      <c r="G13" s="606"/>
      <c r="H13" s="606"/>
      <c r="I13" s="133"/>
    </row>
    <row r="14" spans="1:12" ht="236.25" customHeight="1">
      <c r="A14" s="605"/>
      <c r="B14" s="153" t="s">
        <v>153</v>
      </c>
      <c r="C14" s="607" t="str">
        <f>+[1]RESPUESTAS!H19</f>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
      <c r="D14" s="607"/>
      <c r="E14" s="607"/>
      <c r="F14" s="607"/>
      <c r="G14" s="607"/>
      <c r="H14" s="607"/>
      <c r="I14" s="133"/>
    </row>
    <row r="15" spans="1:12" s="138" customFormat="1" ht="86.25" customHeight="1">
      <c r="A15" s="622"/>
      <c r="B15" s="623"/>
      <c r="C15" s="623"/>
      <c r="D15" s="623"/>
      <c r="E15" s="623"/>
      <c r="F15" s="623"/>
      <c r="G15" s="623"/>
      <c r="H15" s="623"/>
      <c r="I15" s="623"/>
    </row>
    <row r="16" spans="1:12" ht="32.25" customHeight="1">
      <c r="A16" s="614" t="s">
        <v>154</v>
      </c>
      <c r="B16" s="614"/>
      <c r="C16" s="614"/>
      <c r="D16" s="614"/>
      <c r="E16" s="615"/>
      <c r="F16" s="615"/>
      <c r="G16" s="615"/>
      <c r="H16" s="615"/>
      <c r="I16" s="133"/>
    </row>
    <row r="17" spans="1:9" ht="52.5" customHeight="1">
      <c r="A17" s="616" t="s">
        <v>143</v>
      </c>
      <c r="B17" s="616"/>
      <c r="C17" s="616"/>
      <c r="D17" s="616"/>
      <c r="E17" s="616"/>
      <c r="F17" s="145" t="s">
        <v>144</v>
      </c>
      <c r="G17" s="146" t="s">
        <v>145</v>
      </c>
      <c r="H17" s="146" t="s">
        <v>146</v>
      </c>
      <c r="I17" s="133"/>
    </row>
    <row r="18" spans="1:9" ht="148.5" customHeight="1">
      <c r="A18" s="624" t="s">
        <v>155</v>
      </c>
      <c r="B18" s="624"/>
      <c r="C18" s="624"/>
      <c r="D18" s="624"/>
      <c r="E18" s="624"/>
      <c r="F18" s="147" t="s">
        <v>10</v>
      </c>
      <c r="G18" s="148">
        <v>9</v>
      </c>
      <c r="H18" s="149">
        <f>IF(F18="SI",9,0)</f>
        <v>9</v>
      </c>
      <c r="I18" s="133"/>
    </row>
    <row r="19" spans="1:9" ht="50.25" customHeight="1">
      <c r="A19" s="616" t="s">
        <v>150</v>
      </c>
      <c r="B19" s="154" t="s">
        <v>156</v>
      </c>
      <c r="C19" s="606" t="str">
        <f>IF($F$18="NO",[1]RESPUESTAS!$D$20,[1]RESPUESTAS!$C$20)</f>
        <v>SIN OBSERVACIONES</v>
      </c>
      <c r="D19" s="606"/>
      <c r="E19" s="606"/>
      <c r="F19" s="606"/>
      <c r="G19" s="606"/>
      <c r="H19" s="606"/>
      <c r="I19" s="133"/>
    </row>
    <row r="20" spans="1:9" ht="144" customHeight="1">
      <c r="A20" s="616"/>
      <c r="B20" s="153" t="s">
        <v>153</v>
      </c>
      <c r="C20" s="607" t="str">
        <f>+[1]RESPUESTAS!H20</f>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
      <c r="D20" s="607"/>
      <c r="E20" s="607"/>
      <c r="F20" s="607"/>
      <c r="G20" s="607"/>
      <c r="H20" s="607"/>
      <c r="I20" s="133"/>
    </row>
    <row r="21" spans="1:9" s="155" customFormat="1" ht="84" customHeight="1">
      <c r="A21" s="626"/>
      <c r="B21" s="627"/>
      <c r="C21" s="627"/>
      <c r="D21" s="627"/>
      <c r="E21" s="627"/>
      <c r="F21" s="627"/>
      <c r="G21" s="627"/>
      <c r="H21" s="627"/>
      <c r="I21" s="627"/>
    </row>
    <row r="22" spans="1:9" ht="27" customHeight="1">
      <c r="A22" s="616" t="s">
        <v>157</v>
      </c>
      <c r="B22" s="616"/>
      <c r="C22" s="616"/>
      <c r="D22" s="616"/>
      <c r="E22" s="628"/>
      <c r="F22" s="628"/>
      <c r="G22" s="628"/>
      <c r="H22" s="628"/>
      <c r="I22" s="133"/>
    </row>
    <row r="23" spans="1:9" ht="53.25" customHeight="1">
      <c r="A23" s="605" t="s">
        <v>158</v>
      </c>
      <c r="B23" s="629"/>
      <c r="C23" s="629"/>
      <c r="D23" s="629"/>
      <c r="E23" s="630"/>
      <c r="F23" s="145" t="s">
        <v>144</v>
      </c>
      <c r="G23" s="146" t="s">
        <v>145</v>
      </c>
      <c r="H23" s="146" t="s">
        <v>146</v>
      </c>
      <c r="I23" s="133"/>
    </row>
    <row r="24" spans="1:9" ht="41.25" customHeight="1">
      <c r="A24" s="631" t="s">
        <v>159</v>
      </c>
      <c r="B24" s="631"/>
      <c r="C24" s="631"/>
      <c r="D24" s="631"/>
      <c r="E24" s="631"/>
      <c r="F24" s="147" t="s">
        <v>10</v>
      </c>
      <c r="G24" s="632">
        <v>20</v>
      </c>
      <c r="H24" s="618">
        <f>IF($F$42="SI",$G$42,IF(AND($F$28="SI",$F$24="SI",COUNTIF($F$25:$F$27,"SI")&gt;=1,$F$29="SI"),$F$30,IF(AND($F$28="NO",$F$24="SI",COUNTIF($F$25:$F$27,"SI")&gt;=1),20,0)))</f>
        <v>20</v>
      </c>
      <c r="I24" s="133"/>
    </row>
    <row r="25" spans="1:9" ht="35.25" customHeight="1">
      <c r="A25" s="633" t="s">
        <v>160</v>
      </c>
      <c r="B25" s="633"/>
      <c r="C25" s="633"/>
      <c r="D25" s="633"/>
      <c r="E25" s="633"/>
      <c r="F25" s="147"/>
      <c r="G25" s="632"/>
      <c r="H25" s="618"/>
      <c r="I25" s="133"/>
    </row>
    <row r="26" spans="1:9" ht="35.25" customHeight="1">
      <c r="A26" s="633" t="s">
        <v>161</v>
      </c>
      <c r="B26" s="633"/>
      <c r="C26" s="633"/>
      <c r="D26" s="633"/>
      <c r="E26" s="633"/>
      <c r="F26" s="147"/>
      <c r="G26" s="632"/>
      <c r="H26" s="618"/>
      <c r="I26" s="133"/>
    </row>
    <row r="27" spans="1:9" ht="35.25" customHeight="1">
      <c r="A27" s="633" t="s">
        <v>162</v>
      </c>
      <c r="B27" s="633"/>
      <c r="C27" s="633"/>
      <c r="D27" s="633"/>
      <c r="E27" s="633"/>
      <c r="F27" s="147" t="s">
        <v>10</v>
      </c>
      <c r="G27" s="632"/>
      <c r="H27" s="618"/>
      <c r="I27" s="133"/>
    </row>
    <row r="28" spans="1:9" ht="38.25" customHeight="1">
      <c r="A28" s="631" t="s">
        <v>163</v>
      </c>
      <c r="B28" s="631"/>
      <c r="C28" s="631"/>
      <c r="D28" s="631"/>
      <c r="E28" s="634"/>
      <c r="F28" s="364" t="s">
        <v>10</v>
      </c>
      <c r="G28" s="632"/>
      <c r="H28" s="618"/>
      <c r="I28" s="133"/>
    </row>
    <row r="29" spans="1:9" ht="38.25" customHeight="1">
      <c r="A29" s="635" t="s">
        <v>164</v>
      </c>
      <c r="B29" s="635"/>
      <c r="C29" s="635"/>
      <c r="D29" s="635"/>
      <c r="E29" s="636"/>
      <c r="F29" s="157" t="s">
        <v>10</v>
      </c>
      <c r="G29" s="632"/>
      <c r="H29" s="618"/>
      <c r="I29" s="133"/>
    </row>
    <row r="30" spans="1:9" ht="47.25">
      <c r="A30" s="158" t="s">
        <v>165</v>
      </c>
      <c r="B30" s="159">
        <f>COUNTA(B34:D41)</f>
        <v>3</v>
      </c>
      <c r="C30" s="158" t="s">
        <v>166</v>
      </c>
      <c r="D30" s="159">
        <f>COUNTIF($F$34:$F$41,"SI")</f>
        <v>3</v>
      </c>
      <c r="E30" s="160" t="s">
        <v>167</v>
      </c>
      <c r="F30" s="159">
        <f>(IF(F34="SI",E34,0))+(IF(F35="SI",E35,0))+(IF(F36="SI",E36,0))+(IF(F37="SI",E37,0))</f>
        <v>20</v>
      </c>
      <c r="G30" s="632"/>
      <c r="H30" s="618"/>
      <c r="I30" s="133"/>
    </row>
    <row r="31" spans="1:9" ht="38.25" customHeight="1">
      <c r="A31" s="605" t="s">
        <v>168</v>
      </c>
      <c r="B31" s="605"/>
      <c r="C31" s="605"/>
      <c r="D31" s="605"/>
      <c r="E31" s="605"/>
      <c r="F31" s="605"/>
      <c r="G31" s="632"/>
      <c r="H31" s="618"/>
      <c r="I31" s="133"/>
    </row>
    <row r="32" spans="1:9" ht="339.75" customHeight="1">
      <c r="A32" s="637"/>
      <c r="B32" s="638"/>
      <c r="C32" s="638"/>
      <c r="D32" s="638"/>
      <c r="E32" s="638"/>
      <c r="F32" s="639"/>
      <c r="G32" s="632"/>
      <c r="H32" s="618"/>
      <c r="I32" s="133"/>
    </row>
    <row r="33" spans="1:9" ht="31.5">
      <c r="A33" s="161" t="s">
        <v>169</v>
      </c>
      <c r="B33" s="640" t="s">
        <v>170</v>
      </c>
      <c r="C33" s="640"/>
      <c r="D33" s="640"/>
      <c r="E33" s="161" t="s">
        <v>171</v>
      </c>
      <c r="F33" s="162" t="s">
        <v>172</v>
      </c>
      <c r="G33" s="632"/>
      <c r="H33" s="618"/>
      <c r="I33" s="133"/>
    </row>
    <row r="34" spans="1:9" ht="25.5" customHeight="1">
      <c r="A34" s="158" t="s">
        <v>173</v>
      </c>
      <c r="B34" s="625" t="s">
        <v>174</v>
      </c>
      <c r="C34" s="625"/>
      <c r="D34" s="625"/>
      <c r="E34" s="163">
        <v>8.4700000000000006</v>
      </c>
      <c r="F34" s="147" t="s">
        <v>10</v>
      </c>
      <c r="G34" s="632"/>
      <c r="H34" s="618"/>
      <c r="I34" s="133"/>
    </row>
    <row r="35" spans="1:9" ht="34.5" customHeight="1">
      <c r="A35" s="158" t="s">
        <v>175</v>
      </c>
      <c r="B35" s="625" t="s">
        <v>176</v>
      </c>
      <c r="C35" s="625"/>
      <c r="D35" s="625"/>
      <c r="E35" s="163">
        <v>8.4700000000000006</v>
      </c>
      <c r="F35" s="147" t="s">
        <v>10</v>
      </c>
      <c r="G35" s="632"/>
      <c r="H35" s="618"/>
      <c r="I35" s="133"/>
    </row>
    <row r="36" spans="1:9" ht="25.5" customHeight="1">
      <c r="A36" s="158">
        <v>3</v>
      </c>
      <c r="B36" s="625" t="s">
        <v>177</v>
      </c>
      <c r="C36" s="625"/>
      <c r="D36" s="625"/>
      <c r="E36" s="163">
        <v>3.06</v>
      </c>
      <c r="F36" s="147" t="s">
        <v>10</v>
      </c>
      <c r="G36" s="632"/>
      <c r="H36" s="618"/>
      <c r="I36" s="133"/>
    </row>
    <row r="37" spans="1:9" ht="25.5" hidden="1" customHeight="1">
      <c r="A37" s="158"/>
      <c r="B37" s="625"/>
      <c r="C37" s="625"/>
      <c r="D37" s="625"/>
      <c r="E37" s="163"/>
      <c r="F37" s="164"/>
      <c r="G37" s="632"/>
      <c r="H37" s="618"/>
      <c r="I37" s="133"/>
    </row>
    <row r="38" spans="1:9" ht="25.5" hidden="1" customHeight="1">
      <c r="A38" s="158"/>
      <c r="B38" s="625"/>
      <c r="C38" s="625"/>
      <c r="D38" s="625"/>
      <c r="E38" s="163"/>
      <c r="F38" s="164"/>
      <c r="G38" s="632"/>
      <c r="H38" s="618"/>
      <c r="I38" s="133"/>
    </row>
    <row r="39" spans="1:9" ht="25.5" hidden="1" customHeight="1">
      <c r="A39" s="158"/>
      <c r="B39" s="625"/>
      <c r="C39" s="625"/>
      <c r="D39" s="625"/>
      <c r="E39" s="163"/>
      <c r="F39" s="164"/>
      <c r="G39" s="632"/>
      <c r="H39" s="618"/>
      <c r="I39" s="133"/>
    </row>
    <row r="40" spans="1:9" ht="25.5" hidden="1" customHeight="1">
      <c r="A40" s="158"/>
      <c r="B40" s="625"/>
      <c r="C40" s="625"/>
      <c r="D40" s="625"/>
      <c r="E40" s="163"/>
      <c r="F40" s="164"/>
      <c r="G40" s="632"/>
      <c r="H40" s="618"/>
      <c r="I40" s="133"/>
    </row>
    <row r="41" spans="1:9" ht="25.5" hidden="1" customHeight="1">
      <c r="A41" s="158"/>
      <c r="B41" s="625"/>
      <c r="C41" s="625"/>
      <c r="D41" s="625"/>
      <c r="E41" s="163"/>
      <c r="F41" s="164"/>
      <c r="G41" s="632"/>
      <c r="H41" s="618"/>
      <c r="I41" s="133"/>
    </row>
    <row r="42" spans="1:9" ht="99.75" customHeight="1">
      <c r="A42" s="643" t="s">
        <v>178</v>
      </c>
      <c r="B42" s="643"/>
      <c r="C42" s="643"/>
      <c r="D42" s="643"/>
      <c r="E42" s="644"/>
      <c r="F42" s="165" t="s">
        <v>6</v>
      </c>
      <c r="G42" s="148">
        <v>5</v>
      </c>
      <c r="H42" s="618"/>
      <c r="I42" s="133"/>
    </row>
    <row r="43" spans="1:9" ht="70.5" customHeight="1">
      <c r="A43" s="605" t="s">
        <v>150</v>
      </c>
      <c r="B43" s="156" t="s">
        <v>179</v>
      </c>
      <c r="C43" s="606" t="str">
        <f>IF(AND($F$24="",$F$42=""),"",IF(AND($F$24="NO",$F$42="NO"),[1]RESPUESTAS!$E$21,IF($F$24="NO",[1]RESPUESTAS!$D$21,IF(AND($F$24="SI",COUNTIF($F$25:$F$27,"SI")=0),[1]RESPUESTAS!$G$21,IF($F$42="NO",[1]RESPUESTAS!$F$21,[1]RESPUESTAS!$C$21)))))</f>
        <v>El Proponente NO ANEXO el FORMATO 9B – INCORPORACIÓN DE COMPONENTE NACIONAL EN SERVICIOS EXTRANJEROS , por  lo cual no se realizará la  asignación del puntaje establecido   (5 puntos.)</v>
      </c>
      <c r="D43" s="606"/>
      <c r="E43" s="606"/>
      <c r="F43" s="606"/>
      <c r="G43" s="606"/>
      <c r="H43" s="606"/>
      <c r="I43" s="133"/>
    </row>
    <row r="44" spans="1:9" ht="70.5" customHeight="1">
      <c r="A44" s="605"/>
      <c r="B44" s="156" t="s">
        <v>180</v>
      </c>
      <c r="C44" s="606" t="str">
        <f>IF(F28="NO",[1]RESPUESTAS!E22,[1]RESPUESTAS!D22)</f>
        <v>SIN OBSERVACIONES</v>
      </c>
      <c r="D44" s="606"/>
      <c r="E44" s="606"/>
      <c r="F44" s="606"/>
      <c r="G44" s="606"/>
      <c r="H44" s="606"/>
      <c r="I44" s="133"/>
    </row>
    <row r="45" spans="1:9" ht="354.75" customHeight="1">
      <c r="A45" s="605"/>
      <c r="B45" s="153" t="s">
        <v>181</v>
      </c>
      <c r="C45" s="645" t="str">
        <f>[1]RESPUESTAS!H21</f>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
      <c r="D45" s="645"/>
      <c r="E45" s="645"/>
      <c r="F45" s="645"/>
      <c r="G45" s="645"/>
      <c r="H45" s="645"/>
      <c r="I45" s="133"/>
    </row>
    <row r="46" spans="1:9" s="155" customFormat="1" ht="46.5" customHeight="1">
      <c r="A46" s="641"/>
      <c r="B46" s="642"/>
      <c r="C46" s="642"/>
      <c r="D46" s="642"/>
      <c r="E46" s="642"/>
      <c r="F46" s="642"/>
      <c r="G46" s="642"/>
      <c r="H46" s="642"/>
      <c r="I46" s="642"/>
    </row>
    <row r="47" spans="1:9" ht="42" customHeight="1">
      <c r="A47" s="616" t="s">
        <v>182</v>
      </c>
      <c r="B47" s="616"/>
      <c r="C47" s="616"/>
      <c r="D47" s="616"/>
      <c r="E47" s="628"/>
      <c r="F47" s="628"/>
      <c r="G47" s="628"/>
      <c r="H47" s="628"/>
      <c r="I47" s="133"/>
    </row>
    <row r="48" spans="1:9" ht="51.75" customHeight="1">
      <c r="A48" s="616" t="s">
        <v>143</v>
      </c>
      <c r="B48" s="616"/>
      <c r="C48" s="616"/>
      <c r="D48" s="616"/>
      <c r="E48" s="616"/>
      <c r="F48" s="145" t="s">
        <v>144</v>
      </c>
      <c r="G48" s="146" t="s">
        <v>145</v>
      </c>
      <c r="H48" s="146" t="s">
        <v>146</v>
      </c>
      <c r="I48" s="133"/>
    </row>
    <row r="49" spans="1:9" ht="54.75" customHeight="1">
      <c r="A49" s="649" t="s">
        <v>183</v>
      </c>
      <c r="B49" s="649"/>
      <c r="C49" s="649"/>
      <c r="D49" s="649"/>
      <c r="E49" s="649"/>
      <c r="F49" s="166" t="s">
        <v>10</v>
      </c>
      <c r="G49" s="632">
        <v>1</v>
      </c>
      <c r="H49" s="618">
        <f>IF(COUNTIF($F$49:$F$53,"SI")=2,G49,0)</f>
        <v>1</v>
      </c>
      <c r="I49" s="133"/>
    </row>
    <row r="50" spans="1:9" ht="54.75" customHeight="1">
      <c r="A50" s="649" t="s">
        <v>184</v>
      </c>
      <c r="B50" s="649"/>
      <c r="C50" s="649"/>
      <c r="D50" s="649"/>
      <c r="E50" s="649"/>
      <c r="F50" s="167" t="s">
        <v>185</v>
      </c>
      <c r="G50" s="632"/>
      <c r="H50" s="618"/>
      <c r="I50" s="133"/>
    </row>
    <row r="51" spans="1:9" ht="54.75" customHeight="1">
      <c r="A51" s="650" t="s">
        <v>186</v>
      </c>
      <c r="B51" s="650"/>
      <c r="C51" s="650"/>
      <c r="D51" s="651" t="s">
        <v>76</v>
      </c>
      <c r="E51" s="652"/>
      <c r="F51" s="168">
        <f>IFERROR(VLOOKUP($D$51,EXPERIENCIA!$D$80:$J$85,6,FALSE),0)</f>
        <v>2.1800000000000002</v>
      </c>
      <c r="G51" s="632"/>
      <c r="H51" s="618"/>
      <c r="I51" s="133"/>
    </row>
    <row r="52" spans="1:9" ht="98.25" customHeight="1">
      <c r="A52" s="653" t="s">
        <v>187</v>
      </c>
      <c r="B52" s="169" t="s">
        <v>188</v>
      </c>
      <c r="C52" s="169" t="s">
        <v>189</v>
      </c>
      <c r="D52" s="169" t="s">
        <v>190</v>
      </c>
      <c r="E52" s="170" t="s">
        <v>191</v>
      </c>
      <c r="F52" s="654" t="str">
        <f>IF(AND(D53="SI",C53&gt;=E53),"SI","NO")</f>
        <v>SI</v>
      </c>
      <c r="G52" s="632"/>
      <c r="H52" s="618"/>
      <c r="I52" s="133"/>
    </row>
    <row r="53" spans="1:9" ht="59.25" customHeight="1">
      <c r="A53" s="653"/>
      <c r="B53" s="171">
        <v>1</v>
      </c>
      <c r="C53" s="171">
        <v>1</v>
      </c>
      <c r="D53" s="166" t="s">
        <v>10</v>
      </c>
      <c r="E53" s="172">
        <f>IF($B$53&gt;200,5,IF($B$53&gt;150,4,IF($B$53&gt;100,3,IF($B$53&gt;30,2,IF($B$53&gt;=1,1,0)))))</f>
        <v>1</v>
      </c>
      <c r="F53" s="654"/>
      <c r="G53" s="632"/>
      <c r="H53" s="618"/>
      <c r="I53" s="133"/>
    </row>
    <row r="54" spans="1:9" ht="50.25" customHeight="1">
      <c r="A54" s="605" t="s">
        <v>150</v>
      </c>
      <c r="B54" s="152" t="s">
        <v>192</v>
      </c>
      <c r="C54" s="655" t="str">
        <f>IF($F$49="no",[1]RESPUESTAS!$D$23,[1]RESPUESTAS!$C$23)</f>
        <v>SIN OBSERVACIONES</v>
      </c>
      <c r="D54" s="655"/>
      <c r="E54" s="655"/>
      <c r="F54" s="655"/>
      <c r="G54" s="655"/>
      <c r="H54" s="655"/>
      <c r="I54" s="133"/>
    </row>
    <row r="55" spans="1:9" ht="69.75" customHeight="1">
      <c r="A55" s="605"/>
      <c r="B55" s="152" t="s">
        <v>193</v>
      </c>
      <c r="C55" s="655" t="str">
        <f>IF($F$49="no",[1]RESPUESTAS!$E$23,[1]RESPUESTAS!$C$23)</f>
        <v>SIN OBSERVACIONES</v>
      </c>
      <c r="D55" s="655"/>
      <c r="E55" s="655"/>
      <c r="F55" s="655"/>
      <c r="G55" s="655"/>
      <c r="H55" s="655"/>
      <c r="I55" s="133"/>
    </row>
    <row r="56" spans="1:9" ht="106.5" customHeight="1">
      <c r="A56" s="605"/>
      <c r="B56" s="152" t="s">
        <v>194</v>
      </c>
      <c r="C56" s="656" t="str">
        <f>IF(AND($D$53="no",$C$53&lt;$E$53),CONCATENATE([1]RESPUESTAS!$F$23,"
",[1]RESPUESTAS!$G$23),IF(AND($D$53="SI",$C$53&lt;$E$53),[1]RESPUESTAS!$G$23,IF(AND($D$53="NO",$C$53&gt;=$E$53),[1]RESPUESTAS!$F$23,[1]RESPUESTAS!$C$23)))</f>
        <v>SIN OBSERVACIONES</v>
      </c>
      <c r="D56" s="655"/>
      <c r="E56" s="655"/>
      <c r="F56" s="655"/>
      <c r="G56" s="655"/>
      <c r="H56" s="655"/>
      <c r="I56" s="133"/>
    </row>
    <row r="57" spans="1:9" ht="276" customHeight="1">
      <c r="A57" s="605"/>
      <c r="B57" s="153" t="s">
        <v>181</v>
      </c>
      <c r="C57" s="657" t="str">
        <f>+[1]RESPUESTAS!H23</f>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
      <c r="D57" s="657"/>
      <c r="E57" s="657"/>
      <c r="F57" s="657"/>
      <c r="G57" s="657"/>
      <c r="H57" s="657"/>
      <c r="I57" s="133"/>
    </row>
    <row r="58" spans="1:9" ht="31.5" customHeight="1">
      <c r="A58" s="646"/>
      <c r="B58" s="647"/>
      <c r="C58" s="647"/>
      <c r="D58" s="647"/>
      <c r="E58" s="647"/>
      <c r="F58" s="647"/>
      <c r="G58" s="647"/>
      <c r="H58" s="648"/>
      <c r="I58" s="133"/>
    </row>
    <row r="59" spans="1:9" ht="36.75" customHeight="1">
      <c r="A59" s="616" t="s">
        <v>195</v>
      </c>
      <c r="B59" s="616"/>
      <c r="C59" s="616"/>
      <c r="D59" s="616"/>
      <c r="E59" s="628"/>
      <c r="F59" s="628"/>
      <c r="G59" s="628"/>
      <c r="H59" s="628"/>
      <c r="I59" s="133"/>
    </row>
    <row r="60" spans="1:9" ht="31.5">
      <c r="A60" s="173" t="s">
        <v>196</v>
      </c>
      <c r="B60" s="174" t="s">
        <v>197</v>
      </c>
      <c r="C60" s="174" t="s">
        <v>198</v>
      </c>
      <c r="D60" s="174" t="s">
        <v>199</v>
      </c>
      <c r="E60" s="174" t="s">
        <v>32</v>
      </c>
      <c r="F60" s="175" t="s">
        <v>200</v>
      </c>
      <c r="G60" s="146" t="s">
        <v>145</v>
      </c>
      <c r="H60" s="146" t="s">
        <v>146</v>
      </c>
      <c r="I60" s="133"/>
    </row>
    <row r="61" spans="1:9" ht="46.5" customHeight="1">
      <c r="A61" s="176" t="str" cm="1">
        <f t="array" ref="A61">IFERROR(_xlfn._xlws.FILTER(EXPERIENCIA!$D$19:$D$24,EXPERIENCIA!$A$19:$A$24="v"),"")</f>
        <v>LAEL CONSTRUCCIONES S.A.S</v>
      </c>
      <c r="B61" s="365" t="s">
        <v>10</v>
      </c>
      <c r="C61" s="365" t="s">
        <v>6</v>
      </c>
      <c r="D61" s="177" cm="1">
        <f t="array" ref="D61">IFERROR(_xlfn._xlws.FILTER(EXPERIENCIA!$I$19:$I$24,EXPERIENCIA!$A$19:$A$24="v"),"")</f>
        <v>1</v>
      </c>
      <c r="E61" s="178" t="str" cm="1">
        <f t="array" ref="E61">IFERROR(_xlfn._xlws.FILTER(EXPERIENCIA!$N$19:$N$24,EXPERIENCIA!$A$19:$A$24="v"),"")</f>
        <v>CUMPLE</v>
      </c>
      <c r="F61" s="179" t="str">
        <f>IF(A61="","",IF(OR(B61="SI",C61="SI",D61&gt;=10%,E61="SE ANEXA"),"SI","""NO"))</f>
        <v>SI</v>
      </c>
      <c r="G61" s="632">
        <v>0.25</v>
      </c>
      <c r="H61" s="658">
        <f>IF(COUNTIF($F$61:$F$66,"SI")&gt;=1,G61,0)</f>
        <v>0.25</v>
      </c>
      <c r="I61" s="133"/>
    </row>
    <row r="62" spans="1:9" ht="46.5" customHeight="1">
      <c r="A62" s="180"/>
      <c r="B62" s="365"/>
      <c r="C62" s="365"/>
      <c r="D62" s="181"/>
      <c r="E62" s="182"/>
      <c r="F62" s="179" t="str">
        <f t="shared" ref="F62:F66" si="0">IF(A62="","",IF(OR(B62="SI",C62="SI",D62&gt;=10%,E62="SE ANEXA"),"SI","""NO"))</f>
        <v/>
      </c>
      <c r="G62" s="632"/>
      <c r="H62" s="658"/>
      <c r="I62" s="133"/>
    </row>
    <row r="63" spans="1:9" ht="46.5" customHeight="1">
      <c r="A63" s="180"/>
      <c r="B63" s="365"/>
      <c r="C63" s="365"/>
      <c r="D63" s="181"/>
      <c r="E63" s="182"/>
      <c r="F63" s="179" t="str">
        <f t="shared" si="0"/>
        <v/>
      </c>
      <c r="G63" s="632"/>
      <c r="H63" s="658"/>
      <c r="I63" s="133"/>
    </row>
    <row r="64" spans="1:9" ht="46.5" customHeight="1">
      <c r="A64" s="180"/>
      <c r="B64" s="365"/>
      <c r="C64" s="365"/>
      <c r="D64" s="181"/>
      <c r="E64" s="182"/>
      <c r="F64" s="179" t="str">
        <f t="shared" si="0"/>
        <v/>
      </c>
      <c r="G64" s="632"/>
      <c r="H64" s="658"/>
      <c r="I64" s="133"/>
    </row>
    <row r="65" spans="1:10" ht="46.5" customHeight="1">
      <c r="A65" s="180"/>
      <c r="B65" s="365"/>
      <c r="C65" s="365"/>
      <c r="D65" s="181"/>
      <c r="E65" s="182"/>
      <c r="F65" s="179" t="str">
        <f t="shared" si="0"/>
        <v/>
      </c>
      <c r="G65" s="632"/>
      <c r="H65" s="658"/>
      <c r="I65" s="133"/>
    </row>
    <row r="66" spans="1:10" ht="46.5" customHeight="1">
      <c r="A66" s="180"/>
      <c r="B66" s="365"/>
      <c r="C66" s="365"/>
      <c r="D66" s="181"/>
      <c r="E66" s="182"/>
      <c r="F66" s="179" t="str">
        <f t="shared" si="0"/>
        <v/>
      </c>
      <c r="G66" s="632"/>
      <c r="H66" s="658"/>
      <c r="I66" s="133"/>
    </row>
    <row r="67" spans="1:10" ht="53.25" customHeight="1">
      <c r="A67" s="151" t="s">
        <v>150</v>
      </c>
      <c r="B67" s="659"/>
      <c r="C67" s="659"/>
      <c r="D67" s="659"/>
      <c r="E67" s="659"/>
      <c r="F67" s="659"/>
      <c r="G67" s="659"/>
      <c r="H67" s="659"/>
      <c r="I67" s="133"/>
    </row>
    <row r="68" spans="1:10" ht="38.25" customHeight="1">
      <c r="A68" s="646"/>
      <c r="B68" s="647"/>
      <c r="C68" s="647"/>
      <c r="D68" s="647"/>
      <c r="E68" s="647"/>
      <c r="F68" s="647"/>
      <c r="G68" s="647"/>
      <c r="H68" s="648"/>
      <c r="I68" s="133"/>
    </row>
    <row r="69" spans="1:10" ht="39.75" customHeight="1">
      <c r="A69" s="616" t="s">
        <v>201</v>
      </c>
      <c r="B69" s="616"/>
      <c r="C69" s="616"/>
      <c r="D69" s="616"/>
      <c r="E69" s="628"/>
      <c r="F69" s="628"/>
      <c r="G69" s="628"/>
      <c r="H69" s="628"/>
      <c r="I69" s="133"/>
    </row>
    <row r="70" spans="1:10" ht="57" customHeight="1">
      <c r="A70" s="616" t="s">
        <v>202</v>
      </c>
      <c r="B70" s="616"/>
      <c r="C70" s="616"/>
      <c r="D70" s="616"/>
      <c r="E70" s="144" t="s">
        <v>199</v>
      </c>
      <c r="F70" s="145" t="s">
        <v>200</v>
      </c>
      <c r="G70" s="146" t="s">
        <v>145</v>
      </c>
      <c r="H70" s="146" t="s">
        <v>146</v>
      </c>
      <c r="I70" s="133"/>
    </row>
    <row r="71" spans="1:10" ht="36" customHeight="1">
      <c r="A71" s="183" t="str" cm="1">
        <f t="array" ref="A71">IFERROR(_xlfn._xlws.FILTER(EXPERIENCIA!$D$19:$D$24,EXPERIENCIA!$C$19:$C$24="v"),"")</f>
        <v>LAEL CONSTRUCCIONES S.A.S</v>
      </c>
      <c r="B71" s="184"/>
      <c r="C71" s="184"/>
      <c r="D71" s="184"/>
      <c r="E71" s="185" cm="1">
        <f t="array" ref="E71">IFERROR(_xlfn._xlws.FILTER(EXPERIENCIA!$I$19:$I$24,EXPERIENCIA!$C$19:$C$24="v"),"")</f>
        <v>1</v>
      </c>
      <c r="F71" s="182" t="str">
        <f>IF($A$71="","",IF($E$71&gt;=10%,"SI","NO"))</f>
        <v>SI</v>
      </c>
      <c r="G71" s="660">
        <v>0.25</v>
      </c>
      <c r="H71" s="658">
        <f>IF(COUNTIF($F$71:$F$76,"SI")&gt;0,$G$71,0)</f>
        <v>0.25</v>
      </c>
      <c r="I71" s="133"/>
    </row>
    <row r="72" spans="1:10" ht="36" customHeight="1">
      <c r="A72" s="184"/>
      <c r="B72" s="184"/>
      <c r="C72" s="184"/>
      <c r="D72" s="184"/>
      <c r="E72" s="186"/>
      <c r="F72" s="182" t="str">
        <f>IF($A$72="","",IF($E$72&gt;=10%,"SI","NO"))</f>
        <v/>
      </c>
      <c r="G72" s="660"/>
      <c r="H72" s="658"/>
      <c r="I72" s="133"/>
    </row>
    <row r="73" spans="1:10" ht="36" customHeight="1">
      <c r="A73" s="184"/>
      <c r="B73" s="184"/>
      <c r="C73" s="184"/>
      <c r="D73" s="184"/>
      <c r="E73" s="186"/>
      <c r="F73" s="182" t="str">
        <f>IF($A$73="","",IF($E$73&gt;=10%,"SI","NO"))</f>
        <v/>
      </c>
      <c r="G73" s="660"/>
      <c r="H73" s="658"/>
      <c r="I73" s="133"/>
    </row>
    <row r="74" spans="1:10" ht="36" customHeight="1">
      <c r="A74" s="184"/>
      <c r="B74" s="184"/>
      <c r="C74" s="184"/>
      <c r="D74" s="184"/>
      <c r="E74" s="186"/>
      <c r="F74" s="182" t="str">
        <f>IF($A$74="","",IF($E$74&gt;=10%,"SI","NO"))</f>
        <v/>
      </c>
      <c r="G74" s="660"/>
      <c r="H74" s="658"/>
      <c r="I74" s="133"/>
    </row>
    <row r="75" spans="1:10" ht="36" customHeight="1">
      <c r="A75" s="184"/>
      <c r="B75" s="184"/>
      <c r="C75" s="184"/>
      <c r="D75" s="184"/>
      <c r="E75" s="186"/>
      <c r="F75" s="182" t="str">
        <f>IF($A$75="","",IF($E$75&gt;=10%,"SI","NO"))</f>
        <v/>
      </c>
      <c r="G75" s="660"/>
      <c r="H75" s="658"/>
      <c r="I75" s="133"/>
    </row>
    <row r="76" spans="1:10" ht="36" customHeight="1">
      <c r="A76" s="184"/>
      <c r="B76" s="184"/>
      <c r="C76" s="184"/>
      <c r="D76" s="184"/>
      <c r="E76" s="186"/>
      <c r="F76" s="182" t="str">
        <f>IF($A$76="","",IF($E$76&gt;=10%,"SI","NO"))</f>
        <v/>
      </c>
      <c r="G76" s="660"/>
      <c r="H76" s="658"/>
      <c r="I76" s="133"/>
    </row>
    <row r="77" spans="1:10" s="138" customFormat="1" ht="37.5" customHeight="1">
      <c r="A77" s="151" t="s">
        <v>150</v>
      </c>
      <c r="B77" s="661"/>
      <c r="C77" s="661"/>
      <c r="D77" s="661"/>
      <c r="E77" s="661"/>
      <c r="F77" s="661"/>
      <c r="G77" s="661"/>
      <c r="H77" s="661"/>
      <c r="I77" s="133"/>
      <c r="J77"/>
    </row>
    <row r="78" spans="1:10" s="138" customFormat="1" ht="37.5" customHeight="1">
      <c r="A78" s="662"/>
      <c r="B78" s="663"/>
      <c r="C78" s="663"/>
      <c r="D78" s="663"/>
      <c r="E78" s="663"/>
      <c r="F78" s="663"/>
      <c r="G78" s="663"/>
      <c r="H78" s="664"/>
      <c r="I78" s="133"/>
    </row>
    <row r="79" spans="1:10" ht="57.75" customHeight="1">
      <c r="A79" s="616" t="s">
        <v>203</v>
      </c>
      <c r="B79" s="616"/>
      <c r="C79" s="616"/>
      <c r="D79" s="616"/>
      <c r="E79" s="616"/>
      <c r="F79" s="367" t="s">
        <v>204</v>
      </c>
      <c r="G79" s="187" t="s">
        <v>137</v>
      </c>
      <c r="H79" s="366">
        <f>IF(G79="Si",-2,0)</f>
        <v>0</v>
      </c>
      <c r="I79" s="133"/>
      <c r="J79" s="188" t="s">
        <v>204</v>
      </c>
    </row>
    <row r="80" spans="1:10" s="138" customFormat="1" ht="15.75" customHeight="1">
      <c r="A80" s="189" t="s">
        <v>150</v>
      </c>
      <c r="B80" s="665"/>
      <c r="C80" s="666"/>
      <c r="D80" s="666"/>
      <c r="E80" s="666"/>
      <c r="F80" s="666"/>
      <c r="G80" s="666"/>
      <c r="H80" s="667"/>
      <c r="I80" s="133"/>
    </row>
    <row r="81" spans="1:10" ht="332.25" customHeight="1">
      <c r="A81" s="668"/>
      <c r="B81" s="668"/>
      <c r="C81" s="668"/>
      <c r="D81" s="668"/>
      <c r="E81" s="668"/>
      <c r="F81" s="668"/>
      <c r="G81" s="668"/>
      <c r="H81" s="668"/>
      <c r="I81" s="133"/>
    </row>
    <row r="82" spans="1:10" s="138" customFormat="1" ht="52.5" customHeight="1">
      <c r="A82" s="672"/>
      <c r="B82" s="673"/>
      <c r="C82" s="673"/>
      <c r="D82" s="673"/>
      <c r="E82" s="673"/>
      <c r="F82" s="673"/>
      <c r="G82" s="673"/>
      <c r="H82" s="673"/>
      <c r="I82" s="673"/>
    </row>
    <row r="83" spans="1:10" s="138" customFormat="1" ht="33.75">
      <c r="A83" s="669" t="s">
        <v>205</v>
      </c>
      <c r="B83" s="669"/>
      <c r="C83" s="669"/>
      <c r="D83" s="669"/>
      <c r="E83" s="669"/>
      <c r="F83" s="669"/>
      <c r="G83" s="669"/>
      <c r="H83" s="669"/>
      <c r="I83" s="133"/>
    </row>
    <row r="84" spans="1:10" ht="42" customHeight="1">
      <c r="A84" s="670" t="str">
        <f>CONCATENATE("TOTAL PUNTAJE OFERENTE ",$D$3)</f>
        <v>TOTAL PUNTAJE OFERENTE LAEL CONSTRUCCIONES S.A.S</v>
      </c>
      <c r="B84" s="670"/>
      <c r="C84" s="670"/>
      <c r="D84" s="670"/>
      <c r="E84" s="671"/>
      <c r="F84" s="671"/>
      <c r="G84" s="671"/>
      <c r="H84" s="368" t="str">
        <f>IF($G$5="HABILITADO",(H79+H71+H61+H49+H24+H18+H9),"")</f>
        <v/>
      </c>
      <c r="I84" s="133"/>
      <c r="J84" s="426">
        <f>+(H79+H71+H61+H49+H24+H18+H9)</f>
        <v>40.5</v>
      </c>
    </row>
    <row r="85" spans="1:10" s="138" customFormat="1" ht="8.25" customHeight="1">
      <c r="A85" s="133"/>
      <c r="B85" s="133"/>
      <c r="C85" s="133"/>
      <c r="D85" s="133"/>
      <c r="E85" s="133"/>
      <c r="F85" s="133"/>
      <c r="G85" s="133"/>
      <c r="H85" s="133"/>
      <c r="I85" s="133"/>
    </row>
    <row r="86" spans="1:10" s="138" customFormat="1" ht="15" customHeight="1">
      <c r="A86" s="155"/>
      <c r="B86" s="155"/>
      <c r="C86" s="155"/>
      <c r="D86" s="155"/>
      <c r="E86" s="155"/>
      <c r="F86" s="155"/>
      <c r="G86" s="155"/>
      <c r="H86" s="155"/>
      <c r="I86" s="133"/>
    </row>
    <row r="87" spans="1:10" s="138" customFormat="1" ht="15" customHeight="1">
      <c r="A87" s="155"/>
      <c r="B87" s="155"/>
      <c r="C87" s="155"/>
      <c r="D87" s="155"/>
      <c r="E87" s="155"/>
      <c r="F87" s="155"/>
      <c r="G87" s="155"/>
      <c r="H87" s="155"/>
      <c r="I87" s="155"/>
    </row>
    <row r="88" spans="1:10" s="138" customFormat="1" ht="9" customHeight="1">
      <c r="A88" s="133"/>
      <c r="B88" s="133"/>
      <c r="C88" s="133"/>
      <c r="D88" s="133"/>
      <c r="E88" s="133"/>
      <c r="F88" s="133"/>
      <c r="G88" s="133"/>
      <c r="H88" s="133"/>
      <c r="I88" s="133"/>
    </row>
    <row r="89" spans="1:10" s="138" customFormat="1" ht="15.75" customHeight="1">
      <c r="A89" s="190"/>
      <c r="B89" s="190"/>
      <c r="C89" s="190"/>
      <c r="D89" s="190"/>
      <c r="E89" s="190"/>
      <c r="F89" s="190"/>
      <c r="G89" s="190"/>
      <c r="H89" s="190"/>
      <c r="I89" s="190"/>
    </row>
    <row r="90" spans="1:10" s="138" customFormat="1" ht="15.75" customHeight="1">
      <c r="A90" s="190"/>
      <c r="B90" s="190"/>
      <c r="C90" s="190"/>
      <c r="D90" s="190"/>
      <c r="E90" s="190"/>
      <c r="F90" s="190"/>
      <c r="G90" s="190"/>
      <c r="H90" s="190"/>
      <c r="I90" s="190"/>
    </row>
    <row r="91" spans="1:10" s="138" customFormat="1" ht="15.75" customHeight="1">
      <c r="A91" s="190"/>
      <c r="B91" s="190"/>
      <c r="C91" s="190"/>
      <c r="D91" s="190"/>
      <c r="E91" s="190"/>
      <c r="F91" s="190"/>
      <c r="G91" s="190"/>
      <c r="H91" s="190"/>
      <c r="I91" s="190"/>
    </row>
    <row r="92" spans="1:10" s="138" customFormat="1" ht="15.75" customHeight="1">
      <c r="A92" s="190"/>
      <c r="B92" s="190"/>
      <c r="C92" s="190"/>
      <c r="D92" s="190"/>
      <c r="E92" s="190"/>
      <c r="F92" s="190"/>
      <c r="G92" s="190"/>
      <c r="H92" s="190"/>
      <c r="I92" s="190"/>
    </row>
    <row r="93" spans="1:10" s="138" customFormat="1" ht="15.75" customHeight="1">
      <c r="A93" s="190"/>
      <c r="B93" s="190"/>
      <c r="C93" s="190"/>
      <c r="D93" s="190"/>
      <c r="E93" s="190"/>
      <c r="F93" s="190"/>
      <c r="G93" s="190"/>
      <c r="H93" s="190"/>
      <c r="I93" s="190"/>
    </row>
  </sheetData>
  <sheetProtection sheet="1" formatCells="0" formatRows="0"/>
  <mergeCells count="83">
    <mergeCell ref="B80:H80"/>
    <mergeCell ref="A81:H81"/>
    <mergeCell ref="A83:H83"/>
    <mergeCell ref="A84:G84"/>
    <mergeCell ref="A82:I82"/>
    <mergeCell ref="A79:E79"/>
    <mergeCell ref="A59:H59"/>
    <mergeCell ref="G61:G66"/>
    <mergeCell ref="H61:H66"/>
    <mergeCell ref="B67:H67"/>
    <mergeCell ref="A68:H68"/>
    <mergeCell ref="A69:H69"/>
    <mergeCell ref="A70:D70"/>
    <mergeCell ref="G71:G76"/>
    <mergeCell ref="H71:H76"/>
    <mergeCell ref="B77:H77"/>
    <mergeCell ref="A78:H78"/>
    <mergeCell ref="A58:H58"/>
    <mergeCell ref="A47:H47"/>
    <mergeCell ref="A48:E48"/>
    <mergeCell ref="A49:E49"/>
    <mergeCell ref="G49:G53"/>
    <mergeCell ref="H49:H53"/>
    <mergeCell ref="A50:E50"/>
    <mergeCell ref="A51:C51"/>
    <mergeCell ref="D51:E51"/>
    <mergeCell ref="A52:A53"/>
    <mergeCell ref="F52:F53"/>
    <mergeCell ref="A54:A57"/>
    <mergeCell ref="C54:H54"/>
    <mergeCell ref="C55:H55"/>
    <mergeCell ref="C56:H56"/>
    <mergeCell ref="C57:H57"/>
    <mergeCell ref="A46:I46"/>
    <mergeCell ref="B36:D36"/>
    <mergeCell ref="B37:D37"/>
    <mergeCell ref="B38:D38"/>
    <mergeCell ref="B39:D39"/>
    <mergeCell ref="B40:D40"/>
    <mergeCell ref="B41:D41"/>
    <mergeCell ref="A42:E42"/>
    <mergeCell ref="A43:A45"/>
    <mergeCell ref="C43:H43"/>
    <mergeCell ref="C44:H44"/>
    <mergeCell ref="C45:H45"/>
    <mergeCell ref="B35:D35"/>
    <mergeCell ref="A21:I21"/>
    <mergeCell ref="A22:H22"/>
    <mergeCell ref="A23:E23"/>
    <mergeCell ref="A24:E24"/>
    <mergeCell ref="G24:G41"/>
    <mergeCell ref="H24:H42"/>
    <mergeCell ref="A25:E25"/>
    <mergeCell ref="A26:E26"/>
    <mergeCell ref="A27:E27"/>
    <mergeCell ref="A28:E28"/>
    <mergeCell ref="A29:E29"/>
    <mergeCell ref="A31:F31"/>
    <mergeCell ref="A32:F32"/>
    <mergeCell ref="B33:D33"/>
    <mergeCell ref="B34:D34"/>
    <mergeCell ref="A15:I15"/>
    <mergeCell ref="A16:H16"/>
    <mergeCell ref="A17:E17"/>
    <mergeCell ref="A18:E18"/>
    <mergeCell ref="A19:A20"/>
    <mergeCell ref="C19:H19"/>
    <mergeCell ref="C20:H20"/>
    <mergeCell ref="A12:A14"/>
    <mergeCell ref="C12:H12"/>
    <mergeCell ref="C13:H13"/>
    <mergeCell ref="C14:H14"/>
    <mergeCell ref="B1:F1"/>
    <mergeCell ref="G1:H1"/>
    <mergeCell ref="D3:E3"/>
    <mergeCell ref="G3:H3"/>
    <mergeCell ref="G5:H5"/>
    <mergeCell ref="A7:H7"/>
    <mergeCell ref="A8:E8"/>
    <mergeCell ref="A9:E9"/>
    <mergeCell ref="H9:H10"/>
    <mergeCell ref="A10:D10"/>
    <mergeCell ref="A11:H11"/>
  </mergeCells>
  <conditionalFormatting sqref="A34:F41 B30 D30 F30">
    <cfRule type="expression" dxfId="59" priority="14">
      <formula>$F$28="NO"</formula>
    </cfRule>
  </conditionalFormatting>
  <conditionalFormatting sqref="A34:F41">
    <cfRule type="expression" dxfId="58" priority="10">
      <formula>$F$29="no"</formula>
    </cfRule>
  </conditionalFormatting>
  <conditionalFormatting sqref="A71:F71 F72:F76">
    <cfRule type="expression" dxfId="57" priority="4">
      <formula>$F$71=""</formula>
    </cfRule>
  </conditionalFormatting>
  <conditionalFormatting sqref="A72:F72 F73:F76">
    <cfRule type="expression" dxfId="56" priority="5">
      <formula>$F$72=""</formula>
    </cfRule>
  </conditionalFormatting>
  <conditionalFormatting sqref="A73:F73">
    <cfRule type="expression" dxfId="55" priority="9">
      <formula>$F$73=""</formula>
    </cfRule>
  </conditionalFormatting>
  <conditionalFormatting sqref="A74:F74">
    <cfRule type="expression" dxfId="54" priority="8">
      <formula>$F$74=""</formula>
    </cfRule>
  </conditionalFormatting>
  <conditionalFormatting sqref="A75:F75">
    <cfRule type="expression" dxfId="53" priority="7">
      <formula>$F$75=""</formula>
    </cfRule>
  </conditionalFormatting>
  <conditionalFormatting sqref="A76:F76">
    <cfRule type="expression" dxfId="52" priority="6">
      <formula>$F$76=""</formula>
    </cfRule>
  </conditionalFormatting>
  <conditionalFormatting sqref="B53:C53">
    <cfRule type="expression" dxfId="51" priority="24">
      <formula>$F$49="NO"</formula>
    </cfRule>
  </conditionalFormatting>
  <conditionalFormatting sqref="D53">
    <cfRule type="expression" dxfId="50" priority="25">
      <formula>$F$42="si"</formula>
    </cfRule>
    <cfRule type="cellIs" dxfId="49" priority="26" operator="equal">
      <formula>"NO"</formula>
    </cfRule>
    <cfRule type="cellIs" dxfId="48" priority="27" operator="equal">
      <formula>"SI"</formula>
    </cfRule>
  </conditionalFormatting>
  <conditionalFormatting sqref="F5">
    <cfRule type="cellIs" dxfId="47" priority="3" operator="equal">
      <formula>0</formula>
    </cfRule>
  </conditionalFormatting>
  <conditionalFormatting sqref="F9">
    <cfRule type="cellIs" dxfId="46" priority="51" operator="equal">
      <formula>"SI"</formula>
    </cfRule>
    <cfRule type="cellIs" dxfId="45" priority="50" operator="equal">
      <formula>"NO"</formula>
    </cfRule>
  </conditionalFormatting>
  <conditionalFormatting sqref="F10">
    <cfRule type="cellIs" dxfId="44" priority="45" operator="equal">
      <formula>"SI"</formula>
    </cfRule>
    <cfRule type="cellIs" dxfId="43" priority="44" operator="equal">
      <formula>"NO"</formula>
    </cfRule>
  </conditionalFormatting>
  <conditionalFormatting sqref="F18">
    <cfRule type="cellIs" dxfId="42" priority="41" operator="equal">
      <formula>"NO"</formula>
    </cfRule>
    <cfRule type="cellIs" dxfId="41" priority="42" operator="equal">
      <formula>"SI"</formula>
    </cfRule>
  </conditionalFormatting>
  <conditionalFormatting sqref="F24">
    <cfRule type="cellIs" dxfId="40" priority="37" operator="equal">
      <formula>"NO"</formula>
    </cfRule>
  </conditionalFormatting>
  <conditionalFormatting sqref="F24:F27 F42 F33">
    <cfRule type="cellIs" dxfId="39" priority="38" operator="equal">
      <formula>"SI"</formula>
    </cfRule>
  </conditionalFormatting>
  <conditionalFormatting sqref="F25 F27">
    <cfRule type="expression" dxfId="38" priority="35">
      <formula>$F$26="si"</formula>
    </cfRule>
  </conditionalFormatting>
  <conditionalFormatting sqref="F25:F26">
    <cfRule type="expression" dxfId="37" priority="36">
      <formula>$F$27="si"</formula>
    </cfRule>
  </conditionalFormatting>
  <conditionalFormatting sqref="F25:F27">
    <cfRule type="expression" dxfId="36" priority="39">
      <formula>$F$24="NO"</formula>
    </cfRule>
  </conditionalFormatting>
  <conditionalFormatting sqref="F26:F27">
    <cfRule type="expression" dxfId="35" priority="40">
      <formula>$F$25="SI"</formula>
    </cfRule>
  </conditionalFormatting>
  <conditionalFormatting sqref="F29">
    <cfRule type="expression" dxfId="34" priority="11">
      <formula>$F$28="NO"</formula>
    </cfRule>
    <cfRule type="cellIs" dxfId="33" priority="15" operator="equal">
      <formula>"NO"</formula>
    </cfRule>
    <cfRule type="cellIs" dxfId="32" priority="16" operator="equal">
      <formula>"SI"</formula>
    </cfRule>
  </conditionalFormatting>
  <conditionalFormatting sqref="F34:F41">
    <cfRule type="cellIs" dxfId="31" priority="12" operator="equal">
      <formula>"NO"</formula>
    </cfRule>
    <cfRule type="cellIs" dxfId="30" priority="13" operator="equal">
      <formula>"SI"</formula>
    </cfRule>
  </conditionalFormatting>
  <conditionalFormatting sqref="F42">
    <cfRule type="expression" dxfId="29" priority="33">
      <formula>$F$24="si"</formula>
    </cfRule>
    <cfRule type="cellIs" dxfId="28" priority="34" operator="equal">
      <formula>"NO"</formula>
    </cfRule>
  </conditionalFormatting>
  <conditionalFormatting sqref="F49 F52">
    <cfRule type="cellIs" dxfId="27" priority="29" operator="equal">
      <formula>"NO"</formula>
    </cfRule>
    <cfRule type="cellIs" dxfId="26" priority="30" operator="equal">
      <formula>"SI"</formula>
    </cfRule>
  </conditionalFormatting>
  <conditionalFormatting sqref="F49">
    <cfRule type="expression" dxfId="25" priority="28">
      <formula>$F$42="si"</formula>
    </cfRule>
  </conditionalFormatting>
  <conditionalFormatting sqref="F51">
    <cfRule type="cellIs" dxfId="24" priority="1" operator="lessThan">
      <formula>0.4</formula>
    </cfRule>
    <cfRule type="cellIs" dxfId="23" priority="2" operator="greaterThan">
      <formula>0.4</formula>
    </cfRule>
  </conditionalFormatting>
  <conditionalFormatting sqref="F52 F29:F30 B30 D30 A33:F41 F24:F27">
    <cfRule type="expression" dxfId="22" priority="32">
      <formula>$F$42="si"</formula>
    </cfRule>
  </conditionalFormatting>
  <conditionalFormatting sqref="F61:F66">
    <cfRule type="cellIs" dxfId="21" priority="22" operator="equal">
      <formula>"SI"</formula>
    </cfRule>
    <cfRule type="cellIs" dxfId="20" priority="21" operator="equal">
      <formula>"NO"</formula>
    </cfRule>
  </conditionalFormatting>
  <conditionalFormatting sqref="F71:F76">
    <cfRule type="cellIs" dxfId="19" priority="19" operator="equal">
      <formula>"SI"</formula>
    </cfRule>
    <cfRule type="cellIs" dxfId="18" priority="18" operator="equal">
      <formula>"NO"</formula>
    </cfRule>
    <cfRule type="expression" dxfId="17" priority="17">
      <formula>$F$42="si"</formula>
    </cfRule>
  </conditionalFormatting>
  <conditionalFormatting sqref="G79">
    <cfRule type="cellIs" dxfId="16" priority="46" operator="equal">
      <formula>"Si"</formula>
    </cfRule>
    <cfRule type="cellIs" dxfId="15" priority="47" operator="equal">
      <formula>"No"</formula>
    </cfRule>
  </conditionalFormatting>
  <conditionalFormatting sqref="H8">
    <cfRule type="cellIs" dxfId="14" priority="49" operator="equal">
      <formula>0</formula>
    </cfRule>
  </conditionalFormatting>
  <conditionalFormatting sqref="H17">
    <cfRule type="cellIs" dxfId="13" priority="43" operator="equal">
      <formula>0</formula>
    </cfRule>
  </conditionalFormatting>
  <conditionalFormatting sqref="H48">
    <cfRule type="cellIs" dxfId="12" priority="31" operator="equal">
      <formula>0</formula>
    </cfRule>
  </conditionalFormatting>
  <conditionalFormatting sqref="H60">
    <cfRule type="cellIs" dxfId="11" priority="23" operator="equal">
      <formula>0</formula>
    </cfRule>
  </conditionalFormatting>
  <conditionalFormatting sqref="H70">
    <cfRule type="cellIs" dxfId="10" priority="20" operator="equal">
      <formula>0</formula>
    </cfRule>
  </conditionalFormatting>
  <conditionalFormatting sqref="H84">
    <cfRule type="cellIs" dxfId="9" priority="48" operator="greaterThan">
      <formula>41</formula>
    </cfRule>
  </conditionalFormatting>
  <dataValidations count="10">
    <dataValidation type="list" allowBlank="1" showInputMessage="1" showErrorMessage="1" sqref="B61:C66" xr:uid="{4CC8EB26-1D5C-4B0B-AA3F-4C6C7D8F0448}">
      <formula1>"SI,NO"</formula1>
    </dataValidation>
    <dataValidation allowBlank="1" showErrorMessage="1" sqref="B3" xr:uid="{94D7F270-7CD8-4CEB-9971-46576892AD3F}"/>
    <dataValidation type="list" showInputMessage="1" showErrorMessage="1" error="Solo diligenciar una de las dos opciones" prompt="Entregado ¿Si o No?" sqref="F42" xr:uid="{2E6C3335-610B-44FC-92ED-5FE76EC68E5B}">
      <formula1>"NO,SI"</formula1>
    </dataValidation>
    <dataValidation allowBlank="1" showErrorMessage="1" error="Solo diligenciar una de las dos opciones" sqref="F30" xr:uid="{BD77D7E5-07CC-4AF7-9B63-4F78A12F5508}"/>
    <dataValidation allowBlank="1" showInputMessage="1" showErrorMessage="1" error="Solo diligenciar una de las dos opciones" sqref="F33" xr:uid="{38C65827-B447-4014-838C-A28E2682C2FD}"/>
    <dataValidation type="list" allowBlank="1" showInputMessage="1" showErrorMessage="1" prompt="Entregado ¿Si o No?" sqref="F49 F18 D53 F9:F10" xr:uid="{03394FF8-5366-4D08-88EE-4C1F8D6048D1}">
      <formula1>"SI,NO"</formula1>
    </dataValidation>
    <dataValidation allowBlank="1" showInputMessage="1" showErrorMessage="1" prompt="Entregado ¿Si o No?" sqref="F8 F17 F23 F48 F51" xr:uid="{52A8F45F-05EB-4FFC-95A0-534DD5B3682A}"/>
    <dataValidation type="list" allowBlank="1" showInputMessage="1" showErrorMessage="1" error="Solo diligenciar una de las dos opciones" prompt="Entregado ¿Si o No?" sqref="F24:F29 F34:F41" xr:uid="{5DD891E7-4FA0-4099-A029-A1792DE9FD79}">
      <formula1>"SI,NO"</formula1>
    </dataValidation>
    <dataValidation type="list" allowBlank="1" showInputMessage="1" showErrorMessage="1" prompt="Entregado ¿Si o No?" sqref="G79" xr:uid="{B52E358D-7698-4222-B350-7FE4DF23C1E5}">
      <formula1>"Si,No"</formula1>
    </dataValidation>
    <dataValidation type="whole" allowBlank="1" showErrorMessage="1" sqref="C3" xr:uid="{CC0F52F5-E28D-46E0-9306-1921200A9B8C}">
      <formula1>1</formula1>
      <formula2>100</formula2>
    </dataValidation>
  </dataValidations>
  <hyperlinks>
    <hyperlink ref="J10" r:id="rId1" xr:uid="{C350F2C8-66A9-40F0-AF70-46DC98ACA1B3}"/>
    <hyperlink ref="J79" r:id="rId2" xr:uid="{F455287C-12FE-4048-B163-88FA70C07D57}"/>
    <hyperlink ref="E10" r:id="rId3" xr:uid="{5AD54521-90F7-4FDB-928E-F0066B73D0DC}"/>
    <hyperlink ref="F79" r:id="rId4" xr:uid="{2295286F-003B-4768-A134-7174DF326023}"/>
  </hyperlinks>
  <printOptions horizontalCentered="1"/>
  <pageMargins left="0" right="0" top="0.19685039370078741" bottom="0" header="0" footer="0"/>
  <pageSetup paperSize="9" scale="45" fitToHeight="7" orientation="portrait" r:id="rId5"/>
  <rowBreaks count="2" manualBreakCount="2">
    <brk id="28" max="8" man="1"/>
    <brk id="54" max="8" man="1"/>
  </rowBreaks>
  <drawing r:id="rId6"/>
  <extLst>
    <ext xmlns:x14="http://schemas.microsoft.com/office/spreadsheetml/2009/9/main" uri="{CCE6A557-97BC-4b89-ADB6-D9C93CAAB3DF}">
      <x14:dataValidations xmlns:xm="http://schemas.microsoft.com/office/excel/2006/main" count="1">
        <x14:dataValidation type="list" allowBlank="1" showInputMessage="1" showErrorMessage="1" xr:uid="{597C045D-7708-41A1-8933-E3895BA0D692}">
          <x14:formula1>
            <xm:f>EXPERIENCIA!$D$19:$D$24</xm:f>
          </x14:formula1>
          <xm:sqref>D51:E51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D9D8D-7846-489D-BA9F-4BCCD0AD3247}">
  <sheetPr codeName="Hoja8">
    <tabColor theme="7" tint="0.59999389629810485"/>
    <pageSetUpPr fitToPage="1"/>
  </sheetPr>
  <dimension ref="A1:P110"/>
  <sheetViews>
    <sheetView showGridLines="0" tabSelected="1" view="pageBreakPreview" topLeftCell="A8" zoomScale="55" zoomScaleNormal="70" zoomScaleSheetLayoutView="55" workbookViewId="0">
      <selection activeCell="M15" sqref="M15:N15"/>
    </sheetView>
  </sheetViews>
  <sheetFormatPr baseColWidth="10" defaultColWidth="11.375" defaultRowHeight="18" outlineLevelRow="1"/>
  <cols>
    <col min="1" max="1" width="3" style="208" customWidth="1"/>
    <col min="2" max="2" width="9.125" style="208" customWidth="1"/>
    <col min="3" max="3" width="37" style="208" customWidth="1"/>
    <col min="4" max="5" width="32.375" style="208" customWidth="1"/>
    <col min="6" max="6" width="36.75" style="208" customWidth="1"/>
    <col min="7" max="7" width="15.625" style="208" customWidth="1"/>
    <col min="8" max="8" width="23.125" style="208" customWidth="1"/>
    <col min="9" max="9" width="6.375" style="208" customWidth="1"/>
    <col min="10" max="11" width="41.125" style="208" customWidth="1"/>
    <col min="12" max="12" width="28.875" style="208" bestFit="1" customWidth="1"/>
    <col min="13" max="13" width="25.375" style="208" customWidth="1"/>
    <col min="14" max="14" width="34.25" style="208" customWidth="1"/>
    <col min="15" max="15" width="3" style="208" customWidth="1"/>
    <col min="16" max="16" width="2.875" style="208" customWidth="1"/>
    <col min="17" max="17" width="11.375" style="192"/>
    <col min="18" max="18" width="20.125" style="192" customWidth="1"/>
    <col min="19" max="19" width="15.375" style="192" bestFit="1" customWidth="1"/>
    <col min="20" max="16384" width="11.375" style="192"/>
  </cols>
  <sheetData>
    <row r="1" spans="1:16" s="191" customFormat="1">
      <c r="A1" s="369"/>
      <c r="B1" s="369"/>
      <c r="C1" s="369"/>
      <c r="D1" s="369"/>
      <c r="E1" s="369"/>
      <c r="F1" s="369"/>
      <c r="G1" s="369"/>
      <c r="H1" s="369"/>
      <c r="I1" s="369"/>
      <c r="J1" s="369"/>
      <c r="K1" s="369"/>
      <c r="L1" s="369"/>
      <c r="M1" s="369"/>
      <c r="N1" s="369"/>
      <c r="O1" s="369"/>
      <c r="P1" s="369"/>
    </row>
    <row r="2" spans="1:16" s="191" customFormat="1" ht="117" customHeight="1">
      <c r="A2" s="369"/>
      <c r="B2" s="675"/>
      <c r="C2" s="675"/>
      <c r="D2" s="676" t="s">
        <v>206</v>
      </c>
      <c r="E2" s="676"/>
      <c r="F2" s="676"/>
      <c r="G2" s="676"/>
      <c r="H2" s="676"/>
      <c r="I2" s="676"/>
      <c r="J2" s="676"/>
      <c r="K2" s="676"/>
      <c r="L2" s="676"/>
      <c r="M2" s="676"/>
      <c r="N2" s="675"/>
      <c r="O2" s="675"/>
      <c r="P2" s="369"/>
    </row>
    <row r="3" spans="1:16" ht="15.75" customHeight="1">
      <c r="A3" s="369"/>
      <c r="B3" s="370"/>
      <c r="C3" s="370"/>
      <c r="D3" s="371"/>
      <c r="E3" s="371"/>
      <c r="F3" s="370"/>
      <c r="G3" s="370"/>
      <c r="H3" s="370"/>
      <c r="I3" s="370"/>
      <c r="J3" s="370"/>
      <c r="K3" s="370"/>
      <c r="L3" s="370"/>
      <c r="M3" s="370"/>
      <c r="N3" s="370"/>
      <c r="O3" s="370"/>
      <c r="P3" s="370"/>
    </row>
    <row r="4" spans="1:16" ht="15.75" customHeight="1">
      <c r="A4" s="369"/>
      <c r="B4" s="372"/>
      <c r="C4" s="373"/>
      <c r="D4" s="374"/>
      <c r="E4" s="374"/>
      <c r="F4" s="373"/>
      <c r="G4" s="373"/>
      <c r="H4" s="373"/>
      <c r="I4" s="373"/>
      <c r="J4" s="373"/>
      <c r="K4" s="373"/>
      <c r="L4" s="373"/>
      <c r="M4" s="373"/>
      <c r="N4" s="373"/>
      <c r="O4" s="375"/>
      <c r="P4" s="370"/>
    </row>
    <row r="5" spans="1:16" ht="15.75" customHeight="1">
      <c r="A5" s="369"/>
      <c r="B5" s="376" t="s">
        <v>207</v>
      </c>
      <c r="C5" s="370"/>
      <c r="D5" s="371"/>
      <c r="E5" s="371"/>
      <c r="F5" s="370"/>
      <c r="G5" s="370"/>
      <c r="H5" s="370"/>
      <c r="I5" s="370"/>
      <c r="J5" s="370"/>
      <c r="K5" s="370"/>
      <c r="L5" s="370"/>
      <c r="M5" s="370"/>
      <c r="N5" s="370"/>
      <c r="O5" s="377"/>
      <c r="P5" s="370"/>
    </row>
    <row r="6" spans="1:16" ht="15.75" customHeight="1">
      <c r="A6" s="369"/>
      <c r="B6" s="378"/>
      <c r="C6" s="379"/>
      <c r="D6" s="379"/>
      <c r="E6" s="379"/>
      <c r="F6" s="379"/>
      <c r="G6" s="379"/>
      <c r="H6" s="379"/>
      <c r="I6" s="379"/>
      <c r="J6" s="379"/>
      <c r="K6" s="379"/>
      <c r="L6" s="379"/>
      <c r="M6" s="379"/>
      <c r="N6" s="379"/>
      <c r="O6" s="380"/>
      <c r="P6" s="369"/>
    </row>
    <row r="7" spans="1:16" ht="42" customHeight="1">
      <c r="A7" s="369"/>
      <c r="B7" s="381"/>
      <c r="C7" s="382" t="s">
        <v>1</v>
      </c>
      <c r="D7" s="268">
        <f>+PONDERACIÓN!B3</f>
        <v>45</v>
      </c>
      <c r="E7" s="193" t="s">
        <v>208</v>
      </c>
      <c r="F7" s="677" t="str">
        <f>IF($D$7&gt;0,(VLOOKUP($D$7,[1]OFERENTES!$A$8:$W$1027,2,FALSE)),"")</f>
        <v>LAEL CONSTRUCCIONES S.A.S</v>
      </c>
      <c r="G7" s="678"/>
      <c r="H7" s="678"/>
      <c r="I7" s="678"/>
      <c r="J7" s="678"/>
      <c r="K7" s="678"/>
      <c r="L7" s="679" t="s">
        <v>209</v>
      </c>
      <c r="M7" s="679"/>
      <c r="N7" s="383" t="str">
        <f>IFERROR(VLOOKUP($D$7,[1]OFERENTES!$A$8:$AA$1027,26,FALSE),"")</f>
        <v>Proponente Individual</v>
      </c>
      <c r="O7" s="384"/>
      <c r="P7" s="369"/>
    </row>
    <row r="8" spans="1:16" ht="21.75" customHeight="1">
      <c r="A8" s="369"/>
      <c r="B8" s="385"/>
      <c r="C8" s="194"/>
      <c r="D8" s="194"/>
      <c r="E8" s="194"/>
      <c r="F8" s="386"/>
      <c r="G8" s="387"/>
      <c r="H8" s="386"/>
      <c r="I8" s="386"/>
      <c r="J8" s="386"/>
      <c r="K8" s="386"/>
      <c r="L8" s="386"/>
      <c r="M8" s="386"/>
      <c r="N8" s="386"/>
      <c r="O8" s="388"/>
      <c r="P8" s="389"/>
    </row>
    <row r="9" spans="1:16" ht="27" customHeight="1">
      <c r="A9" s="369"/>
      <c r="B9" s="370"/>
      <c r="C9" s="370"/>
      <c r="D9" s="371"/>
      <c r="E9" s="371"/>
      <c r="F9" s="370"/>
      <c r="G9" s="370"/>
      <c r="H9" s="370"/>
      <c r="I9" s="370"/>
      <c r="J9" s="370"/>
      <c r="K9" s="370"/>
      <c r="L9" s="370"/>
      <c r="M9" s="370"/>
      <c r="N9" s="370"/>
      <c r="O9" s="370"/>
      <c r="P9" s="370"/>
    </row>
    <row r="10" spans="1:16" ht="27" customHeight="1">
      <c r="A10" s="369"/>
      <c r="B10" s="390" t="s">
        <v>210</v>
      </c>
      <c r="C10" s="373"/>
      <c r="D10" s="374"/>
      <c r="E10" s="374"/>
      <c r="F10" s="373"/>
      <c r="G10" s="373"/>
      <c r="H10" s="373"/>
      <c r="I10" s="373"/>
      <c r="J10" s="373"/>
      <c r="K10" s="373"/>
      <c r="L10" s="373"/>
      <c r="M10" s="373"/>
      <c r="N10" s="373"/>
      <c r="O10" s="375"/>
      <c r="P10" s="370"/>
    </row>
    <row r="11" spans="1:16" s="191" customFormat="1" ht="75.75" customHeight="1">
      <c r="A11" s="369"/>
      <c r="B11" s="391"/>
      <c r="C11" s="369"/>
      <c r="D11" s="369"/>
      <c r="E11" s="369"/>
      <c r="F11" s="369"/>
      <c r="G11" s="369"/>
      <c r="H11" s="369"/>
      <c r="I11" s="370"/>
      <c r="J11" s="172" t="s">
        <v>211</v>
      </c>
      <c r="K11" s="172" t="s">
        <v>212</v>
      </c>
      <c r="L11" s="392" t="s">
        <v>213</v>
      </c>
      <c r="M11" s="674" t="s">
        <v>214</v>
      </c>
      <c r="N11" s="674"/>
      <c r="O11" s="377"/>
      <c r="P11" s="370"/>
    </row>
    <row r="12" spans="1:16" ht="69.75" customHeight="1">
      <c r="A12" s="369"/>
      <c r="B12" s="391"/>
      <c r="C12" s="680" t="s">
        <v>215</v>
      </c>
      <c r="D12" s="680"/>
      <c r="E12" s="680"/>
      <c r="F12" s="680"/>
      <c r="G12" s="680"/>
      <c r="H12" s="680"/>
      <c r="I12" s="370"/>
      <c r="J12" s="195">
        <v>752679194.10000002</v>
      </c>
      <c r="K12" s="393">
        <f>+N17</f>
        <v>750625521.5</v>
      </c>
      <c r="L12" s="196" t="s">
        <v>10</v>
      </c>
      <c r="M12" s="681" t="str">
        <f>IF(J12="","",IF(J12&gt;=K12,"HABILITADO","NO HABILITADO"))</f>
        <v>HABILITADO</v>
      </c>
      <c r="N12" s="682"/>
      <c r="O12" s="377"/>
      <c r="P12" s="370"/>
    </row>
    <row r="13" spans="1:16" ht="27" customHeight="1">
      <c r="A13" s="369"/>
      <c r="B13" s="394"/>
      <c r="C13" s="395"/>
      <c r="D13" s="396"/>
      <c r="E13" s="396"/>
      <c r="F13" s="395"/>
      <c r="G13" s="395"/>
      <c r="H13" s="395"/>
      <c r="I13" s="395"/>
      <c r="J13" s="395"/>
      <c r="K13" s="395"/>
      <c r="L13" s="395"/>
      <c r="M13" s="395"/>
      <c r="N13" s="395"/>
      <c r="O13" s="397"/>
      <c r="P13" s="370"/>
    </row>
    <row r="14" spans="1:16" ht="27" customHeight="1">
      <c r="A14" s="369"/>
      <c r="B14" s="398"/>
      <c r="C14" s="370"/>
      <c r="D14" s="371"/>
      <c r="E14" s="371"/>
      <c r="F14" s="370"/>
      <c r="G14" s="370"/>
      <c r="H14" s="370"/>
      <c r="I14" s="370"/>
      <c r="J14" s="370"/>
      <c r="K14" s="370"/>
      <c r="L14" s="370"/>
      <c r="M14" s="370"/>
      <c r="N14" s="370"/>
      <c r="O14" s="370"/>
      <c r="P14" s="370"/>
    </row>
    <row r="15" spans="1:16" ht="26.25" customHeight="1">
      <c r="A15" s="369"/>
      <c r="B15" s="390" t="s">
        <v>216</v>
      </c>
      <c r="C15" s="373"/>
      <c r="D15" s="374"/>
      <c r="E15" s="374"/>
      <c r="F15" s="373"/>
      <c r="G15" s="373"/>
      <c r="H15" s="373"/>
      <c r="I15" s="373"/>
      <c r="J15" s="373"/>
      <c r="K15" s="373"/>
      <c r="L15" s="373"/>
      <c r="M15" s="373"/>
      <c r="N15" s="373"/>
      <c r="O15" s="375"/>
      <c r="P15" s="370"/>
    </row>
    <row r="16" spans="1:16" ht="15.75" customHeight="1" thickBot="1">
      <c r="A16" s="369"/>
      <c r="B16" s="399"/>
      <c r="C16" s="370"/>
      <c r="D16" s="371"/>
      <c r="E16" s="371"/>
      <c r="F16" s="370"/>
      <c r="G16" s="370"/>
      <c r="H16" s="370"/>
      <c r="I16" s="370"/>
      <c r="J16" s="370"/>
      <c r="K16" s="370"/>
      <c r="L16" s="370"/>
      <c r="M16" s="370"/>
      <c r="N16" s="370"/>
      <c r="O16" s="377"/>
      <c r="P16" s="370"/>
    </row>
    <row r="17" spans="1:16" ht="91.5" customHeight="1" thickTop="1">
      <c r="A17" s="369"/>
      <c r="B17" s="399"/>
      <c r="C17" s="400" t="s">
        <v>217</v>
      </c>
      <c r="D17" s="401" t="s">
        <v>218</v>
      </c>
      <c r="E17" s="402" t="s">
        <v>219</v>
      </c>
      <c r="F17" s="683" t="s">
        <v>220</v>
      </c>
      <c r="G17" s="403" t="s">
        <v>221</v>
      </c>
      <c r="H17" s="685" t="s">
        <v>222</v>
      </c>
      <c r="I17" s="686"/>
      <c r="J17" s="685" t="s">
        <v>223</v>
      </c>
      <c r="K17" s="686"/>
      <c r="L17" s="687" t="str">
        <f>CONCATENATE("CRPC","  ",'[1]DATOS DEL PROCESO'!D2)</f>
        <v>CRPC  MC-LP-010-2024</v>
      </c>
      <c r="M17" s="401" t="s">
        <v>224</v>
      </c>
      <c r="N17" s="404">
        <f>IF($C$18&gt;="12",($E$18-($E$18*$D$18)/$C$18)*12,($E$18-($E$18*$D$18)))</f>
        <v>750625521.5</v>
      </c>
      <c r="O17" s="377"/>
      <c r="P17" s="370"/>
    </row>
    <row r="18" spans="1:16" ht="90" customHeight="1" thickBot="1">
      <c r="A18" s="369"/>
      <c r="B18" s="399"/>
      <c r="C18" s="405">
        <f>+EXPERIENCIA!H10</f>
        <v>6</v>
      </c>
      <c r="D18" s="197">
        <f>+EXPERIENCIA!N10</f>
        <v>0.5</v>
      </c>
      <c r="E18" s="406">
        <f>+EXPERIENCIA!J10</f>
        <v>1501251043</v>
      </c>
      <c r="F18" s="684"/>
      <c r="G18" s="407" t="s">
        <v>225</v>
      </c>
      <c r="H18" s="689" t="s">
        <v>226</v>
      </c>
      <c r="I18" s="690"/>
      <c r="J18" s="691" t="s">
        <v>227</v>
      </c>
      <c r="K18" s="692"/>
      <c r="L18" s="688"/>
      <c r="M18" s="408" t="s">
        <v>228</v>
      </c>
      <c r="N18" s="409">
        <f>ROUND((N17/1300000),2)</f>
        <v>577.4</v>
      </c>
      <c r="O18" s="377"/>
      <c r="P18" s="370"/>
    </row>
    <row r="19" spans="1:16" ht="15.75" customHeight="1" thickTop="1">
      <c r="A19" s="369"/>
      <c r="B19" s="399"/>
      <c r="C19" s="369"/>
      <c r="D19" s="371"/>
      <c r="E19" s="371"/>
      <c r="F19" s="370"/>
      <c r="G19" s="370"/>
      <c r="H19" s="369"/>
      <c r="I19" s="369"/>
      <c r="J19" s="369"/>
      <c r="K19" s="369"/>
      <c r="L19" s="369"/>
      <c r="M19" s="369"/>
      <c r="N19" s="369"/>
      <c r="O19" s="377"/>
      <c r="P19" s="370"/>
    </row>
    <row r="20" spans="1:16" ht="108" customHeight="1">
      <c r="A20" s="369"/>
      <c r="B20" s="399"/>
      <c r="C20" s="410" t="s">
        <v>229</v>
      </c>
      <c r="D20" s="694" t="s">
        <v>279</v>
      </c>
      <c r="E20" s="695"/>
      <c r="F20" s="695"/>
      <c r="G20" s="695"/>
      <c r="H20" s="695"/>
      <c r="I20" s="695"/>
      <c r="J20" s="695"/>
      <c r="K20" s="695"/>
      <c r="L20" s="695"/>
      <c r="M20" s="695"/>
      <c r="N20" s="696"/>
      <c r="O20" s="377"/>
      <c r="P20" s="370"/>
    </row>
    <row r="21" spans="1:16" ht="39" customHeight="1">
      <c r="A21" s="369"/>
      <c r="B21" s="411"/>
      <c r="C21" s="395"/>
      <c r="D21" s="396"/>
      <c r="E21" s="396"/>
      <c r="F21" s="395"/>
      <c r="G21" s="395"/>
      <c r="H21" s="387"/>
      <c r="I21" s="387"/>
      <c r="J21" s="387"/>
      <c r="K21" s="387"/>
      <c r="L21" s="387"/>
      <c r="M21" s="387"/>
      <c r="N21" s="387"/>
      <c r="O21" s="397"/>
      <c r="P21" s="370"/>
    </row>
    <row r="22" spans="1:16" ht="35.25" customHeight="1">
      <c r="A22" s="369"/>
      <c r="B22" s="370"/>
      <c r="C22" s="370"/>
      <c r="D22" s="371"/>
      <c r="E22" s="371"/>
      <c r="F22" s="370"/>
      <c r="G22" s="370"/>
      <c r="H22" s="369"/>
      <c r="I22" s="369"/>
      <c r="J22" s="369"/>
      <c r="K22" s="369"/>
      <c r="L22" s="369"/>
      <c r="M22" s="369"/>
      <c r="N22" s="369"/>
      <c r="O22" s="370"/>
      <c r="P22" s="370"/>
    </row>
    <row r="23" spans="1:16" ht="15.75" customHeight="1">
      <c r="A23" s="369"/>
      <c r="B23" s="412"/>
      <c r="C23" s="373"/>
      <c r="D23" s="374"/>
      <c r="E23" s="374"/>
      <c r="F23" s="373"/>
      <c r="G23" s="373"/>
      <c r="H23" s="413"/>
      <c r="I23" s="413"/>
      <c r="J23" s="413"/>
      <c r="K23" s="413"/>
      <c r="L23" s="413"/>
      <c r="M23" s="413"/>
      <c r="N23" s="413"/>
      <c r="O23" s="375"/>
      <c r="P23" s="370"/>
    </row>
    <row r="24" spans="1:16" ht="42.75" customHeight="1">
      <c r="A24" s="369"/>
      <c r="B24" s="376" t="s">
        <v>230</v>
      </c>
      <c r="C24" s="370"/>
      <c r="D24" s="371"/>
      <c r="E24" s="371"/>
      <c r="F24" s="370"/>
      <c r="G24" s="370"/>
      <c r="H24" s="697" t="s">
        <v>231</v>
      </c>
      <c r="I24" s="698"/>
      <c r="J24" s="698"/>
      <c r="K24" s="698"/>
      <c r="L24" s="698"/>
      <c r="M24" s="698"/>
      <c r="N24" s="699"/>
      <c r="O24" s="377"/>
      <c r="P24" s="370"/>
    </row>
    <row r="25" spans="1:16" ht="33" customHeight="1" thickBot="1">
      <c r="A25" s="369"/>
      <c r="B25" s="399"/>
      <c r="C25" s="370"/>
      <c r="D25" s="371"/>
      <c r="E25" s="371"/>
      <c r="F25" s="370"/>
      <c r="G25" s="370"/>
      <c r="H25" s="198"/>
      <c r="I25" s="199"/>
      <c r="J25" s="200"/>
      <c r="K25" s="200"/>
      <c r="L25" s="200"/>
      <c r="M25" s="199"/>
      <c r="N25" s="201"/>
      <c r="O25" s="377"/>
      <c r="P25" s="370"/>
    </row>
    <row r="26" spans="1:16" ht="48.75" customHeight="1" thickTop="1">
      <c r="A26" s="369"/>
      <c r="B26" s="399"/>
      <c r="C26" s="700" t="s">
        <v>232</v>
      </c>
      <c r="D26" s="701"/>
      <c r="E26" s="702"/>
      <c r="F26" s="414" t="s">
        <v>233</v>
      </c>
      <c r="G26" s="370"/>
      <c r="H26" s="198"/>
      <c r="I26" s="202"/>
      <c r="J26" s="200"/>
      <c r="K26" s="200"/>
      <c r="L26" s="200"/>
      <c r="M26" s="199"/>
      <c r="N26" s="201"/>
      <c r="O26" s="377"/>
      <c r="P26" s="370"/>
    </row>
    <row r="27" spans="1:16" ht="33" customHeight="1">
      <c r="A27" s="369"/>
      <c r="B27" s="399"/>
      <c r="C27" s="415" t="s">
        <v>234</v>
      </c>
      <c r="D27" s="703" t="s">
        <v>235</v>
      </c>
      <c r="E27" s="704"/>
      <c r="F27" s="416" t="s">
        <v>236</v>
      </c>
      <c r="G27" s="370"/>
      <c r="H27" s="427"/>
      <c r="I27" s="203"/>
      <c r="J27" s="200"/>
      <c r="K27" s="200"/>
      <c r="L27" s="200"/>
      <c r="M27" s="199"/>
      <c r="N27" s="201"/>
      <c r="O27" s="377"/>
      <c r="P27" s="370"/>
    </row>
    <row r="28" spans="1:16" ht="33" customHeight="1">
      <c r="A28" s="369"/>
      <c r="B28" s="399"/>
      <c r="C28" s="415" t="s">
        <v>237</v>
      </c>
      <c r="D28" s="703" t="s">
        <v>238</v>
      </c>
      <c r="E28" s="704"/>
      <c r="F28" s="417">
        <v>120</v>
      </c>
      <c r="G28" s="370"/>
      <c r="H28" s="198"/>
      <c r="I28" s="203"/>
      <c r="J28" s="200"/>
      <c r="K28" s="200"/>
      <c r="L28" s="200"/>
      <c r="M28" s="199"/>
      <c r="N28" s="201"/>
      <c r="O28" s="377"/>
      <c r="P28" s="370"/>
    </row>
    <row r="29" spans="1:16" ht="33" customHeight="1">
      <c r="A29" s="369"/>
      <c r="B29" s="399"/>
      <c r="C29" s="415" t="s">
        <v>239</v>
      </c>
      <c r="D29" s="703" t="s">
        <v>240</v>
      </c>
      <c r="E29" s="704"/>
      <c r="F29" s="417">
        <v>40</v>
      </c>
      <c r="G29" s="370"/>
      <c r="H29" s="198"/>
      <c r="I29" s="203"/>
      <c r="J29" s="200"/>
      <c r="K29" s="200"/>
      <c r="L29" s="200"/>
      <c r="M29" s="199"/>
      <c r="N29" s="201"/>
      <c r="O29" s="377"/>
      <c r="P29" s="370"/>
    </row>
    <row r="30" spans="1:16" ht="33" customHeight="1">
      <c r="A30" s="369"/>
      <c r="B30" s="399"/>
      <c r="C30" s="415" t="s">
        <v>241</v>
      </c>
      <c r="D30" s="703" t="s">
        <v>242</v>
      </c>
      <c r="E30" s="704"/>
      <c r="F30" s="417">
        <v>40</v>
      </c>
      <c r="G30" s="370"/>
      <c r="H30" s="198"/>
      <c r="I30" s="203"/>
      <c r="J30" s="200"/>
      <c r="K30" s="200"/>
      <c r="L30" s="200"/>
      <c r="M30" s="199"/>
      <c r="N30" s="201"/>
      <c r="O30" s="377"/>
      <c r="P30" s="370"/>
    </row>
    <row r="31" spans="1:16" ht="33" customHeight="1" thickBot="1">
      <c r="A31" s="369"/>
      <c r="B31" s="399"/>
      <c r="C31" s="418" t="s">
        <v>243</v>
      </c>
      <c r="D31" s="705" t="s">
        <v>244</v>
      </c>
      <c r="E31" s="706"/>
      <c r="F31" s="419" t="s">
        <v>236</v>
      </c>
      <c r="G31" s="370"/>
      <c r="H31" s="198"/>
      <c r="I31" s="203"/>
      <c r="J31" s="200"/>
      <c r="K31" s="200"/>
      <c r="L31" s="200"/>
      <c r="M31" s="199"/>
      <c r="N31" s="201"/>
      <c r="O31" s="377"/>
      <c r="P31" s="370"/>
    </row>
    <row r="32" spans="1:16" ht="46.5" customHeight="1" thickTop="1">
      <c r="A32" s="369"/>
      <c r="B32" s="399"/>
      <c r="C32" s="370"/>
      <c r="D32" s="371"/>
      <c r="E32" s="371"/>
      <c r="F32" s="370"/>
      <c r="G32" s="370"/>
      <c r="H32" s="198"/>
      <c r="I32" s="199"/>
      <c r="J32" s="200"/>
      <c r="K32" s="200"/>
      <c r="L32" s="200"/>
      <c r="M32" s="199"/>
      <c r="N32" s="201"/>
      <c r="O32" s="377"/>
      <c r="P32" s="370"/>
    </row>
    <row r="33" spans="1:16" ht="46.5" customHeight="1">
      <c r="A33" s="369"/>
      <c r="B33" s="399"/>
      <c r="C33" s="369"/>
      <c r="D33" s="369"/>
      <c r="E33" s="369"/>
      <c r="F33" s="370"/>
      <c r="G33" s="370"/>
      <c r="H33" s="198"/>
      <c r="I33" s="199"/>
      <c r="J33" s="200"/>
      <c r="K33" s="200"/>
      <c r="L33" s="200"/>
      <c r="M33" s="199"/>
      <c r="N33" s="201"/>
      <c r="O33" s="377"/>
      <c r="P33" s="370"/>
    </row>
    <row r="34" spans="1:16" ht="46.5" customHeight="1">
      <c r="A34" s="369"/>
      <c r="B34" s="399"/>
      <c r="C34" s="369"/>
      <c r="D34" s="369"/>
      <c r="E34" s="369"/>
      <c r="F34" s="370"/>
      <c r="G34" s="370"/>
      <c r="H34" s="198"/>
      <c r="I34" s="199"/>
      <c r="J34" s="200"/>
      <c r="K34" s="200"/>
      <c r="L34" s="200"/>
      <c r="M34" s="199"/>
      <c r="N34" s="201"/>
      <c r="O34" s="377"/>
      <c r="P34" s="370"/>
    </row>
    <row r="35" spans="1:16">
      <c r="A35" s="369"/>
      <c r="B35" s="399"/>
      <c r="C35" s="369"/>
      <c r="D35" s="369"/>
      <c r="E35" s="369"/>
      <c r="F35" s="370"/>
      <c r="G35" s="370"/>
      <c r="H35" s="198"/>
      <c r="I35" s="199"/>
      <c r="J35" s="200"/>
      <c r="K35" s="200"/>
      <c r="L35" s="200"/>
      <c r="M35" s="199"/>
      <c r="N35" s="201"/>
      <c r="O35" s="377"/>
      <c r="P35" s="370"/>
    </row>
    <row r="36" spans="1:16">
      <c r="A36" s="369"/>
      <c r="B36" s="399"/>
      <c r="C36" s="369"/>
      <c r="D36" s="369"/>
      <c r="E36" s="369"/>
      <c r="F36" s="370"/>
      <c r="G36" s="370"/>
      <c r="H36" s="198"/>
      <c r="I36" s="199"/>
      <c r="J36" s="200"/>
      <c r="K36" s="200"/>
      <c r="L36" s="200"/>
      <c r="M36" s="199"/>
      <c r="N36" s="201"/>
      <c r="O36" s="377"/>
      <c r="P36" s="370"/>
    </row>
    <row r="37" spans="1:16" ht="18.75" customHeight="1">
      <c r="A37" s="369"/>
      <c r="B37" s="399"/>
      <c r="C37" s="369"/>
      <c r="D37" s="369"/>
      <c r="E37" s="369"/>
      <c r="F37" s="370"/>
      <c r="G37" s="370"/>
      <c r="H37" s="198"/>
      <c r="I37" s="199"/>
      <c r="J37" s="200"/>
      <c r="K37" s="200"/>
      <c r="L37" s="200"/>
      <c r="M37" s="199"/>
      <c r="N37" s="201"/>
      <c r="O37" s="377"/>
      <c r="P37" s="370"/>
    </row>
    <row r="38" spans="1:16" ht="38.25" customHeight="1">
      <c r="A38" s="369"/>
      <c r="B38" s="399"/>
      <c r="C38" s="371"/>
      <c r="D38" s="371"/>
      <c r="E38" s="420"/>
      <c r="F38" s="370"/>
      <c r="G38" s="370"/>
      <c r="H38" s="198"/>
      <c r="I38" s="199"/>
      <c r="J38" s="200"/>
      <c r="K38" s="200"/>
      <c r="L38" s="200"/>
      <c r="M38" s="199"/>
      <c r="N38" s="201"/>
      <c r="O38" s="377"/>
      <c r="P38" s="370"/>
    </row>
    <row r="39" spans="1:16" ht="44.25" customHeight="1">
      <c r="A39" s="369"/>
      <c r="B39" s="399"/>
      <c r="C39" s="421"/>
      <c r="D39" s="422"/>
      <c r="E39" s="423"/>
      <c r="F39" s="424"/>
      <c r="G39" s="423"/>
      <c r="H39" s="204"/>
      <c r="I39" s="205"/>
      <c r="J39" s="206"/>
      <c r="K39" s="206"/>
      <c r="L39" s="206"/>
      <c r="M39" s="205"/>
      <c r="N39" s="207"/>
      <c r="O39" s="377"/>
      <c r="P39" s="370"/>
    </row>
    <row r="40" spans="1:16" ht="31.5" customHeight="1">
      <c r="A40" s="369"/>
      <c r="B40" s="399"/>
      <c r="C40" s="370"/>
      <c r="D40" s="371"/>
      <c r="E40" s="371"/>
      <c r="F40" s="370"/>
      <c r="G40" s="370"/>
      <c r="H40" s="370"/>
      <c r="I40" s="370"/>
      <c r="J40" s="370"/>
      <c r="K40" s="370"/>
      <c r="L40" s="370"/>
      <c r="M40" s="370"/>
      <c r="N40" s="370"/>
      <c r="O40" s="377"/>
      <c r="P40" s="370"/>
    </row>
    <row r="41" spans="1:16" ht="33.75" hidden="1" customHeight="1">
      <c r="B41" s="209"/>
      <c r="C41" s="210" t="s">
        <v>245</v>
      </c>
      <c r="D41" s="211"/>
      <c r="E41" s="211">
        <v>120</v>
      </c>
      <c r="F41" s="212"/>
      <c r="G41" s="212"/>
      <c r="H41" s="212"/>
      <c r="I41" s="212"/>
      <c r="J41" s="212"/>
      <c r="K41" s="212"/>
      <c r="L41" s="212"/>
      <c r="M41" s="213"/>
      <c r="N41" s="211"/>
      <c r="O41" s="214"/>
      <c r="P41" s="215"/>
    </row>
    <row r="42" spans="1:16" ht="11.25" hidden="1" customHeight="1" outlineLevel="1">
      <c r="B42" s="216"/>
      <c r="C42" s="215"/>
      <c r="D42" s="217"/>
      <c r="E42" s="217"/>
      <c r="F42" s="215"/>
      <c r="G42" s="215"/>
      <c r="H42" s="215"/>
      <c r="I42" s="215"/>
      <c r="J42" s="215"/>
      <c r="K42" s="215"/>
      <c r="L42" s="215"/>
      <c r="M42" s="215"/>
      <c r="N42" s="215"/>
      <c r="O42" s="214"/>
      <c r="P42" s="215"/>
    </row>
    <row r="43" spans="1:16" s="222" customFormat="1" ht="49.5" hidden="1" customHeight="1" outlineLevel="1">
      <c r="A43" s="218"/>
      <c r="B43" s="219"/>
      <c r="C43" s="707" t="s">
        <v>246</v>
      </c>
      <c r="D43" s="708"/>
      <c r="E43" s="708"/>
      <c r="F43" s="708"/>
      <c r="G43" s="708"/>
      <c r="H43" s="708"/>
      <c r="I43" s="708"/>
      <c r="J43" s="708"/>
      <c r="K43" s="708"/>
      <c r="L43" s="708"/>
      <c r="M43" s="708"/>
      <c r="N43" s="709"/>
      <c r="O43" s="220"/>
      <c r="P43" s="221"/>
    </row>
    <row r="44" spans="1:16" s="222" customFormat="1" ht="42.75" hidden="1" customHeight="1" outlineLevel="1">
      <c r="A44" s="218"/>
      <c r="B44" s="223"/>
      <c r="C44" s="224" t="s">
        <v>247</v>
      </c>
      <c r="D44" s="215"/>
      <c r="E44" s="215"/>
      <c r="F44" s="215"/>
      <c r="G44" s="225"/>
      <c r="H44" s="225"/>
      <c r="I44" s="225"/>
      <c r="J44" s="225"/>
      <c r="K44" s="225"/>
      <c r="L44" s="225"/>
      <c r="M44" s="225"/>
      <c r="N44" s="225"/>
      <c r="O44" s="220"/>
      <c r="P44" s="221"/>
    </row>
    <row r="45" spans="1:16" s="222" customFormat="1" hidden="1" outlineLevel="1">
      <c r="A45" s="218"/>
      <c r="B45" s="223"/>
      <c r="C45" s="215"/>
      <c r="D45" s="215"/>
      <c r="E45" s="215"/>
      <c r="F45" s="215"/>
      <c r="G45" s="225"/>
      <c r="H45" s="225"/>
      <c r="I45" s="225"/>
      <c r="J45" s="225"/>
      <c r="K45" s="225"/>
      <c r="L45" s="225"/>
      <c r="M45" s="225"/>
      <c r="N45" s="225"/>
      <c r="O45" s="220"/>
      <c r="P45" s="221"/>
    </row>
    <row r="46" spans="1:16" s="222" customFormat="1" ht="36.75" hidden="1" outlineLevel="1" thickTop="1">
      <c r="A46" s="218"/>
      <c r="B46" s="223"/>
      <c r="C46" s="226" t="s">
        <v>248</v>
      </c>
      <c r="D46" s="227" t="s">
        <v>249</v>
      </c>
      <c r="E46" s="228" t="s">
        <v>145</v>
      </c>
      <c r="F46" s="215"/>
      <c r="G46" s="225"/>
      <c r="H46" s="225"/>
      <c r="I46" s="208"/>
      <c r="J46" s="710" t="s">
        <v>250</v>
      </c>
      <c r="K46" s="711"/>
      <c r="L46" s="711"/>
      <c r="M46" s="712"/>
      <c r="N46" s="229" t="s">
        <v>251</v>
      </c>
      <c r="O46" s="220"/>
      <c r="P46" s="221"/>
    </row>
    <row r="47" spans="1:16" s="222" customFormat="1" ht="27.75" hidden="1" customHeight="1" outlineLevel="1">
      <c r="A47" s="218"/>
      <c r="B47" s="223"/>
      <c r="C47" s="230">
        <v>0</v>
      </c>
      <c r="D47" s="231">
        <v>3</v>
      </c>
      <c r="E47" s="232">
        <v>60</v>
      </c>
      <c r="F47" s="215"/>
      <c r="G47" s="225"/>
      <c r="H47" s="225"/>
      <c r="I47" s="233"/>
      <c r="J47" s="234">
        <v>1</v>
      </c>
      <c r="K47" s="693" t="str" cm="1">
        <f t="array" ref="K47">UNICO_PROPONENTE_INTEGRANTE_1</f>
        <v/>
      </c>
      <c r="L47" s="693"/>
      <c r="M47" s="693"/>
      <c r="N47" s="235" t="e" cm="1">
        <f t="array" ref="N47">PORCENTAJE_INTEGRANTE1</f>
        <v>#N/A</v>
      </c>
      <c r="O47" s="220"/>
      <c r="P47" s="221"/>
    </row>
    <row r="48" spans="1:16" s="222" customFormat="1" ht="27.75" hidden="1" customHeight="1" outlineLevel="1">
      <c r="A48" s="218"/>
      <c r="B48" s="223"/>
      <c r="C48" s="230">
        <v>3</v>
      </c>
      <c r="D48" s="231">
        <v>6</v>
      </c>
      <c r="E48" s="232">
        <v>80</v>
      </c>
      <c r="F48" s="215"/>
      <c r="G48" s="225"/>
      <c r="H48" s="225"/>
      <c r="I48" s="236"/>
      <c r="J48" s="237">
        <v>2</v>
      </c>
      <c r="K48" s="693" t="str" cm="1">
        <f t="array" ref="K48">INTEGRANTE_2</f>
        <v/>
      </c>
      <c r="L48" s="693"/>
      <c r="M48" s="693"/>
      <c r="N48" s="235" t="e" cm="1">
        <f t="array" ref="N48">PORCENTAJE_INTEGRANTE2</f>
        <v>#N/A</v>
      </c>
      <c r="O48" s="220"/>
      <c r="P48" s="221"/>
    </row>
    <row r="49" spans="1:16" s="222" customFormat="1" ht="27.75" hidden="1" customHeight="1" outlineLevel="1">
      <c r="A49" s="218"/>
      <c r="B49" s="223"/>
      <c r="C49" s="230">
        <v>6</v>
      </c>
      <c r="D49" s="231">
        <v>10</v>
      </c>
      <c r="E49" s="232">
        <v>100</v>
      </c>
      <c r="F49" s="215"/>
      <c r="G49" s="225"/>
      <c r="H49" s="225"/>
      <c r="I49" s="236"/>
      <c r="J49" s="237">
        <v>3</v>
      </c>
      <c r="K49" s="693" t="str" cm="1">
        <f t="array" ref="K49">INTEGRANTE_3</f>
        <v/>
      </c>
      <c r="L49" s="693"/>
      <c r="M49" s="693"/>
      <c r="N49" s="235" t="e" cm="1">
        <f t="array" ref="N49">PORCENTAJE_INTEGRANTE3</f>
        <v>#N/A</v>
      </c>
      <c r="O49" s="220"/>
      <c r="P49" s="221"/>
    </row>
    <row r="50" spans="1:16" s="222" customFormat="1" ht="27.75" hidden="1" customHeight="1" outlineLevel="1" thickBot="1">
      <c r="A50" s="218"/>
      <c r="B50" s="223"/>
      <c r="C50" s="238">
        <v>10</v>
      </c>
      <c r="D50" s="239" t="s">
        <v>252</v>
      </c>
      <c r="E50" s="240">
        <v>120</v>
      </c>
      <c r="F50" s="215"/>
      <c r="G50" s="225"/>
      <c r="H50" s="225"/>
      <c r="I50" s="236"/>
      <c r="J50" s="237">
        <v>4</v>
      </c>
      <c r="K50" s="693" t="str" cm="1">
        <f t="array" ref="K50">INTEGRANTE_4</f>
        <v/>
      </c>
      <c r="L50" s="693"/>
      <c r="M50" s="693"/>
      <c r="N50" s="235" t="e" cm="1">
        <f t="array" ref="N50">PORCENTAJE_INTEGRANTE4</f>
        <v>#N/A</v>
      </c>
      <c r="O50" s="220"/>
      <c r="P50" s="221"/>
    </row>
    <row r="51" spans="1:16" s="222" customFormat="1" ht="27.75" hidden="1" customHeight="1" outlineLevel="1" thickTop="1">
      <c r="A51" s="218"/>
      <c r="B51" s="223"/>
      <c r="C51" s="241"/>
      <c r="D51" s="241"/>
      <c r="E51" s="241"/>
      <c r="F51" s="215"/>
      <c r="G51" s="225"/>
      <c r="H51" s="225"/>
      <c r="I51" s="236"/>
      <c r="J51" s="237">
        <v>5</v>
      </c>
      <c r="K51" s="693" t="str" cm="1">
        <f t="array" ref="K51">INTEGRANTE_5</f>
        <v/>
      </c>
      <c r="L51" s="693"/>
      <c r="M51" s="693"/>
      <c r="N51" s="235" t="e" cm="1">
        <f t="array" ref="N51">PORCENTAJE_INTEGRANTE5</f>
        <v>#N/A</v>
      </c>
      <c r="O51" s="220"/>
      <c r="P51" s="221"/>
    </row>
    <row r="52" spans="1:16" s="222" customFormat="1" ht="27.75" hidden="1" customHeight="1" outlineLevel="1">
      <c r="A52" s="218"/>
      <c r="B52" s="223"/>
      <c r="C52" s="241"/>
      <c r="D52" s="241"/>
      <c r="E52" s="241"/>
      <c r="F52" s="215"/>
      <c r="G52" s="225"/>
      <c r="H52" s="225"/>
      <c r="I52" s="236"/>
      <c r="J52" s="237">
        <v>6</v>
      </c>
      <c r="K52" s="693" t="str" cm="1">
        <f t="array" ref="K52">INTEGRANTE_6</f>
        <v/>
      </c>
      <c r="L52" s="693"/>
      <c r="M52" s="693"/>
      <c r="N52" s="235" t="e" cm="1">
        <f t="array" ref="N52">PORCENTAJE_INTEGRANTE6</f>
        <v>#N/A</v>
      </c>
      <c r="O52" s="220"/>
      <c r="P52" s="221"/>
    </row>
    <row r="53" spans="1:16" s="222" customFormat="1" ht="27.75" hidden="1" customHeight="1" outlineLevel="1">
      <c r="A53" s="218"/>
      <c r="B53" s="223"/>
      <c r="C53" s="241"/>
      <c r="D53" s="241"/>
      <c r="E53" s="241"/>
      <c r="F53" s="215"/>
      <c r="G53" s="225"/>
      <c r="H53" s="225"/>
      <c r="I53" s="225"/>
      <c r="J53" s="225"/>
      <c r="K53" s="225"/>
      <c r="L53" s="225"/>
      <c r="M53" s="225"/>
      <c r="N53" s="225"/>
      <c r="O53" s="220"/>
      <c r="P53" s="221"/>
    </row>
    <row r="54" spans="1:16" ht="15.75" hidden="1" customHeight="1" outlineLevel="1" thickBot="1">
      <c r="B54" s="216"/>
      <c r="C54" s="215"/>
      <c r="D54" s="217"/>
      <c r="E54" s="217"/>
      <c r="F54" s="215"/>
      <c r="G54" s="215"/>
      <c r="H54" s="215"/>
      <c r="I54" s="215"/>
      <c r="J54" s="215"/>
      <c r="K54" s="215"/>
      <c r="L54" s="215"/>
      <c r="M54" s="215"/>
      <c r="N54" s="215"/>
      <c r="O54" s="214"/>
      <c r="P54" s="215"/>
    </row>
    <row r="55" spans="1:16" ht="23.25" hidden="1" customHeight="1" outlineLevel="1" thickTop="1">
      <c r="B55" s="216"/>
      <c r="C55" s="713" t="s">
        <v>253</v>
      </c>
      <c r="D55" s="714"/>
      <c r="E55" s="714"/>
      <c r="F55" s="714"/>
      <c r="G55" s="714"/>
      <c r="H55" s="715"/>
      <c r="J55" s="713" t="s">
        <v>254</v>
      </c>
      <c r="K55" s="714"/>
      <c r="L55" s="714"/>
      <c r="M55" s="714"/>
      <c r="N55" s="715"/>
      <c r="O55" s="214"/>
      <c r="P55" s="215"/>
    </row>
    <row r="56" spans="1:16" ht="122.25" hidden="1" customHeight="1" outlineLevel="1" thickBot="1">
      <c r="B56" s="216"/>
      <c r="C56" s="717" t="s">
        <v>255</v>
      </c>
      <c r="D56" s="718"/>
      <c r="E56" s="718"/>
      <c r="F56" s="718"/>
      <c r="G56" s="718"/>
      <c r="H56" s="719"/>
      <c r="J56" s="720" t="s">
        <v>256</v>
      </c>
      <c r="K56" s="721"/>
      <c r="L56" s="721"/>
      <c r="M56" s="721"/>
      <c r="N56" s="722"/>
      <c r="O56" s="242"/>
      <c r="P56" s="243"/>
    </row>
    <row r="57" spans="1:16" hidden="1" outlineLevel="1">
      <c r="B57" s="216"/>
      <c r="C57" s="215"/>
      <c r="D57" s="243"/>
      <c r="E57" s="243"/>
      <c r="F57" s="243"/>
      <c r="G57" s="243"/>
      <c r="H57" s="243"/>
      <c r="I57" s="243"/>
      <c r="J57" s="243"/>
      <c r="K57" s="243"/>
      <c r="L57" s="243"/>
      <c r="M57" s="243"/>
      <c r="N57" s="243"/>
      <c r="O57" s="242"/>
      <c r="P57" s="243"/>
    </row>
    <row r="58" spans="1:16" ht="15.75" hidden="1" customHeight="1" outlineLevel="1">
      <c r="B58" s="216"/>
      <c r="G58" s="215"/>
      <c r="O58" s="242"/>
      <c r="P58" s="215"/>
    </row>
    <row r="59" spans="1:16" ht="44.25" hidden="1" customHeight="1" outlineLevel="1">
      <c r="B59" s="216"/>
      <c r="C59" s="229" t="s">
        <v>257</v>
      </c>
      <c r="D59" s="229" t="s">
        <v>219</v>
      </c>
      <c r="E59" s="244" t="s">
        <v>258</v>
      </c>
      <c r="F59" s="244" t="s">
        <v>259</v>
      </c>
      <c r="H59" s="245"/>
      <c r="I59" s="215"/>
      <c r="J59" s="229" t="s">
        <v>257</v>
      </c>
      <c r="K59" s="229" t="s">
        <v>260</v>
      </c>
      <c r="L59" s="244" t="s">
        <v>258</v>
      </c>
      <c r="M59" s="229" t="s">
        <v>261</v>
      </c>
      <c r="N59" s="244" t="s">
        <v>259</v>
      </c>
      <c r="O59" s="242"/>
      <c r="P59" s="215"/>
    </row>
    <row r="60" spans="1:16" ht="27.75" hidden="1" customHeight="1" outlineLevel="1">
      <c r="B60" s="216"/>
      <c r="C60" s="723">
        <v>2000000</v>
      </c>
      <c r="D60" s="723" t="str">
        <f>IF($N$7="Único Proponente",$E$18,"")</f>
        <v/>
      </c>
      <c r="E60" s="724" t="str">
        <f>IF($N$7="Único Proponente",$C$60/$D$60,"")</f>
        <v/>
      </c>
      <c r="F60" s="725" t="str">
        <f>IF($N$7="Único Proponente",IF($E$60&gt;11,$E$50,IF($E$60&gt;$C$49,$E$49,IF($E$60&gt;$C$48,$E$48,IF($E$60&gt;$C$47,E47,"")))),"")</f>
        <v/>
      </c>
      <c r="G60" s="726"/>
      <c r="H60" s="726"/>
      <c r="I60" s="224">
        <v>1</v>
      </c>
      <c r="J60" s="246">
        <v>2500000000</v>
      </c>
      <c r="K60" s="246" t="str">
        <f>IFERROR(IF($N$7="Proponente Plural",$E$18*$N47,""),"")</f>
        <v/>
      </c>
      <c r="L60" s="248" t="str">
        <f>IFERROR((J60/K60),"")</f>
        <v/>
      </c>
      <c r="M60" s="727" t="str">
        <f>IF(SUM($L$60:$L$65)=0,"",SUM($L$60:$L$65))</f>
        <v/>
      </c>
      <c r="N60" s="725" t="str">
        <f>IF($N$7="Proponente Plural",IF($M$60&gt;11,$E$50,IF($M$60&gt;$C$49,$E$49,IF($M$60&gt;$C$48,$E$48,IF($M$60&gt;$C$47,E47,"")))),"")</f>
        <v/>
      </c>
      <c r="O60" s="242"/>
      <c r="P60" s="215"/>
    </row>
    <row r="61" spans="1:16" ht="27.75" hidden="1" customHeight="1" outlineLevel="1">
      <c r="B61" s="216"/>
      <c r="C61" s="723"/>
      <c r="D61" s="723"/>
      <c r="E61" s="724"/>
      <c r="F61" s="725"/>
      <c r="G61" s="726"/>
      <c r="H61" s="726"/>
      <c r="I61" s="224">
        <v>2</v>
      </c>
      <c r="J61" s="246">
        <v>700000000</v>
      </c>
      <c r="K61" s="246" t="str">
        <f>IFERROR(IF($N$7="Proponente Plural",$E$18*$N48,""),"")</f>
        <v/>
      </c>
      <c r="L61" s="248" t="str">
        <f t="shared" ref="L61:L65" si="0">IFERROR((J61/K61),"")</f>
        <v/>
      </c>
      <c r="M61" s="727"/>
      <c r="N61" s="725"/>
      <c r="O61" s="242"/>
      <c r="P61" s="215"/>
    </row>
    <row r="62" spans="1:16" ht="27.75" hidden="1" customHeight="1" outlineLevel="1">
      <c r="B62" s="216"/>
      <c r="C62" s="723"/>
      <c r="D62" s="723"/>
      <c r="E62" s="724"/>
      <c r="F62" s="725"/>
      <c r="G62" s="726"/>
      <c r="H62" s="726"/>
      <c r="I62" s="224">
        <v>3</v>
      </c>
      <c r="J62" s="246"/>
      <c r="K62" s="246" t="str">
        <f>IFERROR(IF($N$7="Proponente Plural",$E$18*$N49,""),"")</f>
        <v/>
      </c>
      <c r="L62" s="248" t="str">
        <f t="shared" si="0"/>
        <v/>
      </c>
      <c r="M62" s="727"/>
      <c r="N62" s="725"/>
      <c r="O62" s="242"/>
      <c r="P62" s="215"/>
    </row>
    <row r="63" spans="1:16" ht="26.25" hidden="1" customHeight="1" outlineLevel="1">
      <c r="B63" s="216"/>
      <c r="C63" s="215"/>
      <c r="D63" s="217"/>
      <c r="E63" s="217"/>
      <c r="F63" s="215"/>
      <c r="G63" s="215"/>
      <c r="H63" s="215"/>
      <c r="I63" s="224">
        <v>4</v>
      </c>
      <c r="J63" s="246"/>
      <c r="K63" s="246" t="str">
        <f>IFERROR(IF($N$7="Proponente Plural",$E$18*$N50,""),"")</f>
        <v/>
      </c>
      <c r="L63" s="248" t="str">
        <f t="shared" si="0"/>
        <v/>
      </c>
      <c r="M63" s="727"/>
      <c r="N63" s="725"/>
      <c r="O63" s="214"/>
      <c r="P63" s="215"/>
    </row>
    <row r="64" spans="1:16" ht="26.25" hidden="1" customHeight="1" outlineLevel="1">
      <c r="B64" s="216"/>
      <c r="C64" s="215"/>
      <c r="D64" s="217"/>
      <c r="E64" s="217"/>
      <c r="F64" s="215"/>
      <c r="G64" s="215"/>
      <c r="H64" s="215"/>
      <c r="I64" s="224">
        <v>5</v>
      </c>
      <c r="J64" s="246"/>
      <c r="K64" s="246" t="str">
        <f t="shared" ref="K64:K65" si="1">IFERROR(IF($N$7="Proponente Plural",$E$18*$N51,""),"")</f>
        <v/>
      </c>
      <c r="L64" s="248" t="str">
        <f t="shared" si="0"/>
        <v/>
      </c>
      <c r="M64" s="727"/>
      <c r="N64" s="725"/>
      <c r="O64" s="214"/>
      <c r="P64" s="215"/>
    </row>
    <row r="65" spans="2:16" ht="26.25" hidden="1" customHeight="1" outlineLevel="1">
      <c r="B65" s="216"/>
      <c r="C65" s="215"/>
      <c r="D65" s="217"/>
      <c r="E65" s="217"/>
      <c r="F65" s="215"/>
      <c r="G65" s="215"/>
      <c r="H65" s="215"/>
      <c r="I65" s="224">
        <v>6</v>
      </c>
      <c r="J65" s="246"/>
      <c r="K65" s="246" t="str">
        <f t="shared" si="1"/>
        <v/>
      </c>
      <c r="L65" s="248" t="str">
        <f t="shared" si="0"/>
        <v/>
      </c>
      <c r="M65" s="727"/>
      <c r="N65" s="725"/>
      <c r="O65" s="214"/>
      <c r="P65" s="215"/>
    </row>
    <row r="66" spans="2:16" ht="15.75" hidden="1" customHeight="1" outlineLevel="1">
      <c r="B66" s="216"/>
      <c r="C66" s="215"/>
      <c r="D66" s="217"/>
      <c r="E66" s="217"/>
      <c r="F66" s="215"/>
      <c r="G66" s="215"/>
      <c r="H66" s="215"/>
      <c r="I66" s="215"/>
      <c r="J66" s="215"/>
      <c r="K66" s="215"/>
      <c r="L66" s="215"/>
      <c r="M66" s="215"/>
      <c r="N66" s="215"/>
      <c r="O66" s="214"/>
      <c r="P66" s="215"/>
    </row>
    <row r="67" spans="2:16" ht="41.25" hidden="1" customHeight="1" collapsed="1">
      <c r="B67" s="216"/>
      <c r="C67" s="210" t="s">
        <v>262</v>
      </c>
      <c r="D67" s="211"/>
      <c r="E67" s="211">
        <v>40</v>
      </c>
      <c r="F67" s="212"/>
      <c r="G67" s="212"/>
      <c r="H67" s="212"/>
      <c r="I67" s="212"/>
      <c r="J67" s="212"/>
      <c r="K67" s="212"/>
      <c r="L67" s="212"/>
      <c r="M67" s="213"/>
      <c r="N67" s="211"/>
      <c r="O67" s="214"/>
      <c r="P67" s="215"/>
    </row>
    <row r="68" spans="2:16" ht="15.75" hidden="1" customHeight="1" outlineLevel="1">
      <c r="B68" s="216"/>
      <c r="C68" s="215"/>
      <c r="D68" s="217"/>
      <c r="E68" s="217"/>
      <c r="F68" s="215"/>
      <c r="G68" s="215"/>
      <c r="H68" s="215"/>
      <c r="I68" s="215"/>
      <c r="J68" s="215"/>
      <c r="K68" s="215"/>
      <c r="L68" s="215"/>
      <c r="M68" s="215"/>
      <c r="N68" s="215"/>
      <c r="O68" s="214"/>
      <c r="P68" s="215"/>
    </row>
    <row r="69" spans="2:16" ht="78" hidden="1" customHeight="1" outlineLevel="1">
      <c r="B69" s="216"/>
      <c r="C69" s="728" t="s">
        <v>263</v>
      </c>
      <c r="D69" s="729"/>
      <c r="E69" s="729"/>
      <c r="F69" s="730" t="s">
        <v>264</v>
      </c>
      <c r="G69" s="731"/>
      <c r="H69" s="732"/>
      <c r="I69" s="215"/>
      <c r="O69" s="214"/>
      <c r="P69" s="215"/>
    </row>
    <row r="70" spans="2:16" ht="15.75" hidden="1" customHeight="1" outlineLevel="1">
      <c r="B70" s="216"/>
      <c r="C70" s="215"/>
      <c r="D70" s="217"/>
      <c r="E70" s="217"/>
      <c r="F70" s="215"/>
      <c r="G70" s="215"/>
      <c r="H70" s="215"/>
      <c r="I70" s="215"/>
      <c r="J70" s="215"/>
      <c r="K70" s="215"/>
      <c r="L70" s="215"/>
      <c r="M70" s="215"/>
      <c r="N70" s="215"/>
      <c r="O70" s="214"/>
      <c r="P70" s="215"/>
    </row>
    <row r="71" spans="2:16" ht="15.75" hidden="1" customHeight="1" outlineLevel="1">
      <c r="B71" s="216"/>
      <c r="C71" s="224" t="s">
        <v>265</v>
      </c>
      <c r="D71" s="217"/>
      <c r="E71" s="217"/>
      <c r="F71" s="215"/>
      <c r="G71" s="215"/>
      <c r="H71" s="215"/>
      <c r="I71" s="215"/>
      <c r="J71" s="215"/>
      <c r="K71" s="215"/>
      <c r="N71" s="215"/>
      <c r="O71" s="214"/>
      <c r="P71" s="215"/>
    </row>
    <row r="72" spans="2:16" ht="31.5" hidden="1" customHeight="1" outlineLevel="1" thickBot="1">
      <c r="B72" s="216"/>
      <c r="C72" s="215"/>
      <c r="D72" s="217"/>
      <c r="E72" s="217"/>
      <c r="F72" s="215"/>
      <c r="G72" s="215"/>
      <c r="H72" s="215"/>
      <c r="J72" s="733" t="s">
        <v>266</v>
      </c>
      <c r="K72" s="733"/>
      <c r="L72" s="229" t="s">
        <v>267</v>
      </c>
      <c r="M72" s="229" t="s">
        <v>268</v>
      </c>
      <c r="O72" s="214"/>
      <c r="P72" s="215"/>
    </row>
    <row r="73" spans="2:16" ht="33" hidden="1" customHeight="1" outlineLevel="1" thickTop="1">
      <c r="B73" s="216"/>
      <c r="C73" s="226" t="s">
        <v>248</v>
      </c>
      <c r="D73" s="227" t="s">
        <v>249</v>
      </c>
      <c r="E73" s="228" t="s">
        <v>145</v>
      </c>
      <c r="F73" s="215"/>
      <c r="I73" s="249">
        <v>1</v>
      </c>
      <c r="J73" s="716" t="str" cm="1">
        <f t="array" ref="J73">UNICO_PROPONENTE_INTEGRANTE_1</f>
        <v/>
      </c>
      <c r="K73" s="716"/>
      <c r="L73" s="250">
        <v>1500000000</v>
      </c>
      <c r="M73" s="250">
        <v>750000000</v>
      </c>
      <c r="O73" s="214"/>
      <c r="P73" s="215"/>
    </row>
    <row r="74" spans="2:16" ht="34.5" hidden="1" customHeight="1" outlineLevel="1">
      <c r="B74" s="216"/>
      <c r="C74" s="251">
        <v>0</v>
      </c>
      <c r="D74" s="252">
        <v>0.5</v>
      </c>
      <c r="E74" s="232">
        <v>20</v>
      </c>
      <c r="F74" s="215"/>
      <c r="I74" s="253">
        <v>2</v>
      </c>
      <c r="J74" s="716" t="str" cm="1">
        <f t="array" ref="J74">INTEGRANTE_2</f>
        <v/>
      </c>
      <c r="K74" s="716"/>
      <c r="L74" s="250">
        <v>2000000000</v>
      </c>
      <c r="M74" s="250">
        <v>1500000000</v>
      </c>
      <c r="O74" s="214"/>
      <c r="P74" s="215"/>
    </row>
    <row r="75" spans="2:16" ht="34.5" hidden="1" customHeight="1" outlineLevel="1">
      <c r="B75" s="216"/>
      <c r="C75" s="251">
        <v>0.5</v>
      </c>
      <c r="D75" s="252">
        <v>0.75</v>
      </c>
      <c r="E75" s="232">
        <v>25</v>
      </c>
      <c r="F75" s="215"/>
      <c r="I75" s="253">
        <v>3</v>
      </c>
      <c r="J75" s="716" t="str" cm="1">
        <f t="array" ref="J75">INTEGRANTE_3</f>
        <v/>
      </c>
      <c r="K75" s="716"/>
      <c r="L75" s="250">
        <v>3000000000</v>
      </c>
      <c r="M75" s="250">
        <v>1000000</v>
      </c>
      <c r="N75" s="254"/>
      <c r="O75" s="214"/>
      <c r="P75" s="215"/>
    </row>
    <row r="76" spans="2:16" ht="34.5" hidden="1" customHeight="1" outlineLevel="1">
      <c r="B76" s="216"/>
      <c r="C76" s="251">
        <v>0.75</v>
      </c>
      <c r="D76" s="252">
        <v>1</v>
      </c>
      <c r="E76" s="232">
        <v>30</v>
      </c>
      <c r="F76" s="215"/>
      <c r="I76" s="253">
        <v>4</v>
      </c>
      <c r="J76" s="716" t="str" cm="1">
        <f t="array" ref="J76">INTEGRANTE_4</f>
        <v/>
      </c>
      <c r="K76" s="716"/>
      <c r="L76" s="250"/>
      <c r="M76" s="250"/>
      <c r="N76" s="254"/>
      <c r="O76" s="214"/>
      <c r="P76" s="215"/>
    </row>
    <row r="77" spans="2:16" ht="34.5" hidden="1" customHeight="1" outlineLevel="1">
      <c r="B77" s="216"/>
      <c r="C77" s="251">
        <v>1</v>
      </c>
      <c r="D77" s="252">
        <v>1.5</v>
      </c>
      <c r="E77" s="232">
        <v>35</v>
      </c>
      <c r="F77" s="215"/>
      <c r="I77" s="253">
        <v>5</v>
      </c>
      <c r="J77" s="716" t="str" cm="1">
        <f t="array" ref="J77">INTEGRANTE_5</f>
        <v/>
      </c>
      <c r="K77" s="716"/>
      <c r="L77" s="250"/>
      <c r="M77" s="250"/>
      <c r="N77" s="254"/>
      <c r="O77" s="214"/>
      <c r="P77" s="215"/>
    </row>
    <row r="78" spans="2:16" ht="34.5" hidden="1" customHeight="1" outlineLevel="1" thickBot="1">
      <c r="B78" s="216"/>
      <c r="C78" s="255">
        <v>1.5</v>
      </c>
      <c r="D78" s="239" t="s">
        <v>269</v>
      </c>
      <c r="E78" s="240">
        <v>40</v>
      </c>
      <c r="F78" s="215"/>
      <c r="I78" s="253">
        <v>6</v>
      </c>
      <c r="J78" s="716" t="str" cm="1">
        <f t="array" ref="J78">INTEGRANTE_6</f>
        <v/>
      </c>
      <c r="K78" s="716"/>
      <c r="L78" s="250"/>
      <c r="M78" s="250"/>
      <c r="N78" s="254"/>
      <c r="O78" s="214"/>
      <c r="P78" s="215"/>
    </row>
    <row r="79" spans="2:16" ht="34.5" hidden="1" customHeight="1" outlineLevel="1" thickTop="1">
      <c r="B79" s="216"/>
      <c r="C79" s="215"/>
      <c r="D79" s="217"/>
      <c r="E79" s="217"/>
      <c r="F79" s="215"/>
      <c r="N79" s="254"/>
      <c r="O79" s="214"/>
      <c r="P79" s="215"/>
    </row>
    <row r="80" spans="2:16" ht="34.5" hidden="1" customHeight="1" outlineLevel="1">
      <c r="B80" s="216"/>
      <c r="C80" s="215"/>
      <c r="D80" s="217"/>
      <c r="E80" s="217"/>
      <c r="F80" s="215"/>
      <c r="J80" s="229" t="s">
        <v>267</v>
      </c>
      <c r="K80" s="229" t="s">
        <v>268</v>
      </c>
      <c r="L80" s="229" t="s">
        <v>270</v>
      </c>
      <c r="M80" s="244" t="s">
        <v>259</v>
      </c>
      <c r="N80" s="254"/>
      <c r="O80" s="214"/>
      <c r="P80" s="215"/>
    </row>
    <row r="81" spans="2:16" ht="34.5" hidden="1" customHeight="1" outlineLevel="1">
      <c r="B81" s="216"/>
      <c r="C81" s="215"/>
      <c r="D81" s="217"/>
      <c r="E81" s="217"/>
      <c r="F81" s="215"/>
      <c r="J81" s="250">
        <f>SUM(L73:L78)</f>
        <v>6500000000</v>
      </c>
      <c r="K81" s="250">
        <f>SUM(M73:M78)</f>
        <v>2251000000</v>
      </c>
      <c r="L81" s="256">
        <f>IFERROR(J81/K81,"INDETERMINADO")</f>
        <v>2.8876055086628165</v>
      </c>
      <c r="M81" s="247">
        <f>IF($L$81&gt;1.51,$E$78,IF($L$81&gt;$C$77,$E$77,IF($L$81&gt;$C$76,$E$76,IF($L$81&gt;$C$75,$E$75,IF($L$81&gt;$C$74,$E$74,"40")))))</f>
        <v>40</v>
      </c>
      <c r="N81" s="254"/>
      <c r="O81" s="214"/>
      <c r="P81" s="215"/>
    </row>
    <row r="82" spans="2:16" ht="15.75" hidden="1" customHeight="1" outlineLevel="1">
      <c r="B82" s="216"/>
      <c r="C82" s="215"/>
      <c r="D82" s="217"/>
      <c r="E82" s="217"/>
      <c r="F82" s="215"/>
      <c r="G82" s="215"/>
      <c r="H82" s="215"/>
      <c r="I82" s="215"/>
      <c r="J82" s="257"/>
      <c r="K82" s="257"/>
      <c r="L82" s="215"/>
      <c r="M82" s="215"/>
      <c r="N82" s="215"/>
      <c r="O82" s="214"/>
      <c r="P82" s="215"/>
    </row>
    <row r="83" spans="2:16" ht="39.75" hidden="1" customHeight="1" collapsed="1">
      <c r="B83" s="216"/>
      <c r="C83" s="210" t="s">
        <v>271</v>
      </c>
      <c r="D83" s="211"/>
      <c r="E83" s="211">
        <v>40</v>
      </c>
      <c r="F83" s="212"/>
      <c r="G83" s="212"/>
      <c r="H83" s="212"/>
      <c r="I83" s="212"/>
      <c r="J83" s="212"/>
      <c r="K83" s="212"/>
      <c r="L83" s="212"/>
      <c r="M83" s="213"/>
      <c r="N83" s="211"/>
      <c r="O83" s="214"/>
      <c r="P83" s="215"/>
    </row>
    <row r="84" spans="2:16" ht="15.75" hidden="1" customHeight="1" outlineLevel="1">
      <c r="B84" s="216"/>
      <c r="C84" s="215"/>
      <c r="D84" s="217"/>
      <c r="E84" s="217"/>
      <c r="F84" s="215"/>
      <c r="G84" s="215"/>
      <c r="H84" s="215"/>
      <c r="I84" s="215"/>
      <c r="J84" s="257"/>
      <c r="K84" s="257"/>
      <c r="L84" s="215"/>
      <c r="M84" s="215"/>
      <c r="N84" s="215"/>
      <c r="O84" s="214"/>
      <c r="P84" s="215"/>
    </row>
    <row r="85" spans="2:16" ht="51" hidden="1" customHeight="1" outlineLevel="1">
      <c r="B85" s="216"/>
      <c r="C85" s="707" t="s">
        <v>272</v>
      </c>
      <c r="D85" s="708"/>
      <c r="E85" s="708"/>
      <c r="F85" s="708"/>
      <c r="G85" s="708"/>
      <c r="H85" s="708"/>
      <c r="I85" s="708"/>
      <c r="J85" s="708"/>
      <c r="K85" s="708"/>
      <c r="L85" s="708"/>
      <c r="M85" s="708"/>
      <c r="N85" s="709"/>
      <c r="O85" s="214"/>
      <c r="P85" s="215"/>
    </row>
    <row r="86" spans="2:16" ht="15.75" hidden="1" customHeight="1" outlineLevel="1" thickBot="1">
      <c r="B86" s="216"/>
      <c r="C86" s="215"/>
      <c r="D86" s="217"/>
      <c r="E86" s="217"/>
      <c r="F86" s="215"/>
      <c r="G86" s="215"/>
      <c r="H86" s="215"/>
      <c r="I86" s="215"/>
      <c r="J86" s="257"/>
      <c r="K86" s="257"/>
      <c r="L86" s="215"/>
      <c r="M86" s="215"/>
      <c r="N86" s="215"/>
      <c r="O86" s="214"/>
      <c r="P86" s="215"/>
    </row>
    <row r="87" spans="2:16" ht="50.25" hidden="1" customHeight="1" outlineLevel="1" thickTop="1">
      <c r="B87" s="216"/>
      <c r="C87" s="226" t="s">
        <v>248</v>
      </c>
      <c r="D87" s="227" t="s">
        <v>249</v>
      </c>
      <c r="E87" s="228" t="s">
        <v>145</v>
      </c>
      <c r="F87" s="215"/>
      <c r="J87" s="733" t="s">
        <v>266</v>
      </c>
      <c r="K87" s="733"/>
      <c r="L87" s="258" t="s">
        <v>273</v>
      </c>
      <c r="M87" s="258" t="s">
        <v>274</v>
      </c>
      <c r="N87" s="244" t="s">
        <v>259</v>
      </c>
      <c r="O87" s="214"/>
      <c r="P87" s="215"/>
    </row>
    <row r="88" spans="2:16" ht="28.5" hidden="1" customHeight="1" outlineLevel="1">
      <c r="B88" s="216"/>
      <c r="C88" s="230">
        <v>1</v>
      </c>
      <c r="D88" s="231">
        <v>5</v>
      </c>
      <c r="E88" s="232">
        <v>20</v>
      </c>
      <c r="F88" s="215"/>
      <c r="I88" s="249">
        <v>1</v>
      </c>
      <c r="J88" s="716" t="str" cm="1">
        <f t="array" ref="J88">UNICO_PROPONENTE_INTEGRANTE_1</f>
        <v/>
      </c>
      <c r="K88" s="716"/>
      <c r="L88" s="259">
        <v>3</v>
      </c>
      <c r="M88" s="734">
        <f>SUM(L88:L93)</f>
        <v>10</v>
      </c>
      <c r="N88" s="725">
        <f>IF($M$88&gt;=$C$90,$E$90,IF($M$88&gt;=$C$89,$E$89,IF($M$88&gt;=$C$88,$E$88,"")))</f>
        <v>30</v>
      </c>
      <c r="O88" s="214"/>
      <c r="P88" s="215"/>
    </row>
    <row r="89" spans="2:16" ht="28.5" hidden="1" customHeight="1" outlineLevel="1">
      <c r="B89" s="216"/>
      <c r="C89" s="230">
        <v>6</v>
      </c>
      <c r="D89" s="231">
        <v>10</v>
      </c>
      <c r="E89" s="232">
        <v>30</v>
      </c>
      <c r="F89" s="215"/>
      <c r="I89" s="253">
        <v>2</v>
      </c>
      <c r="J89" s="716" t="str" cm="1">
        <f t="array" ref="J89">INTEGRANTE_2</f>
        <v/>
      </c>
      <c r="K89" s="716"/>
      <c r="L89" s="260">
        <v>4</v>
      </c>
      <c r="M89" s="735"/>
      <c r="N89" s="725"/>
      <c r="O89" s="214"/>
      <c r="P89" s="215"/>
    </row>
    <row r="90" spans="2:16" ht="28.5" hidden="1" customHeight="1" outlineLevel="1" thickBot="1">
      <c r="B90" s="216"/>
      <c r="C90" s="238">
        <v>11</v>
      </c>
      <c r="D90" s="239" t="s">
        <v>269</v>
      </c>
      <c r="E90" s="240">
        <v>40</v>
      </c>
      <c r="F90" s="215"/>
      <c r="I90" s="253">
        <v>3</v>
      </c>
      <c r="J90" s="716" t="str" cm="1">
        <f t="array" ref="J90">INTEGRANTE_3</f>
        <v/>
      </c>
      <c r="K90" s="716"/>
      <c r="L90" s="260">
        <v>3</v>
      </c>
      <c r="M90" s="735"/>
      <c r="N90" s="725"/>
      <c r="O90" s="214"/>
      <c r="P90" s="215"/>
    </row>
    <row r="91" spans="2:16" ht="28.5" hidden="1" customHeight="1" outlineLevel="1" thickTop="1">
      <c r="B91" s="216"/>
      <c r="C91" s="241"/>
      <c r="D91" s="241"/>
      <c r="E91" s="241"/>
      <c r="F91" s="215"/>
      <c r="I91" s="253">
        <v>4</v>
      </c>
      <c r="J91" s="716" t="str" cm="1">
        <f t="array" ref="J91">INTEGRANTE_4</f>
        <v/>
      </c>
      <c r="K91" s="716"/>
      <c r="L91" s="260"/>
      <c r="M91" s="735"/>
      <c r="N91" s="725"/>
      <c r="O91" s="214"/>
      <c r="P91" s="215"/>
    </row>
    <row r="92" spans="2:16" ht="28.5" hidden="1" customHeight="1" outlineLevel="1">
      <c r="B92" s="216"/>
      <c r="C92" s="241"/>
      <c r="D92" s="241"/>
      <c r="E92" s="241"/>
      <c r="F92" s="215"/>
      <c r="I92" s="253">
        <v>5</v>
      </c>
      <c r="J92" s="716" t="str" cm="1">
        <f t="array" ref="J92">INTEGRANTE_5</f>
        <v/>
      </c>
      <c r="K92" s="716"/>
      <c r="L92" s="260"/>
      <c r="M92" s="735"/>
      <c r="N92" s="725"/>
      <c r="O92" s="214"/>
      <c r="P92" s="215"/>
    </row>
    <row r="93" spans="2:16" ht="28.5" hidden="1" customHeight="1" outlineLevel="1">
      <c r="B93" s="216"/>
      <c r="C93" s="241"/>
      <c r="D93" s="241"/>
      <c r="E93" s="241"/>
      <c r="F93" s="215"/>
      <c r="I93" s="253">
        <v>6</v>
      </c>
      <c r="J93" s="716" t="str" cm="1">
        <f t="array" ref="J93">INTEGRANTE_6</f>
        <v/>
      </c>
      <c r="K93" s="716"/>
      <c r="L93" s="260"/>
      <c r="M93" s="735"/>
      <c r="N93" s="725"/>
      <c r="O93" s="214"/>
      <c r="P93" s="215"/>
    </row>
    <row r="94" spans="2:16" ht="28.5" hidden="1" customHeight="1" outlineLevel="1">
      <c r="B94" s="216"/>
      <c r="C94" s="241"/>
      <c r="D94" s="241"/>
      <c r="E94" s="241"/>
      <c r="F94" s="215"/>
      <c r="K94" s="261"/>
      <c r="L94" s="261"/>
      <c r="M94" s="262"/>
      <c r="N94" s="262"/>
      <c r="O94" s="214"/>
      <c r="P94" s="215"/>
    </row>
    <row r="95" spans="2:16" ht="15.75" hidden="1" customHeight="1" outlineLevel="1">
      <c r="B95" s="216"/>
      <c r="C95" s="241"/>
      <c r="D95" s="241"/>
      <c r="E95" s="241"/>
      <c r="F95" s="215"/>
      <c r="G95" s="215"/>
      <c r="H95" s="215"/>
      <c r="I95" s="215"/>
      <c r="J95" s="215"/>
      <c r="K95" s="215"/>
      <c r="L95" s="215"/>
      <c r="M95" s="215"/>
      <c r="N95" s="215"/>
      <c r="O95" s="214"/>
      <c r="P95" s="215"/>
    </row>
    <row r="96" spans="2:16" ht="39.75" hidden="1" customHeight="1" collapsed="1">
      <c r="B96" s="216"/>
      <c r="C96" s="210" t="s">
        <v>275</v>
      </c>
      <c r="D96" s="211"/>
      <c r="E96" s="211"/>
      <c r="F96" s="212"/>
      <c r="G96" s="212"/>
      <c r="H96" s="212"/>
      <c r="I96" s="212"/>
      <c r="J96" s="212"/>
      <c r="K96" s="212"/>
      <c r="L96" s="212"/>
      <c r="M96" s="213"/>
      <c r="N96" s="211"/>
      <c r="O96" s="214"/>
      <c r="P96" s="215"/>
    </row>
    <row r="97" spans="2:16" ht="15.75" hidden="1" customHeight="1">
      <c r="B97" s="216"/>
      <c r="C97" s="241"/>
      <c r="D97" s="241"/>
      <c r="E97" s="241"/>
      <c r="F97" s="215"/>
      <c r="G97" s="215"/>
      <c r="H97" s="215"/>
      <c r="I97" s="215"/>
      <c r="J97" s="215"/>
      <c r="K97" s="215"/>
      <c r="L97" s="215"/>
      <c r="M97" s="215"/>
      <c r="N97" s="215"/>
      <c r="O97" s="214"/>
      <c r="P97" s="215"/>
    </row>
    <row r="98" spans="2:16" ht="36.75" hidden="1" customHeight="1">
      <c r="B98" s="216"/>
      <c r="C98" s="241"/>
      <c r="D98" s="241"/>
      <c r="E98" s="241"/>
      <c r="F98" s="215"/>
      <c r="G98" s="215"/>
      <c r="H98" s="215"/>
      <c r="J98" s="733" t="s">
        <v>266</v>
      </c>
      <c r="K98" s="733"/>
      <c r="L98" s="229" t="s">
        <v>243</v>
      </c>
      <c r="M98" s="215"/>
      <c r="N98" s="215"/>
      <c r="O98" s="214"/>
      <c r="P98" s="215"/>
    </row>
    <row r="99" spans="2:16" ht="36.75" hidden="1" customHeight="1">
      <c r="B99" s="216"/>
      <c r="C99" s="241"/>
      <c r="D99" s="241"/>
      <c r="E99" s="241"/>
      <c r="F99" s="215"/>
      <c r="G99" s="215"/>
      <c r="H99" s="215"/>
      <c r="I99" s="249">
        <v>1</v>
      </c>
      <c r="J99" s="716" t="str" cm="1">
        <f t="array" ref="J99">UNICO_PROPONENTE_INTEGRANTE_1</f>
        <v/>
      </c>
      <c r="K99" s="716"/>
      <c r="L99" s="263">
        <v>2500000000</v>
      </c>
      <c r="M99" s="215"/>
      <c r="N99" s="215"/>
      <c r="O99" s="214"/>
      <c r="P99" s="215"/>
    </row>
    <row r="100" spans="2:16" ht="36.75" hidden="1" customHeight="1">
      <c r="B100" s="216"/>
      <c r="C100" s="241"/>
      <c r="D100" s="241"/>
      <c r="E100" s="241"/>
      <c r="F100" s="215"/>
      <c r="G100" s="215"/>
      <c r="H100" s="215"/>
      <c r="I100" s="253">
        <v>2</v>
      </c>
      <c r="J100" s="716" t="str" cm="1">
        <f t="array" ref="J100">INTEGRANTE_2</f>
        <v/>
      </c>
      <c r="K100" s="716"/>
      <c r="L100" s="263">
        <v>9000000000</v>
      </c>
      <c r="M100" s="215"/>
      <c r="N100" s="215"/>
      <c r="O100" s="214"/>
      <c r="P100" s="215"/>
    </row>
    <row r="101" spans="2:16" ht="36.75" hidden="1" customHeight="1">
      <c r="B101" s="216"/>
      <c r="C101" s="241"/>
      <c r="D101" s="241"/>
      <c r="E101" s="241"/>
      <c r="F101" s="215"/>
      <c r="G101" s="215"/>
      <c r="H101" s="215"/>
      <c r="I101" s="253">
        <v>3</v>
      </c>
      <c r="J101" s="716" t="str" cm="1">
        <f t="array" ref="J101">INTEGRANTE_3</f>
        <v/>
      </c>
      <c r="K101" s="716"/>
      <c r="L101" s="263">
        <v>5000000000</v>
      </c>
      <c r="M101" s="215"/>
      <c r="N101" s="215"/>
      <c r="O101" s="214"/>
      <c r="P101" s="215"/>
    </row>
    <row r="102" spans="2:16" ht="36.75" hidden="1" customHeight="1">
      <c r="B102" s="216"/>
      <c r="C102" s="241"/>
      <c r="D102" s="241"/>
      <c r="E102" s="241"/>
      <c r="F102" s="215"/>
      <c r="G102" s="215"/>
      <c r="H102" s="215"/>
      <c r="I102" s="253">
        <v>4</v>
      </c>
      <c r="J102" s="716" t="str" cm="1">
        <f t="array" ref="J102">INTEGRANTE_4</f>
        <v/>
      </c>
      <c r="K102" s="716"/>
      <c r="L102" s="263"/>
      <c r="M102" s="215"/>
      <c r="N102" s="215"/>
      <c r="O102" s="214"/>
      <c r="P102" s="215"/>
    </row>
    <row r="103" spans="2:16" ht="36.75" hidden="1" customHeight="1">
      <c r="B103" s="216"/>
      <c r="C103" s="241"/>
      <c r="D103" s="241"/>
      <c r="E103" s="241"/>
      <c r="F103" s="215"/>
      <c r="G103" s="215"/>
      <c r="H103" s="215"/>
      <c r="I103" s="253">
        <v>5</v>
      </c>
      <c r="J103" s="716" t="str" cm="1">
        <f t="array" ref="J103">INTEGRANTE_5</f>
        <v/>
      </c>
      <c r="K103" s="716"/>
      <c r="L103" s="263"/>
      <c r="M103" s="215"/>
      <c r="N103" s="215"/>
      <c r="O103" s="214"/>
      <c r="P103" s="215"/>
    </row>
    <row r="104" spans="2:16" ht="36.75" hidden="1" customHeight="1">
      <c r="B104" s="216"/>
      <c r="G104" s="215"/>
      <c r="H104" s="215"/>
      <c r="I104" s="253">
        <v>6</v>
      </c>
      <c r="J104" s="716" t="str" cm="1">
        <f t="array" ref="J104">INTEGRANTE_6</f>
        <v/>
      </c>
      <c r="K104" s="716"/>
      <c r="L104" s="263"/>
      <c r="M104" s="215"/>
      <c r="N104" s="215"/>
      <c r="O104" s="214"/>
      <c r="P104" s="215"/>
    </row>
    <row r="105" spans="2:16" ht="44.25" hidden="1" customHeight="1">
      <c r="B105" s="216"/>
      <c r="C105" s="241"/>
      <c r="D105" s="241"/>
      <c r="E105" s="241"/>
      <c r="F105" s="215"/>
      <c r="G105" s="215"/>
      <c r="H105" s="215"/>
      <c r="I105" s="215"/>
      <c r="J105" s="736" t="s">
        <v>276</v>
      </c>
      <c r="K105" s="737"/>
      <c r="L105" s="263">
        <f>SUM(L99:L104)</f>
        <v>16500000000</v>
      </c>
      <c r="M105" s="215"/>
      <c r="N105" s="215"/>
      <c r="O105" s="214"/>
      <c r="P105" s="215"/>
    </row>
    <row r="106" spans="2:16" ht="15.75" hidden="1" customHeight="1">
      <c r="B106" s="264"/>
      <c r="C106" s="265"/>
      <c r="D106" s="266"/>
      <c r="E106" s="266"/>
      <c r="F106" s="265"/>
      <c r="G106" s="265"/>
      <c r="H106" s="265"/>
      <c r="I106" s="265"/>
      <c r="J106" s="265"/>
      <c r="K106" s="265"/>
      <c r="L106" s="265"/>
      <c r="M106" s="265"/>
      <c r="N106" s="265"/>
      <c r="O106" s="267"/>
      <c r="P106" s="215"/>
    </row>
    <row r="107" spans="2:16" ht="15.75" hidden="1" customHeight="1">
      <c r="B107" s="215"/>
      <c r="C107" s="215"/>
      <c r="D107" s="217"/>
      <c r="E107" s="217"/>
      <c r="F107" s="215"/>
      <c r="G107" s="215"/>
      <c r="H107" s="215"/>
      <c r="I107" s="215"/>
      <c r="J107" s="215"/>
      <c r="K107" s="215"/>
      <c r="L107" s="215"/>
      <c r="M107" s="215"/>
      <c r="N107" s="215"/>
      <c r="O107" s="215"/>
      <c r="P107" s="215"/>
    </row>
    <row r="108" spans="2:16" ht="15.75" hidden="1" customHeight="1">
      <c r="B108" s="215"/>
      <c r="C108" s="215"/>
      <c r="D108" s="217"/>
      <c r="E108" s="217"/>
      <c r="F108" s="215"/>
      <c r="G108" s="215"/>
      <c r="H108" s="215"/>
      <c r="I108" s="215"/>
      <c r="J108" s="215"/>
      <c r="K108" s="215"/>
      <c r="L108" s="215"/>
      <c r="M108" s="215"/>
      <c r="N108" s="215"/>
      <c r="O108" s="215"/>
      <c r="P108" s="215"/>
    </row>
    <row r="109" spans="2:16" ht="15.75" hidden="1" customHeight="1">
      <c r="B109" s="215"/>
      <c r="C109" s="215"/>
      <c r="D109" s="217"/>
      <c r="E109" s="217"/>
      <c r="F109" s="215"/>
      <c r="G109" s="215"/>
      <c r="H109" s="215"/>
      <c r="I109" s="215"/>
      <c r="J109" s="215"/>
      <c r="K109" s="215"/>
      <c r="L109" s="215"/>
      <c r="M109" s="215"/>
      <c r="N109" s="215"/>
      <c r="O109" s="215"/>
      <c r="P109" s="215"/>
    </row>
    <row r="110" spans="2:16" ht="15.75" hidden="1" customHeight="1">
      <c r="B110" s="215"/>
      <c r="C110" s="215"/>
      <c r="D110" s="217"/>
      <c r="E110" s="217"/>
      <c r="F110" s="215"/>
      <c r="G110" s="215"/>
      <c r="H110" s="215"/>
      <c r="I110" s="215"/>
      <c r="J110" s="215"/>
      <c r="K110" s="215"/>
      <c r="L110" s="215"/>
      <c r="M110" s="215"/>
      <c r="N110" s="215"/>
      <c r="O110" s="215"/>
      <c r="P110" s="215"/>
    </row>
  </sheetData>
  <sheetProtection sheet="1" scenarios="1" formatCells="0" formatRows="0"/>
  <mergeCells count="68">
    <mergeCell ref="J101:K101"/>
    <mergeCell ref="J102:K102"/>
    <mergeCell ref="J103:K103"/>
    <mergeCell ref="J104:K104"/>
    <mergeCell ref="J105:K105"/>
    <mergeCell ref="J100:K100"/>
    <mergeCell ref="J76:K76"/>
    <mergeCell ref="J77:K77"/>
    <mergeCell ref="J78:K78"/>
    <mergeCell ref="C85:N85"/>
    <mergeCell ref="J87:K87"/>
    <mergeCell ref="J88:K88"/>
    <mergeCell ref="M88:M93"/>
    <mergeCell ref="N88:N93"/>
    <mergeCell ref="J89:K89"/>
    <mergeCell ref="J90:K90"/>
    <mergeCell ref="J91:K91"/>
    <mergeCell ref="J92:K92"/>
    <mergeCell ref="J93:K93"/>
    <mergeCell ref="J98:K98"/>
    <mergeCell ref="J99:K99"/>
    <mergeCell ref="J75:K75"/>
    <mergeCell ref="C56:H56"/>
    <mergeCell ref="J56:N56"/>
    <mergeCell ref="C60:C62"/>
    <mergeCell ref="D60:D62"/>
    <mergeCell ref="E60:E62"/>
    <mergeCell ref="F60:F62"/>
    <mergeCell ref="G60:H62"/>
    <mergeCell ref="M60:M65"/>
    <mergeCell ref="N60:N65"/>
    <mergeCell ref="C69:E69"/>
    <mergeCell ref="F69:H69"/>
    <mergeCell ref="J72:K72"/>
    <mergeCell ref="J73:K73"/>
    <mergeCell ref="J74:K74"/>
    <mergeCell ref="K49:M49"/>
    <mergeCell ref="K50:M50"/>
    <mergeCell ref="K51:M51"/>
    <mergeCell ref="K52:M52"/>
    <mergeCell ref="C55:H55"/>
    <mergeCell ref="J55:N55"/>
    <mergeCell ref="K48:M48"/>
    <mergeCell ref="D20:N20"/>
    <mergeCell ref="H24:N24"/>
    <mergeCell ref="C26:E26"/>
    <mergeCell ref="D27:E27"/>
    <mergeCell ref="D28:E28"/>
    <mergeCell ref="D29:E29"/>
    <mergeCell ref="D30:E30"/>
    <mergeCell ref="D31:E31"/>
    <mergeCell ref="C43:N43"/>
    <mergeCell ref="J46:M46"/>
    <mergeCell ref="K47:M47"/>
    <mergeCell ref="C12:H12"/>
    <mergeCell ref="M12:N12"/>
    <mergeCell ref="F17:F18"/>
    <mergeCell ref="H17:I17"/>
    <mergeCell ref="J17:K17"/>
    <mergeCell ref="L17:L18"/>
    <mergeCell ref="H18:I18"/>
    <mergeCell ref="J18:K18"/>
    <mergeCell ref="M11:N11"/>
    <mergeCell ref="B2:C2"/>
    <mergeCell ref="D2:M2"/>
    <mergeCell ref="N2:O2"/>
    <mergeCell ref="F7:K7"/>
    <mergeCell ref="L7:M7"/>
  </mergeCells>
  <conditionalFormatting sqref="C56 C60:F62">
    <cfRule type="expression" dxfId="8" priority="5">
      <formula>$N$7="Proponente Plural"</formula>
    </cfRule>
  </conditionalFormatting>
  <conditionalFormatting sqref="C56:H56">
    <cfRule type="expression" dxfId="7" priority="7">
      <formula>$N$7="Único Proponente"</formula>
    </cfRule>
  </conditionalFormatting>
  <conditionalFormatting sqref="G17:J17">
    <cfRule type="expression" dxfId="6" priority="9">
      <formula>$C$18&lt;13</formula>
    </cfRule>
  </conditionalFormatting>
  <conditionalFormatting sqref="J56 J60:M60">
    <cfRule type="expression" dxfId="5" priority="8">
      <formula>$N$7="Único Proponente"</formula>
    </cfRule>
  </conditionalFormatting>
  <conditionalFormatting sqref="J56:K56">
    <cfRule type="expression" dxfId="4" priority="6">
      <formula>$N$7="Proponente Plural"</formula>
    </cfRule>
  </conditionalFormatting>
  <conditionalFormatting sqref="J61:L65">
    <cfRule type="expression" dxfId="3" priority="3">
      <formula>$N$7="Único Proponente"</formula>
    </cfRule>
  </conditionalFormatting>
  <conditionalFormatting sqref="L12">
    <cfRule type="containsText" dxfId="2" priority="1" operator="containsText" text="no">
      <formula>NOT(ISERROR(SEARCH("no",L12)))</formula>
    </cfRule>
    <cfRule type="containsText" dxfId="1" priority="2" operator="containsText" text="si">
      <formula>NOT(ISERROR(SEARCH("si",L12)))</formula>
    </cfRule>
  </conditionalFormatting>
  <conditionalFormatting sqref="N48:N52">
    <cfRule type="expression" dxfId="0" priority="4">
      <formula>$N$7="Único Proponente"</formula>
    </cfRule>
  </conditionalFormatting>
  <dataValidations count="4">
    <dataValidation type="list" allowBlank="1" showInputMessage="1" showErrorMessage="1" prompt="VERIFICAR EL CUMPLIMIENTO " sqref="L12" xr:uid="{73BBCA03-D4FB-4F15-B236-A3C541259660}">
      <formula1>"SI,NO"</formula1>
    </dataValidation>
    <dataValidation allowBlank="1" showErrorMessage="1" sqref="E7" xr:uid="{9B788E53-861D-428A-A3A9-D5928F6E105A}"/>
    <dataValidation type="whole" allowBlank="1" showErrorMessage="1" sqref="D7 C8:E8" xr:uid="{E88C8A57-8506-460F-A05D-FC71841ED001}">
      <formula1>1</formula1>
      <formula2>100</formula2>
    </dataValidation>
    <dataValidation allowBlank="1" showInputMessage="1" showErrorMessage="1" promptTitle="8.3 ANTICIPO Y/O PAGO ANTICIPADO" prompt="En el presente Proceso de Contratación la Entidad entregará al Contratista a título de anticipo un valor equivalente al 30% del valor básico del Contrato. El anticipo se regirá por las condiciones señaladas en el Anexo 4 – Minuta del Contrato." sqref="D18" xr:uid="{46AA8414-0472-40EE-BC62-18329242FD75}"/>
  </dataValidations>
  <printOptions horizontalCentered="1"/>
  <pageMargins left="0.19685039370078741" right="0.19685039370078741" top="0.19685039370078741" bottom="0.19685039370078741" header="0.31496062992125984" footer="0.31496062992125984"/>
  <pageSetup paperSize="9" scale="34"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PROPONENTE</vt:lpstr>
      <vt:lpstr>EXPERIENCIA</vt:lpstr>
      <vt:lpstr>PONDERACIÓN</vt:lpstr>
      <vt:lpstr>KRESIDUAL</vt:lpstr>
      <vt:lpstr>EXPERIENCIA!Área_de_impresión</vt:lpstr>
      <vt:lpstr>KRESIDUAL!Área_de_impresión</vt:lpstr>
      <vt:lpstr>PONDERACIÓN!Área_de_impresión</vt:lpstr>
      <vt:lpstr>PROPONENTE!Área_de_impresión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Cristhian Sastoque</dc:creator>
  <cp:keywords/>
  <dc:description/>
  <cp:lastModifiedBy>Cristhian Javier</cp:lastModifiedBy>
  <cp:revision/>
  <cp:lastPrinted>2024-12-20T23:55:10Z</cp:lastPrinted>
  <dcterms:created xsi:type="dcterms:W3CDTF">2024-12-07T06:40:49Z</dcterms:created>
  <dcterms:modified xsi:type="dcterms:W3CDTF">2024-12-20T23:55:28Z</dcterms:modified>
  <cp:category/>
  <cp:contentStatus/>
</cp:coreProperties>
</file>