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0455DC47-A5FD-47E2-8235-77361C353F9C}"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H82" i="2"/>
  <c r="H81" i="2"/>
  <c r="H80" i="2"/>
  <c r="I75" i="2"/>
  <c r="I76" i="2" s="1"/>
  <c r="R60" i="2"/>
  <c r="R59" i="2"/>
  <c r="R58" i="2"/>
  <c r="Q58" i="2"/>
  <c r="O58" i="2"/>
  <c r="E123" i="2" s="1"/>
  <c r="Q123" i="2" s="1"/>
  <c r="R57" i="2"/>
  <c r="R56" i="2"/>
  <c r="R55" i="2"/>
  <c r="Q55" i="2"/>
  <c r="O55" i="2"/>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S55" i="2" l="1"/>
  <c r="A20" i="2"/>
  <c r="S46" i="2"/>
  <c r="S58" i="2"/>
  <c r="O43" i="2"/>
  <c r="E108" i="2" s="1"/>
  <c r="Q108" i="2" s="1"/>
  <c r="S52" i="2"/>
  <c r="E121" i="2"/>
  <c r="Q121" i="2" s="1"/>
  <c r="E120" i="2"/>
  <c r="Q120" i="2" s="1"/>
  <c r="F11" i="2"/>
  <c r="C20" i="2"/>
  <c r="E119" i="2"/>
  <c r="Q119" i="2" s="1"/>
  <c r="N17" i="4"/>
  <c r="N18" i="4" s="1"/>
  <c r="I23" i="2"/>
  <c r="A23"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K12" i="4" l="1"/>
  <c r="M12" i="4" s="1"/>
  <c r="R19" i="2"/>
  <c r="E98" i="2" s="1"/>
  <c r="Q98" i="2" s="1"/>
  <c r="E109" i="2"/>
  <c r="Q109" i="2" s="1"/>
  <c r="Q43" i="2"/>
  <c r="L67" i="2" s="1"/>
  <c r="D130" i="2" s="1"/>
  <c r="Q130" i="2" s="1"/>
  <c r="Q19" i="2"/>
  <c r="E96" i="2" s="1"/>
  <c r="Q96" i="2" s="1"/>
  <c r="R40" i="2"/>
  <c r="R45" i="2"/>
  <c r="R44" i="2"/>
  <c r="R43" i="2"/>
  <c r="C23" i="2"/>
  <c r="E71" i="3" s="1" a="1"/>
  <c r="E71" i="3" s="1"/>
  <c r="I25" i="2"/>
  <c r="R42" i="2"/>
  <c r="D128" i="2"/>
  <c r="Q128" i="2" s="1"/>
  <c r="R41" i="2"/>
  <c r="E61" i="3" a="1"/>
  <c r="E61" i="3" s="1"/>
  <c r="M60" i="4"/>
  <c r="N60" i="4" s="1"/>
  <c r="D20" i="4"/>
  <c r="L12" i="4"/>
  <c r="D61" i="3" a="1"/>
  <c r="D61" i="3" s="1"/>
  <c r="J76" i="2"/>
  <c r="A61" i="3" a="1"/>
  <c r="A61" i="3" s="1"/>
  <c r="H86" i="2"/>
  <c r="E97" i="2" l="1"/>
  <c r="Q97" i="2" s="1"/>
  <c r="E95" i="2"/>
  <c r="Q95" i="2" s="1"/>
  <c r="A71" i="3" a="1"/>
  <c r="F72" i="3" s="1"/>
  <c r="F61" i="3"/>
  <c r="H61" i="3" s="1"/>
  <c r="I83" i="2"/>
  <c r="S43" i="2"/>
  <c r="S40" i="2"/>
  <c r="A71" i="3"/>
  <c r="F71" i="3" s="1"/>
  <c r="I80" i="2"/>
  <c r="I81" i="2"/>
  <c r="I84" i="2"/>
  <c r="I82" i="2"/>
  <c r="I85" i="2"/>
  <c r="F51" i="3" l="1"/>
  <c r="H49" i="3" s="1"/>
  <c r="J81" i="2"/>
  <c r="S62" i="2"/>
  <c r="I77" i="2" s="1"/>
  <c r="L70" i="2" s="1"/>
  <c r="D133" i="2" s="1"/>
  <c r="Q133" i="2" s="1"/>
  <c r="L68" i="2"/>
  <c r="D131" i="2" s="1"/>
  <c r="Q131" i="2" s="1"/>
  <c r="H71" i="3"/>
  <c r="J83" i="2"/>
  <c r="J82" i="2"/>
  <c r="J80" i="2"/>
  <c r="I86" i="2"/>
  <c r="J84" i="3" l="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<sst xmlns="http://schemas.openxmlformats.org/spreadsheetml/2006/main" count="404" uniqueCount="279">
  <si>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</si>
  <si>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</si>
  <si>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</si>
  <si>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</si>
  <si>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</si>
  <si>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</si>
  <si>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</si>
  <si>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</si>
  <si>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</si>
  <si>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</si>
  <si>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</si>
  <si>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</si>
  <si>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</si>
  <si>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</si>
  <si>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</si>
  <si>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</si>
  <si>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</si>
  <si>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</si>
  <si>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</si>
  <si>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</si>
  <si>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</si>
  <si>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</si>
  <si>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</si>
  <si>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</si>
  <si>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</si>
  <si>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</si>
  <si>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</si>
  <si>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</si>
  <si>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</si>
  <si>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</si>
  <si>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</si>
  <si>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</si>
  <si>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</si>
  <si>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</si>
  <si>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</si>
  <si>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</si>
  <si>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</si>
  <si>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</si>
  <si>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</si>
  <si>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</si>
  <si>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</si>
  <si>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</si>
  <si>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</si>
  <si>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</si>
  <si>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</si>
  <si>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</si>
  <si>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</si>
  <si>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</si>
  <si>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</si>
  <si>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</si>
  <si>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</si>
  <si>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</si>
  <si>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</si>
  <si>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</si>
  <si>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</si>
  <si>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</si>
  <si>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</si>
  <si>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</si>
  <si>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</si>
  <si>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</si>
  <si>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</si>
  <si>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</si>
  <si>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</si>
  <si>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</si>
  <si>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</si>
  <si>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</si>
  <si>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</si>
  <si>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</si>
  <si>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</si>
  <si>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</si>
  <si>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</si>
  <si>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</si>
  <si>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</si>
  <si>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</si>
  <si>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MUNICIPIO DE TOPAIPI</t>
  </si>
  <si>
    <t>PANAM INGENIEROS</t>
  </si>
  <si>
    <t xml:space="preserve">C </t>
  </si>
  <si>
    <t>Cumple</t>
  </si>
  <si>
    <t>Certificación 2</t>
  </si>
  <si>
    <t>MUNICIPIO CARMEN DE CARUPA</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</si>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</sst>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2" borderId="0" xfId="0" applyFont="1" applyFill="1" applyAlignment="1" applyProtection="1">
      <alignment horizontal="right" vertical="center"/>
      <protection hidden="1"/>
    </xf>
    <xf numFmtId="0" fontId="55" fillId="13" borderId="14" xfId="0" applyFont="1" applyFill="1" applyBorder="1" applyAlignment="1" applyProtection="1">
      <alignment horizontal="center" vertical="center"/>
      <protection locked="0"/>
    </xf>
    <xf numFmtId="0" fontId="5" fillId="0" borderId="0" xfId="3" applyAlignment="1" applyProtection="1">
      <alignment vertical="center"/>
      <protection locked="0"/>
    </xf>
    <xf numFmtId="0" fontId="48" fillId="2" borderId="0" xfId="0" applyFont="1" applyFill="1" applyProtection="1">
      <protection locked="0"/>
    </xf>
    <xf numFmtId="0" fontId="55" fillId="20" borderId="14" xfId="0" applyFont="1" applyFill="1" applyBorder="1" applyAlignment="1" applyProtection="1">
      <alignment horizontal="center" vertical="center"/>
      <protection locked="0"/>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48" fillId="2" borderId="0" xfId="0" applyFont="1" applyFill="1" applyAlignment="1">
      <alignment horizontal="center"/>
    </xf>
    <xf numFmtId="0" fontId="48" fillId="2" borderId="0" xfId="0" applyFont="1" applyFill="1"/>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4" borderId="14" xfId="3" applyFill="1" applyBorder="1" applyAlignment="1" applyProtection="1">
      <alignment horizontal="center" vertical="center" wrapText="1"/>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22" fillId="11" borderId="14" xfId="0" quotePrefix="1" applyFont="1" applyFill="1" applyBorder="1" applyAlignment="1" applyProtection="1">
      <alignment horizontal="center" vertical="center"/>
      <protection hidden="1"/>
    </xf>
    <xf numFmtId="0" fontId="63" fillId="5" borderId="14" xfId="0" applyFont="1" applyFill="1" applyBorder="1" applyAlignment="1">
      <alignment horizontal="left" vertical="center" wrapText="1" indent="2"/>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68" fillId="17" borderId="14" xfId="4" applyFont="1" applyFill="1" applyBorder="1" applyAlignment="1">
      <alignment horizontal="center" vertical="center" wrapText="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3" fillId="7" borderId="14" xfId="0" applyFont="1" applyFill="1" applyBorder="1" applyAlignment="1">
      <alignment vertical="center" wrapText="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0" fontId="72" fillId="6" borderId="14" xfId="0" applyFont="1" applyFill="1" applyBorder="1"/>
    <xf numFmtId="2" fontId="50" fillId="19" borderId="14" xfId="0" applyNumberFormat="1" applyFont="1" applyFill="1" applyBorder="1" applyAlignment="1" applyProtection="1">
      <alignment horizontal="center" vertical="center"/>
      <protection hidden="1"/>
    </xf>
    <xf numFmtId="0" fontId="48" fillId="6" borderId="0" xfId="0" applyFont="1" applyFill="1"/>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5.png"/><Relationship Id="rId7" Type="http://schemas.openxmlformats.org/officeDocument/2006/relationships/image" Target="../media/image10.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9.png"/><Relationship Id="rId5" Type="http://schemas.openxmlformats.org/officeDocument/2006/relationships/image" Target="../media/image8.png"/><Relationship Id="rId10" Type="http://schemas.openxmlformats.org/officeDocument/2006/relationships/image" Target="../media/image13.png"/><Relationship Id="rId4" Type="http://schemas.microsoft.com/office/2007/relationships/hdphoto" Target="../media/hdphoto1.wdp"/><Relationship Id="rId9"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25</xdr:row>
      <xdr:rowOff>0</xdr:rowOff>
    </xdr:from>
    <xdr:to>
      <xdr:col>6</xdr:col>
      <xdr:colOff>752475</xdr:colOff>
      <xdr:row>42</xdr:row>
      <xdr:rowOff>28575</xdr:rowOff>
    </xdr:to>
    <xdr:pic>
      <xdr:nvPicPr>
        <xdr:cNvPr id="2" name="Imagen 1">
          <a:extLst>
            <a:ext uri="{FF2B5EF4-FFF2-40B4-BE49-F238E27FC236}">
              <a16:creationId xmlns:a16="http://schemas.microsoft.com/office/drawing/2014/main" id="{0F098AC9-04E4-841B-A092-9939786AAA45}"/>
            </a:ext>
          </a:extLst>
        </xdr:cNvPr>
        <xdr:cNvPicPr>
          <a:picLocks noChangeAspect="1"/>
        </xdr:cNvPicPr>
      </xdr:nvPicPr>
      <xdr:blipFill>
        <a:blip xmlns:r="http://schemas.openxmlformats.org/officeDocument/2006/relationships" r:embed="rId1"/>
        <a:stretch>
          <a:fillRect/>
        </a:stretch>
      </xdr:blipFill>
      <xdr:spPr>
        <a:xfrm>
          <a:off x="495300" y="7848600"/>
          <a:ext cx="3486150" cy="4562475"/>
        </a:xfrm>
        <a:prstGeom prst="rect">
          <a:avLst/>
        </a:prstGeom>
      </xdr:spPr>
    </xdr:pic>
    <xdr:clientData/>
  </xdr:twoCellAnchor>
  <xdr:twoCellAnchor editAs="oneCell">
    <xdr:from>
      <xdr:col>7</xdr:col>
      <xdr:colOff>76200</xdr:colOff>
      <xdr:row>25</xdr:row>
      <xdr:rowOff>47625</xdr:rowOff>
    </xdr:from>
    <xdr:to>
      <xdr:col>13</xdr:col>
      <xdr:colOff>57150</xdr:colOff>
      <xdr:row>35</xdr:row>
      <xdr:rowOff>200025</xdr:rowOff>
    </xdr:to>
    <xdr:pic>
      <xdr:nvPicPr>
        <xdr:cNvPr id="3" name="Imagen 2">
          <a:extLst>
            <a:ext uri="{FF2B5EF4-FFF2-40B4-BE49-F238E27FC236}">
              <a16:creationId xmlns:a16="http://schemas.microsoft.com/office/drawing/2014/main" id="{B776E46D-4DA8-FD7D-232F-133BBE1C78EB}"/>
            </a:ext>
            <a:ext uri="{147F2762-F138-4A5C-976F-8EAC2B608ADB}">
              <a16:predDERef xmlns:a16="http://schemas.microsoft.com/office/drawing/2014/main" pred="{0F098AC9-04E4-841B-A092-9939786AAA45}"/>
            </a:ext>
          </a:extLst>
        </xdr:cNvPr>
        <xdr:cNvPicPr>
          <a:picLocks noChangeAspect="1"/>
        </xdr:cNvPicPr>
      </xdr:nvPicPr>
      <xdr:blipFill>
        <a:blip xmlns:r="http://schemas.openxmlformats.org/officeDocument/2006/relationships" r:embed="rId2"/>
        <a:stretch>
          <a:fillRect/>
        </a:stretch>
      </xdr:blipFill>
      <xdr:spPr>
        <a:xfrm>
          <a:off x="4067175" y="7896225"/>
          <a:ext cx="4572000" cy="2819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2333625</xdr:colOff>
      <xdr:row>10</xdr:row>
      <xdr:rowOff>676275</xdr:rowOff>
    </xdr:from>
    <xdr:to>
      <xdr:col>2</xdr:col>
      <xdr:colOff>2009775</xdr:colOff>
      <xdr:row>10</xdr:row>
      <xdr:rowOff>4238625</xdr:rowOff>
    </xdr:to>
    <xdr:pic>
      <xdr:nvPicPr>
        <xdr:cNvPr id="10" name="Imagen 9">
          <a:extLst>
            <a:ext uri="{FF2B5EF4-FFF2-40B4-BE49-F238E27FC236}">
              <a16:creationId xmlns:a16="http://schemas.microsoft.com/office/drawing/2014/main" id="{9DAD3E61-FB01-CEB2-130A-E7765007AAC1}"/>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2333625" y="5829300"/>
          <a:ext cx="4572000" cy="3562350"/>
        </a:xfrm>
        <a:prstGeom prst="rect">
          <a:avLst/>
        </a:prstGeom>
      </xdr:spPr>
    </xdr:pic>
    <xdr:clientData/>
  </xdr:twoCellAnchor>
  <xdr:twoCellAnchor editAs="oneCell">
    <xdr:from>
      <xdr:col>0</xdr:col>
      <xdr:colOff>1061757</xdr:colOff>
      <xdr:row>80</xdr:row>
      <xdr:rowOff>64432</xdr:rowOff>
    </xdr:from>
    <xdr:to>
      <xdr:col>3</xdr:col>
      <xdr:colOff>156882</xdr:colOff>
      <xdr:row>80</xdr:row>
      <xdr:rowOff>4052421</xdr:rowOff>
    </xdr:to>
    <xdr:pic>
      <xdr:nvPicPr>
        <xdr:cNvPr id="11" name="Imagen 10">
          <a:extLst>
            <a:ext uri="{FF2B5EF4-FFF2-40B4-BE49-F238E27FC236}">
              <a16:creationId xmlns:a16="http://schemas.microsoft.com/office/drawing/2014/main" id="{72232E0F-1C6E-A833-7D07-57AFF809EE39}"/>
            </a:ext>
            <a:ext uri="{147F2762-F138-4A5C-976F-8EAC2B608ADB}">
              <a16:predDERef xmlns:a16="http://schemas.microsoft.com/office/drawing/2014/main" pred="{9DAD3E61-FB01-CEB2-130A-E7765007AAC1}"/>
            </a:ext>
          </a:extLst>
        </xdr:cNvPr>
        <xdr:cNvPicPr>
          <a:picLocks noChangeAspect="1"/>
        </xdr:cNvPicPr>
      </xdr:nvPicPr>
      <xdr:blipFill>
        <a:blip xmlns:r="http://schemas.openxmlformats.org/officeDocument/2006/relationships" r:embed="rId8"/>
        <a:stretch>
          <a:fillRect/>
        </a:stretch>
      </xdr:blipFill>
      <xdr:spPr>
        <a:xfrm>
          <a:off x="1061757" y="65798138"/>
          <a:ext cx="6468596" cy="3987989"/>
        </a:xfrm>
        <a:prstGeom prst="rect">
          <a:avLst/>
        </a:prstGeom>
      </xdr:spPr>
    </xdr:pic>
    <xdr:clientData/>
  </xdr:twoCellAnchor>
  <xdr:twoCellAnchor editAs="oneCell">
    <xdr:from>
      <xdr:col>3</xdr:col>
      <xdr:colOff>933450</xdr:colOff>
      <xdr:row>10</xdr:row>
      <xdr:rowOff>409575</xdr:rowOff>
    </xdr:from>
    <xdr:to>
      <xdr:col>6</xdr:col>
      <xdr:colOff>333375</xdr:colOff>
      <xdr:row>10</xdr:row>
      <xdr:rowOff>3990975</xdr:rowOff>
    </xdr:to>
    <xdr:pic>
      <xdr:nvPicPr>
        <xdr:cNvPr id="12" name="Imagen 11">
          <a:extLst>
            <a:ext uri="{FF2B5EF4-FFF2-40B4-BE49-F238E27FC236}">
              <a16:creationId xmlns:a16="http://schemas.microsoft.com/office/drawing/2014/main" id="{C94E96DD-F1AA-E26B-059B-995C194BCA90}"/>
            </a:ext>
            <a:ext uri="{147F2762-F138-4A5C-976F-8EAC2B608ADB}">
              <a16:predDERef xmlns:a16="http://schemas.microsoft.com/office/drawing/2014/main" pred="{72232E0F-1C6E-A833-7D07-57AFF809EE39}"/>
            </a:ext>
          </a:extLst>
        </xdr:cNvPr>
        <xdr:cNvPicPr>
          <a:picLocks noChangeAspect="1"/>
        </xdr:cNvPicPr>
      </xdr:nvPicPr>
      <xdr:blipFill>
        <a:blip xmlns:r="http://schemas.openxmlformats.org/officeDocument/2006/relationships" r:embed="rId9"/>
        <a:stretch>
          <a:fillRect/>
        </a:stretch>
      </xdr:blipFill>
      <xdr:spPr>
        <a:xfrm>
          <a:off x="8305800" y="5562600"/>
          <a:ext cx="4562475" cy="3581400"/>
        </a:xfrm>
        <a:prstGeom prst="rect">
          <a:avLst/>
        </a:prstGeom>
      </xdr:spPr>
    </xdr:pic>
    <xdr:clientData/>
  </xdr:twoCellAnchor>
  <xdr:twoCellAnchor editAs="oneCell">
    <xdr:from>
      <xdr:col>3</xdr:col>
      <xdr:colOff>454959</xdr:colOff>
      <xdr:row>80</xdr:row>
      <xdr:rowOff>142313</xdr:rowOff>
    </xdr:from>
    <xdr:to>
      <xdr:col>7</xdr:col>
      <xdr:colOff>610436</xdr:colOff>
      <xdr:row>80</xdr:row>
      <xdr:rowOff>4090147</xdr:rowOff>
    </xdr:to>
    <xdr:pic>
      <xdr:nvPicPr>
        <xdr:cNvPr id="13" name="Imagen 12">
          <a:extLst>
            <a:ext uri="{FF2B5EF4-FFF2-40B4-BE49-F238E27FC236}">
              <a16:creationId xmlns:a16="http://schemas.microsoft.com/office/drawing/2014/main" id="{326611D6-9E34-B17A-517A-6320A58FD2AF}"/>
            </a:ext>
            <a:ext uri="{147F2762-F138-4A5C-976F-8EAC2B608ADB}">
              <a16:predDERef xmlns:a16="http://schemas.microsoft.com/office/drawing/2014/main" pred="{C94E96DD-F1AA-E26B-059B-995C194BCA90}"/>
            </a:ext>
          </a:extLst>
        </xdr:cNvPr>
        <xdr:cNvPicPr>
          <a:picLocks noChangeAspect="1"/>
        </xdr:cNvPicPr>
      </xdr:nvPicPr>
      <xdr:blipFill>
        <a:blip xmlns:r="http://schemas.openxmlformats.org/officeDocument/2006/relationships" r:embed="rId10"/>
        <a:stretch>
          <a:fillRect/>
        </a:stretch>
      </xdr:blipFill>
      <xdr:spPr>
        <a:xfrm>
          <a:off x="7828430" y="65876019"/>
          <a:ext cx="6677300" cy="39478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0</xdr:colOff>
      <xdr:row>24</xdr:row>
      <xdr:rowOff>123825</xdr:rowOff>
    </xdr:from>
    <xdr:to>
      <xdr:col>13</xdr:col>
      <xdr:colOff>2076450</xdr:colOff>
      <xdr:row>38</xdr:row>
      <xdr:rowOff>95250</xdr:rowOff>
    </xdr:to>
    <xdr:pic>
      <xdr:nvPicPr>
        <xdr:cNvPr id="3" name="Imagen 2">
          <a:extLst>
            <a:ext uri="{FF2B5EF4-FFF2-40B4-BE49-F238E27FC236}">
              <a16:creationId xmlns:a16="http://schemas.microsoft.com/office/drawing/2014/main" id="{24A08FE0-51C3-7372-369F-4687CE873529}"/>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087100" y="12763500"/>
          <a:ext cx="13154025" cy="6057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Q17" t="str">
            <v>NO HABILITADO</v>
          </cell>
          <cell r="R17" t="str">
            <v>HABILITADO</v>
          </cell>
          <cell r="S17" t="str">
            <v>NO HABILITADO</v>
          </cell>
          <cell r="T17">
            <v>40.5</v>
          </cell>
          <cell r="U17" t="str">
            <v>REVISAR CON KAREN</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cumple bienes relevantes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39.25</v>
          </cell>
          <cell r="U68" t="str">
            <v>OK EXP- OK KRC- OK Ponderables - Ok Formulas
Pierde puntos por planillas seguridad social mujeres</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U69" t="str">
            <v>ok todo</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NO HABILITADO</v>
          </cell>
          <cell r="R73" t="str">
            <v>HABILITADO</v>
          </cell>
          <cell r="S73" t="str">
            <v>NO HABILITADO</v>
          </cell>
          <cell r="T73">
            <v>39.5</v>
          </cell>
          <cell r="U73" t="str">
            <v>Certificaciones con privados sin la certificacion de facturacion por contrador 3,5,5 pliegos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HABILITADO</v>
          </cell>
          <cell r="Q74" t="str">
            <v>HABILITADO</v>
          </cell>
          <cell r="R74" t="str">
            <v>HABILITADO</v>
          </cell>
          <cell r="S74" t="str">
            <v>HABILITADO</v>
          </cell>
          <cell r="T74">
            <v>40.5</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Se solicita aclaracion de area por esto no cumple tecnicamente 1 certificacion y pierde 9 puntos por no seleccionar jardines en lugar de cicloparqueadero</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Pierde puntaje por aceptación de jardines y no cicloparqueados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NO composición acionaria pierde punto y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1" zoomScaleNormal="130" zoomScaleSheetLayoutView="100" workbookViewId="0">
      <selection activeCell="R35" sqref="R35"/>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1" t="e" vm="1">
        <v>#VALUE!</v>
      </c>
      <c r="C1" s="431"/>
      <c r="D1" s="432" t="s">
        <v>0</v>
      </c>
      <c r="E1" s="432"/>
      <c r="F1" s="432"/>
      <c r="G1" s="432"/>
      <c r="H1" s="432"/>
      <c r="I1" s="432"/>
      <c r="J1" s="432"/>
      <c r="K1" s="432"/>
      <c r="L1" s="432"/>
      <c r="M1" s="432"/>
      <c r="N1" s="432"/>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302">
        <f>+EXPERIENCIA!D15</f>
        <v>69</v>
      </c>
      <c r="D5" s="3"/>
      <c r="E5" s="433" t="str">
        <f>IF($C$5&gt;0,(VLOOKUP($C$5,[1]OFERENTES!$A$8:$W$1027,2,FALSE)),"")</f>
        <v>UNIÓN TEMPORAL MINCULTURA PYT</v>
      </c>
      <c r="F5" s="434"/>
      <c r="G5" s="434"/>
      <c r="H5" s="434"/>
      <c r="I5" s="434"/>
      <c r="J5" s="434"/>
      <c r="K5" s="435" t="s">
        <v>2</v>
      </c>
      <c r="L5" s="436"/>
      <c r="M5" s="437" t="str">
        <f>IFERROR(VLOOKUP($C$5,[1]OFERENTES!$A$8:$AA$1027,26,FALSE),"")</f>
        <v>Proponente Plural</v>
      </c>
      <c r="N5" s="438"/>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29" t="s">
        <v>5</v>
      </c>
      <c r="C12" s="429"/>
      <c r="D12" s="429"/>
      <c r="E12" s="429"/>
      <c r="F12" s="429"/>
      <c r="G12" s="429"/>
      <c r="H12" s="429"/>
      <c r="I12" s="429"/>
      <c r="J12" s="429"/>
      <c r="K12" s="429"/>
      <c r="L12" s="429"/>
      <c r="M12" s="430" t="s">
        <v>6</v>
      </c>
      <c r="N12" s="430"/>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39" t="s">
        <v>8</v>
      </c>
      <c r="C15" s="439"/>
      <c r="D15" s="439"/>
      <c r="E15" s="439"/>
      <c r="F15" s="439"/>
      <c r="G15" s="439"/>
      <c r="H15" s="439"/>
      <c r="I15" s="439"/>
      <c r="J15" s="439"/>
      <c r="K15" s="439"/>
      <c r="L15" s="439"/>
      <c r="M15" s="430" t="s">
        <v>6</v>
      </c>
      <c r="N15" s="430"/>
    </row>
    <row r="16" spans="1:14" x14ac:dyDescent="0.3">
      <c r="A16" s="1"/>
      <c r="B16" s="1"/>
      <c r="C16" s="1"/>
      <c r="D16" s="1"/>
      <c r="E16" s="1"/>
      <c r="F16" s="1"/>
      <c r="G16" s="1"/>
      <c r="H16" s="1"/>
      <c r="I16" s="1"/>
      <c r="J16" s="1"/>
      <c r="M16" s="1"/>
      <c r="N16" s="1"/>
    </row>
    <row r="17" spans="1:14" ht="30.75" customHeight="1" x14ac:dyDescent="0.3">
      <c r="A17" s="1"/>
      <c r="B17" s="439" t="s">
        <v>9</v>
      </c>
      <c r="C17" s="439"/>
      <c r="D17" s="439"/>
      <c r="E17" s="439"/>
      <c r="F17" s="439"/>
      <c r="G17" s="439"/>
      <c r="H17" s="439"/>
      <c r="I17" s="439"/>
      <c r="J17" s="439"/>
      <c r="K17" s="439"/>
      <c r="L17" s="439"/>
      <c r="M17" s="430" t="s">
        <v>6</v>
      </c>
      <c r="N17" s="430"/>
    </row>
    <row r="18" spans="1:14" x14ac:dyDescent="0.3">
      <c r="A18" s="1"/>
      <c r="B18" s="1"/>
      <c r="C18" s="1"/>
      <c r="D18" s="1"/>
      <c r="E18" s="1"/>
      <c r="F18" s="1"/>
      <c r="G18" s="1"/>
      <c r="H18" s="1"/>
      <c r="I18" s="1"/>
      <c r="J18" s="1"/>
      <c r="M18" s="1"/>
      <c r="N18" s="1"/>
    </row>
    <row r="19" spans="1:14" ht="30.75" customHeight="1" x14ac:dyDescent="0.3">
      <c r="A19" s="1"/>
      <c r="B19" s="439" t="s">
        <v>10</v>
      </c>
      <c r="C19" s="439"/>
      <c r="D19" s="439"/>
      <c r="E19" s="439"/>
      <c r="F19" s="439"/>
      <c r="G19" s="439"/>
      <c r="H19" s="439"/>
      <c r="I19" s="439"/>
      <c r="J19" s="439"/>
      <c r="K19" s="439"/>
      <c r="L19" s="439"/>
      <c r="M19" s="430" t="s">
        <v>6</v>
      </c>
      <c r="N19" s="430"/>
    </row>
    <row r="20" spans="1:14" x14ac:dyDescent="0.3">
      <c r="A20" s="1"/>
      <c r="B20" s="1"/>
      <c r="C20" s="1"/>
      <c r="D20" s="1"/>
      <c r="E20" s="1"/>
      <c r="F20" s="1"/>
      <c r="G20" s="1"/>
      <c r="H20" s="1"/>
      <c r="I20" s="1"/>
      <c r="J20" s="1"/>
      <c r="M20" s="1"/>
      <c r="N20" s="1"/>
    </row>
    <row r="21" spans="1:14" ht="32.25" customHeight="1" x14ac:dyDescent="0.3">
      <c r="A21" s="1"/>
      <c r="B21" s="439" t="s">
        <v>11</v>
      </c>
      <c r="C21" s="439"/>
      <c r="D21" s="439"/>
      <c r="E21" s="439"/>
      <c r="F21" s="439"/>
      <c r="G21" s="439"/>
      <c r="H21" s="439"/>
      <c r="I21" s="439"/>
      <c r="J21" s="439"/>
      <c r="K21" s="439"/>
      <c r="L21" s="439"/>
      <c r="M21" s="430" t="s">
        <v>6</v>
      </c>
      <c r="N21" s="430"/>
    </row>
    <row r="22" spans="1:14" x14ac:dyDescent="0.3">
      <c r="A22" s="1"/>
      <c r="B22" s="1"/>
      <c r="C22" s="1"/>
      <c r="D22" s="1"/>
      <c r="E22" s="1"/>
      <c r="F22" s="1"/>
      <c r="G22" s="1"/>
      <c r="H22" s="1"/>
      <c r="I22" s="1"/>
      <c r="J22" s="1"/>
      <c r="M22" s="1"/>
      <c r="N22" s="1"/>
    </row>
    <row r="23" spans="1:14" ht="33" customHeight="1" x14ac:dyDescent="0.3">
      <c r="A23" s="1"/>
      <c r="B23" s="440" t="s">
        <v>12</v>
      </c>
      <c r="C23" s="440"/>
      <c r="D23" s="440"/>
      <c r="E23" s="440"/>
      <c r="F23" s="440"/>
      <c r="G23" s="440"/>
      <c r="H23" s="440"/>
      <c r="I23" s="440"/>
      <c r="J23" s="440"/>
      <c r="K23" s="440"/>
      <c r="L23" s="440"/>
      <c r="M23" s="441" t="str">
        <f>IF($M$12="","",IF(COUNTIF(M12:M21,"si")&gt;4,"CUMPLE","NO CUMPLE"))</f>
        <v>CUMPLE</v>
      </c>
      <c r="N23" s="441"/>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40" zoomScaleNormal="100" zoomScaleSheetLayoutView="40" zoomScalePageLayoutView="70" workbookViewId="0">
      <selection activeCell="R35" sqref="R35"/>
    </sheetView>
  </sheetViews>
  <sheetFormatPr baseColWidth="10" defaultColWidth="14.42578125" defaultRowHeight="15" customHeight="1" outlineLevelRow="1" x14ac:dyDescent="0.3"/>
  <cols>
    <col min="1" max="1" width="2.140625" style="18" customWidth="1"/>
    <col min="2" max="2" width="38.140625" style="19" customWidth="1"/>
    <col min="3" max="3" width="1.5703125" style="19" customWidth="1"/>
    <col min="4" max="4" width="44.7109375" style="19" customWidth="1"/>
    <col min="5" max="5" width="39.140625" style="19" customWidth="1"/>
    <col min="6" max="6" width="21.5703125" style="19" customWidth="1"/>
    <col min="7" max="7" width="21.7109375" style="19" customWidth="1"/>
    <col min="8" max="8" width="22.7109375" style="19" customWidth="1"/>
    <col min="9" max="9" width="25.85546875" style="19" customWidth="1"/>
    <col min="10" max="10" width="33.7109375" style="19" customWidth="1"/>
    <col min="11" max="11" width="30.42578125" style="19" customWidth="1"/>
    <col min="12" max="12" width="24.85546875" style="19" customWidth="1"/>
    <col min="13" max="13" width="30.140625" style="19" customWidth="1"/>
    <col min="14" max="14" width="32.42578125" style="19" customWidth="1"/>
    <col min="15" max="15" width="38.7109375" style="19" customWidth="1"/>
    <col min="16" max="16" width="3.85546875" style="131" customWidth="1"/>
    <col min="17" max="17" width="39.140625" style="19" customWidth="1"/>
    <col min="18" max="18" width="35.7109375" style="19" customWidth="1"/>
    <col min="19" max="19" width="34.5703125" style="19" customWidth="1"/>
    <col min="20" max="20" width="6.42578125" style="19" customWidth="1"/>
    <col min="21" max="21" width="31.5703125" style="19" customWidth="1"/>
    <col min="22" max="22" width="33.85546875" style="62" customWidth="1"/>
    <col min="23" max="23" width="18.7109375" style="62" customWidth="1"/>
    <col min="24" max="26" width="9.140625" style="62" customWidth="1"/>
    <col min="27" max="27" width="42.140625" style="62" customWidth="1"/>
    <col min="28" max="36" width="9.140625" style="62" customWidth="1"/>
    <col min="37" max="39" width="10.7109375" style="62" customWidth="1"/>
    <col min="40" max="16384" width="14.42578125" style="62"/>
  </cols>
  <sheetData>
    <row r="1" spans="1:20" ht="15" customHeight="1" x14ac:dyDescent="0.3">
      <c r="A1" s="1"/>
      <c r="B1" s="304"/>
      <c r="C1" s="1"/>
      <c r="D1" s="1"/>
      <c r="E1" s="1"/>
      <c r="F1" s="1"/>
      <c r="G1" s="1"/>
      <c r="H1" s="1"/>
      <c r="I1" s="1"/>
      <c r="J1" s="1"/>
      <c r="K1" s="1"/>
      <c r="L1" s="1"/>
      <c r="M1" s="1"/>
      <c r="N1" s="1"/>
      <c r="O1" s="1"/>
      <c r="P1" s="305"/>
      <c r="Q1" s="1"/>
      <c r="R1" s="1"/>
      <c r="S1" s="1"/>
      <c r="T1" s="18"/>
    </row>
    <row r="2" spans="1:20" ht="57.75" customHeight="1" x14ac:dyDescent="0.3">
      <c r="A2" s="1"/>
      <c r="B2" s="446" t="e" vm="2">
        <v>#VALUE!</v>
      </c>
      <c r="C2" s="447" t="s">
        <v>14</v>
      </c>
      <c r="D2" s="448"/>
      <c r="E2" s="448"/>
      <c r="F2" s="448"/>
      <c r="G2" s="448"/>
      <c r="H2" s="448"/>
      <c r="I2" s="448"/>
      <c r="J2" s="448"/>
      <c r="K2" s="448"/>
      <c r="L2" s="448"/>
      <c r="M2" s="448"/>
      <c r="N2" s="448"/>
      <c r="O2" s="448"/>
      <c r="P2" s="449"/>
      <c r="Q2" s="453" t="s">
        <v>15</v>
      </c>
      <c r="R2" s="453"/>
      <c r="S2" s="453"/>
      <c r="T2" s="18"/>
    </row>
    <row r="3" spans="1:20" ht="58.5" customHeight="1" x14ac:dyDescent="0.3">
      <c r="A3" s="1"/>
      <c r="B3" s="446"/>
      <c r="C3" s="450"/>
      <c r="D3" s="451"/>
      <c r="E3" s="451"/>
      <c r="F3" s="451"/>
      <c r="G3" s="451"/>
      <c r="H3" s="451"/>
      <c r="I3" s="451"/>
      <c r="J3" s="451"/>
      <c r="K3" s="451"/>
      <c r="L3" s="451"/>
      <c r="M3" s="451"/>
      <c r="N3" s="451"/>
      <c r="O3" s="451"/>
      <c r="P3" s="452"/>
      <c r="Q3" s="454" t="str">
        <f>IF($J$25="NO CUMPLE","OFERTA RECHAZADA",IF(COUNTIF(L65:$M$70,"CUMPLE")=6,"CUMPLE","NO CUMPLE"))</f>
        <v>CUMPLE</v>
      </c>
      <c r="R3" s="454"/>
      <c r="S3" s="454"/>
      <c r="T3" s="18"/>
    </row>
    <row r="4" spans="1:20" ht="39" customHeight="1" x14ac:dyDescent="0.3">
      <c r="A4" s="1"/>
      <c r="B4" s="306"/>
      <c r="C4" s="306"/>
      <c r="D4" s="306"/>
      <c r="E4" s="306"/>
      <c r="F4" s="307"/>
      <c r="G4" s="306"/>
      <c r="H4" s="306"/>
      <c r="I4" s="306"/>
      <c r="J4" s="306"/>
      <c r="K4" s="306"/>
      <c r="L4" s="306"/>
      <c r="M4" s="306"/>
      <c r="N4" s="306"/>
      <c r="O4" s="306"/>
      <c r="P4" s="305"/>
      <c r="Q4" s="308"/>
      <c r="R4" s="308"/>
      <c r="S4" s="306"/>
      <c r="T4" s="18"/>
    </row>
    <row r="5" spans="1:20" ht="33.75" x14ac:dyDescent="0.3">
      <c r="A5" s="1"/>
      <c r="B5" s="309" t="s">
        <v>16</v>
      </c>
      <c r="C5" s="310"/>
      <c r="D5" s="310"/>
      <c r="E5" s="310"/>
      <c r="F5" s="310"/>
      <c r="G5" s="310"/>
      <c r="H5" s="310"/>
      <c r="I5" s="310"/>
      <c r="J5" s="310"/>
      <c r="K5" s="310"/>
      <c r="L5" s="310"/>
      <c r="M5" s="311"/>
      <c r="N5" s="311"/>
      <c r="O5" s="311"/>
      <c r="P5" s="305"/>
      <c r="Q5" s="311"/>
      <c r="R5" s="311"/>
      <c r="S5" s="311"/>
      <c r="T5" s="18"/>
    </row>
    <row r="6" spans="1:20" ht="24" customHeight="1" x14ac:dyDescent="0.3">
      <c r="A6" s="1"/>
      <c r="B6" s="309"/>
      <c r="C6" s="310"/>
      <c r="D6" s="310"/>
      <c r="E6" s="310"/>
      <c r="F6" s="310"/>
      <c r="G6" s="310"/>
      <c r="H6" s="310"/>
      <c r="I6" s="310"/>
      <c r="J6" s="310"/>
      <c r="K6" s="310"/>
      <c r="L6" s="310"/>
      <c r="M6" s="311"/>
      <c r="N6" s="311"/>
      <c r="O6" s="311"/>
      <c r="P6" s="305"/>
      <c r="Q6" s="311"/>
      <c r="R6" s="311"/>
      <c r="S6" s="311"/>
      <c r="T6" s="18"/>
    </row>
    <row r="7" spans="1:20" ht="18" x14ac:dyDescent="0.3">
      <c r="A7" s="1"/>
      <c r="B7" s="20"/>
      <c r="C7" s="21"/>
      <c r="D7" s="22"/>
      <c r="E7" s="22"/>
      <c r="F7" s="22"/>
      <c r="G7" s="22"/>
      <c r="H7" s="22"/>
      <c r="I7" s="22"/>
      <c r="J7" s="22"/>
      <c r="K7" s="22"/>
      <c r="L7" s="22"/>
      <c r="M7" s="22"/>
      <c r="N7" s="22"/>
      <c r="O7" s="22"/>
      <c r="P7" s="23"/>
      <c r="Q7" s="22"/>
      <c r="R7" s="22"/>
      <c r="S7" s="24"/>
      <c r="T7" s="18"/>
    </row>
    <row r="8" spans="1:20" ht="79.5" customHeight="1" x14ac:dyDescent="0.3">
      <c r="A8" s="1"/>
      <c r="B8" s="25" t="s">
        <v>17</v>
      </c>
      <c r="C8" s="26"/>
      <c r="D8" s="455" t="str">
        <f>+'[1]DATOS DEL PROCESO'!D3</f>
        <v>CONSTRUCCIÓN DE LA CASA DE LA CULTURA – CENTRO CULTURAL RROM DEL MUNICIPIO DE SAMPUÉS, DEPARTAMENTO DE SUCRE.</v>
      </c>
      <c r="E8" s="456"/>
      <c r="F8" s="456"/>
      <c r="G8" s="456"/>
      <c r="H8" s="456"/>
      <c r="I8" s="456"/>
      <c r="J8" s="456"/>
      <c r="K8" s="456"/>
      <c r="L8" s="456"/>
      <c r="M8" s="456"/>
      <c r="N8" s="456"/>
      <c r="O8" s="456"/>
      <c r="P8" s="456"/>
      <c r="Q8" s="456"/>
      <c r="R8" s="456"/>
      <c r="S8" s="27"/>
      <c r="T8" s="18"/>
    </row>
    <row r="9" spans="1:20" s="18" customFormat="1" ht="45" customHeight="1" x14ac:dyDescent="0.3">
      <c r="A9" s="1"/>
      <c r="B9" s="28"/>
      <c r="C9" s="29"/>
      <c r="D9" s="30"/>
      <c r="E9" s="30"/>
      <c r="F9" s="30"/>
      <c r="G9" s="30"/>
      <c r="H9" s="30"/>
      <c r="I9" s="30"/>
      <c r="J9" s="30"/>
      <c r="K9" s="30"/>
      <c r="L9" s="30"/>
      <c r="M9" s="30"/>
      <c r="N9" s="30"/>
      <c r="O9" s="30"/>
      <c r="P9" s="31"/>
      <c r="Q9" s="32"/>
      <c r="R9" s="32"/>
      <c r="S9" s="27"/>
    </row>
    <row r="10" spans="1:20" ht="52.5" customHeight="1" x14ac:dyDescent="0.3">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x14ac:dyDescent="0.3">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x14ac:dyDescent="0.3">
      <c r="A12" s="1"/>
      <c r="B12" s="306"/>
      <c r="C12" s="306"/>
      <c r="D12" s="306"/>
      <c r="E12" s="306"/>
      <c r="F12" s="307"/>
      <c r="G12" s="306"/>
      <c r="H12" s="306"/>
      <c r="I12" s="306"/>
      <c r="J12" s="306"/>
      <c r="L12" s="306"/>
      <c r="M12" s="306"/>
      <c r="N12" s="311"/>
      <c r="O12" s="306"/>
      <c r="P12" s="305"/>
      <c r="Q12" s="306"/>
      <c r="R12" s="306"/>
      <c r="S12" s="306"/>
    </row>
    <row r="13" spans="1:20" s="18" customFormat="1" ht="60" customHeight="1" x14ac:dyDescent="0.3">
      <c r="A13" s="1"/>
      <c r="B13" s="309" t="s">
        <v>25</v>
      </c>
      <c r="C13" s="310"/>
      <c r="D13" s="310"/>
      <c r="E13" s="310"/>
      <c r="F13" s="310"/>
      <c r="G13" s="310"/>
      <c r="H13" s="310"/>
      <c r="I13" s="310"/>
      <c r="J13" s="310"/>
      <c r="K13" s="310"/>
      <c r="L13" s="310"/>
      <c r="M13" s="311"/>
      <c r="N13" s="311"/>
      <c r="O13" s="311"/>
      <c r="P13" s="305"/>
      <c r="Q13" s="311"/>
      <c r="R13" s="311"/>
      <c r="S13" s="311"/>
    </row>
    <row r="14" spans="1:20" s="18" customFormat="1" ht="16.5" customHeight="1" x14ac:dyDescent="0.3">
      <c r="A14" s="1"/>
      <c r="B14" s="45"/>
      <c r="C14" s="46"/>
      <c r="D14" s="46"/>
      <c r="E14" s="46"/>
      <c r="F14" s="46"/>
      <c r="G14" s="46"/>
      <c r="H14" s="46"/>
      <c r="I14" s="46"/>
      <c r="J14" s="46"/>
      <c r="K14" s="46"/>
      <c r="L14" s="46"/>
      <c r="M14" s="47"/>
      <c r="N14" s="47"/>
      <c r="O14" s="22"/>
      <c r="P14" s="23"/>
      <c r="Q14" s="22"/>
      <c r="R14" s="22"/>
      <c r="S14" s="24"/>
    </row>
    <row r="15" spans="1:20" ht="37.5" customHeight="1" x14ac:dyDescent="0.3">
      <c r="A15" s="1"/>
      <c r="B15" s="48" t="s">
        <v>1</v>
      </c>
      <c r="C15" s="49"/>
      <c r="D15" s="303">
        <v>69</v>
      </c>
      <c r="E15" s="50"/>
      <c r="F15" s="457" t="str">
        <f>IF($D$15&gt;0,(VLOOKUP($D$15,[1]OFERENTES!$A$8:$W$1027,2,FALSE)),"")</f>
        <v>UNIÓN TEMPORAL MINCULTURA PYT</v>
      </c>
      <c r="G15" s="458"/>
      <c r="H15" s="458"/>
      <c r="I15" s="458"/>
      <c r="J15" s="458"/>
      <c r="K15" s="458"/>
      <c r="L15" s="459" t="s">
        <v>2</v>
      </c>
      <c r="M15" s="460"/>
      <c r="N15" s="461" t="str">
        <f>IFERROR(VLOOKUP(EXPERIENCIA!$D$15,[1]OFERENTES!$A$8:$AA$1027,26,FALSE),"")</f>
        <v>Proponente Plural</v>
      </c>
      <c r="O15" s="462"/>
      <c r="P15" s="31"/>
      <c r="Q15" s="51"/>
      <c r="R15" s="51"/>
      <c r="S15" s="27"/>
      <c r="T15" s="18"/>
    </row>
    <row r="16" spans="1:20" s="18" customFormat="1" ht="37.5" customHeight="1" x14ac:dyDescent="0.3">
      <c r="A16" s="1"/>
      <c r="B16" s="52"/>
      <c r="C16" s="49"/>
      <c r="D16" s="49"/>
      <c r="E16" s="49"/>
      <c r="F16" s="49"/>
      <c r="G16" s="49"/>
      <c r="H16" s="49"/>
      <c r="I16" s="49"/>
      <c r="J16" s="49"/>
      <c r="K16" s="49"/>
      <c r="L16" s="49"/>
      <c r="M16" s="53"/>
      <c r="N16" s="54"/>
      <c r="O16" s="30"/>
      <c r="P16" s="31"/>
      <c r="Q16" s="51"/>
      <c r="R16" s="51"/>
      <c r="S16" s="27"/>
    </row>
    <row r="17" spans="1:21" ht="66" customHeight="1" x14ac:dyDescent="0.3">
      <c r="A17" s="1"/>
      <c r="B17" s="52"/>
      <c r="C17" s="49"/>
      <c r="D17" s="471" t="s">
        <v>26</v>
      </c>
      <c r="E17" s="471"/>
      <c r="F17" s="471"/>
      <c r="G17" s="471"/>
      <c r="H17" s="471"/>
      <c r="I17" s="55" t="s">
        <v>27</v>
      </c>
      <c r="J17" s="55" t="s">
        <v>28</v>
      </c>
      <c r="K17" s="55" t="s">
        <v>29</v>
      </c>
      <c r="L17" s="56" t="s">
        <v>30</v>
      </c>
      <c r="M17" s="56" t="s">
        <v>31</v>
      </c>
      <c r="N17" s="57" t="s">
        <v>32</v>
      </c>
      <c r="O17" s="56" t="s">
        <v>33</v>
      </c>
      <c r="P17" s="58"/>
      <c r="Q17" s="55" t="s">
        <v>34</v>
      </c>
      <c r="R17" s="59" t="s">
        <v>35</v>
      </c>
      <c r="S17" s="27"/>
      <c r="T17" s="60"/>
      <c r="U17" s="61"/>
    </row>
    <row r="18" spans="1:21" ht="9" customHeight="1" x14ac:dyDescent="0.3">
      <c r="A18" s="51"/>
      <c r="B18" s="63"/>
      <c r="C18" s="64"/>
      <c r="D18" s="64"/>
      <c r="E18" s="64"/>
      <c r="F18" s="64"/>
      <c r="G18" s="64"/>
      <c r="H18" s="64"/>
      <c r="I18" s="64"/>
      <c r="J18" s="312"/>
      <c r="K18" s="312"/>
      <c r="L18" s="312"/>
      <c r="M18" s="313"/>
      <c r="N18" s="312"/>
      <c r="O18" s="314"/>
      <c r="P18" s="315"/>
      <c r="Q18" s="65"/>
      <c r="R18" s="65"/>
      <c r="S18" s="24"/>
      <c r="T18" s="18"/>
    </row>
    <row r="19" spans="1:21" ht="50.25" customHeight="1" x14ac:dyDescent="0.3">
      <c r="A19" s="66" t="str">
        <f>IF(AND($I19&gt;=10%,$N19="CUMPLE"),"V","F")</f>
        <v>V</v>
      </c>
      <c r="B19" s="67" t="s">
        <v>36</v>
      </c>
      <c r="C19" s="68" t="str">
        <f>IF(AND($I19&gt;=10%,$J19="CUMPLE",$L19="SE CLASIFICA"),"V","F")</f>
        <v>V</v>
      </c>
      <c r="D19" s="443" t="str">
        <f>IFERROR(IF(EXPERIENCIA!$N$15="Proponente Plural",IF(ISBLANK((VLOOKUP(EXPERIENCIA!$D$15,[1]OFERENTES!$A$8:$H$101027,3,FALSE))),"",VLOOKUP(EXPERIENCIA!$D$15,[1]OFERENTES!$A$8:$H$101027,3,FALSE)),VLOOKUP(EXPERIENCIA!$D$15,[1]OFERENTES!$A$8:$H$1027,3,FALSE)),"")</f>
        <v>PANAM INGENIEROS</v>
      </c>
      <c r="E19" s="444"/>
      <c r="F19" s="444"/>
      <c r="G19" s="444"/>
      <c r="H19" s="445"/>
      <c r="I19" s="69">
        <f>IF(EXPERIENCIA!$D$15&gt;0,IF(ISBLANK((VLOOKUP(EXPERIENCIA!$D$15,[1]OFERENTES!$A$8:$AH$1027,4,FALSE))),"",(VLOOKUP(EXPERIENCIA!$D$15,[1]OFERENTES!$A$8:$AH$1027,4,FALSE))),"")</f>
        <v>0.9</v>
      </c>
      <c r="J19" s="70" t="s">
        <v>37</v>
      </c>
      <c r="K19" s="70">
        <v>45618</v>
      </c>
      <c r="L19" s="71" t="s">
        <v>38</v>
      </c>
      <c r="M19" s="72" t="s">
        <v>39</v>
      </c>
      <c r="N19" s="73" t="str">
        <f>IF(EXPERIENCIA!M19="","",IF(EXPERIENCIA!M19="SE ANEXA","CUMPLE","NO CUMPLE"))</f>
        <v>CUMPLE</v>
      </c>
      <c r="O19" s="472" t="s">
        <v>37</v>
      </c>
      <c r="P19" s="316"/>
      <c r="Q19" s="442" t="str">
        <f>IF($J$25="","",IF(COUNTIFS(EXPERIENCIA!$I$19:$I$24,"&gt;=0,1",EXPERIENCIA!$J$19:$J$24,"CUMPLE",EXPERIENCIA!$L$19:$L$24,"SE CLASIFICA"),"APLICA","NO CUMPLE"))</f>
        <v>APLICA</v>
      </c>
      <c r="R19" s="442" t="str">
        <f>IF($N$19="","",IF(COUNTIFS($I$19:$I$24,"&gt;=0,1",$N$19:$N$24,"CUMPLE"),"CUMPLE","NO CUMPLE"))</f>
        <v>CUMPLE</v>
      </c>
      <c r="S19" s="74"/>
      <c r="T19" s="60"/>
      <c r="U19" s="75"/>
    </row>
    <row r="20" spans="1:21" ht="49.5" customHeight="1" x14ac:dyDescent="0.3">
      <c r="A20" s="66" t="str">
        <f t="shared" ref="A20:A24" si="0">IF(AND($I20&gt;=10%,$N20="CUMPLE"),"V","F")</f>
        <v>F</v>
      </c>
      <c r="B20" s="76" t="s">
        <v>40</v>
      </c>
      <c r="C20" s="68" t="str">
        <f t="shared" ref="C20:C24" si="1">IF(AND($I20&gt;=10%,$J20="CUMPLE",$L20="SE CLASIFICA"),"V","F")</f>
        <v>V</v>
      </c>
      <c r="D20" s="443" t="str">
        <f>IF(EXPERIENCIA!$N$15="Proponente Plural",IF(ISBLANK((VLOOKUP(EXPERIENCIA!$D$15,[1]OFERENTES!$A$8:$H$1027,5,FALSE))),"",VLOOKUP(EXPERIENCIA!$D$15,[1]OFERENTES!$A$8:$H$1027,5,FALSE)),"")</f>
        <v>TERRA INGENIERIA &amp; CONSULTORIA SAS</v>
      </c>
      <c r="E20" s="444"/>
      <c r="F20" s="444"/>
      <c r="G20" s="444"/>
      <c r="H20" s="445"/>
      <c r="I20" s="69">
        <f>IF(EXPERIENCIA!$D$15&gt;0,IF(ISBLANK((VLOOKUP(EXPERIENCIA!$D$15,[1]OFERENTES!$A$8:$AH$1027,6,FALSE))),"",(VLOOKUP(EXPERIENCIA!$D$15,[1]OFERENTES!$A$8:$AH$1027,6,FALSE))),"")</f>
        <v>0.1</v>
      </c>
      <c r="J20" s="70" t="s">
        <v>37</v>
      </c>
      <c r="K20" s="70">
        <v>45614</v>
      </c>
      <c r="L20" s="71" t="s">
        <v>38</v>
      </c>
      <c r="M20" s="72"/>
      <c r="N20" s="73" t="str">
        <f>IF(EXPERIENCIA!M20="","",IF(EXPERIENCIA!M20="SE ANEXA","CUMPLE","NO CUMPLE"))</f>
        <v/>
      </c>
      <c r="O20" s="472"/>
      <c r="P20" s="316"/>
      <c r="Q20" s="442"/>
      <c r="R20" s="442"/>
      <c r="S20" s="74"/>
      <c r="T20" s="77"/>
      <c r="U20" s="75"/>
    </row>
    <row r="21" spans="1:21" ht="49.5" customHeight="1" x14ac:dyDescent="0.3">
      <c r="A21" s="66" t="str">
        <f t="shared" si="0"/>
        <v>F</v>
      </c>
      <c r="B21" s="76" t="s">
        <v>41</v>
      </c>
      <c r="C21" s="68" t="str">
        <f t="shared" si="1"/>
        <v>F</v>
      </c>
      <c r="D21" s="443" t="str">
        <f>IF(EXPERIENCIA!$N$15="Proponente Plural",IF(ISBLANK((VLOOKUP(EXPERIENCIA!$D$15,[1]OFERENTES!$A$8:$H$1027,7,FALSE))),"",VLOOKUP(EXPERIENCIA!$D$15,[1]OFERENTES!$A$8:$H$1027,7,FALSE)),"")</f>
        <v/>
      </c>
      <c r="E21" s="444"/>
      <c r="F21" s="444"/>
      <c r="G21" s="444"/>
      <c r="H21" s="445"/>
      <c r="I21" s="69" t="str">
        <f>IF(EXPERIENCIA!$D$15&gt;0,IF(ISBLANK((VLOOKUP(EXPERIENCIA!$D$15,[1]OFERENTES!$A$8:$AH$1027,8,FALSE))),"",(VLOOKUP(EXPERIENCIA!$D$15,[1]OFERENTES!$A$8:$AH$1027,8,FALSE))),"")</f>
        <v/>
      </c>
      <c r="J21" s="70"/>
      <c r="K21" s="70"/>
      <c r="L21" s="71"/>
      <c r="M21" s="72"/>
      <c r="N21" s="73" t="str">
        <f>IF(EXPERIENCIA!M21="","",IF(EXPERIENCIA!M21="SE ANEXA","CUMPLE","NO CUMPLE"))</f>
        <v/>
      </c>
      <c r="O21" s="472"/>
      <c r="P21" s="316"/>
      <c r="Q21" s="442"/>
      <c r="R21" s="442"/>
      <c r="S21" s="74"/>
      <c r="T21" s="77"/>
      <c r="U21" s="75"/>
    </row>
    <row r="22" spans="1:21" ht="49.5" customHeight="1" x14ac:dyDescent="0.3">
      <c r="A22" s="66" t="str">
        <f t="shared" si="0"/>
        <v>F</v>
      </c>
      <c r="B22" s="76" t="s">
        <v>42</v>
      </c>
      <c r="C22" s="68" t="str">
        <f t="shared" si="1"/>
        <v>F</v>
      </c>
      <c r="D22" s="443" t="str">
        <f>IF(EXPERIENCIA!$N$15="Proponente Plural",IF(ISBLANK((VLOOKUP(EXPERIENCIA!$D$15,[1]OFERENTES!$A$8:$AA$1027,9,FALSE))),"",VLOOKUP(EXPERIENCIA!$D$15,[1]OFERENTES!$A$8:$AA$1027,9,FALSE)),"")</f>
        <v/>
      </c>
      <c r="E22" s="444"/>
      <c r="F22" s="444"/>
      <c r="G22" s="444"/>
      <c r="H22" s="445"/>
      <c r="I22" s="69" t="str">
        <f>IF(EXPERIENCIA!$D$15&gt;0,IF(ISBLANK((VLOOKUP(EXPERIENCIA!$D$15,[1]OFERENTES!$A$8:$AH$1027,10,FALSE))),"",(VLOOKUP(EXPERIENCIA!$D$15,[1]OFERENTES!$A$8:$AH$1027,10,FALSE))),"")</f>
        <v/>
      </c>
      <c r="J22" s="70"/>
      <c r="K22" s="70"/>
      <c r="L22" s="71"/>
      <c r="M22" s="72"/>
      <c r="N22" s="73" t="str">
        <f>IF(EXPERIENCIA!M22="","",IF(EXPERIENCIA!M22="SE ANEXA","CUMPLE","NO CUMPLE"))</f>
        <v/>
      </c>
      <c r="O22" s="472"/>
      <c r="P22" s="316"/>
      <c r="Q22" s="442"/>
      <c r="R22" s="442"/>
      <c r="S22" s="74"/>
      <c r="T22" s="77"/>
      <c r="U22" s="75"/>
    </row>
    <row r="23" spans="1:21" ht="49.5" customHeight="1" x14ac:dyDescent="0.3">
      <c r="A23" s="66" t="str">
        <f t="shared" si="0"/>
        <v>F</v>
      </c>
      <c r="B23" s="76" t="s">
        <v>43</v>
      </c>
      <c r="C23" s="68" t="str">
        <f t="shared" si="1"/>
        <v>F</v>
      </c>
      <c r="D23" s="443" t="str">
        <f>IF(EXPERIENCIA!$N$15="Proponente Plural",IF(ISBLANK((VLOOKUP(EXPERIENCIA!$D$15,[1]OFERENTES!$A$8:$AA$1027,11,FALSE))),"",VLOOKUP(EXPERIENCIA!$D$15,[1]OFERENTES!$A$8:$AA$1027,11,FALSE)),"")</f>
        <v/>
      </c>
      <c r="E23" s="444"/>
      <c r="F23" s="444"/>
      <c r="G23" s="444"/>
      <c r="H23" s="445"/>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2"/>
      <c r="P23" s="316"/>
      <c r="Q23" s="442"/>
      <c r="R23" s="442"/>
      <c r="S23" s="74"/>
      <c r="T23" s="60"/>
      <c r="U23" s="75"/>
    </row>
    <row r="24" spans="1:21" ht="49.5" customHeight="1" x14ac:dyDescent="0.3">
      <c r="A24" s="66" t="str">
        <f t="shared" si="0"/>
        <v>F</v>
      </c>
      <c r="B24" s="76" t="s">
        <v>44</v>
      </c>
      <c r="C24" s="68" t="str">
        <f t="shared" si="1"/>
        <v>F</v>
      </c>
      <c r="D24" s="443" t="str">
        <f>IF(EXPERIENCIA!$N$15="Proponente Plural",IF(ISBLANK((VLOOKUP(EXPERIENCIA!$D$15,[1]OFERENTES!$A$8:$AA$1027,13,FALSE))),"",VLOOKUP(EXPERIENCIA!$D$15,[1]OFERENTES!$A$8:$AA$1027,13,FALSE)),"")</f>
        <v/>
      </c>
      <c r="E24" s="444"/>
      <c r="F24" s="444"/>
      <c r="G24" s="444"/>
      <c r="H24" s="445"/>
      <c r="I24" s="69" t="str">
        <f>IF(EXPERIENCIA!$D$15&gt;0,IF(ISBLANK((VLOOKUP(EXPERIENCIA!$D$15,[1]OFERENTES!$A$8:$AH$1027,14,FALSE))),"",(VLOOKUP(EXPERIENCIA!$D$15,[1]OFERENTES!$A$8:$AH$1027,14,FALSE))),"")</f>
        <v/>
      </c>
      <c r="J24" s="70"/>
      <c r="K24" s="70"/>
      <c r="L24" s="71"/>
      <c r="M24" s="72"/>
      <c r="N24" s="73" t="str">
        <f>IF(EXPERIENCIA!M24="","",IF(EXPERIENCIA!M24="SE ANEXA","CUMPLE","NO CUMPLE"))</f>
        <v/>
      </c>
      <c r="O24" s="472"/>
      <c r="P24" s="316"/>
      <c r="Q24" s="442"/>
      <c r="R24" s="442"/>
      <c r="S24" s="74"/>
      <c r="T24" s="60"/>
      <c r="U24" s="75"/>
    </row>
    <row r="25" spans="1:21" ht="29.25" customHeight="1" x14ac:dyDescent="0.3">
      <c r="A25" s="51"/>
      <c r="B25" s="78"/>
      <c r="C25" s="79"/>
      <c r="D25" s="80"/>
      <c r="E25" s="81"/>
      <c r="F25" s="80"/>
      <c r="G25" s="80"/>
      <c r="H25" s="80"/>
      <c r="I25" s="82">
        <f>IF(I19="","",SUM(I19:I24))</f>
        <v>1</v>
      </c>
      <c r="J25" s="317" t="str">
        <f>IF(J19="","",IF(COUNTIF($J$19:$J$24,"NO CUMPLE"),"NO CUMPLE","CUMPLE"))</f>
        <v>CUMPLE</v>
      </c>
      <c r="K25" s="317" t="str">
        <f>IF(K19="","",IF(COUNTIF($K$19:$K$24,"&lt;2/11/2024")&gt;=1,"NO CUMPLE","CUMPLE"))</f>
        <v>CUMPLE</v>
      </c>
      <c r="L25" s="1"/>
      <c r="M25" s="1"/>
      <c r="N25" s="1"/>
      <c r="O25" s="1"/>
      <c r="P25" s="305"/>
      <c r="Q25" s="51"/>
      <c r="R25" s="51"/>
      <c r="S25" s="74"/>
      <c r="T25" s="18"/>
    </row>
    <row r="26" spans="1:21" ht="18.75" customHeight="1" x14ac:dyDescent="0.3">
      <c r="A26" s="51"/>
      <c r="B26" s="78"/>
      <c r="C26" s="79"/>
      <c r="D26" s="80"/>
      <c r="E26" s="80"/>
      <c r="F26" s="80"/>
      <c r="G26" s="80"/>
      <c r="H26" s="80"/>
      <c r="I26" s="80"/>
      <c r="J26" s="318"/>
      <c r="K26" s="318"/>
      <c r="L26" s="1"/>
      <c r="M26" s="1"/>
      <c r="N26" s="1"/>
      <c r="O26" s="1"/>
      <c r="P26" s="305"/>
      <c r="Q26" s="51"/>
      <c r="R26" s="51"/>
      <c r="S26" s="74"/>
      <c r="T26" s="18"/>
    </row>
    <row r="27" spans="1:21" ht="18.75" customHeight="1" x14ac:dyDescent="0.3">
      <c r="A27" s="51"/>
      <c r="B27" s="83"/>
      <c r="C27" s="84"/>
      <c r="D27" s="85"/>
      <c r="E27" s="85"/>
      <c r="F27" s="85"/>
      <c r="G27" s="85"/>
      <c r="H27" s="85"/>
      <c r="I27" s="85"/>
      <c r="J27" s="319"/>
      <c r="K27" s="320"/>
      <c r="L27" s="319"/>
      <c r="M27" s="321"/>
      <c r="N27" s="322"/>
      <c r="O27" s="323"/>
      <c r="P27" s="324"/>
      <c r="Q27" s="86"/>
      <c r="R27" s="86"/>
      <c r="S27" s="87"/>
      <c r="T27" s="18"/>
    </row>
    <row r="28" spans="1:21" s="18" customFormat="1" ht="57" customHeight="1" x14ac:dyDescent="0.3">
      <c r="A28" s="1"/>
      <c r="B28" s="325"/>
      <c r="C28" s="325"/>
      <c r="D28" s="326"/>
      <c r="E28" s="327" t="str">
        <f>IF(J19="NO",D19,"")</f>
        <v/>
      </c>
      <c r="F28" s="325"/>
      <c r="G28" s="306"/>
      <c r="H28" s="306"/>
      <c r="I28" s="306"/>
      <c r="J28" s="306"/>
      <c r="K28" s="306"/>
      <c r="L28" s="306"/>
      <c r="M28" s="306"/>
      <c r="N28" s="306"/>
      <c r="O28" s="306"/>
      <c r="P28" s="305"/>
      <c r="Q28" s="306"/>
      <c r="R28" s="306"/>
      <c r="S28" s="306"/>
    </row>
    <row r="29" spans="1:21" s="18" customFormat="1" ht="42.75" customHeight="1" x14ac:dyDescent="0.3">
      <c r="A29" s="1"/>
      <c r="B29" s="309" t="s">
        <v>45</v>
      </c>
      <c r="C29" s="327"/>
      <c r="D29" s="327"/>
      <c r="E29" s="1"/>
      <c r="F29" s="327"/>
      <c r="G29" s="327"/>
      <c r="H29" s="327"/>
      <c r="I29" s="327"/>
      <c r="J29" s="327"/>
      <c r="K29" s="327"/>
      <c r="L29" s="327"/>
      <c r="M29" s="311"/>
      <c r="N29" s="311"/>
      <c r="O29" s="311"/>
      <c r="P29" s="305"/>
      <c r="Q29" s="311"/>
      <c r="R29" s="311"/>
      <c r="S29" s="311"/>
    </row>
    <row r="30" spans="1:21" s="18" customFormat="1" ht="18" x14ac:dyDescent="0.3">
      <c r="A30" s="1"/>
      <c r="B30" s="328"/>
      <c r="C30" s="329"/>
      <c r="D30" s="330"/>
      <c r="E30" s="330"/>
      <c r="F30" s="330"/>
      <c r="G30" s="330"/>
      <c r="H30" s="330"/>
      <c r="I30" s="330"/>
      <c r="J30" s="330"/>
      <c r="K30" s="330"/>
      <c r="L30" s="314"/>
      <c r="M30" s="314"/>
      <c r="N30" s="314"/>
      <c r="O30" s="314"/>
      <c r="P30" s="315"/>
      <c r="Q30" s="314"/>
      <c r="R30" s="314"/>
      <c r="S30" s="331"/>
    </row>
    <row r="31" spans="1:21" ht="90.75" customHeight="1" x14ac:dyDescent="0.3">
      <c r="A31" s="1"/>
      <c r="B31" s="332" t="s">
        <v>46</v>
      </c>
      <c r="C31" s="333"/>
      <c r="D31" s="463" t="s">
        <v>47</v>
      </c>
      <c r="E31" s="463"/>
      <c r="F31" s="463"/>
      <c r="G31" s="463"/>
      <c r="H31" s="463"/>
      <c r="I31" s="463"/>
      <c r="J31" s="463"/>
      <c r="K31" s="463"/>
      <c r="L31" s="463"/>
      <c r="M31" s="463"/>
      <c r="N31" s="463"/>
      <c r="O31" s="463"/>
      <c r="P31" s="463"/>
      <c r="Q31" s="463"/>
      <c r="R31" s="334"/>
      <c r="S31" s="335"/>
      <c r="T31" s="18"/>
    </row>
    <row r="32" spans="1:21" ht="65.25" customHeight="1" x14ac:dyDescent="0.3">
      <c r="A32" s="1"/>
      <c r="B32" s="336"/>
      <c r="C32" s="306"/>
      <c r="D32" s="464" t="s">
        <v>48</v>
      </c>
      <c r="E32" s="464"/>
      <c r="F32" s="465" t="s">
        <v>49</v>
      </c>
      <c r="G32" s="465"/>
      <c r="H32" s="465"/>
      <c r="I32" s="465"/>
      <c r="J32" s="465" t="s">
        <v>50</v>
      </c>
      <c r="K32" s="465"/>
      <c r="L32" s="465"/>
      <c r="M32" s="465"/>
      <c r="N32" s="465"/>
      <c r="O32" s="466" t="s">
        <v>51</v>
      </c>
      <c r="P32" s="467"/>
      <c r="Q32" s="88" t="s">
        <v>52</v>
      </c>
      <c r="R32" s="334"/>
      <c r="S32" s="337"/>
      <c r="T32" s="18"/>
    </row>
    <row r="33" spans="1:21" ht="288.75" customHeight="1" x14ac:dyDescent="0.3">
      <c r="A33" s="1"/>
      <c r="B33" s="336"/>
      <c r="C33" s="306"/>
      <c r="D33" s="464"/>
      <c r="E33" s="464"/>
      <c r="F33" s="468" t="s">
        <v>53</v>
      </c>
      <c r="G33" s="468"/>
      <c r="H33" s="468"/>
      <c r="I33" s="468"/>
      <c r="J33" s="468" t="s">
        <v>54</v>
      </c>
      <c r="K33" s="468"/>
      <c r="L33" s="468"/>
      <c r="M33" s="468"/>
      <c r="N33" s="468"/>
      <c r="O33" s="469" t="s">
        <v>55</v>
      </c>
      <c r="P33" s="470"/>
      <c r="Q33" s="89" t="s">
        <v>56</v>
      </c>
      <c r="R33" s="336"/>
      <c r="S33" s="337"/>
      <c r="T33" s="18"/>
    </row>
    <row r="34" spans="1:21" s="18" customFormat="1" ht="18" x14ac:dyDescent="0.3">
      <c r="A34" s="1"/>
      <c r="B34" s="338"/>
      <c r="C34" s="339"/>
      <c r="D34" s="323"/>
      <c r="E34" s="339"/>
      <c r="F34" s="323"/>
      <c r="G34" s="323"/>
      <c r="H34" s="323"/>
      <c r="I34" s="323"/>
      <c r="J34" s="323"/>
      <c r="K34" s="323"/>
      <c r="L34" s="323"/>
      <c r="M34" s="323"/>
      <c r="N34" s="340"/>
      <c r="O34" s="340"/>
      <c r="P34" s="324"/>
      <c r="Q34" s="340"/>
      <c r="R34" s="340"/>
      <c r="S34" s="341"/>
    </row>
    <row r="35" spans="1:21" s="18" customFormat="1" ht="18" x14ac:dyDescent="0.3">
      <c r="A35" s="1"/>
      <c r="B35" s="1"/>
      <c r="C35" s="342"/>
      <c r="D35" s="1"/>
      <c r="E35" s="342"/>
      <c r="F35" s="1"/>
      <c r="G35" s="1"/>
      <c r="H35" s="1"/>
      <c r="I35" s="1"/>
      <c r="J35" s="1"/>
      <c r="K35" s="1"/>
      <c r="L35" s="1"/>
      <c r="M35" s="1"/>
      <c r="N35" s="343"/>
      <c r="O35" s="343"/>
      <c r="P35" s="305"/>
      <c r="Q35" s="343"/>
      <c r="R35" s="343"/>
      <c r="S35" s="343"/>
    </row>
    <row r="36" spans="1:21" ht="64.5" customHeight="1" x14ac:dyDescent="0.3">
      <c r="A36" s="1"/>
      <c r="B36" s="473" t="s">
        <v>57</v>
      </c>
      <c r="C36" s="474"/>
      <c r="D36" s="474"/>
      <c r="E36" s="474"/>
      <c r="F36" s="474"/>
      <c r="G36" s="474"/>
      <c r="H36" s="474"/>
      <c r="I36" s="474"/>
      <c r="J36" s="474"/>
      <c r="K36" s="474"/>
      <c r="L36" s="474"/>
      <c r="M36" s="474"/>
      <c r="N36" s="474"/>
      <c r="O36" s="474"/>
      <c r="P36" s="474"/>
      <c r="Q36" s="474"/>
      <c r="R36" s="474"/>
      <c r="S36" s="475"/>
      <c r="T36" s="18"/>
    </row>
    <row r="37" spans="1:21" s="18" customFormat="1" ht="18" x14ac:dyDescent="0.3">
      <c r="A37" s="1"/>
      <c r="B37" s="1"/>
      <c r="C37" s="342"/>
      <c r="D37" s="1"/>
      <c r="E37" s="342"/>
      <c r="F37" s="1"/>
      <c r="G37" s="1"/>
      <c r="H37" s="1"/>
      <c r="I37" s="1"/>
      <c r="J37" s="1"/>
      <c r="K37" s="1"/>
      <c r="L37" s="1"/>
      <c r="M37" s="1"/>
      <c r="N37" s="343"/>
      <c r="O37" s="343"/>
      <c r="P37" s="305"/>
      <c r="Q37" s="343"/>
      <c r="R37" s="343"/>
      <c r="S37" s="343"/>
    </row>
    <row r="38" spans="1:21" s="18" customFormat="1" ht="23.25" customHeight="1" thickBot="1" x14ac:dyDescent="0.35">
      <c r="A38" s="1"/>
      <c r="B38" s="1"/>
      <c r="C38" s="342"/>
      <c r="D38" s="339"/>
      <c r="E38" s="339"/>
      <c r="F38" s="339"/>
      <c r="G38" s="339"/>
      <c r="H38" s="339"/>
      <c r="I38" s="339"/>
      <c r="J38" s="339"/>
      <c r="K38" s="339"/>
      <c r="L38" s="339"/>
      <c r="M38" s="339"/>
      <c r="N38" s="339"/>
      <c r="O38" s="339"/>
      <c r="P38" s="305"/>
      <c r="Q38" s="343"/>
      <c r="R38" s="343"/>
      <c r="S38" s="343"/>
    </row>
    <row r="39" spans="1:21" ht="75.75" customHeight="1" thickBot="1" x14ac:dyDescent="0.35">
      <c r="A39" s="1"/>
      <c r="B39" s="1"/>
      <c r="C39" s="342"/>
      <c r="D39" s="344" t="s">
        <v>58</v>
      </c>
      <c r="E39" s="344" t="s">
        <v>59</v>
      </c>
      <c r="F39" s="344" t="s">
        <v>60</v>
      </c>
      <c r="G39" s="344" t="s">
        <v>61</v>
      </c>
      <c r="H39" s="344" t="s">
        <v>62</v>
      </c>
      <c r="I39" s="344" t="s">
        <v>63</v>
      </c>
      <c r="J39" s="345" t="s">
        <v>64</v>
      </c>
      <c r="K39" s="345" t="s">
        <v>65</v>
      </c>
      <c r="L39" s="345" t="s">
        <v>66</v>
      </c>
      <c r="M39" s="344" t="s">
        <v>67</v>
      </c>
      <c r="N39" s="344" t="s">
        <v>68</v>
      </c>
      <c r="O39" s="346" t="s">
        <v>69</v>
      </c>
      <c r="P39" s="90"/>
      <c r="Q39" s="91" t="s">
        <v>70</v>
      </c>
      <c r="R39" s="91" t="s">
        <v>71</v>
      </c>
      <c r="S39" s="91" t="s">
        <v>72</v>
      </c>
      <c r="T39" s="18"/>
    </row>
    <row r="40" spans="1:21" ht="39" customHeight="1" x14ac:dyDescent="0.3">
      <c r="A40" s="1"/>
      <c r="B40" s="476" t="s">
        <v>73</v>
      </c>
      <c r="C40" s="347"/>
      <c r="D40" s="478" t="s">
        <v>74</v>
      </c>
      <c r="E40" s="92" t="s">
        <v>75</v>
      </c>
      <c r="F40" s="92" t="s">
        <v>76</v>
      </c>
      <c r="G40" s="93">
        <v>0.85</v>
      </c>
      <c r="H40" s="94">
        <v>13</v>
      </c>
      <c r="I40" s="481">
        <v>1052.22</v>
      </c>
      <c r="J40" s="484">
        <v>41852</v>
      </c>
      <c r="K40" s="484">
        <v>42368</v>
      </c>
      <c r="L40" s="487">
        <v>520</v>
      </c>
      <c r="M40" s="490" t="s">
        <v>77</v>
      </c>
      <c r="N40" s="490" t="s">
        <v>77</v>
      </c>
      <c r="O40" s="493" t="str">
        <f>IF(D40="","",IF(AND($M40="CUMPLE",$N40="CUMPLE",$K40&lt;$F$10),"VALIDA","NO VALIDA"))</f>
        <v>VALIDA</v>
      </c>
      <c r="P40" s="90"/>
      <c r="Q40" s="496">
        <f>IF($D40="","",IF($O40="NO VALIDA","",($L40*SUM($G$40:$G$42))))</f>
        <v>442</v>
      </c>
      <c r="R40" s="95">
        <f>IFERROR(ROUND(IF($D40="","",IF(AND($L$65="CUMPLE",$O40="VALIDA"),$I40*$G40,IF(AND($O40="VALIDA",$J40&gt;35804),I40*$G40,""))),0),"")</f>
        <v>894</v>
      </c>
      <c r="S40" s="498">
        <f>IF(SUM(R40:R42)=0,"",SUM(R40:R42))</f>
        <v>894</v>
      </c>
      <c r="T40" s="18"/>
      <c r="U40" s="96"/>
    </row>
    <row r="41" spans="1:21" ht="39" customHeight="1" x14ac:dyDescent="0.3">
      <c r="A41" s="1"/>
      <c r="B41" s="476"/>
      <c r="C41" s="347"/>
      <c r="D41" s="479"/>
      <c r="E41" s="92"/>
      <c r="F41" s="92"/>
      <c r="G41" s="93"/>
      <c r="H41" s="94"/>
      <c r="I41" s="482"/>
      <c r="J41" s="485"/>
      <c r="K41" s="485"/>
      <c r="L41" s="488"/>
      <c r="M41" s="491"/>
      <c r="N41" s="491"/>
      <c r="O41" s="494"/>
      <c r="P41" s="90"/>
      <c r="Q41" s="496"/>
      <c r="R41" s="95">
        <f>IFERROR(ROUND(IF($D40="","",IF(AND($L$65="CUMPLE",$O40="VALIDA"),$I40*$G41,IF(AND($O40="VALIDA",$J40&gt;35804),I40*$G41,""))),0),"")</f>
        <v>0</v>
      </c>
      <c r="S41" s="499"/>
      <c r="T41" s="18"/>
      <c r="U41" s="96"/>
    </row>
    <row r="42" spans="1:21" ht="39" customHeight="1" thickBot="1" x14ac:dyDescent="0.35">
      <c r="A42" s="1"/>
      <c r="B42" s="477"/>
      <c r="C42" s="347"/>
      <c r="D42" s="480"/>
      <c r="E42" s="97"/>
      <c r="F42" s="97"/>
      <c r="G42" s="98"/>
      <c r="H42" s="99"/>
      <c r="I42" s="483"/>
      <c r="J42" s="486"/>
      <c r="K42" s="486"/>
      <c r="L42" s="489"/>
      <c r="M42" s="492"/>
      <c r="N42" s="492"/>
      <c r="O42" s="495"/>
      <c r="P42" s="90"/>
      <c r="Q42" s="497"/>
      <c r="R42" s="100">
        <f>IFERROR(ROUND(IF($D40="","",IF(AND($L$65="CUMPLE",$O40="VALIDA"),$I40*$G42,IF(AND($O40="VALIDA",$J40&gt;35804),I40*$G42,""))),0),"")</f>
        <v>0</v>
      </c>
      <c r="S42" s="500"/>
      <c r="T42" s="18"/>
      <c r="U42" s="96"/>
    </row>
    <row r="43" spans="1:21" ht="39" customHeight="1" thickTop="1" x14ac:dyDescent="0.3">
      <c r="A43" s="1"/>
      <c r="B43" s="507" t="s">
        <v>78</v>
      </c>
      <c r="C43" s="347"/>
      <c r="D43" s="510" t="s">
        <v>79</v>
      </c>
      <c r="E43" s="101" t="s">
        <v>75</v>
      </c>
      <c r="F43" s="101" t="s">
        <v>76</v>
      </c>
      <c r="G43" s="102">
        <v>0.5</v>
      </c>
      <c r="H43" s="103">
        <v>69</v>
      </c>
      <c r="I43" s="502">
        <v>1572.83</v>
      </c>
      <c r="J43" s="503">
        <v>43353</v>
      </c>
      <c r="K43" s="503">
        <v>43814</v>
      </c>
      <c r="L43" s="506">
        <v>0</v>
      </c>
      <c r="M43" s="501" t="s">
        <v>77</v>
      </c>
      <c r="N43" s="511" t="s">
        <v>77</v>
      </c>
      <c r="O43" s="514" t="str">
        <f t="shared" ref="O43" si="2">IF(D43="","",IF(AND($M43="CUMPLE",$N43="CUMPLE",$K43&lt;$F$10),"VALIDA","NO VALIDA"))</f>
        <v>VALIDA</v>
      </c>
      <c r="P43" s="90"/>
      <c r="Q43" s="496">
        <f>IF($D43="","",IF($O43="NO VALIDA","",($L43*SUM($G$43:$G$45))))</f>
        <v>0</v>
      </c>
      <c r="R43" s="95">
        <f>IFERROR(ROUND(IF($D43="","",IF(AND($L$65="CUMPLE",$O43="VALIDA"),$I43*$G43,IF(AND($O43="VALIDA",$J43&gt;35804),I43*$G43,""))),0),"")</f>
        <v>786</v>
      </c>
      <c r="S43" s="498">
        <f>IF(SUM(R43:R45)=0,"",SUM(R43:R45))</f>
        <v>786</v>
      </c>
      <c r="T43" s="104"/>
    </row>
    <row r="44" spans="1:21" ht="39" customHeight="1" x14ac:dyDescent="0.3">
      <c r="A44" s="1"/>
      <c r="B44" s="508"/>
      <c r="C44" s="347"/>
      <c r="D44" s="479"/>
      <c r="E44" s="92"/>
      <c r="F44" s="92"/>
      <c r="G44" s="93"/>
      <c r="H44" s="94"/>
      <c r="I44" s="482"/>
      <c r="J44" s="504"/>
      <c r="K44" s="504"/>
      <c r="L44" s="488"/>
      <c r="M44" s="491"/>
      <c r="N44" s="512"/>
      <c r="O44" s="494"/>
      <c r="P44" s="90"/>
      <c r="Q44" s="496"/>
      <c r="R44" s="95">
        <f>IFERROR(ROUND(IF($D43="","",IF(AND($L$65="CUMPLE",$O43="VALIDA"),$I43*$G44,IF(AND($O43="VALIDA",$J43&gt;35804),I43*$G44,""))),0),"")</f>
        <v>0</v>
      </c>
      <c r="S44" s="499"/>
      <c r="T44" s="104"/>
    </row>
    <row r="45" spans="1:21" ht="39" customHeight="1" thickBot="1" x14ac:dyDescent="0.35">
      <c r="A45" s="1"/>
      <c r="B45" s="509"/>
      <c r="C45" s="347"/>
      <c r="D45" s="480"/>
      <c r="E45" s="97"/>
      <c r="F45" s="97"/>
      <c r="G45" s="98"/>
      <c r="H45" s="99"/>
      <c r="I45" s="483"/>
      <c r="J45" s="505"/>
      <c r="K45" s="505"/>
      <c r="L45" s="489"/>
      <c r="M45" s="492"/>
      <c r="N45" s="513"/>
      <c r="O45" s="495"/>
      <c r="P45" s="90"/>
      <c r="Q45" s="497"/>
      <c r="R45" s="100">
        <f>IFERROR(ROUND(IF($D43="","",IF(AND($L$65="CUMPLE",$O43="VALIDA"),$I43*$G45,IF(AND($O43="VALIDA",$J43&gt;35804),I43*$G45,""))),0),"")</f>
        <v>0</v>
      </c>
      <c r="S45" s="500"/>
      <c r="T45" s="104"/>
    </row>
    <row r="46" spans="1:21" ht="39" customHeight="1" thickTop="1" x14ac:dyDescent="0.3">
      <c r="A46" s="1"/>
      <c r="B46" s="476" t="s">
        <v>80</v>
      </c>
      <c r="C46" s="347"/>
      <c r="D46" s="501"/>
      <c r="E46" s="105"/>
      <c r="F46" s="105"/>
      <c r="G46" s="106"/>
      <c r="H46" s="107"/>
      <c r="I46" s="502"/>
      <c r="J46" s="503"/>
      <c r="K46" s="503"/>
      <c r="L46" s="506"/>
      <c r="M46" s="501"/>
      <c r="N46" s="511"/>
      <c r="O46" s="514" t="str">
        <f t="shared" ref="O46" si="3">IF(D46="","",IF(AND($M46="CUMPLE",$N46="CUMPLE",$K46&lt;$F$10),"VALIDA","NO VALIDA"))</f>
        <v/>
      </c>
      <c r="P46" s="90"/>
      <c r="Q46" s="496" t="str">
        <f>IF($D46="","",IF($O46="NO VALIDA","",($L46*SUM($G$46:$G$48))))</f>
        <v/>
      </c>
      <c r="R46" s="95" t="str">
        <f>IFERROR(ROUND(IF($D46="","",IF(AND($L$65="CUMPLE",$O46="VALIDA"),$I46*$G46,IF(AND($O46="VALIDA",$J46&gt;35804),I46*$G46,""))),0),"")</f>
        <v/>
      </c>
      <c r="S46" s="498" t="str">
        <f>IF(SUM(R46:R48)=0,"",SUM(R46:R48))</f>
        <v/>
      </c>
      <c r="T46" s="108"/>
    </row>
    <row r="47" spans="1:21" ht="39" customHeight="1" x14ac:dyDescent="0.3">
      <c r="A47" s="1"/>
      <c r="B47" s="476"/>
      <c r="C47" s="347"/>
      <c r="D47" s="491"/>
      <c r="E47" s="92"/>
      <c r="F47" s="92"/>
      <c r="G47" s="93"/>
      <c r="H47" s="94"/>
      <c r="I47" s="482"/>
      <c r="J47" s="504"/>
      <c r="K47" s="504"/>
      <c r="L47" s="488"/>
      <c r="M47" s="491"/>
      <c r="N47" s="512"/>
      <c r="O47" s="494"/>
      <c r="P47" s="90"/>
      <c r="Q47" s="496"/>
      <c r="R47" s="95" t="str">
        <f>IFERROR(ROUND(IF($D46="","",IF(AND($L$65="CUMPLE",$O46="VALIDA"),$I46*$G47,IF(AND($O46="VALIDA",$J46&gt;35804),I46*$G47,""))),0),"")</f>
        <v/>
      </c>
      <c r="S47" s="499"/>
      <c r="T47" s="108"/>
    </row>
    <row r="48" spans="1:21" ht="39" customHeight="1" thickBot="1" x14ac:dyDescent="0.35">
      <c r="A48" s="1"/>
      <c r="B48" s="477"/>
      <c r="C48" s="347"/>
      <c r="D48" s="492"/>
      <c r="E48" s="97"/>
      <c r="F48" s="97"/>
      <c r="G48" s="98"/>
      <c r="H48" s="99"/>
      <c r="I48" s="483"/>
      <c r="J48" s="505"/>
      <c r="K48" s="505"/>
      <c r="L48" s="489"/>
      <c r="M48" s="492"/>
      <c r="N48" s="513"/>
      <c r="O48" s="495"/>
      <c r="P48" s="90"/>
      <c r="Q48" s="497"/>
      <c r="R48" s="100" t="str">
        <f>IFERROR(ROUND(IF($D46="","",IF(AND($L$65="CUMPLE",$O46="VALIDA"),$I46*$G48,IF(AND($O46="VALIDA",$J46&gt;35804),I46*$G48,""))),0),"")</f>
        <v/>
      </c>
      <c r="S48" s="500"/>
      <c r="T48" s="108"/>
    </row>
    <row r="49" spans="1:20" ht="39" customHeight="1" thickTop="1" x14ac:dyDescent="0.3">
      <c r="A49" s="1"/>
      <c r="B49" s="507" t="s">
        <v>81</v>
      </c>
      <c r="C49" s="347"/>
      <c r="D49" s="510"/>
      <c r="E49" s="105"/>
      <c r="F49" s="105"/>
      <c r="G49" s="106"/>
      <c r="H49" s="107"/>
      <c r="I49" s="502"/>
      <c r="J49" s="503"/>
      <c r="K49" s="503"/>
      <c r="L49" s="506"/>
      <c r="M49" s="501"/>
      <c r="N49" s="511"/>
      <c r="O49" s="514" t="str">
        <f t="shared" ref="O49" si="4">IF(D49="","",IF(AND($M49="CUMPLE",$N49="CUMPLE",$K49&lt;$F$10),"VALIDA","NO VALIDA"))</f>
        <v/>
      </c>
      <c r="P49" s="90"/>
      <c r="Q49" s="496" t="str">
        <f>IF($D49="","",IF($O49="NO VALIDA","",($L49*SUM($G$49:$G$51))))</f>
        <v/>
      </c>
      <c r="R49" s="95" t="str">
        <f>IFERROR(ROUND(IF($D49="","",IF(AND($L$65="CUMPLE",$O49="VALIDA"),$I49*$G49,IF(AND($O49="VALIDA",$J49&gt;35804),I49*$G49,""))),0),"")</f>
        <v/>
      </c>
      <c r="S49" s="498" t="str">
        <f>IF(SUM(R49:R51)=0,"",SUM(R49:R51))</f>
        <v/>
      </c>
      <c r="T49" s="109"/>
    </row>
    <row r="50" spans="1:20" ht="39" customHeight="1" x14ac:dyDescent="0.3">
      <c r="A50" s="1"/>
      <c r="B50" s="508"/>
      <c r="C50" s="347"/>
      <c r="D50" s="479"/>
      <c r="E50" s="92"/>
      <c r="F50" s="92"/>
      <c r="G50" s="93"/>
      <c r="H50" s="94"/>
      <c r="I50" s="482"/>
      <c r="J50" s="504"/>
      <c r="K50" s="504"/>
      <c r="L50" s="488"/>
      <c r="M50" s="491"/>
      <c r="N50" s="512"/>
      <c r="O50" s="494"/>
      <c r="P50" s="90"/>
      <c r="Q50" s="496"/>
      <c r="R50" s="95" t="str">
        <f>IFERROR(ROUND(IF($D49="","",IF(AND($L$65="CUMPLE",$O49="VALIDA"),$I49*$G50,IF(AND($O49="VALIDA",$J49&gt;35804),I49*$G50,""))),0),"")</f>
        <v/>
      </c>
      <c r="S50" s="499"/>
      <c r="T50" s="109"/>
    </row>
    <row r="51" spans="1:20" ht="39" customHeight="1" thickBot="1" x14ac:dyDescent="0.35">
      <c r="A51" s="1"/>
      <c r="B51" s="509"/>
      <c r="C51" s="347"/>
      <c r="D51" s="480"/>
      <c r="E51" s="97"/>
      <c r="F51" s="97"/>
      <c r="G51" s="98"/>
      <c r="H51" s="99"/>
      <c r="I51" s="483"/>
      <c r="J51" s="505"/>
      <c r="K51" s="505"/>
      <c r="L51" s="489"/>
      <c r="M51" s="492"/>
      <c r="N51" s="513"/>
      <c r="O51" s="495"/>
      <c r="P51" s="90"/>
      <c r="Q51" s="497"/>
      <c r="R51" s="100" t="str">
        <f>IFERROR(ROUND(IF($D49="","",IF(AND($L$65="CUMPLE",$O49="VALIDA"),$I49*$G51,IF(AND($O49="VALIDA",$J49&gt;35804),I49*$G51,""))),0),"")</f>
        <v/>
      </c>
      <c r="S51" s="500"/>
      <c r="T51" s="109"/>
    </row>
    <row r="52" spans="1:20" ht="39" customHeight="1" thickTop="1" x14ac:dyDescent="0.3">
      <c r="A52" s="1"/>
      <c r="B52" s="476" t="s">
        <v>82</v>
      </c>
      <c r="C52" s="347"/>
      <c r="D52" s="510"/>
      <c r="E52" s="105"/>
      <c r="F52" s="105"/>
      <c r="G52" s="106"/>
      <c r="H52" s="107"/>
      <c r="I52" s="502"/>
      <c r="J52" s="503"/>
      <c r="K52" s="503"/>
      <c r="L52" s="506"/>
      <c r="M52" s="501"/>
      <c r="N52" s="511"/>
      <c r="O52" s="514" t="str">
        <f t="shared" ref="O52" si="5">IF(D52="","",IF(AND($M52="CUMPLE",$N52="CUMPLE",$K52&lt;$F$10),"VALIDA","NO VALIDA"))</f>
        <v/>
      </c>
      <c r="P52" s="90"/>
      <c r="Q52" s="496" t="str">
        <f>IF($D52="","",IF($O52="NO VALIDA","",($L52*SUM($G$52:$G$54))))</f>
        <v/>
      </c>
      <c r="R52" s="95" t="str">
        <f>IFERROR(ROUND(IF($D52="","",IF(AND($L$65="CUMPLE",$O52="VALIDA"),$I52*$G52,IF(AND($O52="VALIDA",$J52&gt;35804),I52*$G52,""))),0),"")</f>
        <v/>
      </c>
      <c r="S52" s="498" t="str">
        <f>IF(SUM(R52:R54)=0,"",SUM(R52:R54))</f>
        <v/>
      </c>
      <c r="T52" s="110"/>
    </row>
    <row r="53" spans="1:20" ht="39" customHeight="1" x14ac:dyDescent="0.3">
      <c r="A53" s="1"/>
      <c r="B53" s="476"/>
      <c r="C53" s="347"/>
      <c r="D53" s="479"/>
      <c r="E53" s="92"/>
      <c r="F53" s="92"/>
      <c r="G53" s="93"/>
      <c r="H53" s="94"/>
      <c r="I53" s="482"/>
      <c r="J53" s="504"/>
      <c r="K53" s="504"/>
      <c r="L53" s="488"/>
      <c r="M53" s="491"/>
      <c r="N53" s="512"/>
      <c r="O53" s="494"/>
      <c r="P53" s="90"/>
      <c r="Q53" s="496"/>
      <c r="R53" s="95" t="str">
        <f>IFERROR(ROUND(IF($D52="","",IF(AND($L$65="CUMPLE",$O52="VALIDA"),$I52*$G53,IF(AND($O52="VALIDA",$J52&gt;35804),I52*$G53,""))),0),"")</f>
        <v/>
      </c>
      <c r="S53" s="499"/>
      <c r="T53" s="110"/>
    </row>
    <row r="54" spans="1:20" ht="39" customHeight="1" thickBot="1" x14ac:dyDescent="0.35">
      <c r="A54" s="1"/>
      <c r="B54" s="477"/>
      <c r="C54" s="347"/>
      <c r="D54" s="480"/>
      <c r="E54" s="97"/>
      <c r="F54" s="97"/>
      <c r="G54" s="98"/>
      <c r="H54" s="99"/>
      <c r="I54" s="483"/>
      <c r="J54" s="505"/>
      <c r="K54" s="505"/>
      <c r="L54" s="489"/>
      <c r="M54" s="492"/>
      <c r="N54" s="513"/>
      <c r="O54" s="495"/>
      <c r="P54" s="90"/>
      <c r="Q54" s="497"/>
      <c r="R54" s="100" t="str">
        <f>IFERROR(ROUND(IF($D52="","",IF(AND($L$65="CUMPLE",$O52="VALIDA"),$I52*$G54,IF(AND($O52="VALIDA",$J52&gt;35804),I52*$G54,""))),0),"")</f>
        <v/>
      </c>
      <c r="S54" s="500"/>
      <c r="T54" s="110"/>
    </row>
    <row r="55" spans="1:20" ht="39" customHeight="1" thickTop="1" x14ac:dyDescent="0.3">
      <c r="A55" s="1"/>
      <c r="B55" s="507" t="s">
        <v>83</v>
      </c>
      <c r="C55" s="347"/>
      <c r="D55" s="521"/>
      <c r="E55" s="111"/>
      <c r="F55" s="111"/>
      <c r="G55" s="111"/>
      <c r="H55" s="111"/>
      <c r="I55" s="518"/>
      <c r="J55" s="518"/>
      <c r="K55" s="518"/>
      <c r="L55" s="518"/>
      <c r="M55" s="518"/>
      <c r="N55" s="518"/>
      <c r="O55" s="533" t="str">
        <f t="shared" ref="O55" si="6">IF(D55="","",IF(AND($M55="CUMPLE",$N55="CUMPLE",$K55&lt;$F$10),"VALIDA","NO VALIDA"))</f>
        <v/>
      </c>
      <c r="P55" s="90"/>
      <c r="Q55" s="527" t="str">
        <f>IF($D55="","",IF($O55="NO VALIDA","",($L55*SUM($G$55:$G$57))))</f>
        <v/>
      </c>
      <c r="R55" s="111" t="str">
        <f>IFERROR(ROUND(IF($D55="","",IF(AND($L$65="CUMPLE",$O55="VALIDA"),$I55*$G55,IF(AND($O55="VALIDA",$J55&gt;35804),I55*$G55,""))),0),"")</f>
        <v/>
      </c>
      <c r="S55" s="530" t="str">
        <f>IF(SUM(R55:R57)=0,"",SUM(R55:R57))</f>
        <v/>
      </c>
      <c r="T55" s="109"/>
    </row>
    <row r="56" spans="1:20" ht="39" customHeight="1" x14ac:dyDescent="0.3">
      <c r="A56" s="1"/>
      <c r="B56" s="508"/>
      <c r="C56" s="347"/>
      <c r="D56" s="522"/>
      <c r="E56" s="112"/>
      <c r="F56" s="112"/>
      <c r="G56" s="112"/>
      <c r="H56" s="112"/>
      <c r="I56" s="519"/>
      <c r="J56" s="519"/>
      <c r="K56" s="519"/>
      <c r="L56" s="519"/>
      <c r="M56" s="519"/>
      <c r="N56" s="519"/>
      <c r="O56" s="534"/>
      <c r="P56" s="90"/>
      <c r="Q56" s="528"/>
      <c r="R56" s="112" t="str">
        <f>IFERROR(ROUND(IF($D55="","",IF(AND($L$65="CUMPLE",$O55="VALIDA"),$I55*$G56,IF(AND($O55="VALIDA",$J55&gt;35804),I55*$G56,""))),0),"")</f>
        <v/>
      </c>
      <c r="S56" s="531"/>
      <c r="T56" s="109"/>
    </row>
    <row r="57" spans="1:20" ht="39" customHeight="1" thickBot="1" x14ac:dyDescent="0.35">
      <c r="A57" s="1"/>
      <c r="B57" s="509"/>
      <c r="C57" s="347"/>
      <c r="D57" s="523"/>
      <c r="E57" s="113"/>
      <c r="F57" s="113"/>
      <c r="G57" s="113"/>
      <c r="H57" s="113"/>
      <c r="I57" s="520"/>
      <c r="J57" s="520"/>
      <c r="K57" s="520"/>
      <c r="L57" s="520"/>
      <c r="M57" s="520"/>
      <c r="N57" s="520"/>
      <c r="O57" s="535"/>
      <c r="P57" s="90"/>
      <c r="Q57" s="529"/>
      <c r="R57" s="113" t="str">
        <f>IFERROR(ROUND(IF($D55="","",IF(AND($L$65="CUMPLE",$O55="VALIDA"),$I55*$G57,IF(AND($O55="VALIDA",$J55&gt;35804),I55*$G57,""))),0),"")</f>
        <v/>
      </c>
      <c r="S57" s="532"/>
      <c r="T57" s="109"/>
    </row>
    <row r="58" spans="1:20" ht="39" customHeight="1" thickTop="1" x14ac:dyDescent="0.3">
      <c r="A58" s="1"/>
      <c r="B58" s="476" t="s">
        <v>84</v>
      </c>
      <c r="C58" s="347"/>
      <c r="D58" s="515"/>
      <c r="E58" s="111"/>
      <c r="F58" s="111"/>
      <c r="G58" s="111"/>
      <c r="H58" s="111"/>
      <c r="I58" s="518"/>
      <c r="J58" s="518"/>
      <c r="K58" s="518"/>
      <c r="L58" s="518"/>
      <c r="M58" s="518"/>
      <c r="N58" s="518"/>
      <c r="O58" s="524" t="str">
        <f t="shared" ref="O58" si="7">IF(D58="","",IF(AND($M58="CUMPLE",$N58="CUMPLE",$K58&lt;$F$10),"VALIDA","NO VALIDA"))</f>
        <v/>
      </c>
      <c r="P58" s="90"/>
      <c r="Q58" s="527" t="str">
        <f>IF($D58="","",IF($O58="NO VALIDA","",($L58*SUM($G$58:$G$60))))</f>
        <v/>
      </c>
      <c r="R58" s="111" t="str">
        <f>IFERROR(ROUND(IF($D58="","",IF(AND($L$65="CUMPLE",$O58="VALIDA"),$I58*$G58,IF(AND($O58="VALIDA",$J58&gt;35804),I58*$G58,""))),0),"")</f>
        <v/>
      </c>
      <c r="S58" s="530" t="str">
        <f>IF(SUM(R58:R60)=0,"",SUM(R58:R60))</f>
        <v/>
      </c>
      <c r="T58" s="110"/>
    </row>
    <row r="59" spans="1:20" ht="39" customHeight="1" x14ac:dyDescent="0.3">
      <c r="A59" s="1"/>
      <c r="B59" s="476"/>
      <c r="C59" s="347"/>
      <c r="D59" s="516"/>
      <c r="E59" s="112"/>
      <c r="F59" s="112"/>
      <c r="G59" s="112"/>
      <c r="H59" s="112"/>
      <c r="I59" s="519"/>
      <c r="J59" s="519"/>
      <c r="K59" s="519"/>
      <c r="L59" s="519"/>
      <c r="M59" s="519"/>
      <c r="N59" s="519"/>
      <c r="O59" s="525"/>
      <c r="P59" s="90"/>
      <c r="Q59" s="528"/>
      <c r="R59" s="112" t="str">
        <f>IFERROR(ROUND(IF($D58="","",IF(AND($L$65="CUMPLE",$O58="VALIDA"),$I58*$G59,IF(AND($O58="VALIDA",$J58&gt;35804),I58*$G59,""))),0),"")</f>
        <v/>
      </c>
      <c r="S59" s="531"/>
      <c r="T59" s="110"/>
    </row>
    <row r="60" spans="1:20" ht="39" customHeight="1" thickBot="1" x14ac:dyDescent="0.35">
      <c r="A60" s="1"/>
      <c r="B60" s="477"/>
      <c r="C60" s="347"/>
      <c r="D60" s="517"/>
      <c r="E60" s="113"/>
      <c r="F60" s="113"/>
      <c r="G60" s="113"/>
      <c r="H60" s="113"/>
      <c r="I60" s="520"/>
      <c r="J60" s="520"/>
      <c r="K60" s="520"/>
      <c r="L60" s="520"/>
      <c r="M60" s="520"/>
      <c r="N60" s="520"/>
      <c r="O60" s="526"/>
      <c r="P60" s="348"/>
      <c r="Q60" s="529"/>
      <c r="R60" s="113" t="str">
        <f>IFERROR(ROUND(IF($D58="","",IF(AND($L$65="CUMPLE",$O58="VALIDA"),$I58*$G60,IF(AND($O58="VALIDA",$J58&gt;35804),I58*$G60,""))),0),"")</f>
        <v/>
      </c>
      <c r="S60" s="532"/>
      <c r="T60" s="110"/>
    </row>
    <row r="61" spans="1:20" s="18" customFormat="1" ht="35.25" customHeight="1" thickTop="1" x14ac:dyDescent="0.3">
      <c r="A61" s="1"/>
      <c r="B61" s="347"/>
      <c r="C61" s="347"/>
      <c r="D61" s="536" t="s">
        <v>85</v>
      </c>
      <c r="E61" s="536"/>
      <c r="F61" s="536"/>
      <c r="G61" s="536"/>
      <c r="H61" s="536"/>
      <c r="I61" s="536"/>
      <c r="J61" s="536"/>
      <c r="K61" s="536"/>
      <c r="L61" s="536"/>
      <c r="M61" s="536"/>
      <c r="N61" s="536"/>
      <c r="O61" s="536"/>
      <c r="P61" s="348"/>
      <c r="Q61" s="349"/>
      <c r="R61" s="350"/>
      <c r="S61" s="350"/>
    </row>
    <row r="62" spans="1:20" s="19" customFormat="1" ht="58.5" customHeight="1" x14ac:dyDescent="0.3">
      <c r="A62" s="1"/>
      <c r="B62" s="347"/>
      <c r="C62" s="347"/>
      <c r="D62" s="537" t="s">
        <v>86</v>
      </c>
      <c r="E62" s="537"/>
      <c r="F62" s="537"/>
      <c r="G62" s="537"/>
      <c r="H62" s="537"/>
      <c r="I62" s="537"/>
      <c r="J62" s="537"/>
      <c r="K62" s="537"/>
      <c r="L62" s="537"/>
      <c r="M62" s="537"/>
      <c r="N62" s="537"/>
      <c r="O62" s="537"/>
      <c r="P62" s="348"/>
      <c r="Q62" s="538" t="s">
        <v>87</v>
      </c>
      <c r="R62" s="538"/>
      <c r="S62" s="114">
        <f>SUM(S40:S58)</f>
        <v>1680</v>
      </c>
      <c r="T62" s="18"/>
    </row>
    <row r="63" spans="1:20" s="19" customFormat="1" ht="58.5" customHeight="1" x14ac:dyDescent="0.3">
      <c r="A63" s="1"/>
      <c r="B63" s="347"/>
      <c r="C63" s="347"/>
      <c r="D63" s="351"/>
      <c r="E63" s="351"/>
      <c r="F63" s="351"/>
      <c r="G63" s="351"/>
      <c r="H63" s="351"/>
      <c r="I63" s="351"/>
      <c r="J63" s="351"/>
      <c r="K63" s="351"/>
      <c r="L63" s="351"/>
      <c r="M63" s="351"/>
      <c r="N63" s="351"/>
      <c r="O63" s="351"/>
      <c r="P63" s="351"/>
      <c r="Q63" s="539" t="s">
        <v>88</v>
      </c>
      <c r="R63" s="539"/>
      <c r="S63" s="539"/>
      <c r="T63" s="18"/>
    </row>
    <row r="64" spans="1:20" s="19" customFormat="1" ht="111" customHeight="1" x14ac:dyDescent="0.35">
      <c r="A64" s="1"/>
      <c r="B64" s="347"/>
      <c r="C64" s="347"/>
      <c r="D64" s="352" t="s">
        <v>89</v>
      </c>
      <c r="E64" s="352" t="s">
        <v>90</v>
      </c>
      <c r="F64" s="1"/>
      <c r="G64" s="1"/>
      <c r="H64" s="1"/>
      <c r="I64" s="1"/>
      <c r="J64" s="1"/>
      <c r="K64" s="1"/>
      <c r="L64" s="1"/>
      <c r="M64" s="1"/>
      <c r="N64" s="1"/>
      <c r="O64" s="349"/>
      <c r="P64" s="305"/>
      <c r="Q64" s="539"/>
      <c r="R64" s="539"/>
      <c r="S64" s="539"/>
      <c r="T64" s="18"/>
    </row>
    <row r="65" spans="1:21" s="19" customFormat="1" ht="61.5" customHeight="1" x14ac:dyDescent="0.3">
      <c r="A65" s="1"/>
      <c r="B65" s="1"/>
      <c r="C65" s="1"/>
      <c r="D65" s="540" t="s">
        <v>91</v>
      </c>
      <c r="E65" s="353" t="s">
        <v>92</v>
      </c>
      <c r="F65" s="543" t="s">
        <v>93</v>
      </c>
      <c r="G65" s="544"/>
      <c r="H65" s="544"/>
      <c r="I65" s="544"/>
      <c r="J65" s="544"/>
      <c r="K65" s="545"/>
      <c r="L65" s="546" t="str">
        <f>IF($J$40="","",IF(COUNTIFS(EXPERIENCIA!$O$40:$O$60,"valida",EXPERIENCIA!$J$40:$J$60,"&gt;35804")&gt;=COUNTIFS(EXPERIENCIA!$O$40:$O$60,"VALIDA")-1,"CUMPLE","NO CUMPLE"))</f>
        <v>CUMPLE</v>
      </c>
      <c r="M65" s="547"/>
      <c r="N65" s="1"/>
      <c r="O65" s="1"/>
      <c r="P65" s="1"/>
      <c r="Q65" s="1"/>
      <c r="R65" s="1"/>
      <c r="S65" s="350"/>
      <c r="T65" s="115"/>
    </row>
    <row r="66" spans="1:21" s="19" customFormat="1" ht="61.5" customHeight="1" x14ac:dyDescent="0.3">
      <c r="A66" s="1"/>
      <c r="B66" s="1"/>
      <c r="C66" s="1"/>
      <c r="D66" s="541"/>
      <c r="E66" s="353" t="s">
        <v>94</v>
      </c>
      <c r="F66" s="543" t="s">
        <v>95</v>
      </c>
      <c r="G66" s="544"/>
      <c r="H66" s="544"/>
      <c r="I66" s="544"/>
      <c r="J66" s="544"/>
      <c r="K66" s="545"/>
      <c r="L66" s="546" t="str">
        <f>IF($J$40="","",IF(COUNTIFS(EXPERIENCIA!$O$40:$O$60,"VALIDA",EXPERIENCIA!$J$40:$J$60,"&gt;15/7/2010")&gt;=1,"CUMPLE","NO CUMPLE"))</f>
        <v>CUMPLE</v>
      </c>
      <c r="M66" s="547"/>
      <c r="N66" s="354"/>
      <c r="O66" s="1"/>
      <c r="P66" s="1"/>
      <c r="Q66" s="1"/>
      <c r="R66" s="1"/>
      <c r="S66" s="350"/>
      <c r="T66" s="18"/>
    </row>
    <row r="67" spans="1:21" s="19" customFormat="1" ht="61.5" customHeight="1" x14ac:dyDescent="0.3">
      <c r="A67" s="1"/>
      <c r="B67" s="1"/>
      <c r="C67" s="1"/>
      <c r="D67" s="541"/>
      <c r="E67" s="548" t="s">
        <v>96</v>
      </c>
      <c r="F67" s="559" t="s">
        <v>97</v>
      </c>
      <c r="G67" s="560"/>
      <c r="H67" s="560"/>
      <c r="I67" s="560"/>
      <c r="J67" s="355">
        <v>0.5</v>
      </c>
      <c r="K67" s="356">
        <f>+R10</f>
        <v>120</v>
      </c>
      <c r="L67" s="546" t="str">
        <f>IF(O40="","",IF(GESTEP(_xlfn.MAXIFS($Q$40:$Q$60,$O$40:$O$60,"VALIDA"),$K$67)&gt;=1,"CUMPLE","NO CUMPLE"))</f>
        <v>CUMPLE</v>
      </c>
      <c r="M67" s="547"/>
      <c r="N67" s="1"/>
      <c r="O67" s="1"/>
      <c r="P67" s="1"/>
      <c r="Q67" s="357"/>
      <c r="R67" s="357"/>
      <c r="S67" s="350"/>
      <c r="T67" s="18"/>
    </row>
    <row r="68" spans="1:21" s="19" customFormat="1" ht="61.5" customHeight="1" x14ac:dyDescent="0.3">
      <c r="A68" s="1"/>
      <c r="B68" s="1"/>
      <c r="C68" s="1"/>
      <c r="D68" s="542"/>
      <c r="E68" s="549"/>
      <c r="F68" s="559" t="s">
        <v>98</v>
      </c>
      <c r="G68" s="560"/>
      <c r="H68" s="560"/>
      <c r="I68" s="355">
        <v>0</v>
      </c>
      <c r="J68" s="358" t="s">
        <v>99</v>
      </c>
      <c r="K68" s="116">
        <f>ROUND(L10*I68,0)</f>
        <v>0</v>
      </c>
      <c r="L68" s="546" t="str">
        <f>IF(O40="","",IF(GESTEP(_xlfn.MAXIFS($S$40:$S$60,$O$40:$O$60,"VALIDA"),$K$68)&gt;=1,"CUMPLE","NO CUMPLE"))</f>
        <v>CUMPLE</v>
      </c>
      <c r="M68" s="547"/>
      <c r="N68" s="18"/>
      <c r="O68" s="1"/>
      <c r="P68" s="359"/>
      <c r="Q68" s="357"/>
      <c r="R68" s="357"/>
      <c r="S68" s="350"/>
      <c r="T68" s="18"/>
    </row>
    <row r="69" spans="1:21" s="19" customFormat="1" ht="61.5" customHeight="1" x14ac:dyDescent="0.3">
      <c r="A69" s="1"/>
      <c r="B69" s="360"/>
      <c r="C69" s="360"/>
      <c r="D69" s="361" t="s">
        <v>100</v>
      </c>
      <c r="E69" s="353" t="s">
        <v>94</v>
      </c>
      <c r="F69" s="543" t="s">
        <v>101</v>
      </c>
      <c r="G69" s="544"/>
      <c r="H69" s="544"/>
      <c r="I69" s="544"/>
      <c r="J69" s="544"/>
      <c r="K69" s="545"/>
      <c r="L69" s="546" t="str">
        <f>IF($D$80="","",IF(COUNTIF($J$80:$J$85,"CUMPLE")= (COUNTA($D$80:$D$85)-COUNTBLANK($D$80:$D$85)),"CUMPLE","NO CUMPLE"))</f>
        <v>CUMPLE</v>
      </c>
      <c r="M69" s="547"/>
      <c r="N69" s="1"/>
      <c r="O69" s="1"/>
      <c r="P69" s="1"/>
      <c r="Q69" s="357"/>
      <c r="R69" s="357"/>
      <c r="S69" s="350"/>
      <c r="T69" s="18"/>
    </row>
    <row r="70" spans="1:21" s="19" customFormat="1" ht="61.5" customHeight="1" x14ac:dyDescent="0.3">
      <c r="A70" s="1"/>
      <c r="B70" s="360"/>
      <c r="C70" s="360"/>
      <c r="D70" s="361" t="s">
        <v>102</v>
      </c>
      <c r="E70" s="353"/>
      <c r="F70" s="543" t="s">
        <v>103</v>
      </c>
      <c r="G70" s="544"/>
      <c r="H70" s="544"/>
      <c r="I70" s="544"/>
      <c r="J70" s="544"/>
      <c r="K70" s="545"/>
      <c r="L70" s="546" t="str">
        <f>IF($J$76=0,"",IF(GESTEP(I77,J76)&gt;=1,"CUMPLE","NO CUMPLE"))</f>
        <v>CUMPLE</v>
      </c>
      <c r="M70" s="547"/>
      <c r="N70" s="1"/>
      <c r="O70" s="1"/>
      <c r="P70" s="1"/>
      <c r="Q70" s="357"/>
      <c r="R70" s="357"/>
      <c r="S70" s="350"/>
      <c r="T70" s="18"/>
    </row>
    <row r="71" spans="1:21" s="18" customFormat="1" ht="23.25" customHeight="1" x14ac:dyDescent="0.3">
      <c r="A71" s="1"/>
      <c r="B71" s="347"/>
      <c r="C71" s="347"/>
      <c r="D71" s="1"/>
      <c r="E71" s="1"/>
      <c r="F71" s="1"/>
      <c r="G71" s="1"/>
      <c r="H71" s="1"/>
      <c r="I71" s="1"/>
      <c r="J71" s="1"/>
      <c r="K71" s="1"/>
      <c r="L71" s="1"/>
      <c r="M71" s="1"/>
      <c r="N71" s="1"/>
      <c r="O71" s="350"/>
      <c r="P71" s="305"/>
      <c r="Q71" s="350"/>
      <c r="R71" s="350"/>
      <c r="S71" s="350"/>
    </row>
    <row r="72" spans="1:21" s="19" customFormat="1" ht="55.5" customHeight="1" x14ac:dyDescent="0.3">
      <c r="A72" s="1"/>
      <c r="B72" s="473" t="s">
        <v>102</v>
      </c>
      <c r="C72" s="474"/>
      <c r="D72" s="474"/>
      <c r="E72" s="474"/>
      <c r="F72" s="474"/>
      <c r="G72" s="474"/>
      <c r="H72" s="474"/>
      <c r="I72" s="474"/>
      <c r="J72" s="474"/>
      <c r="K72" s="474"/>
      <c r="L72" s="474"/>
      <c r="M72" s="474"/>
      <c r="N72" s="474"/>
      <c r="O72" s="474"/>
      <c r="P72" s="474"/>
      <c r="Q72" s="474"/>
      <c r="R72" s="474"/>
      <c r="S72" s="475"/>
      <c r="T72" s="18"/>
    </row>
    <row r="73" spans="1:21" s="18" customFormat="1" ht="36.75" customHeight="1" x14ac:dyDescent="0.3">
      <c r="A73" s="1"/>
      <c r="B73" s="347"/>
      <c r="C73" s="347"/>
      <c r="D73" s="1"/>
      <c r="E73" s="1"/>
      <c r="F73" s="1"/>
      <c r="G73" s="1"/>
      <c r="H73" s="1"/>
      <c r="I73" s="1"/>
      <c r="J73" s="1"/>
      <c r="K73" s="1"/>
      <c r="L73" s="1"/>
      <c r="M73" s="1"/>
      <c r="N73" s="1"/>
      <c r="O73" s="350"/>
      <c r="P73" s="305"/>
      <c r="Q73" s="350"/>
      <c r="R73" s="350"/>
      <c r="S73" s="350"/>
    </row>
    <row r="74" spans="1:21" s="19" customFormat="1" ht="51.75" customHeight="1" x14ac:dyDescent="0.3">
      <c r="A74" s="1"/>
      <c r="B74" s="1"/>
      <c r="C74" s="1"/>
      <c r="D74" s="550" t="s">
        <v>104</v>
      </c>
      <c r="E74" s="551"/>
      <c r="F74" s="551"/>
      <c r="G74" s="551"/>
      <c r="H74" s="551"/>
      <c r="I74" s="551"/>
      <c r="J74" s="552"/>
      <c r="K74" s="1"/>
      <c r="L74" s="553" t="s">
        <v>105</v>
      </c>
      <c r="M74" s="554"/>
      <c r="N74" s="555"/>
      <c r="O74" s="556" t="s">
        <v>106</v>
      </c>
      <c r="P74" s="557"/>
      <c r="Q74" s="558"/>
      <c r="R74" s="350"/>
      <c r="S74" s="306"/>
      <c r="T74" s="18"/>
    </row>
    <row r="75" spans="1:21" s="19" customFormat="1" ht="51.75" customHeight="1" x14ac:dyDescent="0.35">
      <c r="A75" s="1"/>
      <c r="B75" s="1"/>
      <c r="C75" s="1"/>
      <c r="D75" s="561" t="s">
        <v>107</v>
      </c>
      <c r="E75" s="561"/>
      <c r="F75" s="561"/>
      <c r="G75" s="561"/>
      <c r="H75" s="561"/>
      <c r="I75" s="572">
        <f>COUNTA($D$40:$D$60)</f>
        <v>2</v>
      </c>
      <c r="J75" s="573"/>
      <c r="K75" s="362"/>
      <c r="L75" s="563" t="s">
        <v>108</v>
      </c>
      <c r="M75" s="564"/>
      <c r="N75" s="565"/>
      <c r="O75" s="566">
        <v>0.75</v>
      </c>
      <c r="P75" s="564"/>
      <c r="Q75" s="565"/>
      <c r="R75" s="350"/>
      <c r="S75" s="306"/>
      <c r="T75" s="18"/>
    </row>
    <row r="76" spans="1:21" s="19" customFormat="1" ht="51.75" customHeight="1" x14ac:dyDescent="0.3">
      <c r="A76" s="1"/>
      <c r="B76" s="1"/>
      <c r="C76" s="1"/>
      <c r="D76" s="574" t="s">
        <v>103</v>
      </c>
      <c r="E76" s="574"/>
      <c r="F76" s="574"/>
      <c r="G76" s="574"/>
      <c r="H76" s="574"/>
      <c r="I76" s="117">
        <f>IF($I$75&gt;=5,$O$77,IF($I$75&gt;=3,$O$76,IF($I$75&gt;=1,$O$75,"0")))</f>
        <v>0.75</v>
      </c>
      <c r="J76" s="118">
        <f>ROUND(I76*L10,2)</f>
        <v>866.11</v>
      </c>
      <c r="K76" s="1"/>
      <c r="L76" s="563" t="s">
        <v>109</v>
      </c>
      <c r="M76" s="564"/>
      <c r="N76" s="565"/>
      <c r="O76" s="566">
        <v>1.2</v>
      </c>
      <c r="P76" s="564"/>
      <c r="Q76" s="565"/>
      <c r="R76" s="350"/>
      <c r="S76" s="306"/>
      <c r="T76" s="18"/>
    </row>
    <row r="77" spans="1:21" s="19" customFormat="1" ht="51.75" customHeight="1" x14ac:dyDescent="0.3">
      <c r="A77" s="1"/>
      <c r="B77" s="1"/>
      <c r="C77" s="1"/>
      <c r="D77" s="561" t="s">
        <v>110</v>
      </c>
      <c r="E77" s="561"/>
      <c r="F77" s="561"/>
      <c r="G77" s="561"/>
      <c r="H77" s="561"/>
      <c r="I77" s="562">
        <f>+S62</f>
        <v>1680</v>
      </c>
      <c r="J77" s="562"/>
      <c r="K77" s="1"/>
      <c r="L77" s="563" t="s">
        <v>111</v>
      </c>
      <c r="M77" s="564"/>
      <c r="N77" s="565"/>
      <c r="O77" s="566">
        <v>1.5</v>
      </c>
      <c r="P77" s="564"/>
      <c r="Q77" s="565"/>
      <c r="R77" s="350"/>
      <c r="S77" s="306"/>
      <c r="T77" s="18"/>
      <c r="U77" s="19">
        <f>COUNTIF(O40:O58,"VALIDA")</f>
        <v>2</v>
      </c>
    </row>
    <row r="78" spans="1:21" s="18" customFormat="1" ht="19.5" customHeight="1" x14ac:dyDescent="0.3">
      <c r="A78" s="1"/>
      <c r="B78" s="363"/>
      <c r="C78" s="363"/>
      <c r="D78" s="364"/>
      <c r="E78" s="364"/>
      <c r="F78" s="364"/>
      <c r="G78" s="364"/>
      <c r="H78" s="364"/>
      <c r="I78" s="365"/>
      <c r="J78" s="365"/>
      <c r="K78" s="1"/>
      <c r="L78" s="308"/>
      <c r="M78" s="308"/>
      <c r="N78" s="1"/>
      <c r="O78" s="350"/>
      <c r="P78" s="350"/>
      <c r="Q78" s="350"/>
      <c r="R78" s="350"/>
      <c r="S78" s="306"/>
    </row>
    <row r="79" spans="1:21" s="19" customFormat="1" ht="46.5" customHeight="1" x14ac:dyDescent="0.3">
      <c r="A79" s="1"/>
      <c r="B79" s="347"/>
      <c r="C79" s="347"/>
      <c r="D79" s="567" t="s">
        <v>112</v>
      </c>
      <c r="E79" s="568"/>
      <c r="F79" s="568"/>
      <c r="G79" s="568"/>
      <c r="H79" s="366" t="s">
        <v>113</v>
      </c>
      <c r="I79" s="367" t="s">
        <v>114</v>
      </c>
      <c r="J79" s="368" t="s">
        <v>115</v>
      </c>
      <c r="K79" s="1"/>
      <c r="L79" s="369"/>
      <c r="M79" s="350"/>
      <c r="N79" s="350"/>
      <c r="O79" s="350"/>
      <c r="P79" s="350"/>
      <c r="Q79" s="350"/>
      <c r="R79" s="306"/>
      <c r="S79" s="306"/>
      <c r="T79" s="18"/>
      <c r="U79" s="18"/>
    </row>
    <row r="80" spans="1:21" s="19" customFormat="1" ht="36.75" customHeight="1" x14ac:dyDescent="0.3">
      <c r="A80" s="1"/>
      <c r="B80" s="347"/>
      <c r="C80" s="347"/>
      <c r="D80" s="119" t="str">
        <f>IFERROR(IF(EXPERIENCIA!$N$15="Proponente Plural",IF(ISBLANK((VLOOKUP(EXPERIENCIA!$D$15,[1]OFERENTES!$A$8:$H$1027,3,FALSE))),"",VLOOKUP(EXPERIENCIA!$D$15,[1]OFERENTES!$A$8:$H$1027,3,FALSE)),VLOOKUP(EXPERIENCIA!$D$15,[1]OFERENTES!$A$8:$H$1027,3,FALSE)),"")</f>
        <v>PANAM INGENIEROS</v>
      </c>
      <c r="E80" s="120"/>
      <c r="F80" s="120"/>
      <c r="G80" s="121"/>
      <c r="H80" s="69">
        <f>IF(EXPERIENCIA!$D$15&gt;0,IF(ISBLANK((VLOOKUP(EXPERIENCIA!$D$15,[1]OFERENTES!$A$8:$AH$1027,4,FALSE))),"",(VLOOKUP(EXPERIENCIA!$D$15,[1]OFERENTES!$A$8:$AH$1027,4,FALSE))),"")</f>
        <v>0.9</v>
      </c>
      <c r="I80" s="122">
        <f>IFERROR(ROUND((SUMIFS($R$40:$R$60,$E$40:$E$60,$D80)/$J$76),2),"")</f>
        <v>1.94</v>
      </c>
      <c r="J80" s="123" t="str">
        <f>IF($H80="","",IF(COUNTIF($I$80:$I$85,"&gt;=50%")&lt;1,"NO CUMPLE",IF($I80&gt;=50%,"CUMPLE",IF($I80&gt;=5%,"CUMPLE",IF(AND($I80=0%,$H80&lt;10%),"CUMPLE","NO CUMPLE")))))</f>
        <v>CUMPLE</v>
      </c>
      <c r="K80" s="1"/>
      <c r="L80" s="308"/>
      <c r="M80" s="370"/>
      <c r="N80" s="371"/>
      <c r="O80" s="350"/>
      <c r="P80" s="350"/>
      <c r="Q80" s="350"/>
      <c r="R80" s="306"/>
      <c r="S80" s="306"/>
      <c r="T80" s="18"/>
      <c r="U80" s="18"/>
    </row>
    <row r="81" spans="1:21" s="19" customFormat="1" ht="36.75" customHeight="1" x14ac:dyDescent="0.3">
      <c r="A81" s="1"/>
      <c r="B81" s="347"/>
      <c r="C81" s="347"/>
      <c r="D81" s="119" t="str">
        <f>IF(EXPERIENCIA!$N$15="Proponente Plural",IF(ISBLANK((VLOOKUP(EXPERIENCIA!$D$15,[1]OFERENTES!$A$8:$H$1027,5,FALSE))),"",VLOOKUP(EXPERIENCIA!$D$15,[1]OFERENTES!$A$8:$H$1027,5,FALSE)),"")</f>
        <v>TERRA INGENIERIA &amp; CONSULTORIA SAS</v>
      </c>
      <c r="E81" s="120"/>
      <c r="F81" s="120"/>
      <c r="G81" s="121"/>
      <c r="H81" s="69">
        <f>IF(EXPERIENCIA!$D$15&gt;0,IF(ISBLANK((VLOOKUP(EXPERIENCIA!$D$15,[1]OFERENTES!$A$8:$AH$1027,6,FALSE))),"",(VLOOKUP(EXPERIENCIA!$D$15,[1]OFERENTES!$A$8:$AH$1027,6,FALSE))),"")</f>
        <v>0.1</v>
      </c>
      <c r="I81" s="122">
        <f t="shared" ref="I81:I85" si="8">IFERROR(ROUND((SUMIFS($R$40:$R$60,$E$40:$E$60,$D81)/$J$76),2),"")</f>
        <v>0</v>
      </c>
      <c r="J81" s="123" t="str">
        <f>IF($H81="","",IF(COUNTIF($I$80:$I$85,"&gt;=50%")&lt;1,"NO CUMPLE",IF($I81&gt;=50%,"CUMPLE",IF($I81&gt;=5%,"CUMPLE",IF(AND($I81=0%,$H81&lt;=10%),"CUMPLE","NO CUMPLE")))))</f>
        <v>CUMPLE</v>
      </c>
      <c r="K81" s="1"/>
      <c r="L81" s="363"/>
      <c r="M81" s="372"/>
      <c r="N81" s="350"/>
      <c r="O81" s="350"/>
      <c r="P81" s="350"/>
      <c r="Q81" s="350"/>
      <c r="R81" s="306"/>
      <c r="S81" s="306"/>
      <c r="T81" s="18"/>
      <c r="U81" s="18"/>
    </row>
    <row r="82" spans="1:21" s="19" customFormat="1" ht="36.75" customHeight="1" x14ac:dyDescent="0.3">
      <c r="A82" s="1"/>
      <c r="B82" s="347"/>
      <c r="C82" s="347"/>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373"/>
      <c r="M82" s="350"/>
      <c r="N82" s="350"/>
      <c r="O82" s="350"/>
      <c r="P82" s="350"/>
      <c r="Q82" s="350"/>
      <c r="R82" s="306"/>
      <c r="S82" s="306"/>
      <c r="T82" s="18"/>
      <c r="U82" s="18"/>
    </row>
    <row r="83" spans="1:21" s="19" customFormat="1" ht="36.75" customHeight="1" x14ac:dyDescent="0.3">
      <c r="A83" s="1"/>
      <c r="B83" s="347"/>
      <c r="C83" s="347"/>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50"/>
      <c r="N83" s="350"/>
      <c r="O83" s="350"/>
      <c r="P83" s="350"/>
      <c r="Q83" s="350"/>
      <c r="R83" s="306"/>
      <c r="S83" s="306"/>
      <c r="T83" s="18"/>
      <c r="U83" s="18"/>
    </row>
    <row r="84" spans="1:21" s="19" customFormat="1" ht="36.75" customHeight="1" x14ac:dyDescent="0.3">
      <c r="A84" s="1"/>
      <c r="B84" s="347"/>
      <c r="C84" s="347"/>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50"/>
      <c r="N84" s="350"/>
      <c r="O84" s="350"/>
      <c r="P84" s="350"/>
      <c r="Q84" s="350"/>
      <c r="R84" s="306"/>
      <c r="S84" s="306"/>
      <c r="T84" s="18"/>
      <c r="U84" s="18"/>
    </row>
    <row r="85" spans="1:21" s="19" customFormat="1" ht="44.25" customHeight="1" x14ac:dyDescent="0.3">
      <c r="A85" s="1"/>
      <c r="B85" s="347"/>
      <c r="C85" s="347"/>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50"/>
      <c r="N85" s="350"/>
      <c r="O85" s="350"/>
      <c r="P85" s="350"/>
      <c r="Q85" s="350"/>
      <c r="R85" s="306"/>
      <c r="S85" s="306"/>
      <c r="T85" s="18"/>
      <c r="U85" s="18"/>
    </row>
    <row r="86" spans="1:21" s="19" customFormat="1" ht="36.75" customHeight="1" x14ac:dyDescent="0.3">
      <c r="A86" s="1"/>
      <c r="B86" s="347"/>
      <c r="C86" s="347"/>
      <c r="D86" s="1"/>
      <c r="E86" s="1"/>
      <c r="F86" s="1"/>
      <c r="G86" s="1"/>
      <c r="H86" s="124">
        <f>SUM(H80:H85)</f>
        <v>1</v>
      </c>
      <c r="I86" s="124">
        <f>SUM(I80:I85)</f>
        <v>1.94</v>
      </c>
      <c r="J86" s="1"/>
      <c r="K86" s="1"/>
      <c r="L86" s="374"/>
      <c r="M86" s="350"/>
      <c r="N86" s="350"/>
      <c r="O86" s="350"/>
      <c r="P86" s="350"/>
      <c r="Q86" s="350"/>
      <c r="R86" s="350"/>
      <c r="S86" s="306"/>
      <c r="T86" s="18"/>
      <c r="U86" s="18"/>
    </row>
    <row r="87" spans="1:21" s="19" customFormat="1" ht="36.75" customHeight="1" x14ac:dyDescent="0.3">
      <c r="A87" s="1"/>
      <c r="B87" s="347"/>
      <c r="C87" s="347"/>
      <c r="D87" s="1"/>
      <c r="E87" s="1"/>
      <c r="F87" s="1"/>
      <c r="G87" s="1"/>
      <c r="H87" s="1"/>
      <c r="I87" s="1"/>
      <c r="J87" s="350"/>
      <c r="K87" s="305"/>
      <c r="L87" s="308"/>
      <c r="M87" s="350"/>
      <c r="N87" s="350"/>
      <c r="O87" s="350"/>
      <c r="P87" s="350"/>
      <c r="Q87" s="350"/>
      <c r="R87" s="350"/>
      <c r="S87" s="306"/>
      <c r="T87" s="18"/>
      <c r="U87" s="18"/>
    </row>
    <row r="88" spans="1:21" ht="71.25" customHeight="1" x14ac:dyDescent="0.3">
      <c r="A88" s="1"/>
      <c r="B88" s="569" t="s">
        <v>116</v>
      </c>
      <c r="C88" s="570"/>
      <c r="D88" s="570"/>
      <c r="E88" s="570"/>
      <c r="F88" s="570"/>
      <c r="G88" s="570"/>
      <c r="H88" s="570"/>
      <c r="I88" s="570"/>
      <c r="J88" s="570"/>
      <c r="K88" s="570"/>
      <c r="L88" s="570"/>
      <c r="M88" s="570"/>
      <c r="N88" s="570"/>
      <c r="O88" s="570"/>
      <c r="P88" s="570"/>
      <c r="Q88" s="570"/>
      <c r="R88" s="570"/>
      <c r="S88" s="571"/>
      <c r="T88" s="18"/>
    </row>
    <row r="89" spans="1:21" s="18" customFormat="1" ht="24" customHeight="1" x14ac:dyDescent="0.3">
      <c r="A89" s="1"/>
      <c r="B89" s="360"/>
      <c r="C89" s="351"/>
      <c r="D89" s="360"/>
      <c r="E89" s="360"/>
      <c r="F89" s="360"/>
      <c r="G89" s="360"/>
      <c r="H89" s="1"/>
      <c r="I89" s="360"/>
      <c r="J89" s="375"/>
      <c r="K89" s="360"/>
      <c r="L89" s="360"/>
      <c r="M89" s="306"/>
      <c r="N89" s="306"/>
      <c r="O89" s="306"/>
      <c r="P89" s="305"/>
      <c r="Q89" s="306"/>
      <c r="R89" s="306"/>
      <c r="S89" s="306"/>
    </row>
    <row r="90" spans="1:21" s="125" customFormat="1" ht="69.75" customHeight="1" x14ac:dyDescent="0.4">
      <c r="A90" s="376"/>
      <c r="B90" s="377" t="s">
        <v>117</v>
      </c>
      <c r="C90" s="378"/>
      <c r="D90" s="585" t="s">
        <v>118</v>
      </c>
      <c r="E90" s="586"/>
      <c r="F90" s="586"/>
      <c r="G90" s="586"/>
      <c r="H90" s="586"/>
      <c r="I90" s="587"/>
      <c r="J90" s="585" t="s">
        <v>119</v>
      </c>
      <c r="K90" s="586"/>
      <c r="L90" s="586"/>
      <c r="M90" s="586"/>
      <c r="N90" s="586"/>
      <c r="O90" s="587"/>
      <c r="P90" s="379"/>
      <c r="Q90" s="380" t="s">
        <v>120</v>
      </c>
      <c r="R90" s="380" t="s">
        <v>121</v>
      </c>
      <c r="S90" s="380" t="s">
        <v>122</v>
      </c>
      <c r="T90" s="18"/>
    </row>
    <row r="91" spans="1:21" s="18" customFormat="1" ht="12.75" customHeight="1" x14ac:dyDescent="0.3">
      <c r="A91" s="1"/>
      <c r="B91" s="307"/>
      <c r="C91" s="306"/>
      <c r="D91" s="307"/>
      <c r="E91" s="307"/>
      <c r="F91" s="307"/>
      <c r="G91" s="307"/>
      <c r="H91" s="307"/>
      <c r="I91" s="307"/>
      <c r="J91" s="307"/>
      <c r="K91" s="307"/>
      <c r="L91" s="307"/>
      <c r="M91" s="306"/>
      <c r="N91" s="306"/>
      <c r="O91" s="306"/>
      <c r="P91" s="305"/>
      <c r="Q91" s="306"/>
      <c r="R91" s="306"/>
      <c r="S91" s="306"/>
    </row>
    <row r="92" spans="1:21" ht="254.25" customHeight="1" outlineLevel="1" x14ac:dyDescent="0.3">
      <c r="A92" s="1"/>
      <c r="B92" s="381" t="s">
        <v>123</v>
      </c>
      <c r="C92" s="306"/>
      <c r="D92" s="576" t="str">
        <f>IFERROR(IF($O$19="NO CUMPLE",[1]RESPUESTAS!$D$3,[1]RESPUESTAS!$C$3),"")</f>
        <v>SIN OBSERVACIONES</v>
      </c>
      <c r="E92" s="576"/>
      <c r="F92" s="576"/>
      <c r="G92" s="576"/>
      <c r="H92" s="576"/>
      <c r="I92" s="576"/>
      <c r="J92" s="576"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6"/>
      <c r="L92" s="576"/>
      <c r="M92" s="576"/>
      <c r="N92" s="576"/>
      <c r="O92" s="576"/>
      <c r="P92" s="31"/>
      <c r="Q92" s="126" t="str">
        <f>IF($O$19="NO","SUBSANAR DOCUMENTO","SIN OBSERVACIONES")</f>
        <v>SIN OBSERVACIONES</v>
      </c>
      <c r="R92" s="127"/>
      <c r="S92" s="382"/>
      <c r="T92" s="18"/>
    </row>
    <row r="93" spans="1:21" ht="221.25" customHeight="1" outlineLevel="1" x14ac:dyDescent="0.3">
      <c r="A93" s="1"/>
      <c r="B93" s="367" t="s">
        <v>124</v>
      </c>
      <c r="C93" s="306"/>
      <c r="D93" s="575" t="str">
        <f>IFERROR(IF($J$25="NO CUMPLE",[1]RESPUESTAS!$E$4,[1]RESPUESTAS!$C$4),"")</f>
        <v>SIN OBSERVACIONES</v>
      </c>
      <c r="E93" s="575"/>
      <c r="F93" s="575"/>
      <c r="G93" s="575"/>
      <c r="H93" s="575"/>
      <c r="I93" s="575"/>
      <c r="J93" s="576"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6"/>
      <c r="L93" s="576"/>
      <c r="M93" s="576"/>
      <c r="N93" s="576"/>
      <c r="O93" s="576"/>
      <c r="P93" s="31"/>
      <c r="Q93" s="128" t="str">
        <f>IF(D93="SIN OBSERVACIONES","SIN OBSERVACIONES","OFERTA RECHAZADA")</f>
        <v>SIN OBSERVACIONES</v>
      </c>
      <c r="R93" s="129"/>
      <c r="S93" s="382"/>
      <c r="T93" s="18"/>
    </row>
    <row r="94" spans="1:21" ht="244.5" customHeight="1" outlineLevel="1" x14ac:dyDescent="0.3">
      <c r="A94" s="1"/>
      <c r="B94" s="367" t="s">
        <v>125</v>
      </c>
      <c r="C94" s="306"/>
      <c r="D94" s="575" t="str">
        <f>IFERROR(IF($K$25="NO CUMPLE",[1]RESPUESTAS!$E$5,[1]RESPUESTAS!$C$5),"")</f>
        <v>SIN OBSERVACIONES</v>
      </c>
      <c r="E94" s="575"/>
      <c r="F94" s="575"/>
      <c r="G94" s="575"/>
      <c r="H94" s="575"/>
      <c r="I94" s="575"/>
      <c r="J94" s="576"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6"/>
      <c r="L94" s="576"/>
      <c r="M94" s="576"/>
      <c r="N94" s="576"/>
      <c r="O94" s="576"/>
      <c r="P94" s="31"/>
      <c r="Q94" s="126" t="str">
        <f>IF($D94="sin observaciones","SIN OBSERVACIONES","SUBSANAR DOCUMENTO")</f>
        <v>SIN OBSERVACIONES</v>
      </c>
      <c r="R94" s="127"/>
      <c r="S94" s="382"/>
      <c r="T94" s="18"/>
    </row>
    <row r="95" spans="1:21" ht="117.75" customHeight="1" outlineLevel="1" collapsed="1" x14ac:dyDescent="0.3">
      <c r="A95" s="1"/>
      <c r="B95" s="577" t="s">
        <v>30</v>
      </c>
      <c r="C95" s="306"/>
      <c r="D95" s="130" t="s">
        <v>126</v>
      </c>
      <c r="E95" s="578" t="str">
        <f>IFERROR(IF(AND($Q$19="NO",COUNTIFS(EXPERIENCIA!$I$19:$I$24,"&lt;10%",EXPERIENCIA!$L$19:$L$24,"SE CLASIFICA")&gt;0),[1]RESPUESTAS!$F$6,[1]RESPUESTAS!$C$6),"")</f>
        <v>SIN OBSERVACIONES</v>
      </c>
      <c r="F95" s="575"/>
      <c r="G95" s="575"/>
      <c r="H95" s="575"/>
      <c r="I95" s="575"/>
      <c r="J95" s="579"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0"/>
      <c r="L95" s="580"/>
      <c r="M95" s="580"/>
      <c r="N95" s="580"/>
      <c r="O95" s="581"/>
      <c r="P95" s="31"/>
      <c r="Q95" s="126" t="str">
        <f>IF(E95="SIN OBSERVACIONES","SIN OBSERVACIONES","NO SE OTORGA CONDICION MIPYME")</f>
        <v>SIN OBSERVACIONES</v>
      </c>
      <c r="R95" s="127"/>
      <c r="S95" s="382"/>
      <c r="T95" s="18"/>
    </row>
    <row r="96" spans="1:21" ht="120.75" customHeight="1" outlineLevel="1" x14ac:dyDescent="0.3">
      <c r="A96" s="1"/>
      <c r="B96" s="577"/>
      <c r="C96" s="306"/>
      <c r="D96" s="130" t="s">
        <v>127</v>
      </c>
      <c r="E96" s="57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5"/>
      <c r="G96" s="575"/>
      <c r="H96" s="575"/>
      <c r="I96" s="575"/>
      <c r="J96" s="582"/>
      <c r="K96" s="583"/>
      <c r="L96" s="583"/>
      <c r="M96" s="583"/>
      <c r="N96" s="583"/>
      <c r="O96" s="584"/>
      <c r="P96" s="31"/>
      <c r="Q96" s="126" t="str">
        <f>IF(E96="SIN OBSERVACIONES","SIN OBSERVACIONES","OFERTA RECHAZADA")</f>
        <v>SIN OBSERVACIONES</v>
      </c>
      <c r="R96" s="127"/>
      <c r="S96" s="382"/>
      <c r="T96" s="18"/>
    </row>
    <row r="97" spans="1:20" ht="161.25" customHeight="1" outlineLevel="1" x14ac:dyDescent="0.3">
      <c r="A97" s="1"/>
      <c r="B97" s="594" t="s">
        <v>128</v>
      </c>
      <c r="C97" s="306"/>
      <c r="D97" s="130" t="s">
        <v>126</v>
      </c>
      <c r="E97" s="578"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5"/>
      <c r="G97" s="575"/>
      <c r="H97" s="575"/>
      <c r="I97" s="575"/>
      <c r="J97" s="595"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6"/>
      <c r="L97" s="596"/>
      <c r="M97" s="596"/>
      <c r="N97" s="596"/>
      <c r="O97" s="597"/>
      <c r="P97" s="31"/>
      <c r="Q97" s="126" t="str">
        <f>IF(E97="SIN OBSERVACIONES","SIN OBSERVACIONES","NO SE OTORGA CONDICION EMPRENDIMIENTO O EMPRESA MUJER")</f>
        <v>SIN OBSERVACIONES</v>
      </c>
      <c r="R97" s="127"/>
      <c r="S97" s="382"/>
      <c r="T97" s="18"/>
    </row>
    <row r="98" spans="1:20" ht="161.25" customHeight="1" outlineLevel="1" x14ac:dyDescent="0.3">
      <c r="A98" s="1"/>
      <c r="B98" s="594"/>
      <c r="C98" s="306"/>
      <c r="D98" s="130" t="s">
        <v>127</v>
      </c>
      <c r="E98" s="575" t="str">
        <f>IFERROR(IF($R$19="NO CUMPLE",[1]RESPUESTAS!$F$7,[1]RESPUESTAS!$C$7),"")</f>
        <v>SIN OBSERVACIONES</v>
      </c>
      <c r="F98" s="575"/>
      <c r="G98" s="575"/>
      <c r="H98" s="575"/>
      <c r="I98" s="575"/>
      <c r="J98" s="598"/>
      <c r="K98" s="599"/>
      <c r="L98" s="599"/>
      <c r="M98" s="599"/>
      <c r="N98" s="599"/>
      <c r="O98" s="600"/>
      <c r="P98" s="31"/>
      <c r="Q98" s="126" t="str">
        <f>IF(E98="SIN OBSERVACIONES","SIN OBSERVACIONES","NO SE OTORGA CONDICION EMPRENDIMIENTO O EMPRESA MUJER")</f>
        <v>SIN OBSERVACIONES</v>
      </c>
      <c r="R98" s="127"/>
      <c r="S98" s="382"/>
      <c r="T98" s="18"/>
    </row>
    <row r="99" spans="1:20" s="19" customFormat="1" ht="48.75" customHeight="1" outlineLevel="1" x14ac:dyDescent="0.3">
      <c r="A99" s="1"/>
      <c r="B99" s="383"/>
      <c r="C99" s="306"/>
      <c r="D99" s="384"/>
      <c r="E99" s="385"/>
      <c r="F99" s="385"/>
      <c r="G99" s="385"/>
      <c r="H99" s="385"/>
      <c r="I99" s="385"/>
      <c r="J99" s="384"/>
      <c r="K99" s="385"/>
      <c r="L99" s="385"/>
      <c r="M99" s="385"/>
      <c r="N99" s="385"/>
      <c r="O99" s="385"/>
      <c r="P99" s="305"/>
      <c r="Q99" s="386"/>
      <c r="R99" s="386"/>
      <c r="S99" s="306"/>
      <c r="T99" s="18"/>
    </row>
    <row r="100" spans="1:20" ht="69.75" customHeight="1" x14ac:dyDescent="0.3">
      <c r="A100" s="1"/>
      <c r="B100" s="601" t="s">
        <v>129</v>
      </c>
      <c r="C100" s="602"/>
      <c r="D100" s="602"/>
      <c r="E100" s="602"/>
      <c r="F100" s="602"/>
      <c r="G100" s="602"/>
      <c r="H100" s="602"/>
      <c r="I100" s="602"/>
      <c r="J100" s="602"/>
      <c r="K100" s="602"/>
      <c r="L100" s="602"/>
      <c r="M100" s="602"/>
      <c r="N100" s="602"/>
      <c r="O100" s="602"/>
      <c r="P100" s="602"/>
      <c r="Q100" s="602"/>
      <c r="R100" s="602"/>
      <c r="S100" s="602"/>
      <c r="T100" s="18"/>
    </row>
    <row r="101" spans="1:20" s="131" customFormat="1" ht="39.75" customHeight="1" x14ac:dyDescent="0.3">
      <c r="A101" s="305"/>
      <c r="B101" s="305"/>
      <c r="C101" s="305"/>
      <c r="D101" s="305"/>
      <c r="E101" s="305"/>
      <c r="F101" s="305"/>
      <c r="G101" s="305"/>
      <c r="H101" s="305"/>
      <c r="I101" s="305"/>
      <c r="J101" s="305"/>
      <c r="K101" s="305"/>
      <c r="L101" s="305"/>
      <c r="M101" s="305"/>
      <c r="N101" s="305"/>
      <c r="O101" s="305"/>
      <c r="P101" s="305"/>
      <c r="Q101" s="305"/>
      <c r="R101" s="305"/>
      <c r="S101" s="305"/>
      <c r="T101" s="18"/>
    </row>
    <row r="102" spans="1:20" ht="59.25" customHeight="1" x14ac:dyDescent="0.4">
      <c r="A102" s="1"/>
      <c r="B102" s="377" t="s">
        <v>117</v>
      </c>
      <c r="C102" s="378"/>
      <c r="D102" s="585" t="s">
        <v>118</v>
      </c>
      <c r="E102" s="586"/>
      <c r="F102" s="586"/>
      <c r="G102" s="586"/>
      <c r="H102" s="586"/>
      <c r="I102" s="587"/>
      <c r="J102" s="585" t="s">
        <v>130</v>
      </c>
      <c r="K102" s="586"/>
      <c r="L102" s="586"/>
      <c r="M102" s="586"/>
      <c r="N102" s="586"/>
      <c r="O102" s="587"/>
      <c r="P102" s="379"/>
      <c r="Q102" s="380" t="s">
        <v>120</v>
      </c>
      <c r="R102" s="380" t="s">
        <v>121</v>
      </c>
      <c r="S102" s="380" t="s">
        <v>122</v>
      </c>
      <c r="T102" s="18"/>
    </row>
    <row r="103" spans="1:20" s="90" customFormat="1" ht="13.5" customHeight="1" x14ac:dyDescent="0.3">
      <c r="A103" s="305"/>
      <c r="B103" s="305"/>
      <c r="C103" s="305"/>
      <c r="D103" s="305"/>
      <c r="E103" s="305"/>
      <c r="F103" s="305"/>
      <c r="G103" s="305"/>
      <c r="H103" s="305"/>
      <c r="I103" s="305"/>
      <c r="J103" s="305"/>
      <c r="K103" s="305"/>
      <c r="L103" s="305"/>
      <c r="M103" s="305"/>
      <c r="N103" s="305"/>
      <c r="O103" s="305"/>
      <c r="P103" s="305"/>
      <c r="Q103" s="305"/>
      <c r="R103" s="305"/>
      <c r="S103" s="306"/>
      <c r="T103" s="18"/>
    </row>
    <row r="104" spans="1:20" ht="229.5" customHeight="1" outlineLevel="1" x14ac:dyDescent="0.3">
      <c r="A104" s="1"/>
      <c r="B104" s="476" t="s">
        <v>73</v>
      </c>
      <c r="C104" s="306"/>
      <c r="D104" s="132" t="s">
        <v>131</v>
      </c>
      <c r="E104" s="588" t="str">
        <f>IFERROR(IF($O$40="NO VALIDA",IF(OR($M$40="NO CUMPLE",$N40="NO CUMPLE"),[1]RESPUESTAS!$D$8,"SIN OBSERVACIONES"),"SIN OBSERVACIONES"),"")</f>
        <v>SIN OBSERVACIONES</v>
      </c>
      <c r="F104" s="588"/>
      <c r="G104" s="588"/>
      <c r="H104" s="588"/>
      <c r="I104" s="588"/>
      <c r="J104" s="589"/>
      <c r="K104" s="590"/>
      <c r="L104" s="590"/>
      <c r="M104" s="590"/>
      <c r="N104" s="590"/>
      <c r="O104" s="590"/>
      <c r="P104" s="305"/>
      <c r="Q104" s="126" t="str">
        <f>IF($E104="sin observaciones","SIN OBSERVACIONES","SUBSANAR DOCUMENTO")</f>
        <v>SIN OBSERVACIONES</v>
      </c>
      <c r="R104" s="133"/>
      <c r="S104" s="382"/>
      <c r="T104" s="18"/>
    </row>
    <row r="105" spans="1:20" ht="195" customHeight="1" outlineLevel="1" x14ac:dyDescent="0.3">
      <c r="A105" s="1"/>
      <c r="B105" s="476"/>
      <c r="C105" s="306"/>
      <c r="D105" s="132" t="s">
        <v>132</v>
      </c>
      <c r="E105" s="588" t="str">
        <f>IFERROR(IF($O$40="NO VALIDA",IF(OR($M$40="NO CUMPLE",$N$40="NO CUMPLE"),[1]RESPUESTAS!$D$8,"SIN OBSERVACIONES"),"SIN OBSERVACIONES"),"")</f>
        <v>SIN OBSERVACIONES</v>
      </c>
      <c r="F105" s="588"/>
      <c r="G105" s="588"/>
      <c r="H105" s="588"/>
      <c r="I105" s="588"/>
      <c r="J105" s="591"/>
      <c r="K105" s="592"/>
      <c r="L105" s="592"/>
      <c r="M105" s="592"/>
      <c r="N105" s="592"/>
      <c r="O105" s="593"/>
      <c r="P105" s="305"/>
      <c r="Q105" s="126" t="str">
        <f t="shared" ref="Q105:Q124" si="10">IF($E105="sin observaciones","SIN OBSERVACIONES","SUBSANAR DOCUMENTO")</f>
        <v>SIN OBSERVACIONES</v>
      </c>
      <c r="R105" s="133"/>
      <c r="S105" s="382"/>
      <c r="T105" s="18"/>
    </row>
    <row r="106" spans="1:20" ht="195" customHeight="1" outlineLevel="1" x14ac:dyDescent="0.3">
      <c r="A106" s="1"/>
      <c r="B106" s="477"/>
      <c r="C106" s="306"/>
      <c r="D106" s="132" t="s">
        <v>133</v>
      </c>
      <c r="E106" s="588" t="str">
        <f>IFERROR(IF($O$40="NO VALIDA",IF($K$40&gt;$F$10,[1]RESPUESTAS!$D$10,"SIN OBSERVACIONES"),"SIN OBSERVACIONES"),"")</f>
        <v>SIN OBSERVACIONES</v>
      </c>
      <c r="F106" s="588"/>
      <c r="G106" s="588"/>
      <c r="H106" s="588"/>
      <c r="I106" s="588"/>
      <c r="J106" s="591"/>
      <c r="K106" s="592"/>
      <c r="L106" s="592"/>
      <c r="M106" s="592"/>
      <c r="N106" s="592"/>
      <c r="O106" s="593"/>
      <c r="P106" s="305"/>
      <c r="Q106" s="126" t="str">
        <f t="shared" si="10"/>
        <v>SIN OBSERVACIONES</v>
      </c>
      <c r="R106" s="133"/>
      <c r="S106" s="382"/>
      <c r="T106" s="18"/>
    </row>
    <row r="107" spans="1:20" ht="195" customHeight="1" outlineLevel="1" x14ac:dyDescent="0.3">
      <c r="A107" s="1"/>
      <c r="B107" s="507" t="s">
        <v>78</v>
      </c>
      <c r="C107" s="306"/>
      <c r="D107" s="132" t="s">
        <v>131</v>
      </c>
      <c r="E107" s="588" t="str">
        <f>IFERROR(IF($O$43="NO VALIDA",IF(OR($M$43="NO CUMPLE",$N$43="NO CUMPLE"),[1]RESPUESTAS!$D$8,"SIN OBSERVACIONES"),"SIN OBSERVACIONES"),"")</f>
        <v>SIN OBSERVACIONES</v>
      </c>
      <c r="F107" s="588"/>
      <c r="G107" s="588"/>
      <c r="H107" s="588"/>
      <c r="I107" s="588"/>
      <c r="J107" s="604"/>
      <c r="K107" s="604"/>
      <c r="L107" s="604"/>
      <c r="M107" s="604"/>
      <c r="N107" s="604"/>
      <c r="O107" s="604"/>
      <c r="P107" s="305"/>
      <c r="Q107" s="126" t="str">
        <f t="shared" si="10"/>
        <v>SIN OBSERVACIONES</v>
      </c>
      <c r="R107" s="133"/>
      <c r="S107" s="382"/>
      <c r="T107" s="18"/>
    </row>
    <row r="108" spans="1:20" ht="195" customHeight="1" outlineLevel="1" x14ac:dyDescent="0.3">
      <c r="A108" s="1"/>
      <c r="B108" s="508"/>
      <c r="C108" s="306"/>
      <c r="D108" s="132" t="s">
        <v>132</v>
      </c>
      <c r="E108" s="588" t="str">
        <f>IFERROR(IF($O$43="NO VALIDA",IF(OR($M$43="NO CUMPLE",$N$43="NO CUMPLE"),[1]RESPUESTAS!$D$8,"SIN OBSERVACIONES"),"SIN OBSERVACIONES"),"")</f>
        <v>SIN OBSERVACIONES</v>
      </c>
      <c r="F108" s="588"/>
      <c r="G108" s="588"/>
      <c r="H108" s="588"/>
      <c r="I108" s="588"/>
      <c r="J108" s="604"/>
      <c r="K108" s="604"/>
      <c r="L108" s="604"/>
      <c r="M108" s="604"/>
      <c r="N108" s="604"/>
      <c r="O108" s="604"/>
      <c r="P108" s="305"/>
      <c r="Q108" s="126" t="str">
        <f t="shared" si="10"/>
        <v>SIN OBSERVACIONES</v>
      </c>
      <c r="R108" s="133"/>
      <c r="S108" s="382"/>
      <c r="T108" s="18"/>
    </row>
    <row r="109" spans="1:20" ht="195" customHeight="1" outlineLevel="1" x14ac:dyDescent="0.3">
      <c r="A109" s="1"/>
      <c r="B109" s="509"/>
      <c r="C109" s="306"/>
      <c r="D109" s="132" t="s">
        <v>133</v>
      </c>
      <c r="E109" s="588" t="str">
        <f>IFERROR(IF($O$43="NO VALIDA",IF($K$43&gt;$F$10,[1]RESPUESTAS!$D$10,"SIN OBSERVACIONES"),"SIN OBSERVACIONES"),"")</f>
        <v>SIN OBSERVACIONES</v>
      </c>
      <c r="F109" s="588"/>
      <c r="G109" s="588"/>
      <c r="H109" s="588"/>
      <c r="I109" s="588"/>
      <c r="J109" s="604"/>
      <c r="K109" s="604"/>
      <c r="L109" s="604"/>
      <c r="M109" s="604"/>
      <c r="N109" s="604"/>
      <c r="O109" s="604"/>
      <c r="P109" s="305"/>
      <c r="Q109" s="126" t="str">
        <f t="shared" si="10"/>
        <v>SIN OBSERVACIONES</v>
      </c>
      <c r="R109" s="133"/>
      <c r="S109" s="382"/>
      <c r="T109" s="18"/>
    </row>
    <row r="110" spans="1:20" ht="195" customHeight="1" outlineLevel="1" x14ac:dyDescent="0.3">
      <c r="A110" s="1"/>
      <c r="B110" s="476" t="s">
        <v>80</v>
      </c>
      <c r="C110" s="306"/>
      <c r="D110" s="132" t="s">
        <v>131</v>
      </c>
      <c r="E110" s="588" t="str">
        <f>IFERROR(IF($O$46="NO VALIDA",IF(OR($M$46="NO CUMPLE",$N$46="NO CUMPLE"),[1]RESPUESTAS!$D$8,"SIN OBSERVACIONES"),"SIN OBSERVACIONES"),"")</f>
        <v>SIN OBSERVACIONES</v>
      </c>
      <c r="F110" s="588"/>
      <c r="G110" s="588"/>
      <c r="H110" s="588"/>
      <c r="I110" s="588"/>
      <c r="J110" s="603"/>
      <c r="K110" s="603"/>
      <c r="L110" s="603"/>
      <c r="M110" s="603"/>
      <c r="N110" s="603"/>
      <c r="O110" s="603"/>
      <c r="P110" s="305"/>
      <c r="Q110" s="126" t="str">
        <f t="shared" si="10"/>
        <v>SIN OBSERVACIONES</v>
      </c>
      <c r="R110" s="133"/>
      <c r="S110" s="382"/>
      <c r="T110" s="18"/>
    </row>
    <row r="111" spans="1:20" ht="195" customHeight="1" outlineLevel="1" x14ac:dyDescent="0.3">
      <c r="A111" s="1"/>
      <c r="B111" s="476"/>
      <c r="C111" s="306"/>
      <c r="D111" s="132" t="s">
        <v>132</v>
      </c>
      <c r="E111" s="588" t="str">
        <f>IFERROR(IF($O$46="NO VALIDA",IF(OR($M$46="NO CUMPLE",$N$46="NO CUMPLE"),[1]RESPUESTAS!$D$8,"SIN OBSERVACIONES"),"SIN OBSERVACIONES"),"")</f>
        <v>SIN OBSERVACIONES</v>
      </c>
      <c r="F111" s="588"/>
      <c r="G111" s="588"/>
      <c r="H111" s="588"/>
      <c r="I111" s="588"/>
      <c r="J111" s="603"/>
      <c r="K111" s="603"/>
      <c r="L111" s="603"/>
      <c r="M111" s="603"/>
      <c r="N111" s="603"/>
      <c r="O111" s="603"/>
      <c r="P111" s="305"/>
      <c r="Q111" s="126" t="str">
        <f t="shared" si="10"/>
        <v>SIN OBSERVACIONES</v>
      </c>
      <c r="R111" s="133"/>
      <c r="S111" s="382"/>
      <c r="T111" s="18"/>
    </row>
    <row r="112" spans="1:20" ht="195" customHeight="1" outlineLevel="1" x14ac:dyDescent="0.3">
      <c r="A112" s="1"/>
      <c r="B112" s="477"/>
      <c r="C112" s="306"/>
      <c r="D112" s="132" t="s">
        <v>133</v>
      </c>
      <c r="E112" s="588" t="str">
        <f>IFERROR(IF($O$46="NO VALIDA",IF($K$46&gt;$F$10,[1]RESPUESTAS!$D$10,"SIN OBSERVACIONES"),"SIN OBSERVACIONES"),"")</f>
        <v>SIN OBSERVACIONES</v>
      </c>
      <c r="F112" s="588"/>
      <c r="G112" s="588"/>
      <c r="H112" s="588"/>
      <c r="I112" s="588"/>
      <c r="J112" s="603"/>
      <c r="K112" s="603"/>
      <c r="L112" s="603"/>
      <c r="M112" s="603"/>
      <c r="N112" s="603"/>
      <c r="O112" s="603"/>
      <c r="P112" s="305"/>
      <c r="Q112" s="126" t="str">
        <f t="shared" si="10"/>
        <v>SIN OBSERVACIONES</v>
      </c>
      <c r="R112" s="133"/>
      <c r="S112" s="382"/>
      <c r="T112" s="18"/>
    </row>
    <row r="113" spans="1:20" ht="195" customHeight="1" outlineLevel="1" x14ac:dyDescent="0.3">
      <c r="A113" s="1"/>
      <c r="B113" s="507" t="s">
        <v>81</v>
      </c>
      <c r="C113" s="306"/>
      <c r="D113" s="132" t="s">
        <v>131</v>
      </c>
      <c r="E113" s="588" t="str">
        <f>IFERROR(IF($O$49="NO VALIDA",IF(OR($M$49="NO CUMPLE",$N$49="NO CUMPLE"),[1]RESPUESTAS!$D$8,"SIN OBSERVACIONES"),"SIN OBSERVACIONES"),"")</f>
        <v>SIN OBSERVACIONES</v>
      </c>
      <c r="F113" s="588"/>
      <c r="G113" s="588"/>
      <c r="H113" s="588"/>
      <c r="I113" s="588"/>
      <c r="J113" s="603"/>
      <c r="K113" s="603"/>
      <c r="L113" s="603"/>
      <c r="M113" s="603"/>
      <c r="N113" s="603"/>
      <c r="O113" s="603"/>
      <c r="P113" s="305"/>
      <c r="Q113" s="126" t="str">
        <f t="shared" si="10"/>
        <v>SIN OBSERVACIONES</v>
      </c>
      <c r="R113" s="133"/>
      <c r="S113" s="382"/>
      <c r="T113" s="18"/>
    </row>
    <row r="114" spans="1:20" ht="195" customHeight="1" outlineLevel="1" x14ac:dyDescent="0.3">
      <c r="A114" s="1"/>
      <c r="B114" s="508"/>
      <c r="C114" s="306"/>
      <c r="D114" s="132" t="s">
        <v>132</v>
      </c>
      <c r="E114" s="588" t="str">
        <f>IFERROR(IF($O$49="NO VALIDA",IF(OR($M$49="NO CUMPLE",$N$49="NO CUMPLE"),[1]RESPUESTAS!$D$8,"SIN OBSERVACIONES"),"SIN OBSERVACIONES"),"")</f>
        <v>SIN OBSERVACIONES</v>
      </c>
      <c r="F114" s="588"/>
      <c r="G114" s="588"/>
      <c r="H114" s="588"/>
      <c r="I114" s="588"/>
      <c r="J114" s="603"/>
      <c r="K114" s="603"/>
      <c r="L114" s="603"/>
      <c r="M114" s="603"/>
      <c r="N114" s="603"/>
      <c r="O114" s="603"/>
      <c r="P114" s="305"/>
      <c r="Q114" s="126" t="str">
        <f t="shared" si="10"/>
        <v>SIN OBSERVACIONES</v>
      </c>
      <c r="R114" s="133"/>
      <c r="S114" s="382"/>
      <c r="T114" s="18"/>
    </row>
    <row r="115" spans="1:20" ht="195" customHeight="1" outlineLevel="1" x14ac:dyDescent="0.3">
      <c r="A115" s="1"/>
      <c r="B115" s="509"/>
      <c r="C115" s="306"/>
      <c r="D115" s="132" t="s">
        <v>133</v>
      </c>
      <c r="E115" s="588" t="str">
        <f>IFERROR(IF($O$49="NO VALIDA",IF($K$49&gt;$F$10,[1]RESPUESTAS!$D$10,"SIN OBSERVACIONES"),"SIN OBSERVACIONES"),"")</f>
        <v>SIN OBSERVACIONES</v>
      </c>
      <c r="F115" s="588"/>
      <c r="G115" s="588"/>
      <c r="H115" s="588"/>
      <c r="I115" s="588"/>
      <c r="J115" s="603"/>
      <c r="K115" s="603"/>
      <c r="L115" s="603"/>
      <c r="M115" s="603"/>
      <c r="N115" s="603"/>
      <c r="O115" s="603"/>
      <c r="P115" s="305"/>
      <c r="Q115" s="126" t="str">
        <f t="shared" si="10"/>
        <v>SIN OBSERVACIONES</v>
      </c>
      <c r="R115" s="133"/>
      <c r="S115" s="382"/>
      <c r="T115" s="18"/>
    </row>
    <row r="116" spans="1:20" ht="195" customHeight="1" outlineLevel="1" x14ac:dyDescent="0.3">
      <c r="A116" s="1"/>
      <c r="B116" s="476" t="s">
        <v>82</v>
      </c>
      <c r="C116" s="306"/>
      <c r="D116" s="132" t="s">
        <v>131</v>
      </c>
      <c r="E116" s="588" t="str">
        <f>IFERROR(IF($O$52="NO VALIDA",IF(OR($M$52="NO CUMPLE",$N$52="NO CUMPLE"),[1]RESPUESTAS!$D$8,"SIN OBSERVACIONES"),"SIN OBSERVACIONES"),"")</f>
        <v>SIN OBSERVACIONES</v>
      </c>
      <c r="F116" s="588"/>
      <c r="G116" s="588"/>
      <c r="H116" s="588"/>
      <c r="I116" s="588"/>
      <c r="J116" s="603"/>
      <c r="K116" s="603"/>
      <c r="L116" s="603"/>
      <c r="M116" s="603"/>
      <c r="N116" s="603"/>
      <c r="O116" s="603"/>
      <c r="P116" s="305"/>
      <c r="Q116" s="126" t="str">
        <f t="shared" si="10"/>
        <v>SIN OBSERVACIONES</v>
      </c>
      <c r="R116" s="133"/>
      <c r="S116" s="382"/>
      <c r="T116" s="18"/>
    </row>
    <row r="117" spans="1:20" ht="195" customHeight="1" outlineLevel="1" x14ac:dyDescent="0.3">
      <c r="A117" s="1"/>
      <c r="B117" s="476"/>
      <c r="C117" s="306"/>
      <c r="D117" s="132" t="s">
        <v>132</v>
      </c>
      <c r="E117" s="588" t="str">
        <f>IFERROR(IF($O$52="NO VALIDA",IF(OR($M$52="NO CUMPLE",$N$52="NO CUMPLE"),[1]RESPUESTAS!$D$8,"SIN OBSERVACIONES"),"SIN OBSERVACIONES"),"")</f>
        <v>SIN OBSERVACIONES</v>
      </c>
      <c r="F117" s="588"/>
      <c r="G117" s="588"/>
      <c r="H117" s="588"/>
      <c r="I117" s="588"/>
      <c r="J117" s="603"/>
      <c r="K117" s="603"/>
      <c r="L117" s="603"/>
      <c r="M117" s="603"/>
      <c r="N117" s="603"/>
      <c r="O117" s="603"/>
      <c r="P117" s="305"/>
      <c r="Q117" s="126" t="str">
        <f t="shared" si="10"/>
        <v>SIN OBSERVACIONES</v>
      </c>
      <c r="R117" s="133"/>
      <c r="S117" s="382"/>
      <c r="T117" s="18"/>
    </row>
    <row r="118" spans="1:20" ht="195" customHeight="1" outlineLevel="1" x14ac:dyDescent="0.3">
      <c r="A118" s="1"/>
      <c r="B118" s="477"/>
      <c r="C118" s="306"/>
      <c r="D118" s="132" t="s">
        <v>133</v>
      </c>
      <c r="E118" s="588" t="str">
        <f>IFERROR(IF($O$52="NO VALIDA",IF($K$52&gt;$F$10,[1]RESPUESTAS!$D$10,"SIN OBSERVACIONES"),"SIN OBSERVACIONES"),"")</f>
        <v>SIN OBSERVACIONES</v>
      </c>
      <c r="F118" s="588"/>
      <c r="G118" s="588"/>
      <c r="H118" s="588"/>
      <c r="I118" s="588"/>
      <c r="J118" s="603"/>
      <c r="K118" s="603"/>
      <c r="L118" s="603"/>
      <c r="M118" s="603"/>
      <c r="N118" s="603"/>
      <c r="O118" s="603"/>
      <c r="P118" s="305"/>
      <c r="Q118" s="126" t="str">
        <f t="shared" si="10"/>
        <v>SIN OBSERVACIONES</v>
      </c>
      <c r="R118" s="133"/>
      <c r="S118" s="382"/>
      <c r="T118" s="18"/>
    </row>
    <row r="119" spans="1:20" ht="195" customHeight="1" outlineLevel="1" x14ac:dyDescent="0.3">
      <c r="A119" s="1"/>
      <c r="B119" s="507" t="s">
        <v>83</v>
      </c>
      <c r="C119" s="306"/>
      <c r="D119" s="132" t="s">
        <v>131</v>
      </c>
      <c r="E119" s="588" t="str">
        <f>IFERROR(IF($O$55="NO VALIDA",IF(OR($M$55="NO CUMPLE",$N$55="NO CUMPLE"),[1]RESPUESTAS!$D$8,"SIN OBSERVACIONES"),"SIN OBSERVACIONES"),"")</f>
        <v>SIN OBSERVACIONES</v>
      </c>
      <c r="F119" s="588"/>
      <c r="G119" s="588"/>
      <c r="H119" s="588"/>
      <c r="I119" s="588"/>
      <c r="J119" s="603"/>
      <c r="K119" s="603"/>
      <c r="L119" s="603"/>
      <c r="M119" s="603"/>
      <c r="N119" s="603"/>
      <c r="O119" s="603"/>
      <c r="P119" s="305"/>
      <c r="Q119" s="126" t="str">
        <f t="shared" si="10"/>
        <v>SIN OBSERVACIONES</v>
      </c>
      <c r="R119" s="133"/>
      <c r="S119" s="382"/>
      <c r="T119" s="18"/>
    </row>
    <row r="120" spans="1:20" ht="195" customHeight="1" outlineLevel="1" x14ac:dyDescent="0.3">
      <c r="A120" s="1"/>
      <c r="B120" s="508"/>
      <c r="C120" s="306"/>
      <c r="D120" s="132" t="s">
        <v>132</v>
      </c>
      <c r="E120" s="588" t="str">
        <f>IFERROR(IF($O$55="NO VALIDA",IF(OR($M$55="NO CUMPLE",$N$55="NO CUMPLE"),[1]RESPUESTAS!$D$8,"SIN OBSERVACIONES"),"SIN OBSERVACIONES"),"")</f>
        <v>SIN OBSERVACIONES</v>
      </c>
      <c r="F120" s="588"/>
      <c r="G120" s="588"/>
      <c r="H120" s="588"/>
      <c r="I120" s="588"/>
      <c r="J120" s="603"/>
      <c r="K120" s="603"/>
      <c r="L120" s="603"/>
      <c r="M120" s="603"/>
      <c r="N120" s="603"/>
      <c r="O120" s="603"/>
      <c r="P120" s="305"/>
      <c r="Q120" s="126" t="str">
        <f t="shared" si="10"/>
        <v>SIN OBSERVACIONES</v>
      </c>
      <c r="R120" s="133"/>
      <c r="S120" s="382"/>
      <c r="T120" s="18"/>
    </row>
    <row r="121" spans="1:20" ht="195" customHeight="1" outlineLevel="1" x14ac:dyDescent="0.3">
      <c r="A121" s="1"/>
      <c r="B121" s="509"/>
      <c r="C121" s="306"/>
      <c r="D121" s="132" t="s">
        <v>133</v>
      </c>
      <c r="E121" s="588" t="str">
        <f>IFERROR(IF($O$55="NO VALIDA",IF($K$55&gt;$F$10,[1]RESPUESTAS!$D$10,"SIN OBSERVACIONES"),"SIN OBSERVACIONES"),"")</f>
        <v>SIN OBSERVACIONES</v>
      </c>
      <c r="F121" s="588"/>
      <c r="G121" s="588"/>
      <c r="H121" s="588"/>
      <c r="I121" s="588"/>
      <c r="J121" s="603"/>
      <c r="K121" s="603"/>
      <c r="L121" s="603"/>
      <c r="M121" s="603"/>
      <c r="N121" s="603"/>
      <c r="O121" s="603"/>
      <c r="P121" s="305"/>
      <c r="Q121" s="126" t="str">
        <f t="shared" si="10"/>
        <v>SIN OBSERVACIONES</v>
      </c>
      <c r="R121" s="133"/>
      <c r="S121" s="382"/>
      <c r="T121" s="18"/>
    </row>
    <row r="122" spans="1:20" ht="195" customHeight="1" outlineLevel="1" x14ac:dyDescent="0.3">
      <c r="A122" s="1"/>
      <c r="B122" s="476" t="s">
        <v>84</v>
      </c>
      <c r="C122" s="306"/>
      <c r="D122" s="132" t="s">
        <v>131</v>
      </c>
      <c r="E122" s="588" t="str">
        <f>IFERROR(IF($O$58="NO VALIDA",IF(OR($M$58="NO CUMPLE",$N$58="NO CUMPLE"),[1]RESPUESTAS!$D$8,"SIN OBSERVACIONES"),"SIN OBSERVACIONES"),"")</f>
        <v>SIN OBSERVACIONES</v>
      </c>
      <c r="F122" s="588"/>
      <c r="G122" s="588"/>
      <c r="H122" s="588"/>
      <c r="I122" s="588"/>
      <c r="J122" s="603"/>
      <c r="K122" s="603"/>
      <c r="L122" s="603"/>
      <c r="M122" s="603"/>
      <c r="N122" s="603"/>
      <c r="O122" s="603"/>
      <c r="P122" s="305"/>
      <c r="Q122" s="126" t="str">
        <f t="shared" si="10"/>
        <v>SIN OBSERVACIONES</v>
      </c>
      <c r="R122" s="133"/>
      <c r="S122" s="382"/>
      <c r="T122" s="18"/>
    </row>
    <row r="123" spans="1:20" ht="195" customHeight="1" outlineLevel="1" x14ac:dyDescent="0.3">
      <c r="A123" s="1"/>
      <c r="B123" s="476"/>
      <c r="C123" s="306"/>
      <c r="D123" s="132" t="s">
        <v>132</v>
      </c>
      <c r="E123" s="588" t="str">
        <f>IFERROR(IF($O$58="NO VALIDA",IF(OR($M$58="NO CUMPLE",$N$58="NO CUMPLE"),[1]RESPUESTAS!$D$8,"SIN OBSERVACIONES"),"SIN OBSERVACIONES"),"")</f>
        <v>SIN OBSERVACIONES</v>
      </c>
      <c r="F123" s="588"/>
      <c r="G123" s="588"/>
      <c r="H123" s="588"/>
      <c r="I123" s="588"/>
      <c r="J123" s="603"/>
      <c r="K123" s="603"/>
      <c r="L123" s="603"/>
      <c r="M123" s="603"/>
      <c r="N123" s="603"/>
      <c r="O123" s="603"/>
      <c r="P123" s="305"/>
      <c r="Q123" s="126" t="str">
        <f t="shared" si="10"/>
        <v>SIN OBSERVACIONES</v>
      </c>
      <c r="R123" s="133"/>
      <c r="S123" s="382"/>
      <c r="T123" s="18"/>
    </row>
    <row r="124" spans="1:20" ht="195" customHeight="1" outlineLevel="1" x14ac:dyDescent="0.3">
      <c r="A124" s="1"/>
      <c r="B124" s="477"/>
      <c r="C124" s="306"/>
      <c r="D124" s="132" t="s">
        <v>133</v>
      </c>
      <c r="E124" s="588" t="str">
        <f>IFERROR(IF($O$58="NO VALIDA",IF($K$58&gt;$F$10,[1]RESPUESTAS!$D$10,"SIN OBSERVACIONES"),"SIN OBSERVACIONES"),"")</f>
        <v>SIN OBSERVACIONES</v>
      </c>
      <c r="F124" s="588"/>
      <c r="G124" s="588"/>
      <c r="H124" s="588"/>
      <c r="I124" s="588"/>
      <c r="J124" s="603"/>
      <c r="K124" s="603"/>
      <c r="L124" s="603"/>
      <c r="M124" s="603"/>
      <c r="N124" s="603"/>
      <c r="O124" s="603"/>
      <c r="P124" s="305"/>
      <c r="Q124" s="126" t="str">
        <f t="shared" si="10"/>
        <v>SIN OBSERVACIONES</v>
      </c>
      <c r="R124" s="133"/>
      <c r="S124" s="382"/>
      <c r="T124" s="18"/>
    </row>
    <row r="125" spans="1:20" s="18" customFormat="1" ht="30" customHeight="1" x14ac:dyDescent="0.3">
      <c r="A125" s="1"/>
      <c r="B125" s="387"/>
      <c r="C125" s="306"/>
      <c r="D125" s="388"/>
      <c r="E125" s="363"/>
      <c r="F125" s="363"/>
      <c r="G125" s="363"/>
      <c r="H125" s="363"/>
      <c r="I125" s="363"/>
      <c r="J125" s="389"/>
      <c r="K125" s="389"/>
      <c r="L125" s="389"/>
      <c r="M125" s="389"/>
      <c r="N125" s="389"/>
      <c r="O125" s="389"/>
      <c r="P125" s="305"/>
      <c r="Q125" s="389"/>
      <c r="R125" s="325"/>
      <c r="S125" s="306"/>
    </row>
    <row r="126" spans="1:20" s="19" customFormat="1" ht="66" customHeight="1" x14ac:dyDescent="0.4">
      <c r="A126" s="1"/>
      <c r="B126" s="377" t="s">
        <v>117</v>
      </c>
      <c r="C126" s="378"/>
      <c r="D126" s="585" t="s">
        <v>118</v>
      </c>
      <c r="E126" s="586"/>
      <c r="F126" s="586"/>
      <c r="G126" s="586"/>
      <c r="H126" s="586"/>
      <c r="I126" s="587"/>
      <c r="J126" s="585" t="s">
        <v>119</v>
      </c>
      <c r="K126" s="586"/>
      <c r="L126" s="586"/>
      <c r="M126" s="586"/>
      <c r="N126" s="586"/>
      <c r="O126" s="587"/>
      <c r="P126" s="379"/>
      <c r="Q126" s="380" t="s">
        <v>120</v>
      </c>
      <c r="R126" s="380" t="s">
        <v>121</v>
      </c>
      <c r="S126" s="380" t="s">
        <v>122</v>
      </c>
      <c r="T126" s="18"/>
    </row>
    <row r="127" spans="1:20" s="90" customFormat="1" ht="18" customHeight="1" x14ac:dyDescent="0.25">
      <c r="A127" s="305"/>
      <c r="B127" s="305"/>
      <c r="C127" s="305"/>
      <c r="D127" s="305"/>
      <c r="E127" s="305"/>
      <c r="F127" s="305"/>
      <c r="G127" s="305"/>
      <c r="H127" s="305"/>
      <c r="I127" s="305"/>
      <c r="J127" s="305"/>
      <c r="K127" s="305"/>
      <c r="L127" s="305"/>
      <c r="M127" s="305"/>
      <c r="N127" s="305"/>
      <c r="O127" s="305"/>
      <c r="P127" s="305"/>
      <c r="Q127" s="305"/>
      <c r="R127" s="305"/>
      <c r="S127" s="306"/>
    </row>
    <row r="128" spans="1:20" ht="160.5" customHeight="1" outlineLevel="1" x14ac:dyDescent="0.3">
      <c r="A128" s="1"/>
      <c r="B128" s="390" t="s">
        <v>93</v>
      </c>
      <c r="C128" s="1"/>
      <c r="D128" s="605" t="str">
        <f>IF(EXPERIENCIA!$L$65="CUMPLE","SIN OBSERVACIONES",VLOOKUP(EXPERIENCIA!$B$128,[1]RESPUESTAS!$B$8:$H$75,3,FALSE))</f>
        <v>SIN OBSERVACIONES</v>
      </c>
      <c r="E128" s="606"/>
      <c r="F128" s="606"/>
      <c r="G128" s="606"/>
      <c r="H128" s="606"/>
      <c r="I128" s="606"/>
      <c r="J128" s="576"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6"/>
      <c r="L128" s="576"/>
      <c r="M128" s="576"/>
      <c r="N128" s="576"/>
      <c r="O128" s="576"/>
      <c r="P128" s="31"/>
      <c r="Q128" s="126" t="str">
        <f>IF($D128="sin observaciones","SIN OBSERVACIONES","SUBSANAR DOCUMENTO")</f>
        <v>SIN OBSERVACIONES</v>
      </c>
      <c r="R128" s="133"/>
      <c r="S128" s="382"/>
      <c r="T128" s="18"/>
    </row>
    <row r="129" spans="1:20" ht="245.25" customHeight="1" outlineLevel="1" x14ac:dyDescent="0.3">
      <c r="A129" s="1"/>
      <c r="B129" s="390" t="s">
        <v>95</v>
      </c>
      <c r="C129" s="1"/>
      <c r="D129" s="605" t="str">
        <f>IF(EXPERIENCIA!$L$66="CUMPLE","SIN OBSERVACIONES",VLOOKUP(EXPERIENCIA!$B$129,[1]RESPUESTAS!$B$8:$H$75,3,FALSE))</f>
        <v>SIN OBSERVACIONES</v>
      </c>
      <c r="E129" s="606"/>
      <c r="F129" s="606"/>
      <c r="G129" s="606"/>
      <c r="H129" s="606"/>
      <c r="I129" s="606"/>
      <c r="J129" s="576"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6"/>
      <c r="L129" s="576"/>
      <c r="M129" s="576"/>
      <c r="N129" s="576"/>
      <c r="O129" s="576"/>
      <c r="P129" s="31"/>
      <c r="Q129" s="126" t="str">
        <f t="shared" ref="Q129:Q133" si="11">IF($D129="sin observaciones","SIN OBSERVACIONES","SUBSANAR DOCUMENTO")</f>
        <v>SIN OBSERVACIONES</v>
      </c>
      <c r="R129" s="133"/>
      <c r="S129" s="382"/>
      <c r="T129" s="18"/>
    </row>
    <row r="130" spans="1:20" ht="114.75" customHeight="1" outlineLevel="1" x14ac:dyDescent="0.3">
      <c r="A130" s="1"/>
      <c r="B130" s="390" t="s">
        <v>134</v>
      </c>
      <c r="C130" s="1"/>
      <c r="D130" s="605" t="str">
        <f>IF(EXPERIENCIA!$L$67="CUMPLE","SIN OBSERVACIONES",VLOOKUP(EXPERIENCIA!$B$130,[1]RESPUESTAS!$B$8:$H$75,3,FALSE))</f>
        <v>SIN OBSERVACIONES</v>
      </c>
      <c r="E130" s="606"/>
      <c r="F130" s="606"/>
      <c r="G130" s="606"/>
      <c r="H130" s="606"/>
      <c r="I130" s="606"/>
      <c r="J130" s="576"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6"/>
      <c r="L130" s="576"/>
      <c r="M130" s="576"/>
      <c r="N130" s="576"/>
      <c r="O130" s="576"/>
      <c r="P130" s="31"/>
      <c r="Q130" s="126" t="str">
        <f t="shared" si="11"/>
        <v>SIN OBSERVACIONES</v>
      </c>
      <c r="R130" s="133"/>
      <c r="S130" s="382"/>
      <c r="T130" s="18"/>
    </row>
    <row r="131" spans="1:20" ht="144.75" customHeight="1" outlineLevel="1" x14ac:dyDescent="0.3">
      <c r="A131" s="1"/>
      <c r="B131" s="391" t="s">
        <v>135</v>
      </c>
      <c r="C131" s="1"/>
      <c r="D131" s="605" t="str">
        <f>IF(EXPERIENCIA!$L$68="CUMPLE","SIN OBSERVACIONES",VLOOKUP(EXPERIENCIA!$B$131,[1]RESPUESTAS!$B$8:$H$75,3,FALSE))</f>
        <v>SIN OBSERVACIONES</v>
      </c>
      <c r="E131" s="606"/>
      <c r="F131" s="606"/>
      <c r="G131" s="606"/>
      <c r="H131" s="606"/>
      <c r="I131" s="606"/>
      <c r="J131" s="576"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6"/>
      <c r="L131" s="576"/>
      <c r="M131" s="576"/>
      <c r="N131" s="576"/>
      <c r="O131" s="576"/>
      <c r="P131" s="31"/>
      <c r="Q131" s="126" t="str">
        <f t="shared" si="11"/>
        <v>SIN OBSERVACIONES</v>
      </c>
      <c r="R131" s="133"/>
      <c r="S131" s="382"/>
      <c r="T131" s="18"/>
    </row>
    <row r="132" spans="1:20" ht="409.5" customHeight="1" outlineLevel="1" x14ac:dyDescent="0.3">
      <c r="A132" s="1"/>
      <c r="B132" s="390" t="s">
        <v>101</v>
      </c>
      <c r="C132" s="1"/>
      <c r="D132" s="605" t="str">
        <f>IF(EXPERIENCIA!$L$69="CUMPLE","SIN OBSERVACIONES",VLOOKUP(EXPERIENCIA!$B$132,[1]RESPUESTAS!$B$8:$H$75,3,FALSE))</f>
        <v>SIN OBSERVACIONES</v>
      </c>
      <c r="E132" s="606"/>
      <c r="F132" s="606"/>
      <c r="G132" s="606"/>
      <c r="H132" s="606"/>
      <c r="I132" s="606"/>
      <c r="J132" s="576"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6"/>
      <c r="L132" s="576"/>
      <c r="M132" s="576"/>
      <c r="N132" s="576"/>
      <c r="O132" s="576"/>
      <c r="P132" s="31"/>
      <c r="Q132" s="126" t="str">
        <f t="shared" si="11"/>
        <v>SIN OBSERVACIONES</v>
      </c>
      <c r="R132" s="133"/>
      <c r="S132" s="382"/>
      <c r="T132" s="18"/>
    </row>
    <row r="133" spans="1:20" ht="314.25" customHeight="1" outlineLevel="1" x14ac:dyDescent="0.3">
      <c r="A133" s="1"/>
      <c r="B133" s="390" t="s">
        <v>103</v>
      </c>
      <c r="C133" s="1"/>
      <c r="D133" s="605" t="str">
        <f>IF(EXPERIENCIA!$L$70="CUMPLE","SIN OBSERVACIONES",VLOOKUP(EXPERIENCIA!$B$133,[1]RESPUESTAS!$B$8:$H$75,3,FALSE))</f>
        <v>SIN OBSERVACIONES</v>
      </c>
      <c r="E133" s="606"/>
      <c r="F133" s="606"/>
      <c r="G133" s="606"/>
      <c r="H133" s="606"/>
      <c r="I133" s="606"/>
      <c r="J133" s="576"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6"/>
      <c r="L133" s="576"/>
      <c r="M133" s="576"/>
      <c r="N133" s="576"/>
      <c r="O133" s="576"/>
      <c r="P133" s="31"/>
      <c r="Q133" s="126" t="str">
        <f t="shared" si="11"/>
        <v>SIN OBSERVACIONES</v>
      </c>
      <c r="R133" s="133"/>
      <c r="S133" s="382"/>
      <c r="T133" s="18"/>
    </row>
    <row r="134" spans="1:20" s="134" customFormat="1" ht="15" customHeight="1" x14ac:dyDescent="0.3">
      <c r="A134" s="392"/>
      <c r="B134" s="392"/>
      <c r="C134" s="392"/>
      <c r="D134" s="392"/>
      <c r="E134" s="392"/>
      <c r="F134" s="392"/>
      <c r="G134" s="392"/>
      <c r="H134" s="392"/>
      <c r="I134" s="392"/>
      <c r="J134" s="392"/>
      <c r="K134" s="392"/>
      <c r="L134" s="392"/>
      <c r="M134" s="392"/>
      <c r="N134" s="392"/>
      <c r="O134" s="392"/>
      <c r="P134" s="393"/>
      <c r="Q134" s="392"/>
      <c r="R134" s="392"/>
      <c r="S134" s="392"/>
      <c r="T134" s="18"/>
    </row>
    <row r="135" spans="1:20" ht="15" customHeight="1" x14ac:dyDescent="0.3">
      <c r="A135" s="1"/>
      <c r="B135" s="17"/>
      <c r="C135" s="17"/>
      <c r="D135" s="17"/>
      <c r="E135" s="17"/>
      <c r="F135" s="17"/>
      <c r="G135" s="17"/>
      <c r="H135" s="17"/>
      <c r="I135" s="17"/>
      <c r="J135" s="17"/>
      <c r="K135" s="17"/>
      <c r="L135" s="17"/>
      <c r="M135" s="17"/>
      <c r="N135" s="17"/>
      <c r="O135" s="17"/>
      <c r="P135" s="394"/>
      <c r="Q135" s="17"/>
      <c r="R135" s="17"/>
      <c r="S135" s="17"/>
      <c r="T135" s="18"/>
    </row>
    <row r="136" spans="1:20" ht="15" customHeight="1" x14ac:dyDescent="0.3">
      <c r="A136" s="1"/>
      <c r="B136" s="17"/>
      <c r="C136" s="17"/>
      <c r="D136" s="17"/>
      <c r="E136" s="17"/>
      <c r="F136" s="17"/>
      <c r="G136" s="17"/>
      <c r="H136" s="17"/>
      <c r="I136" s="17"/>
      <c r="J136" s="17"/>
      <c r="K136" s="17"/>
      <c r="L136" s="17"/>
      <c r="M136" s="17"/>
      <c r="N136" s="17"/>
      <c r="O136" s="17"/>
      <c r="P136" s="394"/>
      <c r="Q136" s="17"/>
      <c r="R136" s="17"/>
      <c r="S136" s="17"/>
      <c r="T136" s="18"/>
    </row>
    <row r="137" spans="1:20" ht="15" customHeight="1" x14ac:dyDescent="0.3">
      <c r="A137" s="1"/>
      <c r="B137" s="17"/>
      <c r="C137" s="17"/>
      <c r="D137" s="17"/>
      <c r="E137" s="17"/>
      <c r="F137" s="17"/>
      <c r="G137" s="17"/>
      <c r="H137" s="17"/>
      <c r="I137" s="17"/>
      <c r="J137" s="17"/>
      <c r="K137" s="17"/>
      <c r="L137" s="17"/>
      <c r="M137" s="17"/>
      <c r="N137" s="17"/>
      <c r="O137" s="17"/>
      <c r="P137" s="394"/>
      <c r="Q137" s="17"/>
      <c r="R137" s="17"/>
      <c r="S137" s="17"/>
      <c r="T137" s="18"/>
    </row>
    <row r="138" spans="1:20" ht="15" customHeight="1" x14ac:dyDescent="0.3">
      <c r="A138" s="1"/>
      <c r="B138" s="17"/>
      <c r="C138" s="17"/>
      <c r="D138" s="17"/>
      <c r="E138" s="17"/>
      <c r="F138" s="17"/>
      <c r="G138" s="17"/>
      <c r="H138" s="17"/>
      <c r="I138" s="17"/>
      <c r="J138" s="17"/>
      <c r="K138" s="17"/>
      <c r="L138" s="17"/>
      <c r="M138" s="17"/>
      <c r="N138" s="17"/>
      <c r="O138" s="17"/>
      <c r="P138" s="394"/>
      <c r="Q138" s="17"/>
      <c r="R138" s="17"/>
      <c r="S138" s="17"/>
      <c r="T138" s="18"/>
    </row>
    <row r="139" spans="1:20" ht="15" customHeight="1" x14ac:dyDescent="0.3">
      <c r="A139" s="1"/>
      <c r="B139" s="17"/>
      <c r="C139" s="17"/>
      <c r="D139" s="17"/>
      <c r="E139" s="17"/>
      <c r="F139" s="17"/>
      <c r="G139" s="17"/>
      <c r="H139" s="17"/>
      <c r="I139" s="17"/>
      <c r="J139" s="17"/>
      <c r="K139" s="17"/>
      <c r="L139" s="17"/>
      <c r="M139" s="17"/>
      <c r="N139" s="17"/>
      <c r="O139" s="17"/>
      <c r="P139" s="394"/>
      <c r="Q139" s="17"/>
      <c r="R139" s="17"/>
      <c r="S139" s="17"/>
      <c r="T139" s="18"/>
    </row>
    <row r="140" spans="1:20" ht="15" customHeight="1" x14ac:dyDescent="0.3">
      <c r="A140" s="1"/>
      <c r="B140" s="17"/>
      <c r="C140" s="17"/>
      <c r="D140" s="17"/>
      <c r="E140" s="17"/>
      <c r="F140" s="17"/>
      <c r="G140" s="17"/>
      <c r="H140" s="17"/>
      <c r="I140" s="17"/>
      <c r="J140" s="17"/>
      <c r="K140" s="17"/>
      <c r="L140" s="17"/>
      <c r="M140" s="17"/>
      <c r="N140" s="17"/>
      <c r="O140" s="17"/>
      <c r="P140" s="394"/>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394"/>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394"/>
      <c r="Q142" s="17"/>
      <c r="R142" s="17"/>
      <c r="S142" s="17"/>
    </row>
  </sheetData>
  <sheetProtection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79" zoomScale="85" zoomScaleNormal="100" zoomScaleSheetLayoutView="85" workbookViewId="0">
      <selection activeCell="R35" sqref="R35"/>
    </sheetView>
  </sheetViews>
  <sheetFormatPr baseColWidth="10" defaultColWidth="14.42578125" defaultRowHeight="15" customHeight="1" x14ac:dyDescent="0.2"/>
  <cols>
    <col min="1" max="1" width="42.7109375" style="137" customWidth="1"/>
    <col min="2" max="2" width="30.7109375" style="137" customWidth="1"/>
    <col min="3" max="3" width="37.140625" style="137" customWidth="1"/>
    <col min="4" max="4" width="24.5703125" style="137" customWidth="1"/>
    <col min="5" max="5" width="27.140625" style="137" customWidth="1"/>
    <col min="6" max="6" width="25.7109375" style="137" customWidth="1"/>
    <col min="7" max="7" width="20.28515625" style="137" customWidth="1"/>
    <col min="8" max="8" width="20.85546875" style="137" customWidth="1"/>
    <col min="9" max="9" width="4.85546875" style="139" customWidth="1"/>
    <col min="10" max="10" width="40.85546875" style="137" bestFit="1" customWidth="1"/>
    <col min="11" max="29" width="10.7109375" style="137" customWidth="1"/>
    <col min="30" max="16384" width="14.42578125" style="137"/>
  </cols>
  <sheetData>
    <row r="1" spans="1:12" ht="98.25" customHeight="1" x14ac:dyDescent="0.2">
      <c r="A1" s="395"/>
      <c r="B1" s="610" t="s">
        <v>136</v>
      </c>
      <c r="C1" s="610"/>
      <c r="D1" s="610"/>
      <c r="E1" s="610"/>
      <c r="F1" s="610"/>
      <c r="G1" s="611" t="str">
        <f>+[1]OFERENTES!C2</f>
        <v>MC-LP-010-2024</v>
      </c>
      <c r="H1" s="611"/>
      <c r="I1" s="396"/>
      <c r="J1" s="135"/>
      <c r="K1" s="136">
        <v>1</v>
      </c>
      <c r="L1" s="136" t="s">
        <v>137</v>
      </c>
    </row>
    <row r="2" spans="1:12" s="139" customFormat="1" ht="16.5" customHeight="1" x14ac:dyDescent="0.2">
      <c r="A2" s="396"/>
      <c r="B2" s="396"/>
      <c r="C2" s="396"/>
      <c r="D2" s="396"/>
      <c r="E2" s="395"/>
      <c r="F2" s="396"/>
      <c r="G2" s="396"/>
      <c r="H2" s="396"/>
      <c r="I2" s="396"/>
      <c r="J2" s="138" t="s">
        <v>138</v>
      </c>
      <c r="K2" s="138">
        <v>2</v>
      </c>
      <c r="L2" s="138" t="s">
        <v>139</v>
      </c>
    </row>
    <row r="3" spans="1:12" ht="40.5" customHeight="1" x14ac:dyDescent="0.2">
      <c r="A3" s="397" t="s">
        <v>140</v>
      </c>
      <c r="B3" s="301">
        <f>+EXPERIENCIA!D15</f>
        <v>69</v>
      </c>
      <c r="C3" s="398" t="s">
        <v>141</v>
      </c>
      <c r="D3" s="612" t="str">
        <f>IF($B$3&gt;0,(VLOOKUP($B$3,[1]OFERENTES!$A$8:$W$1027,2,FALSE)),"")</f>
        <v>UNIÓN TEMPORAL MINCULTURA PYT</v>
      </c>
      <c r="E3" s="613"/>
      <c r="F3" s="399" t="s">
        <v>2</v>
      </c>
      <c r="G3" s="612" t="str">
        <f>IFERROR(VLOOKUP($B$3,[1]OFERENTES!$A$8:$AA$1027,26,FALSE),"")</f>
        <v>Proponente Plural</v>
      </c>
      <c r="H3" s="613"/>
      <c r="I3" s="396"/>
    </row>
    <row r="4" spans="1:12" ht="17.25" customHeight="1" x14ac:dyDescent="0.2">
      <c r="A4" s="397"/>
      <c r="B4" s="397"/>
      <c r="C4" s="397"/>
      <c r="D4" s="397"/>
      <c r="E4" s="397"/>
      <c r="F4" s="397"/>
      <c r="G4" s="397"/>
      <c r="H4" s="397"/>
      <c r="I4" s="396"/>
    </row>
    <row r="5" spans="1:12" ht="40.5" customHeight="1" x14ac:dyDescent="0.2">
      <c r="A5" s="397"/>
      <c r="B5" s="397"/>
      <c r="C5" s="397"/>
      <c r="D5" s="397"/>
      <c r="E5" s="397"/>
      <c r="F5" s="140" t="s">
        <v>142</v>
      </c>
      <c r="G5" s="614" t="str">
        <f>IFERROR(VLOOKUP($B$3,[1]OFERENTES!$A$8:$S$31,19,FALSE),"")</f>
        <v/>
      </c>
      <c r="H5" s="615"/>
      <c r="I5" s="396"/>
    </row>
    <row r="6" spans="1:12" s="139" customFormat="1" ht="12" customHeight="1" x14ac:dyDescent="0.2">
      <c r="A6" s="400"/>
      <c r="B6" s="400"/>
      <c r="C6" s="400"/>
      <c r="D6" s="400"/>
      <c r="E6" s="400"/>
      <c r="F6" s="400"/>
      <c r="G6" s="400"/>
      <c r="H6" s="400"/>
      <c r="I6" s="396"/>
    </row>
    <row r="7" spans="1:12" ht="31.5" customHeight="1" x14ac:dyDescent="0.3">
      <c r="A7" s="616" t="s">
        <v>143</v>
      </c>
      <c r="B7" s="616"/>
      <c r="C7" s="616"/>
      <c r="D7" s="616"/>
      <c r="E7" s="617"/>
      <c r="F7" s="617"/>
      <c r="G7" s="617"/>
      <c r="H7" s="617"/>
      <c r="I7" s="396"/>
    </row>
    <row r="8" spans="1:12" ht="51.75" customHeight="1" x14ac:dyDescent="0.2">
      <c r="A8" s="618" t="s">
        <v>144</v>
      </c>
      <c r="B8" s="618"/>
      <c r="C8" s="618"/>
      <c r="D8" s="618"/>
      <c r="E8" s="618"/>
      <c r="F8" s="402" t="s">
        <v>145</v>
      </c>
      <c r="G8" s="403" t="s">
        <v>146</v>
      </c>
      <c r="H8" s="403" t="s">
        <v>147</v>
      </c>
      <c r="I8" s="396"/>
    </row>
    <row r="9" spans="1:12" ht="36" customHeight="1" x14ac:dyDescent="0.2">
      <c r="A9" s="608" t="s">
        <v>148</v>
      </c>
      <c r="B9" s="608"/>
      <c r="C9" s="608"/>
      <c r="D9" s="608"/>
      <c r="E9" s="619"/>
      <c r="F9" s="141" t="s">
        <v>6</v>
      </c>
      <c r="G9" s="404">
        <v>10</v>
      </c>
      <c r="H9" s="620">
        <f>IF(AND($F$9="SI",$F$10="NO")=TRUE,G9,IF(AND($F$9="si",$F$10="si"),$G$9-$G$10,0))</f>
        <v>10</v>
      </c>
      <c r="I9" s="396"/>
    </row>
    <row r="10" spans="1:12" ht="61.5" customHeight="1" x14ac:dyDescent="0.2">
      <c r="A10" s="608" t="s">
        <v>149</v>
      </c>
      <c r="B10" s="608"/>
      <c r="C10" s="608"/>
      <c r="D10" s="608"/>
      <c r="E10" s="406" t="s">
        <v>150</v>
      </c>
      <c r="F10" s="141" t="s">
        <v>151</v>
      </c>
      <c r="G10" s="404">
        <v>1</v>
      </c>
      <c r="H10" s="620"/>
      <c r="I10" s="396"/>
      <c r="J10" s="142" t="s">
        <v>150</v>
      </c>
    </row>
    <row r="11" spans="1:12" ht="409.5" customHeight="1" x14ac:dyDescent="0.2">
      <c r="A11" s="621"/>
      <c r="B11" s="622"/>
      <c r="C11" s="622"/>
      <c r="D11" s="622"/>
      <c r="E11" s="622"/>
      <c r="F11" s="622"/>
      <c r="G11" s="622"/>
      <c r="H11" s="623"/>
      <c r="I11" s="396"/>
      <c r="J11" s="142"/>
    </row>
    <row r="12" spans="1:12" ht="82.5" customHeight="1" x14ac:dyDescent="0.2">
      <c r="A12" s="607" t="s">
        <v>152</v>
      </c>
      <c r="B12" s="408" t="s">
        <v>153</v>
      </c>
      <c r="C12" s="608" t="str">
        <f>IF($F$9="NO",[1]RESPUESTAS!$D$19,[1]RESPUESTAS!$C$19)</f>
        <v>SIN OBSERVACIONES</v>
      </c>
      <c r="D12" s="608"/>
      <c r="E12" s="608"/>
      <c r="F12" s="608"/>
      <c r="G12" s="608"/>
      <c r="H12" s="608"/>
      <c r="I12" s="396"/>
    </row>
    <row r="13" spans="1:12" ht="82.5" customHeight="1" x14ac:dyDescent="0.2">
      <c r="A13" s="607"/>
      <c r="B13" s="408" t="s">
        <v>154</v>
      </c>
      <c r="C13" s="608" t="str">
        <f>IF($F$10="SI",[1]RESPUESTAS!$E$19,[1]RESPUESTAS!$C$19)</f>
        <v>SIN OBSERVACIONES</v>
      </c>
      <c r="D13" s="608"/>
      <c r="E13" s="608"/>
      <c r="F13" s="608"/>
      <c r="G13" s="608"/>
      <c r="H13" s="608"/>
      <c r="I13" s="396"/>
    </row>
    <row r="14" spans="1:12" ht="236.25" customHeight="1" x14ac:dyDescent="0.2">
      <c r="A14" s="607"/>
      <c r="B14" s="409" t="s">
        <v>155</v>
      </c>
      <c r="C14" s="609"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9"/>
      <c r="E14" s="609"/>
      <c r="F14" s="609"/>
      <c r="G14" s="609"/>
      <c r="H14" s="609"/>
      <c r="I14" s="396"/>
    </row>
    <row r="15" spans="1:12" s="139" customFormat="1" ht="86.25" customHeight="1" x14ac:dyDescent="0.2">
      <c r="A15" s="624"/>
      <c r="B15" s="625"/>
      <c r="C15" s="625"/>
      <c r="D15" s="625"/>
      <c r="E15" s="625"/>
      <c r="F15" s="625"/>
      <c r="G15" s="625"/>
      <c r="H15" s="625"/>
      <c r="I15" s="625"/>
    </row>
    <row r="16" spans="1:12" ht="32.25" customHeight="1" x14ac:dyDescent="0.3">
      <c r="A16" s="616" t="s">
        <v>156</v>
      </c>
      <c r="B16" s="616"/>
      <c r="C16" s="616"/>
      <c r="D16" s="616"/>
      <c r="E16" s="617"/>
      <c r="F16" s="617"/>
      <c r="G16" s="617"/>
      <c r="H16" s="617"/>
      <c r="I16" s="396"/>
    </row>
    <row r="17" spans="1:9" ht="52.5" customHeight="1" x14ac:dyDescent="0.2">
      <c r="A17" s="618" t="s">
        <v>144</v>
      </c>
      <c r="B17" s="618"/>
      <c r="C17" s="618"/>
      <c r="D17" s="618"/>
      <c r="E17" s="618"/>
      <c r="F17" s="402" t="s">
        <v>145</v>
      </c>
      <c r="G17" s="403" t="s">
        <v>146</v>
      </c>
      <c r="H17" s="403" t="s">
        <v>147</v>
      </c>
      <c r="I17" s="396"/>
    </row>
    <row r="18" spans="1:9" ht="148.5" customHeight="1" x14ac:dyDescent="0.2">
      <c r="A18" s="626" t="s">
        <v>157</v>
      </c>
      <c r="B18" s="626"/>
      <c r="C18" s="626"/>
      <c r="D18" s="626"/>
      <c r="E18" s="626"/>
      <c r="F18" s="141" t="s">
        <v>6</v>
      </c>
      <c r="G18" s="404">
        <v>9</v>
      </c>
      <c r="H18" s="405">
        <f>IF(F18="SI",9,0)</f>
        <v>9</v>
      </c>
      <c r="I18" s="396"/>
    </row>
    <row r="19" spans="1:9" ht="50.25" customHeight="1" x14ac:dyDescent="0.2">
      <c r="A19" s="618" t="s">
        <v>152</v>
      </c>
      <c r="B19" s="410" t="s">
        <v>158</v>
      </c>
      <c r="C19" s="608" t="str">
        <f>IF($F$18="NO",[1]RESPUESTAS!$D$20,[1]RESPUESTAS!$C$20)</f>
        <v>SIN OBSERVACIONES</v>
      </c>
      <c r="D19" s="608"/>
      <c r="E19" s="608"/>
      <c r="F19" s="608"/>
      <c r="G19" s="608"/>
      <c r="H19" s="608"/>
      <c r="I19" s="396"/>
    </row>
    <row r="20" spans="1:9" ht="144" customHeight="1" x14ac:dyDescent="0.2">
      <c r="A20" s="618"/>
      <c r="B20" s="409" t="s">
        <v>155</v>
      </c>
      <c r="C20" s="609"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9"/>
      <c r="E20" s="609"/>
      <c r="F20" s="609"/>
      <c r="G20" s="609"/>
      <c r="H20" s="609"/>
      <c r="I20" s="396"/>
    </row>
    <row r="21" spans="1:9" s="143" customFormat="1" ht="84" customHeight="1" x14ac:dyDescent="0.2">
      <c r="A21" s="628"/>
      <c r="B21" s="629"/>
      <c r="C21" s="629"/>
      <c r="D21" s="629"/>
      <c r="E21" s="629"/>
      <c r="F21" s="629"/>
      <c r="G21" s="629"/>
      <c r="H21" s="629"/>
      <c r="I21" s="629"/>
    </row>
    <row r="22" spans="1:9" ht="27" customHeight="1" x14ac:dyDescent="0.25">
      <c r="A22" s="618" t="s">
        <v>159</v>
      </c>
      <c r="B22" s="618"/>
      <c r="C22" s="618"/>
      <c r="D22" s="618"/>
      <c r="E22" s="630"/>
      <c r="F22" s="630"/>
      <c r="G22" s="630"/>
      <c r="H22" s="630"/>
      <c r="I22" s="396"/>
    </row>
    <row r="23" spans="1:9" ht="53.25" customHeight="1" x14ac:dyDescent="0.25">
      <c r="A23" s="607" t="s">
        <v>160</v>
      </c>
      <c r="B23" s="631"/>
      <c r="C23" s="631"/>
      <c r="D23" s="631"/>
      <c r="E23" s="632"/>
      <c r="F23" s="402" t="s">
        <v>145</v>
      </c>
      <c r="G23" s="403" t="s">
        <v>146</v>
      </c>
      <c r="H23" s="403" t="s">
        <v>147</v>
      </c>
      <c r="I23" s="396"/>
    </row>
    <row r="24" spans="1:9" ht="41.25" customHeight="1" x14ac:dyDescent="0.2">
      <c r="A24" s="633" t="s">
        <v>161</v>
      </c>
      <c r="B24" s="633"/>
      <c r="C24" s="633"/>
      <c r="D24" s="633"/>
      <c r="E24" s="633"/>
      <c r="F24" s="141" t="s">
        <v>6</v>
      </c>
      <c r="G24" s="634">
        <v>20</v>
      </c>
      <c r="H24" s="620">
        <f>IF($F$42="SI",$G$42,IF(AND($F$28="SI",$F$24="SI",COUNTIF($F$25:$F$27,"SI")&gt;=1,$F$29="SI"),$F$30,IF(AND($F$28="NO",$F$24="SI",COUNTIF($F$25:$F$27,"SI")&gt;=1),20,0)))</f>
        <v>20</v>
      </c>
      <c r="I24" s="396"/>
    </row>
    <row r="25" spans="1:9" ht="35.25" customHeight="1" x14ac:dyDescent="0.2">
      <c r="A25" s="635" t="s">
        <v>162</v>
      </c>
      <c r="B25" s="635"/>
      <c r="C25" s="635"/>
      <c r="D25" s="635"/>
      <c r="E25" s="635"/>
      <c r="F25" s="141"/>
      <c r="G25" s="634"/>
      <c r="H25" s="620"/>
      <c r="I25" s="396"/>
    </row>
    <row r="26" spans="1:9" ht="35.25" customHeight="1" x14ac:dyDescent="0.2">
      <c r="A26" s="635" t="s">
        <v>163</v>
      </c>
      <c r="B26" s="635"/>
      <c r="C26" s="635"/>
      <c r="D26" s="635"/>
      <c r="E26" s="635"/>
      <c r="F26" s="141"/>
      <c r="G26" s="634"/>
      <c r="H26" s="620"/>
      <c r="I26" s="396"/>
    </row>
    <row r="27" spans="1:9" ht="35.25" customHeight="1" x14ac:dyDescent="0.2">
      <c r="A27" s="635" t="s">
        <v>164</v>
      </c>
      <c r="B27" s="635"/>
      <c r="C27" s="635"/>
      <c r="D27" s="635"/>
      <c r="E27" s="635"/>
      <c r="F27" s="141" t="s">
        <v>6</v>
      </c>
      <c r="G27" s="634"/>
      <c r="H27" s="620"/>
      <c r="I27" s="396"/>
    </row>
    <row r="28" spans="1:9" ht="38.25" customHeight="1" x14ac:dyDescent="0.25">
      <c r="A28" s="633" t="s">
        <v>165</v>
      </c>
      <c r="B28" s="633"/>
      <c r="C28" s="633"/>
      <c r="D28" s="633"/>
      <c r="E28" s="636"/>
      <c r="F28" s="411" t="s">
        <v>6</v>
      </c>
      <c r="G28" s="634"/>
      <c r="H28" s="620"/>
      <c r="I28" s="396"/>
    </row>
    <row r="29" spans="1:9" ht="38.25" customHeight="1" x14ac:dyDescent="0.25">
      <c r="A29" s="637" t="s">
        <v>166</v>
      </c>
      <c r="B29" s="637"/>
      <c r="C29" s="637"/>
      <c r="D29" s="637"/>
      <c r="E29" s="638"/>
      <c r="F29" s="144" t="s">
        <v>6</v>
      </c>
      <c r="G29" s="634"/>
      <c r="H29" s="620"/>
      <c r="I29" s="396"/>
    </row>
    <row r="30" spans="1:9" ht="47.25" x14ac:dyDescent="0.2">
      <c r="A30" s="413" t="s">
        <v>167</v>
      </c>
      <c r="B30" s="414">
        <f>COUNTA(B34:D41)</f>
        <v>3</v>
      </c>
      <c r="C30" s="413" t="s">
        <v>168</v>
      </c>
      <c r="D30" s="414">
        <f>COUNTIF($F$34:$F$41,"SI")</f>
        <v>3</v>
      </c>
      <c r="E30" s="415" t="s">
        <v>169</v>
      </c>
      <c r="F30" s="414">
        <f>(IF(F34="SI",E34,0))+(IF(F35="SI",E35,0))+(IF(F36="SI",E36,0))+(IF(F37="SI",E37,0))</f>
        <v>20</v>
      </c>
      <c r="G30" s="634"/>
      <c r="H30" s="620"/>
      <c r="I30" s="396"/>
    </row>
    <row r="31" spans="1:9" ht="38.25" customHeight="1" x14ac:dyDescent="0.2">
      <c r="A31" s="607" t="s">
        <v>170</v>
      </c>
      <c r="B31" s="607"/>
      <c r="C31" s="607"/>
      <c r="D31" s="607"/>
      <c r="E31" s="607"/>
      <c r="F31" s="607"/>
      <c r="G31" s="634"/>
      <c r="H31" s="620"/>
      <c r="I31" s="396"/>
    </row>
    <row r="32" spans="1:9" ht="339.75" customHeight="1" x14ac:dyDescent="0.2">
      <c r="A32" s="639"/>
      <c r="B32" s="640"/>
      <c r="C32" s="640"/>
      <c r="D32" s="640"/>
      <c r="E32" s="640"/>
      <c r="F32" s="641"/>
      <c r="G32" s="634"/>
      <c r="H32" s="620"/>
      <c r="I32" s="396"/>
    </row>
    <row r="33" spans="1:9" ht="31.5" x14ac:dyDescent="0.2">
      <c r="A33" s="416" t="s">
        <v>171</v>
      </c>
      <c r="B33" s="642" t="s">
        <v>172</v>
      </c>
      <c r="C33" s="642"/>
      <c r="D33" s="642"/>
      <c r="E33" s="416" t="s">
        <v>173</v>
      </c>
      <c r="F33" s="417" t="s">
        <v>174</v>
      </c>
      <c r="G33" s="634"/>
      <c r="H33" s="620"/>
      <c r="I33" s="396"/>
    </row>
    <row r="34" spans="1:9" ht="25.5" customHeight="1" x14ac:dyDescent="0.2">
      <c r="A34" s="413" t="s">
        <v>175</v>
      </c>
      <c r="B34" s="627" t="s">
        <v>176</v>
      </c>
      <c r="C34" s="627"/>
      <c r="D34" s="627"/>
      <c r="E34" s="418">
        <v>8.4700000000000006</v>
      </c>
      <c r="F34" s="141" t="s">
        <v>6</v>
      </c>
      <c r="G34" s="634"/>
      <c r="H34" s="620"/>
      <c r="I34" s="396"/>
    </row>
    <row r="35" spans="1:9" ht="34.5" customHeight="1" x14ac:dyDescent="0.2">
      <c r="A35" s="413" t="s">
        <v>177</v>
      </c>
      <c r="B35" s="627" t="s">
        <v>178</v>
      </c>
      <c r="C35" s="627"/>
      <c r="D35" s="627"/>
      <c r="E35" s="418">
        <v>8.4700000000000006</v>
      </c>
      <c r="F35" s="141" t="s">
        <v>6</v>
      </c>
      <c r="G35" s="634"/>
      <c r="H35" s="620"/>
      <c r="I35" s="396"/>
    </row>
    <row r="36" spans="1:9" ht="25.5" customHeight="1" x14ac:dyDescent="0.2">
      <c r="A36" s="413">
        <v>3</v>
      </c>
      <c r="B36" s="627" t="s">
        <v>179</v>
      </c>
      <c r="C36" s="627"/>
      <c r="D36" s="627"/>
      <c r="E36" s="418">
        <v>3.06</v>
      </c>
      <c r="F36" s="141" t="s">
        <v>6</v>
      </c>
      <c r="G36" s="634"/>
      <c r="H36" s="620"/>
      <c r="I36" s="396"/>
    </row>
    <row r="37" spans="1:9" ht="25.5" hidden="1" customHeight="1" x14ac:dyDescent="0.2">
      <c r="A37" s="413"/>
      <c r="B37" s="627"/>
      <c r="C37" s="627"/>
      <c r="D37" s="627"/>
      <c r="E37" s="418"/>
      <c r="F37" s="145"/>
      <c r="G37" s="634"/>
      <c r="H37" s="620"/>
      <c r="I37" s="396"/>
    </row>
    <row r="38" spans="1:9" ht="25.5" hidden="1" customHeight="1" x14ac:dyDescent="0.2">
      <c r="A38" s="413"/>
      <c r="B38" s="627"/>
      <c r="C38" s="627"/>
      <c r="D38" s="627"/>
      <c r="E38" s="418"/>
      <c r="F38" s="145"/>
      <c r="G38" s="634"/>
      <c r="H38" s="620"/>
      <c r="I38" s="396"/>
    </row>
    <row r="39" spans="1:9" ht="25.5" hidden="1" customHeight="1" x14ac:dyDescent="0.2">
      <c r="A39" s="413"/>
      <c r="B39" s="627"/>
      <c r="C39" s="627"/>
      <c r="D39" s="627"/>
      <c r="E39" s="418"/>
      <c r="F39" s="145"/>
      <c r="G39" s="634"/>
      <c r="H39" s="620"/>
      <c r="I39" s="396"/>
    </row>
    <row r="40" spans="1:9" ht="25.5" hidden="1" customHeight="1" x14ac:dyDescent="0.2">
      <c r="A40" s="413"/>
      <c r="B40" s="627"/>
      <c r="C40" s="627"/>
      <c r="D40" s="627"/>
      <c r="E40" s="418"/>
      <c r="F40" s="145"/>
      <c r="G40" s="634"/>
      <c r="H40" s="620"/>
      <c r="I40" s="396"/>
    </row>
    <row r="41" spans="1:9" ht="25.5" hidden="1" customHeight="1" x14ac:dyDescent="0.2">
      <c r="A41" s="413"/>
      <c r="B41" s="627"/>
      <c r="C41" s="627"/>
      <c r="D41" s="627"/>
      <c r="E41" s="418"/>
      <c r="F41" s="145"/>
      <c r="G41" s="634"/>
      <c r="H41" s="620"/>
      <c r="I41" s="396"/>
    </row>
    <row r="42" spans="1:9" ht="99.75" customHeight="1" x14ac:dyDescent="0.2">
      <c r="A42" s="645" t="s">
        <v>180</v>
      </c>
      <c r="B42" s="645"/>
      <c r="C42" s="645"/>
      <c r="D42" s="645"/>
      <c r="E42" s="646"/>
      <c r="F42" s="146"/>
      <c r="G42" s="404">
        <v>5</v>
      </c>
      <c r="H42" s="620"/>
      <c r="I42" s="396"/>
    </row>
    <row r="43" spans="1:9" ht="70.5" customHeight="1" x14ac:dyDescent="0.2">
      <c r="A43" s="607" t="s">
        <v>152</v>
      </c>
      <c r="B43" s="412" t="s">
        <v>181</v>
      </c>
      <c r="C43" s="608" t="str">
        <f>IF(AND($F$24="",$F$42=""),"",IF(AND($F$24="NO",$F$42="NO"),[1]RESPUESTAS!$E$21,IF($F$24="NO",[1]RESPUESTAS!$D$21,IF(AND($F$24="SI",COUNTIF($F$25:$F$27,"SI")=0),[1]RESPUESTAS!$G$21,IF($F$42="NO",[1]RESPUESTAS!$F$21,[1]RESPUESTAS!$C$21)))))</f>
        <v>SIN OBSERVACIONES</v>
      </c>
      <c r="D43" s="608"/>
      <c r="E43" s="608"/>
      <c r="F43" s="608"/>
      <c r="G43" s="608"/>
      <c r="H43" s="608"/>
      <c r="I43" s="396"/>
    </row>
    <row r="44" spans="1:9" ht="70.5" customHeight="1" x14ac:dyDescent="0.2">
      <c r="A44" s="607"/>
      <c r="B44" s="412" t="s">
        <v>182</v>
      </c>
      <c r="C44" s="608" t="str">
        <f>IF(F28="NO",[1]RESPUESTAS!E22,[1]RESPUESTAS!D22)</f>
        <v>SIN OBSERVACIONES</v>
      </c>
      <c r="D44" s="608"/>
      <c r="E44" s="608"/>
      <c r="F44" s="608"/>
      <c r="G44" s="608"/>
      <c r="H44" s="608"/>
      <c r="I44" s="396"/>
    </row>
    <row r="45" spans="1:9" ht="354.75" customHeight="1" x14ac:dyDescent="0.2">
      <c r="A45" s="607"/>
      <c r="B45" s="409" t="s">
        <v>183</v>
      </c>
      <c r="C45" s="647"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7"/>
      <c r="E45" s="647"/>
      <c r="F45" s="647"/>
      <c r="G45" s="647"/>
      <c r="H45" s="647"/>
      <c r="I45" s="396"/>
    </row>
    <row r="46" spans="1:9" s="143" customFormat="1" ht="46.5" customHeight="1" x14ac:dyDescent="0.2">
      <c r="A46" s="643"/>
      <c r="B46" s="644"/>
      <c r="C46" s="644"/>
      <c r="D46" s="644"/>
      <c r="E46" s="644"/>
      <c r="F46" s="644"/>
      <c r="G46" s="644"/>
      <c r="H46" s="644"/>
      <c r="I46" s="644"/>
    </row>
    <row r="47" spans="1:9" ht="42" customHeight="1" x14ac:dyDescent="0.25">
      <c r="A47" s="618" t="s">
        <v>184</v>
      </c>
      <c r="B47" s="618"/>
      <c r="C47" s="618"/>
      <c r="D47" s="618"/>
      <c r="E47" s="630"/>
      <c r="F47" s="630"/>
      <c r="G47" s="630"/>
      <c r="H47" s="630"/>
      <c r="I47" s="396"/>
    </row>
    <row r="48" spans="1:9" ht="51.75" customHeight="1" x14ac:dyDescent="0.2">
      <c r="A48" s="618" t="s">
        <v>144</v>
      </c>
      <c r="B48" s="618"/>
      <c r="C48" s="618"/>
      <c r="D48" s="618"/>
      <c r="E48" s="618"/>
      <c r="F48" s="402" t="s">
        <v>145</v>
      </c>
      <c r="G48" s="403" t="s">
        <v>146</v>
      </c>
      <c r="H48" s="403" t="s">
        <v>147</v>
      </c>
      <c r="I48" s="396"/>
    </row>
    <row r="49" spans="1:9" ht="54.75" customHeight="1" x14ac:dyDescent="0.2">
      <c r="A49" s="651" t="s">
        <v>185</v>
      </c>
      <c r="B49" s="651"/>
      <c r="C49" s="651"/>
      <c r="D49" s="651"/>
      <c r="E49" s="651"/>
      <c r="F49" s="147" t="s">
        <v>6</v>
      </c>
      <c r="G49" s="634">
        <v>1</v>
      </c>
      <c r="H49" s="620">
        <f>IF(COUNTIF($F$49:$F$53,"SI")=2,G49,0)</f>
        <v>1</v>
      </c>
      <c r="I49" s="396"/>
    </row>
    <row r="50" spans="1:9" ht="54.75" customHeight="1" x14ac:dyDescent="0.2">
      <c r="A50" s="651" t="s">
        <v>186</v>
      </c>
      <c r="B50" s="651"/>
      <c r="C50" s="651"/>
      <c r="D50" s="651"/>
      <c r="E50" s="651"/>
      <c r="F50" s="419" t="s">
        <v>187</v>
      </c>
      <c r="G50" s="634"/>
      <c r="H50" s="620"/>
      <c r="I50" s="396"/>
    </row>
    <row r="51" spans="1:9" ht="54.75" customHeight="1" x14ac:dyDescent="0.2">
      <c r="A51" s="652" t="s">
        <v>188</v>
      </c>
      <c r="B51" s="652"/>
      <c r="C51" s="652"/>
      <c r="D51" s="653" t="s">
        <v>75</v>
      </c>
      <c r="E51" s="654"/>
      <c r="F51" s="149">
        <f>IFERROR(VLOOKUP($D$51,EXPERIENCIA!$D$80:$J$85,6,FALSE),0)</f>
        <v>1.94</v>
      </c>
      <c r="G51" s="634"/>
      <c r="H51" s="620"/>
      <c r="I51" s="396"/>
    </row>
    <row r="52" spans="1:9" ht="98.25" customHeight="1" x14ac:dyDescent="0.2">
      <c r="A52" s="655" t="s">
        <v>189</v>
      </c>
      <c r="B52" s="420" t="s">
        <v>190</v>
      </c>
      <c r="C52" s="420" t="s">
        <v>191</v>
      </c>
      <c r="D52" s="420" t="s">
        <v>192</v>
      </c>
      <c r="E52" s="421" t="s">
        <v>193</v>
      </c>
      <c r="F52" s="656" t="str">
        <f>IF(AND(D53="SI",C53&gt;=E53),"SI","NO")</f>
        <v>SI</v>
      </c>
      <c r="G52" s="634"/>
      <c r="H52" s="620"/>
      <c r="I52" s="396"/>
    </row>
    <row r="53" spans="1:9" ht="59.25" customHeight="1" x14ac:dyDescent="0.2">
      <c r="A53" s="655"/>
      <c r="B53" s="150">
        <v>10</v>
      </c>
      <c r="C53" s="150">
        <v>1</v>
      </c>
      <c r="D53" s="147" t="s">
        <v>6</v>
      </c>
      <c r="E53" s="151">
        <f>IF($B$53&gt;200,5,IF($B$53&gt;150,4,IF($B$53&gt;100,3,IF($B$53&gt;30,2,IF($B$53&gt;=1,1,0)))))</f>
        <v>1</v>
      </c>
      <c r="F53" s="656"/>
      <c r="G53" s="634"/>
      <c r="H53" s="620"/>
      <c r="I53" s="396"/>
    </row>
    <row r="54" spans="1:9" ht="50.25" customHeight="1" x14ac:dyDescent="0.2">
      <c r="A54" s="607" t="s">
        <v>152</v>
      </c>
      <c r="B54" s="408" t="s">
        <v>194</v>
      </c>
      <c r="C54" s="657" t="str">
        <f>IF($F$49="no",[1]RESPUESTAS!$D$23,[1]RESPUESTAS!$C$23)</f>
        <v>SIN OBSERVACIONES</v>
      </c>
      <c r="D54" s="657"/>
      <c r="E54" s="657"/>
      <c r="F54" s="657"/>
      <c r="G54" s="657"/>
      <c r="H54" s="657"/>
      <c r="I54" s="396"/>
    </row>
    <row r="55" spans="1:9" ht="69.75" customHeight="1" x14ac:dyDescent="0.2">
      <c r="A55" s="607"/>
      <c r="B55" s="408" t="s">
        <v>195</v>
      </c>
      <c r="C55" s="657" t="str">
        <f>IF($F$49="no",[1]RESPUESTAS!$E$23,[1]RESPUESTAS!$C$23)</f>
        <v>SIN OBSERVACIONES</v>
      </c>
      <c r="D55" s="657"/>
      <c r="E55" s="657"/>
      <c r="F55" s="657"/>
      <c r="G55" s="657"/>
      <c r="H55" s="657"/>
      <c r="I55" s="396"/>
    </row>
    <row r="56" spans="1:9" ht="106.5" customHeight="1" x14ac:dyDescent="0.2">
      <c r="A56" s="607"/>
      <c r="B56" s="408" t="s">
        <v>196</v>
      </c>
      <c r="C56" s="658" t="str">
        <f>IF(AND($D$53="no",$C$53&lt;$E$53),CONCATENATE([1]RESPUESTAS!$F$23,"
",[1]RESPUESTAS!$G$23),IF(AND($D$53="SI",$C$53&lt;$E$53),[1]RESPUESTAS!$G$23,IF(AND($D$53="NO",$C$53&gt;=$E$53),[1]RESPUESTAS!$F$23,[1]RESPUESTAS!$C$23)))</f>
        <v>SIN OBSERVACIONES</v>
      </c>
      <c r="D56" s="657"/>
      <c r="E56" s="657"/>
      <c r="F56" s="657"/>
      <c r="G56" s="657"/>
      <c r="H56" s="657"/>
      <c r="I56" s="396"/>
    </row>
    <row r="57" spans="1:9" ht="276" customHeight="1" x14ac:dyDescent="0.2">
      <c r="A57" s="607"/>
      <c r="B57" s="409" t="s">
        <v>183</v>
      </c>
      <c r="C57" s="65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9"/>
      <c r="E57" s="659"/>
      <c r="F57" s="659"/>
      <c r="G57" s="659"/>
      <c r="H57" s="659"/>
      <c r="I57" s="396"/>
    </row>
    <row r="58" spans="1:9" ht="31.5" customHeight="1" x14ac:dyDescent="0.2">
      <c r="A58" s="648"/>
      <c r="B58" s="649"/>
      <c r="C58" s="649"/>
      <c r="D58" s="649"/>
      <c r="E58" s="649"/>
      <c r="F58" s="649"/>
      <c r="G58" s="649"/>
      <c r="H58" s="650"/>
      <c r="I58" s="396"/>
    </row>
    <row r="59" spans="1:9" ht="36.75" customHeight="1" x14ac:dyDescent="0.25">
      <c r="A59" s="618" t="s">
        <v>197</v>
      </c>
      <c r="B59" s="618"/>
      <c r="C59" s="618"/>
      <c r="D59" s="618"/>
      <c r="E59" s="630"/>
      <c r="F59" s="630"/>
      <c r="G59" s="630"/>
      <c r="H59" s="630"/>
      <c r="I59" s="396"/>
    </row>
    <row r="60" spans="1:9" ht="47.25" x14ac:dyDescent="0.2">
      <c r="A60" s="422" t="s">
        <v>198</v>
      </c>
      <c r="B60" s="152" t="s">
        <v>199</v>
      </c>
      <c r="C60" s="152" t="s">
        <v>200</v>
      </c>
      <c r="D60" s="152" t="s">
        <v>201</v>
      </c>
      <c r="E60" s="152" t="s">
        <v>31</v>
      </c>
      <c r="F60" s="153" t="s">
        <v>202</v>
      </c>
      <c r="G60" s="403" t="s">
        <v>146</v>
      </c>
      <c r="H60" s="403" t="s">
        <v>147</v>
      </c>
      <c r="I60" s="396"/>
    </row>
    <row r="61" spans="1:9" ht="46.5" customHeight="1" x14ac:dyDescent="0.2">
      <c r="A61" s="154" t="str" cm="1">
        <f t="array" ref="A61">IFERROR(_xlfn._xlws.FILTER(EXPERIENCIA!$D$19:$D$24,EXPERIENCIA!$A$19:$A$24="v"),"")</f>
        <v>PANAM INGENIEROS</v>
      </c>
      <c r="B61" s="148" t="s">
        <v>151</v>
      </c>
      <c r="C61" s="148" t="s">
        <v>6</v>
      </c>
      <c r="D61" s="155" cm="1">
        <f t="array" ref="D61">IFERROR(_xlfn._xlws.FILTER(EXPERIENCIA!$I$19:$I$24,EXPERIENCIA!$A$19:$A$24="v"),"")</f>
        <v>0.9</v>
      </c>
      <c r="E61" s="156" t="str" cm="1">
        <f t="array" ref="E61">IFERROR(_xlfn._xlws.FILTER(EXPERIENCIA!$N$19:$N$24,EXPERIENCIA!$A$19:$A$24="v"),"")</f>
        <v>CUMPLE</v>
      </c>
      <c r="F61" s="157" t="str">
        <f>IF(A61="","",IF(OR(B61="SI",C61="SI",D61&gt;=10%,E61="SE ANEXA"),"SI","""NO"))</f>
        <v>SI</v>
      </c>
      <c r="G61" s="634">
        <v>0.25</v>
      </c>
      <c r="H61" s="660">
        <f>IF(COUNTIF($F$61:$F$66,"SI")&gt;=1,G61,0)</f>
        <v>0.25</v>
      </c>
      <c r="I61" s="396"/>
    </row>
    <row r="62" spans="1:9" ht="46.5" customHeight="1" x14ac:dyDescent="0.2">
      <c r="A62" s="158"/>
      <c r="B62" s="148"/>
      <c r="C62" s="148"/>
      <c r="D62" s="159"/>
      <c r="E62" s="160"/>
      <c r="F62" s="157" t="str">
        <f t="shared" ref="F62:F66" si="0">IF(A62="","",IF(OR(B62="SI",C62="SI",D62&gt;=10%,E62="SE ANEXA"),"SI","""NO"))</f>
        <v/>
      </c>
      <c r="G62" s="634"/>
      <c r="H62" s="660"/>
      <c r="I62" s="396"/>
    </row>
    <row r="63" spans="1:9" ht="46.5" customHeight="1" x14ac:dyDescent="0.2">
      <c r="A63" s="158"/>
      <c r="B63" s="148"/>
      <c r="C63" s="148"/>
      <c r="D63" s="159"/>
      <c r="E63" s="160"/>
      <c r="F63" s="157" t="str">
        <f t="shared" si="0"/>
        <v/>
      </c>
      <c r="G63" s="634"/>
      <c r="H63" s="660"/>
      <c r="I63" s="396"/>
    </row>
    <row r="64" spans="1:9" ht="46.5" customHeight="1" x14ac:dyDescent="0.2">
      <c r="A64" s="158"/>
      <c r="B64" s="148"/>
      <c r="C64" s="148"/>
      <c r="D64" s="159"/>
      <c r="E64" s="160"/>
      <c r="F64" s="157" t="str">
        <f t="shared" si="0"/>
        <v/>
      </c>
      <c r="G64" s="634"/>
      <c r="H64" s="660"/>
      <c r="I64" s="396"/>
    </row>
    <row r="65" spans="1:10" ht="46.5" customHeight="1" x14ac:dyDescent="0.2">
      <c r="A65" s="158"/>
      <c r="B65" s="148"/>
      <c r="C65" s="148"/>
      <c r="D65" s="159"/>
      <c r="E65" s="160"/>
      <c r="F65" s="157" t="str">
        <f t="shared" si="0"/>
        <v/>
      </c>
      <c r="G65" s="634"/>
      <c r="H65" s="660"/>
      <c r="I65" s="396"/>
    </row>
    <row r="66" spans="1:10" ht="46.5" customHeight="1" x14ac:dyDescent="0.2">
      <c r="A66" s="158"/>
      <c r="B66" s="148"/>
      <c r="C66" s="148"/>
      <c r="D66" s="159"/>
      <c r="E66" s="160"/>
      <c r="F66" s="157" t="str">
        <f t="shared" si="0"/>
        <v/>
      </c>
      <c r="G66" s="634"/>
      <c r="H66" s="660"/>
      <c r="I66" s="396"/>
    </row>
    <row r="67" spans="1:10" ht="53.25" customHeight="1" x14ac:dyDescent="0.2">
      <c r="A67" s="407" t="s">
        <v>152</v>
      </c>
      <c r="B67" s="661"/>
      <c r="C67" s="661"/>
      <c r="D67" s="661"/>
      <c r="E67" s="661"/>
      <c r="F67" s="661"/>
      <c r="G67" s="661"/>
      <c r="H67" s="661"/>
      <c r="I67" s="396"/>
    </row>
    <row r="68" spans="1:10" ht="38.25" customHeight="1" x14ac:dyDescent="0.2">
      <c r="A68" s="648"/>
      <c r="B68" s="649"/>
      <c r="C68" s="649"/>
      <c r="D68" s="649"/>
      <c r="E68" s="649"/>
      <c r="F68" s="649"/>
      <c r="G68" s="649"/>
      <c r="H68" s="650"/>
      <c r="I68" s="396"/>
    </row>
    <row r="69" spans="1:10" ht="39.75" customHeight="1" x14ac:dyDescent="0.25">
      <c r="A69" s="618" t="s">
        <v>203</v>
      </c>
      <c r="B69" s="618"/>
      <c r="C69" s="618"/>
      <c r="D69" s="618"/>
      <c r="E69" s="630"/>
      <c r="F69" s="630"/>
      <c r="G69" s="630"/>
      <c r="H69" s="630"/>
      <c r="I69" s="396"/>
    </row>
    <row r="70" spans="1:10" ht="57" customHeight="1" x14ac:dyDescent="0.2">
      <c r="A70" s="618" t="s">
        <v>204</v>
      </c>
      <c r="B70" s="618"/>
      <c r="C70" s="618"/>
      <c r="D70" s="618"/>
      <c r="E70" s="401" t="s">
        <v>201</v>
      </c>
      <c r="F70" s="402" t="s">
        <v>202</v>
      </c>
      <c r="G70" s="403" t="s">
        <v>146</v>
      </c>
      <c r="H70" s="403" t="s">
        <v>147</v>
      </c>
      <c r="I70" s="396"/>
    </row>
    <row r="71" spans="1:10" ht="36" customHeight="1" x14ac:dyDescent="0.2">
      <c r="A71" s="161" t="str" cm="1">
        <f t="array" ref="A71:A72">IFERROR(_xlfn._xlws.FILTER(EXPERIENCIA!$D$19:$D$24,EXPERIENCIA!$C$19:$C$24="v"),"")</f>
        <v>PANAM INGENIEROS</v>
      </c>
      <c r="B71" s="162"/>
      <c r="C71" s="162"/>
      <c r="D71" s="162"/>
      <c r="E71" s="163" cm="1">
        <f t="array" ref="E71:E72">IFERROR(_xlfn._xlws.FILTER(EXPERIENCIA!$I$19:$I$24,EXPERIENCIA!$C$19:$C$24="v"),"")</f>
        <v>0.9</v>
      </c>
      <c r="F71" s="160" t="str">
        <f>IF($A$71="","",IF($E$71&gt;=10%,"SI","NO"))</f>
        <v>SI</v>
      </c>
      <c r="G71" s="662">
        <v>0.25</v>
      </c>
      <c r="H71" s="660">
        <f>IF(COUNTIF($F$71:$F$76,"SI")&gt;0,$G$71,0)</f>
        <v>0.25</v>
      </c>
      <c r="I71" s="396"/>
    </row>
    <row r="72" spans="1:10" ht="36" customHeight="1" x14ac:dyDescent="0.2">
      <c r="A72" s="162" t="str">
        <v>TERRA INGENIERIA &amp; CONSULTORIA SAS</v>
      </c>
      <c r="B72" s="162"/>
      <c r="C72" s="162"/>
      <c r="D72" s="162"/>
      <c r="E72" s="164">
        <v>0.1</v>
      </c>
      <c r="F72" s="160" t="str">
        <f>IF($A$72="","",IF($E$72&gt;=10%,"SI","NO"))</f>
        <v>SI</v>
      </c>
      <c r="G72" s="662"/>
      <c r="H72" s="660"/>
      <c r="I72" s="396"/>
    </row>
    <row r="73" spans="1:10" ht="36" customHeight="1" x14ac:dyDescent="0.2">
      <c r="A73" s="162"/>
      <c r="B73" s="162"/>
      <c r="C73" s="162"/>
      <c r="D73" s="162"/>
      <c r="E73" s="164"/>
      <c r="F73" s="160" t="str">
        <f>IF($A$73="","",IF($E$73&gt;=10%,"SI","NO"))</f>
        <v/>
      </c>
      <c r="G73" s="662"/>
      <c r="H73" s="660"/>
      <c r="I73" s="396"/>
    </row>
    <row r="74" spans="1:10" ht="36" customHeight="1" x14ac:dyDescent="0.2">
      <c r="A74" s="162"/>
      <c r="B74" s="162"/>
      <c r="C74" s="162"/>
      <c r="D74" s="162"/>
      <c r="E74" s="164"/>
      <c r="F74" s="160" t="str">
        <f>IF($A$74="","",IF($E$74&gt;=10%,"SI","NO"))</f>
        <v/>
      </c>
      <c r="G74" s="662"/>
      <c r="H74" s="660"/>
      <c r="I74" s="396"/>
    </row>
    <row r="75" spans="1:10" ht="36" customHeight="1" x14ac:dyDescent="0.2">
      <c r="A75" s="162"/>
      <c r="B75" s="162"/>
      <c r="C75" s="162"/>
      <c r="D75" s="162"/>
      <c r="E75" s="164"/>
      <c r="F75" s="160" t="str">
        <f>IF($A$75="","",IF($E$75&gt;=10%,"SI","NO"))</f>
        <v/>
      </c>
      <c r="G75" s="662"/>
      <c r="H75" s="660"/>
      <c r="I75" s="396"/>
    </row>
    <row r="76" spans="1:10" ht="36" customHeight="1" x14ac:dyDescent="0.2">
      <c r="A76" s="162"/>
      <c r="B76" s="162"/>
      <c r="C76" s="162"/>
      <c r="D76" s="162"/>
      <c r="E76" s="164"/>
      <c r="F76" s="160" t="str">
        <f>IF($A$76="","",IF($E$76&gt;=10%,"SI","NO"))</f>
        <v/>
      </c>
      <c r="G76" s="662"/>
      <c r="H76" s="660"/>
      <c r="I76" s="396"/>
    </row>
    <row r="77" spans="1:10" s="139" customFormat="1" ht="37.5" customHeight="1" x14ac:dyDescent="0.25">
      <c r="A77" s="407" t="s">
        <v>152</v>
      </c>
      <c r="B77" s="663"/>
      <c r="C77" s="663"/>
      <c r="D77" s="663"/>
      <c r="E77" s="663"/>
      <c r="F77" s="663"/>
      <c r="G77" s="663"/>
      <c r="H77" s="663"/>
      <c r="I77" s="396"/>
      <c r="J77"/>
    </row>
    <row r="78" spans="1:10" s="139" customFormat="1" ht="37.5" customHeight="1" x14ac:dyDescent="0.2">
      <c r="A78" s="664"/>
      <c r="B78" s="665"/>
      <c r="C78" s="665"/>
      <c r="D78" s="665"/>
      <c r="E78" s="665"/>
      <c r="F78" s="665"/>
      <c r="G78" s="665"/>
      <c r="H78" s="666"/>
      <c r="I78" s="396"/>
    </row>
    <row r="79" spans="1:10" ht="57.75" customHeight="1" x14ac:dyDescent="0.2">
      <c r="A79" s="618" t="s">
        <v>205</v>
      </c>
      <c r="B79" s="618"/>
      <c r="C79" s="618"/>
      <c r="D79" s="618"/>
      <c r="E79" s="618"/>
      <c r="F79" s="424" t="s">
        <v>206</v>
      </c>
      <c r="G79" s="165" t="s">
        <v>138</v>
      </c>
      <c r="H79" s="423">
        <f>IF(G79="Si",-2,0)</f>
        <v>0</v>
      </c>
      <c r="I79" s="396"/>
      <c r="J79" s="166" t="s">
        <v>206</v>
      </c>
    </row>
    <row r="80" spans="1:10" s="139" customFormat="1" ht="15.75" customHeight="1" x14ac:dyDescent="0.25">
      <c r="A80" s="425" t="s">
        <v>152</v>
      </c>
      <c r="B80" s="667"/>
      <c r="C80" s="668"/>
      <c r="D80" s="668"/>
      <c r="E80" s="668"/>
      <c r="F80" s="668"/>
      <c r="G80" s="668"/>
      <c r="H80" s="669"/>
      <c r="I80" s="396"/>
    </row>
    <row r="81" spans="1:10" ht="332.25" customHeight="1" x14ac:dyDescent="0.2">
      <c r="A81" s="670"/>
      <c r="B81" s="670"/>
      <c r="C81" s="670"/>
      <c r="D81" s="670"/>
      <c r="E81" s="670"/>
      <c r="F81" s="670"/>
      <c r="G81" s="670"/>
      <c r="H81" s="670"/>
      <c r="I81" s="396"/>
    </row>
    <row r="82" spans="1:10" s="139" customFormat="1" ht="52.5" customHeight="1" x14ac:dyDescent="0.2">
      <c r="A82" s="674"/>
      <c r="B82" s="675"/>
      <c r="C82" s="675"/>
      <c r="D82" s="675"/>
      <c r="E82" s="675"/>
      <c r="F82" s="675"/>
      <c r="G82" s="675"/>
      <c r="H82" s="675"/>
      <c r="I82" s="675"/>
    </row>
    <row r="83" spans="1:10" s="139" customFormat="1" ht="33.75" x14ac:dyDescent="0.2">
      <c r="A83" s="671" t="s">
        <v>207</v>
      </c>
      <c r="B83" s="671"/>
      <c r="C83" s="671"/>
      <c r="D83" s="671"/>
      <c r="E83" s="671"/>
      <c r="F83" s="671"/>
      <c r="G83" s="671"/>
      <c r="H83" s="671"/>
      <c r="I83" s="396"/>
    </row>
    <row r="84" spans="1:10" ht="42" customHeight="1" x14ac:dyDescent="0.4">
      <c r="A84" s="672" t="str">
        <f>CONCATENATE("TOTAL PUNTAJE OFERENTE ",$D$3)</f>
        <v>TOTAL PUNTAJE OFERENTE UNIÓN TEMPORAL MINCULTURA PYT</v>
      </c>
      <c r="B84" s="672"/>
      <c r="C84" s="672"/>
      <c r="D84" s="672"/>
      <c r="E84" s="673"/>
      <c r="F84" s="673"/>
      <c r="G84" s="673"/>
      <c r="H84" s="426" t="str">
        <f>IF($G$5="HABILITADO",(H79+H71+H61+H49+H24+H18+H9),"")</f>
        <v/>
      </c>
      <c r="I84" s="396"/>
      <c r="J84" s="428">
        <f>+(H79+H71+H61+H49+H24+H18+H9)</f>
        <v>40.5</v>
      </c>
    </row>
    <row r="85" spans="1:10" s="139" customFormat="1" ht="8.25" customHeight="1" x14ac:dyDescent="0.2">
      <c r="A85" s="396"/>
      <c r="B85" s="396"/>
      <c r="C85" s="396"/>
      <c r="D85" s="396"/>
      <c r="E85" s="396"/>
      <c r="F85" s="396"/>
      <c r="G85" s="396"/>
      <c r="H85" s="396"/>
      <c r="I85" s="396"/>
    </row>
    <row r="86" spans="1:10" s="139" customFormat="1" ht="15" customHeight="1" x14ac:dyDescent="0.2">
      <c r="A86" s="143"/>
      <c r="B86" s="143"/>
      <c r="C86" s="143"/>
      <c r="D86" s="143"/>
      <c r="E86" s="143"/>
      <c r="F86" s="143"/>
      <c r="G86" s="143"/>
      <c r="H86" s="143"/>
      <c r="I86" s="396"/>
    </row>
    <row r="87" spans="1:10" s="139" customFormat="1" ht="15" customHeight="1" x14ac:dyDescent="0.2">
      <c r="A87" s="143"/>
      <c r="B87" s="143"/>
      <c r="C87" s="143"/>
      <c r="D87" s="143"/>
      <c r="E87" s="143"/>
      <c r="F87" s="143"/>
      <c r="G87" s="143"/>
      <c r="H87" s="143"/>
      <c r="I87" s="143"/>
    </row>
    <row r="88" spans="1:10" s="139" customFormat="1" ht="9" customHeight="1" x14ac:dyDescent="0.2">
      <c r="A88" s="396"/>
      <c r="B88" s="396"/>
      <c r="C88" s="396"/>
      <c r="D88" s="396"/>
      <c r="E88" s="396"/>
      <c r="F88" s="396"/>
      <c r="G88" s="396"/>
      <c r="H88" s="396"/>
      <c r="I88" s="396"/>
    </row>
    <row r="89" spans="1:10" s="139" customFormat="1" ht="15.75" customHeight="1" x14ac:dyDescent="0.2">
      <c r="A89" s="427"/>
      <c r="B89" s="427"/>
      <c r="C89" s="427"/>
      <c r="D89" s="427"/>
      <c r="E89" s="427"/>
      <c r="F89" s="427"/>
      <c r="G89" s="427"/>
      <c r="H89" s="427"/>
      <c r="I89" s="427"/>
    </row>
    <row r="90" spans="1:10" s="139" customFormat="1" ht="15.75" customHeight="1" x14ac:dyDescent="0.2">
      <c r="A90" s="427"/>
      <c r="B90" s="427"/>
      <c r="C90" s="427"/>
      <c r="D90" s="427"/>
      <c r="E90" s="427"/>
      <c r="F90" s="427"/>
      <c r="G90" s="427"/>
      <c r="H90" s="427"/>
      <c r="I90" s="427"/>
    </row>
    <row r="91" spans="1:10" s="139" customFormat="1" ht="15.75" customHeight="1" x14ac:dyDescent="0.2">
      <c r="A91" s="427"/>
      <c r="B91" s="427"/>
      <c r="C91" s="427"/>
      <c r="D91" s="427"/>
      <c r="E91" s="427"/>
      <c r="F91" s="427"/>
      <c r="G91" s="427"/>
      <c r="H91" s="427"/>
      <c r="I91" s="427"/>
    </row>
    <row r="92" spans="1:10" s="139" customFormat="1" ht="15.75" customHeight="1" x14ac:dyDescent="0.2">
      <c r="A92" s="427"/>
      <c r="B92" s="427"/>
      <c r="C92" s="427"/>
      <c r="D92" s="427"/>
      <c r="E92" s="427"/>
      <c r="F92" s="427"/>
      <c r="G92" s="427"/>
      <c r="H92" s="427"/>
      <c r="I92" s="427"/>
    </row>
    <row r="93" spans="1:10" s="139" customFormat="1" ht="15.75" customHeight="1" x14ac:dyDescent="0.2">
      <c r="A93" s="427"/>
      <c r="B93" s="427"/>
      <c r="C93" s="427"/>
      <c r="D93" s="427"/>
      <c r="E93" s="427"/>
      <c r="F93" s="427"/>
      <c r="G93" s="427"/>
      <c r="H93" s="427"/>
      <c r="I93" s="427"/>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D4" zoomScale="55" zoomScaleNormal="70" zoomScaleSheetLayoutView="55" workbookViewId="0">
      <selection activeCell="R35" sqref="R35"/>
    </sheetView>
  </sheetViews>
  <sheetFormatPr baseColWidth="10" defaultColWidth="11.42578125" defaultRowHeight="18" outlineLevelRow="1" x14ac:dyDescent="0.25"/>
  <cols>
    <col min="1" max="1" width="3" style="239" customWidth="1"/>
    <col min="2" max="2" width="9.140625" style="239" customWidth="1"/>
    <col min="3" max="3" width="37" style="239" customWidth="1"/>
    <col min="4" max="5" width="32.42578125" style="239" customWidth="1"/>
    <col min="6" max="6" width="36.7109375" style="239" customWidth="1"/>
    <col min="7" max="7" width="15.5703125" style="239" customWidth="1"/>
    <col min="8" max="8" width="23.140625" style="239" customWidth="1"/>
    <col min="9" max="9" width="6.42578125" style="239" customWidth="1"/>
    <col min="10" max="11" width="41.140625" style="239" customWidth="1"/>
    <col min="12" max="12" width="28.85546875" style="239" bestFit="1" customWidth="1"/>
    <col min="13" max="13" width="25.42578125" style="239" customWidth="1"/>
    <col min="14" max="14" width="34.28515625" style="239" customWidth="1"/>
    <col min="15" max="15" width="3" style="239" customWidth="1"/>
    <col min="16" max="16" width="2.85546875" style="239" customWidth="1"/>
    <col min="17" max="17" width="11.42578125" style="171"/>
    <col min="18" max="18" width="20.140625" style="171" customWidth="1"/>
    <col min="19" max="19" width="15.42578125" style="171" bestFit="1" customWidth="1"/>
    <col min="20" max="16384" width="11.42578125" style="171"/>
  </cols>
  <sheetData>
    <row r="1" spans="1:16" s="168" customFormat="1" x14ac:dyDescent="0.25">
      <c r="A1" s="167"/>
      <c r="B1" s="167"/>
      <c r="C1" s="167"/>
      <c r="D1" s="167"/>
      <c r="E1" s="167"/>
      <c r="F1" s="167"/>
      <c r="G1" s="167"/>
      <c r="H1" s="167"/>
      <c r="I1" s="167"/>
      <c r="J1" s="167"/>
      <c r="K1" s="167"/>
      <c r="L1" s="167"/>
      <c r="M1" s="167"/>
      <c r="N1" s="167"/>
      <c r="O1" s="167"/>
      <c r="P1" s="167"/>
    </row>
    <row r="2" spans="1:16" s="168" customFormat="1" ht="117" customHeight="1" x14ac:dyDescent="0.25">
      <c r="A2" s="167"/>
      <c r="B2" s="677"/>
      <c r="C2" s="677"/>
      <c r="D2" s="678" t="s">
        <v>208</v>
      </c>
      <c r="E2" s="678"/>
      <c r="F2" s="678"/>
      <c r="G2" s="678"/>
      <c r="H2" s="678"/>
      <c r="I2" s="678"/>
      <c r="J2" s="678"/>
      <c r="K2" s="678"/>
      <c r="L2" s="678"/>
      <c r="M2" s="678"/>
      <c r="N2" s="677"/>
      <c r="O2" s="677"/>
      <c r="P2" s="167"/>
    </row>
    <row r="3" spans="1:16" ht="15.75" customHeight="1" x14ac:dyDescent="0.25">
      <c r="A3" s="167"/>
      <c r="B3" s="169"/>
      <c r="C3" s="169"/>
      <c r="D3" s="170"/>
      <c r="E3" s="170"/>
      <c r="F3" s="169"/>
      <c r="G3" s="169"/>
      <c r="H3" s="169"/>
      <c r="I3" s="169"/>
      <c r="J3" s="169"/>
      <c r="K3" s="169"/>
      <c r="L3" s="169"/>
      <c r="M3" s="169"/>
      <c r="N3" s="169"/>
      <c r="O3" s="169"/>
      <c r="P3" s="169"/>
    </row>
    <row r="4" spans="1:16" ht="15.75" customHeight="1" x14ac:dyDescent="0.25">
      <c r="A4" s="167"/>
      <c r="B4" s="172"/>
      <c r="C4" s="173"/>
      <c r="D4" s="174"/>
      <c r="E4" s="174"/>
      <c r="F4" s="173"/>
      <c r="G4" s="173"/>
      <c r="H4" s="173"/>
      <c r="I4" s="173"/>
      <c r="J4" s="173"/>
      <c r="K4" s="173"/>
      <c r="L4" s="173"/>
      <c r="M4" s="173"/>
      <c r="N4" s="173"/>
      <c r="O4" s="175"/>
      <c r="P4" s="169"/>
    </row>
    <row r="5" spans="1:16" ht="15.75" customHeight="1" x14ac:dyDescent="0.25">
      <c r="A5" s="167"/>
      <c r="B5" s="176" t="s">
        <v>209</v>
      </c>
      <c r="C5" s="169"/>
      <c r="D5" s="170"/>
      <c r="E5" s="170"/>
      <c r="F5" s="169"/>
      <c r="G5" s="169"/>
      <c r="H5" s="169"/>
      <c r="I5" s="169"/>
      <c r="J5" s="169"/>
      <c r="K5" s="169"/>
      <c r="L5" s="169"/>
      <c r="M5" s="169"/>
      <c r="N5" s="169"/>
      <c r="O5" s="177"/>
      <c r="P5" s="169"/>
    </row>
    <row r="6" spans="1:16" ht="15.75" customHeight="1" x14ac:dyDescent="0.25">
      <c r="A6" s="167"/>
      <c r="B6" s="178"/>
      <c r="C6" s="179"/>
      <c r="D6" s="179"/>
      <c r="E6" s="179"/>
      <c r="F6" s="179"/>
      <c r="G6" s="179"/>
      <c r="H6" s="179"/>
      <c r="I6" s="179"/>
      <c r="J6" s="179"/>
      <c r="K6" s="179"/>
      <c r="L6" s="179"/>
      <c r="M6" s="179"/>
      <c r="N6" s="179"/>
      <c r="O6" s="180"/>
      <c r="P6" s="167"/>
    </row>
    <row r="7" spans="1:16" ht="42" customHeight="1" x14ac:dyDescent="0.25">
      <c r="A7" s="167"/>
      <c r="B7" s="181"/>
      <c r="C7" s="182" t="s">
        <v>1</v>
      </c>
      <c r="D7" s="299">
        <f>+PONDERACIÓN!B3</f>
        <v>69</v>
      </c>
      <c r="E7" s="183" t="s">
        <v>210</v>
      </c>
      <c r="F7" s="679" t="str">
        <f>IF($D$7&gt;0,(VLOOKUP($D$7,[1]OFERENTES!$A$8:$W$1027,2,FALSE)),"")</f>
        <v>UNIÓN TEMPORAL MINCULTURA PYT</v>
      </c>
      <c r="G7" s="680"/>
      <c r="H7" s="680"/>
      <c r="I7" s="680"/>
      <c r="J7" s="680"/>
      <c r="K7" s="680"/>
      <c r="L7" s="681" t="s">
        <v>211</v>
      </c>
      <c r="M7" s="681"/>
      <c r="N7" s="300" t="str">
        <f>IFERROR(VLOOKUP($D$7,[1]OFERENTES!$A$8:$AA$1027,26,FALSE),"")</f>
        <v>Proponente Plural</v>
      </c>
      <c r="O7" s="184"/>
      <c r="P7" s="167"/>
    </row>
    <row r="8" spans="1:16" ht="21.75" customHeight="1" x14ac:dyDescent="0.25">
      <c r="A8" s="167"/>
      <c r="B8" s="185"/>
      <c r="C8" s="186"/>
      <c r="D8" s="186"/>
      <c r="E8" s="186"/>
      <c r="F8" s="187"/>
      <c r="G8" s="188"/>
      <c r="H8" s="187"/>
      <c r="I8" s="187"/>
      <c r="J8" s="187"/>
      <c r="K8" s="187"/>
      <c r="L8" s="187"/>
      <c r="M8" s="187"/>
      <c r="N8" s="187"/>
      <c r="O8" s="189"/>
      <c r="P8" s="190"/>
    </row>
    <row r="9" spans="1:16" ht="27" customHeight="1" x14ac:dyDescent="0.25">
      <c r="A9" s="167"/>
      <c r="B9" s="169"/>
      <c r="C9" s="169"/>
      <c r="D9" s="170"/>
      <c r="E9" s="170"/>
      <c r="F9" s="169"/>
      <c r="G9" s="169"/>
      <c r="H9" s="169"/>
      <c r="I9" s="169"/>
      <c r="J9" s="169"/>
      <c r="K9" s="169"/>
      <c r="L9" s="169"/>
      <c r="M9" s="169"/>
      <c r="N9" s="169"/>
      <c r="O9" s="169"/>
      <c r="P9" s="169"/>
    </row>
    <row r="10" spans="1:16" ht="27" customHeight="1" x14ac:dyDescent="0.25">
      <c r="A10" s="167"/>
      <c r="B10" s="191" t="s">
        <v>212</v>
      </c>
      <c r="C10" s="173"/>
      <c r="D10" s="174"/>
      <c r="E10" s="174"/>
      <c r="F10" s="173"/>
      <c r="G10" s="173"/>
      <c r="H10" s="173"/>
      <c r="I10" s="173"/>
      <c r="J10" s="173"/>
      <c r="K10" s="173"/>
      <c r="L10" s="173"/>
      <c r="M10" s="173"/>
      <c r="N10" s="173"/>
      <c r="O10" s="175"/>
      <c r="P10" s="169"/>
    </row>
    <row r="11" spans="1:16" s="168" customFormat="1" ht="75.75" customHeight="1" x14ac:dyDescent="0.25">
      <c r="A11" s="167"/>
      <c r="B11" s="192"/>
      <c r="C11" s="167"/>
      <c r="D11" s="167"/>
      <c r="E11" s="167"/>
      <c r="F11" s="167"/>
      <c r="G11" s="167"/>
      <c r="H11" s="167"/>
      <c r="I11" s="169"/>
      <c r="J11" s="151" t="s">
        <v>213</v>
      </c>
      <c r="K11" s="151" t="s">
        <v>214</v>
      </c>
      <c r="L11" s="193" t="s">
        <v>215</v>
      </c>
      <c r="M11" s="676" t="s">
        <v>216</v>
      </c>
      <c r="N11" s="676"/>
      <c r="O11" s="177"/>
      <c r="P11" s="169"/>
    </row>
    <row r="12" spans="1:16" ht="69.75" customHeight="1" x14ac:dyDescent="0.25">
      <c r="A12" s="167"/>
      <c r="B12" s="192"/>
      <c r="C12" s="682" t="s">
        <v>217</v>
      </c>
      <c r="D12" s="682"/>
      <c r="E12" s="682"/>
      <c r="F12" s="682"/>
      <c r="G12" s="682"/>
      <c r="H12" s="682"/>
      <c r="I12" s="169"/>
      <c r="J12" s="194">
        <v>53475551156</v>
      </c>
      <c r="K12" s="195">
        <f>+N17</f>
        <v>750625521.5</v>
      </c>
      <c r="L12" s="196" t="str">
        <f>IF(M12="habilitado","SI","NO")</f>
        <v>SI</v>
      </c>
      <c r="M12" s="683" t="str">
        <f>IF(J12="","",IF(J12&gt;=K12,"HABILITADO","NO HABILITADO"))</f>
        <v>HABILITADO</v>
      </c>
      <c r="N12" s="684"/>
      <c r="O12" s="177"/>
      <c r="P12" s="169"/>
    </row>
    <row r="13" spans="1:16" ht="27" customHeight="1" x14ac:dyDescent="0.25">
      <c r="A13" s="167"/>
      <c r="B13" s="197"/>
      <c r="C13" s="198"/>
      <c r="D13" s="199"/>
      <c r="E13" s="199"/>
      <c r="F13" s="198"/>
      <c r="G13" s="198"/>
      <c r="H13" s="198"/>
      <c r="I13" s="198"/>
      <c r="J13" s="198"/>
      <c r="K13" s="198"/>
      <c r="L13" s="198"/>
      <c r="M13" s="198"/>
      <c r="N13" s="198"/>
      <c r="O13" s="200"/>
      <c r="P13" s="169"/>
    </row>
    <row r="14" spans="1:16" ht="27" customHeight="1" x14ac:dyDescent="0.25">
      <c r="A14" s="167"/>
      <c r="B14" s="201"/>
      <c r="C14" s="169"/>
      <c r="D14" s="170"/>
      <c r="E14" s="170"/>
      <c r="F14" s="169"/>
      <c r="G14" s="169"/>
      <c r="H14" s="169"/>
      <c r="I14" s="169"/>
      <c r="J14" s="169"/>
      <c r="K14" s="169"/>
      <c r="L14" s="169"/>
      <c r="M14" s="169"/>
      <c r="N14" s="169"/>
      <c r="O14" s="169"/>
      <c r="P14" s="169"/>
    </row>
    <row r="15" spans="1:16" ht="26.25" customHeight="1" x14ac:dyDescent="0.25">
      <c r="A15" s="167"/>
      <c r="B15" s="191" t="s">
        <v>218</v>
      </c>
      <c r="C15" s="173"/>
      <c r="D15" s="174"/>
      <c r="E15" s="174"/>
      <c r="F15" s="173"/>
      <c r="G15" s="173"/>
      <c r="H15" s="173"/>
      <c r="I15" s="173"/>
      <c r="J15" s="173"/>
      <c r="K15" s="173"/>
      <c r="L15" s="173"/>
      <c r="M15" s="173"/>
      <c r="N15" s="173"/>
      <c r="O15" s="175"/>
      <c r="P15" s="169"/>
    </row>
    <row r="16" spans="1:16" ht="15.75" customHeight="1" thickBot="1" x14ac:dyDescent="0.3">
      <c r="A16" s="167"/>
      <c r="B16" s="202"/>
      <c r="C16" s="169"/>
      <c r="D16" s="170"/>
      <c r="E16" s="170"/>
      <c r="F16" s="169"/>
      <c r="G16" s="169"/>
      <c r="H16" s="169"/>
      <c r="I16" s="169"/>
      <c r="J16" s="169"/>
      <c r="K16" s="169"/>
      <c r="L16" s="169"/>
      <c r="M16" s="169"/>
      <c r="N16" s="169"/>
      <c r="O16" s="177"/>
      <c r="P16" s="169"/>
    </row>
    <row r="17" spans="1:16" ht="91.5" customHeight="1" thickTop="1" x14ac:dyDescent="0.25">
      <c r="A17" s="167"/>
      <c r="B17" s="202"/>
      <c r="C17" s="203" t="s">
        <v>219</v>
      </c>
      <c r="D17" s="204" t="s">
        <v>220</v>
      </c>
      <c r="E17" s="205" t="s">
        <v>221</v>
      </c>
      <c r="F17" s="685" t="s">
        <v>222</v>
      </c>
      <c r="G17" s="206" t="s">
        <v>223</v>
      </c>
      <c r="H17" s="687" t="s">
        <v>224</v>
      </c>
      <c r="I17" s="688"/>
      <c r="J17" s="687" t="s">
        <v>225</v>
      </c>
      <c r="K17" s="688"/>
      <c r="L17" s="689" t="str">
        <f>CONCATENATE("CRPC","  ",'[1]DATOS DEL PROCESO'!D2)</f>
        <v>CRPC  MC-LP-010-2024</v>
      </c>
      <c r="M17" s="204" t="s">
        <v>226</v>
      </c>
      <c r="N17" s="207">
        <f>IF($C$18&gt;="12",($E$18-($E$18*$D$18)/$C$18)*12,($E$18-($E$18*$D$18)))</f>
        <v>750625521.5</v>
      </c>
      <c r="O17" s="177"/>
      <c r="P17" s="169"/>
    </row>
    <row r="18" spans="1:16" ht="90" customHeight="1" thickBot="1" x14ac:dyDescent="0.3">
      <c r="A18" s="167"/>
      <c r="B18" s="202"/>
      <c r="C18" s="208">
        <f>+EXPERIENCIA!H10</f>
        <v>6</v>
      </c>
      <c r="D18" s="209">
        <f>+EXPERIENCIA!N10</f>
        <v>0.5</v>
      </c>
      <c r="E18" s="210">
        <f>+EXPERIENCIA!J10</f>
        <v>1501251043</v>
      </c>
      <c r="F18" s="686"/>
      <c r="G18" s="211" t="s">
        <v>227</v>
      </c>
      <c r="H18" s="691" t="s">
        <v>228</v>
      </c>
      <c r="I18" s="692"/>
      <c r="J18" s="693" t="s">
        <v>229</v>
      </c>
      <c r="K18" s="694"/>
      <c r="L18" s="690"/>
      <c r="M18" s="212" t="s">
        <v>230</v>
      </c>
      <c r="N18" s="213">
        <f>ROUND((N17/1300000),2)</f>
        <v>577.4</v>
      </c>
      <c r="O18" s="177"/>
      <c r="P18" s="169"/>
    </row>
    <row r="19" spans="1:16" ht="15.75" customHeight="1" thickTop="1" x14ac:dyDescent="0.25">
      <c r="A19" s="167"/>
      <c r="B19" s="202"/>
      <c r="C19" s="167"/>
      <c r="D19" s="170"/>
      <c r="E19" s="170"/>
      <c r="F19" s="169"/>
      <c r="G19" s="169"/>
      <c r="H19" s="167"/>
      <c r="I19" s="167"/>
      <c r="J19" s="167"/>
      <c r="K19" s="167"/>
      <c r="L19" s="167"/>
      <c r="M19" s="167"/>
      <c r="N19" s="167"/>
      <c r="O19" s="177"/>
      <c r="P19" s="169"/>
    </row>
    <row r="20" spans="1:16" ht="108" customHeight="1" x14ac:dyDescent="0.25">
      <c r="A20" s="167"/>
      <c r="B20" s="202"/>
      <c r="C20" s="214" t="s">
        <v>231</v>
      </c>
      <c r="D20" s="696" t="str">
        <f>IF(M12="","",IF($M$12="HABILITADO","SIN OBSERVACIONES",[1]RESPUESTAS!$E$18))</f>
        <v>SIN OBSERVACIONES</v>
      </c>
      <c r="E20" s="697"/>
      <c r="F20" s="697"/>
      <c r="G20" s="697"/>
      <c r="H20" s="697"/>
      <c r="I20" s="697"/>
      <c r="J20" s="697"/>
      <c r="K20" s="697"/>
      <c r="L20" s="697"/>
      <c r="M20" s="697"/>
      <c r="N20" s="698"/>
      <c r="O20" s="177"/>
      <c r="P20" s="169"/>
    </row>
    <row r="21" spans="1:16" ht="39" customHeight="1" x14ac:dyDescent="0.25">
      <c r="A21" s="167"/>
      <c r="B21" s="215"/>
      <c r="C21" s="198"/>
      <c r="D21" s="199"/>
      <c r="E21" s="199"/>
      <c r="F21" s="198"/>
      <c r="G21" s="198"/>
      <c r="H21" s="188"/>
      <c r="I21" s="188"/>
      <c r="J21" s="188"/>
      <c r="K21" s="188"/>
      <c r="L21" s="188"/>
      <c r="M21" s="188"/>
      <c r="N21" s="188"/>
      <c r="O21" s="200"/>
      <c r="P21" s="169"/>
    </row>
    <row r="22" spans="1:16" ht="35.25" customHeight="1" x14ac:dyDescent="0.25">
      <c r="A22" s="167"/>
      <c r="B22" s="169"/>
      <c r="C22" s="169"/>
      <c r="D22" s="170"/>
      <c r="E22" s="170"/>
      <c r="F22" s="169"/>
      <c r="G22" s="169"/>
      <c r="H22" s="167"/>
      <c r="I22" s="167"/>
      <c r="J22" s="167"/>
      <c r="K22" s="167"/>
      <c r="L22" s="167"/>
      <c r="M22" s="167"/>
      <c r="N22" s="167"/>
      <c r="O22" s="169"/>
      <c r="P22" s="169"/>
    </row>
    <row r="23" spans="1:16" ht="15.75" customHeight="1" x14ac:dyDescent="0.25">
      <c r="A23" s="167"/>
      <c r="B23" s="216"/>
      <c r="C23" s="173"/>
      <c r="D23" s="174"/>
      <c r="E23" s="174"/>
      <c r="F23" s="173"/>
      <c r="G23" s="173"/>
      <c r="H23" s="217"/>
      <c r="I23" s="217"/>
      <c r="J23" s="217"/>
      <c r="K23" s="217"/>
      <c r="L23" s="217"/>
      <c r="M23" s="217"/>
      <c r="N23" s="217"/>
      <c r="O23" s="175"/>
      <c r="P23" s="169"/>
    </row>
    <row r="24" spans="1:16" ht="42.75" customHeight="1" x14ac:dyDescent="0.25">
      <c r="A24" s="167"/>
      <c r="B24" s="176" t="s">
        <v>232</v>
      </c>
      <c r="C24" s="169"/>
      <c r="D24" s="170"/>
      <c r="E24" s="170"/>
      <c r="F24" s="169"/>
      <c r="G24" s="169"/>
      <c r="H24" s="699" t="s">
        <v>233</v>
      </c>
      <c r="I24" s="700"/>
      <c r="J24" s="700"/>
      <c r="K24" s="700"/>
      <c r="L24" s="700"/>
      <c r="M24" s="700"/>
      <c r="N24" s="701"/>
      <c r="O24" s="177"/>
      <c r="P24" s="169"/>
    </row>
    <row r="25" spans="1:16" ht="33" customHeight="1" thickBot="1" x14ac:dyDescent="0.3">
      <c r="A25" s="167"/>
      <c r="B25" s="202"/>
      <c r="C25" s="169"/>
      <c r="D25" s="170"/>
      <c r="E25" s="170"/>
      <c r="F25" s="169"/>
      <c r="G25" s="169"/>
      <c r="H25" s="218"/>
      <c r="I25" s="219"/>
      <c r="J25" s="220"/>
      <c r="K25" s="220"/>
      <c r="L25" s="220"/>
      <c r="M25" s="219"/>
      <c r="N25" s="221"/>
      <c r="O25" s="177"/>
      <c r="P25" s="169"/>
    </row>
    <row r="26" spans="1:16" ht="48.75" customHeight="1" thickTop="1" x14ac:dyDescent="0.25">
      <c r="A26" s="167"/>
      <c r="B26" s="202"/>
      <c r="C26" s="702" t="s">
        <v>234</v>
      </c>
      <c r="D26" s="703"/>
      <c r="E26" s="704"/>
      <c r="F26" s="222" t="s">
        <v>235</v>
      </c>
      <c r="G26" s="169"/>
      <c r="H26" s="218"/>
      <c r="I26" s="223"/>
      <c r="J26" s="220"/>
      <c r="K26" s="220"/>
      <c r="L26" s="220"/>
      <c r="M26" s="219"/>
      <c r="N26" s="221"/>
      <c r="O26" s="177"/>
      <c r="P26" s="169"/>
    </row>
    <row r="27" spans="1:16" ht="33" customHeight="1" x14ac:dyDescent="0.25">
      <c r="A27" s="167"/>
      <c r="B27" s="202"/>
      <c r="C27" s="224" t="s">
        <v>236</v>
      </c>
      <c r="D27" s="705" t="s">
        <v>237</v>
      </c>
      <c r="E27" s="706"/>
      <c r="F27" s="225" t="s">
        <v>238</v>
      </c>
      <c r="G27" s="169"/>
      <c r="H27" s="218"/>
      <c r="I27" s="226"/>
      <c r="J27" s="220"/>
      <c r="K27" s="220"/>
      <c r="L27" s="220"/>
      <c r="M27" s="219"/>
      <c r="N27" s="221"/>
      <c r="O27" s="177"/>
      <c r="P27" s="169"/>
    </row>
    <row r="28" spans="1:16" ht="33" customHeight="1" x14ac:dyDescent="0.25">
      <c r="A28" s="167"/>
      <c r="B28" s="202"/>
      <c r="C28" s="224" t="s">
        <v>239</v>
      </c>
      <c r="D28" s="705" t="s">
        <v>240</v>
      </c>
      <c r="E28" s="706"/>
      <c r="F28" s="227">
        <v>120</v>
      </c>
      <c r="G28" s="169"/>
      <c r="H28" s="218"/>
      <c r="I28" s="226"/>
      <c r="J28" s="220"/>
      <c r="K28" s="220"/>
      <c r="L28" s="220"/>
      <c r="M28" s="219"/>
      <c r="N28" s="221"/>
      <c r="O28" s="177"/>
      <c r="P28" s="169"/>
    </row>
    <row r="29" spans="1:16" ht="33" customHeight="1" x14ac:dyDescent="0.25">
      <c r="A29" s="167"/>
      <c r="B29" s="202"/>
      <c r="C29" s="224" t="s">
        <v>241</v>
      </c>
      <c r="D29" s="705" t="s">
        <v>242</v>
      </c>
      <c r="E29" s="706"/>
      <c r="F29" s="227">
        <v>40</v>
      </c>
      <c r="G29" s="169"/>
      <c r="H29" s="218"/>
      <c r="I29" s="226"/>
      <c r="J29" s="220"/>
      <c r="K29" s="220"/>
      <c r="L29" s="220"/>
      <c r="M29" s="219"/>
      <c r="N29" s="221"/>
      <c r="O29" s="177"/>
      <c r="P29" s="169"/>
    </row>
    <row r="30" spans="1:16" ht="33" customHeight="1" x14ac:dyDescent="0.25">
      <c r="A30" s="167"/>
      <c r="B30" s="202"/>
      <c r="C30" s="224" t="s">
        <v>243</v>
      </c>
      <c r="D30" s="705" t="s">
        <v>244</v>
      </c>
      <c r="E30" s="706"/>
      <c r="F30" s="227">
        <v>40</v>
      </c>
      <c r="G30" s="169"/>
      <c r="H30" s="218"/>
      <c r="I30" s="226"/>
      <c r="J30" s="220"/>
      <c r="K30" s="220"/>
      <c r="L30" s="220"/>
      <c r="M30" s="219"/>
      <c r="N30" s="221"/>
      <c r="O30" s="177"/>
      <c r="P30" s="169"/>
    </row>
    <row r="31" spans="1:16" ht="33" customHeight="1" thickBot="1" x14ac:dyDescent="0.3">
      <c r="A31" s="167"/>
      <c r="B31" s="202"/>
      <c r="C31" s="228" t="s">
        <v>245</v>
      </c>
      <c r="D31" s="707" t="s">
        <v>246</v>
      </c>
      <c r="E31" s="708"/>
      <c r="F31" s="229" t="s">
        <v>238</v>
      </c>
      <c r="G31" s="169"/>
      <c r="H31" s="218"/>
      <c r="I31" s="226"/>
      <c r="J31" s="220"/>
      <c r="K31" s="220"/>
      <c r="L31" s="220"/>
      <c r="M31" s="219"/>
      <c r="N31" s="221"/>
      <c r="O31" s="177"/>
      <c r="P31" s="169"/>
    </row>
    <row r="32" spans="1:16" ht="46.5" customHeight="1" thickTop="1" x14ac:dyDescent="0.25">
      <c r="A32" s="167"/>
      <c r="B32" s="202"/>
      <c r="C32" s="169"/>
      <c r="D32" s="170"/>
      <c r="E32" s="170"/>
      <c r="F32" s="169"/>
      <c r="G32" s="169"/>
      <c r="H32" s="218"/>
      <c r="I32" s="219"/>
      <c r="J32" s="220"/>
      <c r="K32" s="220"/>
      <c r="L32" s="220"/>
      <c r="M32" s="219"/>
      <c r="N32" s="221"/>
      <c r="O32" s="177"/>
      <c r="P32" s="169"/>
    </row>
    <row r="33" spans="1:16" ht="46.5" customHeight="1" x14ac:dyDescent="0.25">
      <c r="A33" s="167"/>
      <c r="B33" s="202"/>
      <c r="C33" s="167"/>
      <c r="D33" s="167"/>
      <c r="E33" s="167"/>
      <c r="F33" s="169"/>
      <c r="G33" s="169"/>
      <c r="H33" s="218"/>
      <c r="I33" s="219"/>
      <c r="J33" s="220"/>
      <c r="K33" s="220"/>
      <c r="L33" s="220"/>
      <c r="M33" s="219"/>
      <c r="N33" s="221"/>
      <c r="O33" s="177"/>
      <c r="P33" s="169"/>
    </row>
    <row r="34" spans="1:16" ht="46.5" customHeight="1" x14ac:dyDescent="0.25">
      <c r="A34" s="167"/>
      <c r="B34" s="202"/>
      <c r="C34" s="167"/>
      <c r="D34" s="167"/>
      <c r="E34" s="167"/>
      <c r="F34" s="169"/>
      <c r="G34" s="169"/>
      <c r="H34" s="218"/>
      <c r="I34" s="219"/>
      <c r="J34" s="220"/>
      <c r="K34" s="220"/>
      <c r="L34" s="220"/>
      <c r="M34" s="219"/>
      <c r="N34" s="221"/>
      <c r="O34" s="177"/>
      <c r="P34" s="169"/>
    </row>
    <row r="35" spans="1:16" x14ac:dyDescent="0.25">
      <c r="A35" s="167"/>
      <c r="B35" s="202"/>
      <c r="C35" s="167"/>
      <c r="D35" s="167"/>
      <c r="E35" s="167"/>
      <c r="F35" s="169"/>
      <c r="G35" s="169"/>
      <c r="H35" s="218"/>
      <c r="I35" s="219"/>
      <c r="J35" s="220"/>
      <c r="K35" s="220"/>
      <c r="L35" s="220"/>
      <c r="M35" s="219"/>
      <c r="N35" s="221"/>
      <c r="O35" s="177"/>
      <c r="P35" s="169"/>
    </row>
    <row r="36" spans="1:16" x14ac:dyDescent="0.25">
      <c r="A36" s="167"/>
      <c r="B36" s="202"/>
      <c r="C36" s="167"/>
      <c r="D36" s="167"/>
      <c r="E36" s="167"/>
      <c r="F36" s="169"/>
      <c r="G36" s="169"/>
      <c r="H36" s="218"/>
      <c r="I36" s="219"/>
      <c r="J36" s="220"/>
      <c r="K36" s="220"/>
      <c r="L36" s="220"/>
      <c r="M36" s="219"/>
      <c r="N36" s="221"/>
      <c r="O36" s="177"/>
      <c r="P36" s="169"/>
    </row>
    <row r="37" spans="1:16" ht="18.75" customHeight="1" x14ac:dyDescent="0.25">
      <c r="A37" s="167"/>
      <c r="B37" s="202"/>
      <c r="C37" s="167"/>
      <c r="D37" s="167"/>
      <c r="E37" s="167"/>
      <c r="F37" s="169"/>
      <c r="G37" s="169"/>
      <c r="H37" s="218"/>
      <c r="I37" s="219"/>
      <c r="J37" s="220"/>
      <c r="K37" s="220"/>
      <c r="L37" s="220"/>
      <c r="M37" s="219"/>
      <c r="N37" s="221"/>
      <c r="O37" s="177"/>
      <c r="P37" s="169"/>
    </row>
    <row r="38" spans="1:16" ht="38.25" customHeight="1" x14ac:dyDescent="0.25">
      <c r="A38" s="167"/>
      <c r="B38" s="202"/>
      <c r="C38" s="170"/>
      <c r="D38" s="170"/>
      <c r="E38" s="230"/>
      <c r="F38" s="169"/>
      <c r="G38" s="169"/>
      <c r="H38" s="218"/>
      <c r="I38" s="219"/>
      <c r="J38" s="220"/>
      <c r="K38" s="220"/>
      <c r="L38" s="220"/>
      <c r="M38" s="219"/>
      <c r="N38" s="221"/>
      <c r="O38" s="177"/>
      <c r="P38" s="169"/>
    </row>
    <row r="39" spans="1:16" ht="44.25" customHeight="1" x14ac:dyDescent="0.25">
      <c r="A39" s="167"/>
      <c r="B39" s="202"/>
      <c r="C39" s="231"/>
      <c r="D39" s="232"/>
      <c r="E39" s="233"/>
      <c r="F39" s="234"/>
      <c r="G39" s="233"/>
      <c r="H39" s="235"/>
      <c r="I39" s="236"/>
      <c r="J39" s="237"/>
      <c r="K39" s="237"/>
      <c r="L39" s="237"/>
      <c r="M39" s="236"/>
      <c r="N39" s="238"/>
      <c r="O39" s="177"/>
      <c r="P39" s="169"/>
    </row>
    <row r="40" spans="1:16" ht="31.5" customHeight="1" x14ac:dyDescent="0.25">
      <c r="A40" s="167"/>
      <c r="B40" s="202"/>
      <c r="C40" s="169"/>
      <c r="D40" s="170"/>
      <c r="E40" s="170"/>
      <c r="F40" s="169"/>
      <c r="G40" s="169"/>
      <c r="H40" s="169"/>
      <c r="I40" s="169"/>
      <c r="J40" s="169"/>
      <c r="K40" s="169"/>
      <c r="L40" s="169"/>
      <c r="M40" s="169"/>
      <c r="N40" s="169"/>
      <c r="O40" s="177"/>
      <c r="P40" s="169"/>
    </row>
    <row r="41" spans="1:16" ht="33.75" hidden="1" customHeight="1" x14ac:dyDescent="0.25">
      <c r="B41" s="240"/>
      <c r="C41" s="241" t="s">
        <v>247</v>
      </c>
      <c r="D41" s="242"/>
      <c r="E41" s="242">
        <v>120</v>
      </c>
      <c r="F41" s="243"/>
      <c r="G41" s="243"/>
      <c r="H41" s="243"/>
      <c r="I41" s="243"/>
      <c r="J41" s="243"/>
      <c r="K41" s="243"/>
      <c r="L41" s="243"/>
      <c r="M41" s="244"/>
      <c r="N41" s="242"/>
      <c r="O41" s="245"/>
      <c r="P41" s="246"/>
    </row>
    <row r="42" spans="1:16" ht="11.25" hidden="1" customHeight="1" outlineLevel="1" x14ac:dyDescent="0.25">
      <c r="B42" s="247"/>
      <c r="C42" s="246"/>
      <c r="D42" s="248"/>
      <c r="E42" s="248"/>
      <c r="F42" s="246"/>
      <c r="G42" s="246"/>
      <c r="H42" s="246"/>
      <c r="I42" s="246"/>
      <c r="J42" s="246"/>
      <c r="K42" s="246"/>
      <c r="L42" s="246"/>
      <c r="M42" s="246"/>
      <c r="N42" s="246"/>
      <c r="O42" s="245"/>
      <c r="P42" s="246"/>
    </row>
    <row r="43" spans="1:16" s="253" customFormat="1" ht="49.5" hidden="1" customHeight="1" outlineLevel="1" x14ac:dyDescent="0.25">
      <c r="A43" s="249"/>
      <c r="B43" s="250"/>
      <c r="C43" s="709" t="s">
        <v>248</v>
      </c>
      <c r="D43" s="710"/>
      <c r="E43" s="710"/>
      <c r="F43" s="710"/>
      <c r="G43" s="710"/>
      <c r="H43" s="710"/>
      <c r="I43" s="710"/>
      <c r="J43" s="710"/>
      <c r="K43" s="710"/>
      <c r="L43" s="710"/>
      <c r="M43" s="710"/>
      <c r="N43" s="711"/>
      <c r="O43" s="251"/>
      <c r="P43" s="252"/>
    </row>
    <row r="44" spans="1:16" s="253" customFormat="1" ht="42.75" hidden="1" customHeight="1" outlineLevel="1" x14ac:dyDescent="0.25">
      <c r="A44" s="249"/>
      <c r="B44" s="254"/>
      <c r="C44" s="255" t="s">
        <v>249</v>
      </c>
      <c r="D44" s="246"/>
      <c r="E44" s="246"/>
      <c r="F44" s="246"/>
      <c r="G44" s="256"/>
      <c r="H44" s="256"/>
      <c r="I44" s="256"/>
      <c r="J44" s="256"/>
      <c r="K44" s="256"/>
      <c r="L44" s="256"/>
      <c r="M44" s="256"/>
      <c r="N44" s="256"/>
      <c r="O44" s="251"/>
      <c r="P44" s="252"/>
    </row>
    <row r="45" spans="1:16" s="253" customFormat="1" hidden="1" outlineLevel="1" x14ac:dyDescent="0.25">
      <c r="A45" s="249"/>
      <c r="B45" s="254"/>
      <c r="C45" s="246"/>
      <c r="D45" s="246"/>
      <c r="E45" s="246"/>
      <c r="F45" s="246"/>
      <c r="G45" s="256"/>
      <c r="H45" s="256"/>
      <c r="I45" s="256"/>
      <c r="J45" s="256"/>
      <c r="K45" s="256"/>
      <c r="L45" s="256"/>
      <c r="M45" s="256"/>
      <c r="N45" s="256"/>
      <c r="O45" s="251"/>
      <c r="P45" s="252"/>
    </row>
    <row r="46" spans="1:16" s="253" customFormat="1" ht="36.75" hidden="1" outlineLevel="1" thickTop="1" x14ac:dyDescent="0.25">
      <c r="A46" s="249"/>
      <c r="B46" s="254"/>
      <c r="C46" s="257" t="s">
        <v>250</v>
      </c>
      <c r="D46" s="258" t="s">
        <v>251</v>
      </c>
      <c r="E46" s="259" t="s">
        <v>146</v>
      </c>
      <c r="F46" s="246"/>
      <c r="G46" s="256"/>
      <c r="H46" s="256"/>
      <c r="I46" s="239"/>
      <c r="J46" s="712" t="s">
        <v>252</v>
      </c>
      <c r="K46" s="713"/>
      <c r="L46" s="713"/>
      <c r="M46" s="714"/>
      <c r="N46" s="260" t="s">
        <v>253</v>
      </c>
      <c r="O46" s="251"/>
      <c r="P46" s="252"/>
    </row>
    <row r="47" spans="1:16" s="253" customFormat="1" ht="27.75" hidden="1" customHeight="1" outlineLevel="1" x14ac:dyDescent="0.25">
      <c r="A47" s="249"/>
      <c r="B47" s="254"/>
      <c r="C47" s="261">
        <v>0</v>
      </c>
      <c r="D47" s="262">
        <v>3</v>
      </c>
      <c r="E47" s="263">
        <v>60</v>
      </c>
      <c r="F47" s="246"/>
      <c r="G47" s="256"/>
      <c r="H47" s="256"/>
      <c r="I47" s="264"/>
      <c r="J47" s="265">
        <v>1</v>
      </c>
      <c r="K47" s="695" t="str" cm="1">
        <f t="array" ref="K47">UNICO_PROPONENTE_INTEGRANTE_1</f>
        <v/>
      </c>
      <c r="L47" s="695"/>
      <c r="M47" s="695"/>
      <c r="N47" s="266" t="e" cm="1">
        <f t="array" ref="N47">PORCENTAJE_INTEGRANTE1</f>
        <v>#N/A</v>
      </c>
      <c r="O47" s="251"/>
      <c r="P47" s="252"/>
    </row>
    <row r="48" spans="1:16" s="253" customFormat="1" ht="27.75" hidden="1" customHeight="1" outlineLevel="1" x14ac:dyDescent="0.25">
      <c r="A48" s="249"/>
      <c r="B48" s="254"/>
      <c r="C48" s="261">
        <v>3</v>
      </c>
      <c r="D48" s="262">
        <v>6</v>
      </c>
      <c r="E48" s="263">
        <v>80</v>
      </c>
      <c r="F48" s="246"/>
      <c r="G48" s="256"/>
      <c r="H48" s="256"/>
      <c r="I48" s="267"/>
      <c r="J48" s="268">
        <v>2</v>
      </c>
      <c r="K48" s="695" t="e" cm="1">
        <f t="array" ref="K48">INTEGRANTE_2</f>
        <v>#N/A</v>
      </c>
      <c r="L48" s="695"/>
      <c r="M48" s="695"/>
      <c r="N48" s="266" t="e" cm="1">
        <f t="array" ref="N48">PORCENTAJE_INTEGRANTE2</f>
        <v>#N/A</v>
      </c>
      <c r="O48" s="251"/>
      <c r="P48" s="252"/>
    </row>
    <row r="49" spans="1:16" s="253" customFormat="1" ht="27.75" hidden="1" customHeight="1" outlineLevel="1" x14ac:dyDescent="0.25">
      <c r="A49" s="249"/>
      <c r="B49" s="254"/>
      <c r="C49" s="261">
        <v>6</v>
      </c>
      <c r="D49" s="262">
        <v>10</v>
      </c>
      <c r="E49" s="263">
        <v>100</v>
      </c>
      <c r="F49" s="246"/>
      <c r="G49" s="256"/>
      <c r="H49" s="256"/>
      <c r="I49" s="267"/>
      <c r="J49" s="268">
        <v>3</v>
      </c>
      <c r="K49" s="695" t="e" cm="1">
        <f t="array" ref="K49">INTEGRANTE_3</f>
        <v>#N/A</v>
      </c>
      <c r="L49" s="695"/>
      <c r="M49" s="695"/>
      <c r="N49" s="266" t="e" cm="1">
        <f t="array" ref="N49">PORCENTAJE_INTEGRANTE3</f>
        <v>#N/A</v>
      </c>
      <c r="O49" s="251"/>
      <c r="P49" s="252"/>
    </row>
    <row r="50" spans="1:16" s="253" customFormat="1" ht="27.75" hidden="1" customHeight="1" outlineLevel="1" thickBot="1" x14ac:dyDescent="0.3">
      <c r="A50" s="249"/>
      <c r="B50" s="254"/>
      <c r="C50" s="269">
        <v>10</v>
      </c>
      <c r="D50" s="270" t="s">
        <v>254</v>
      </c>
      <c r="E50" s="271">
        <v>120</v>
      </c>
      <c r="F50" s="246"/>
      <c r="G50" s="256"/>
      <c r="H50" s="256"/>
      <c r="I50" s="267"/>
      <c r="J50" s="268">
        <v>4</v>
      </c>
      <c r="K50" s="695" t="e" cm="1">
        <f t="array" ref="K50">INTEGRANTE_4</f>
        <v>#N/A</v>
      </c>
      <c r="L50" s="695"/>
      <c r="M50" s="695"/>
      <c r="N50" s="266" t="e" cm="1">
        <f t="array" ref="N50">PORCENTAJE_INTEGRANTE4</f>
        <v>#N/A</v>
      </c>
      <c r="O50" s="251"/>
      <c r="P50" s="252"/>
    </row>
    <row r="51" spans="1:16" s="253" customFormat="1" ht="27.75" hidden="1" customHeight="1" outlineLevel="1" thickTop="1" x14ac:dyDescent="0.25">
      <c r="A51" s="249"/>
      <c r="B51" s="254"/>
      <c r="C51" s="272"/>
      <c r="D51" s="272"/>
      <c r="E51" s="272"/>
      <c r="F51" s="246"/>
      <c r="G51" s="256"/>
      <c r="H51" s="256"/>
      <c r="I51" s="267"/>
      <c r="J51" s="268">
        <v>5</v>
      </c>
      <c r="K51" s="695" t="e" cm="1">
        <f t="array" ref="K51">INTEGRANTE_5</f>
        <v>#N/A</v>
      </c>
      <c r="L51" s="695"/>
      <c r="M51" s="695"/>
      <c r="N51" s="266" t="e" cm="1">
        <f t="array" ref="N51">PORCENTAJE_INTEGRANTE5</f>
        <v>#N/A</v>
      </c>
      <c r="O51" s="251"/>
      <c r="P51" s="252"/>
    </row>
    <row r="52" spans="1:16" s="253" customFormat="1" ht="27.75" hidden="1" customHeight="1" outlineLevel="1" x14ac:dyDescent="0.25">
      <c r="A52" s="249"/>
      <c r="B52" s="254"/>
      <c r="C52" s="272"/>
      <c r="D52" s="272"/>
      <c r="E52" s="272"/>
      <c r="F52" s="246"/>
      <c r="G52" s="256"/>
      <c r="H52" s="256"/>
      <c r="I52" s="267"/>
      <c r="J52" s="268">
        <v>6</v>
      </c>
      <c r="K52" s="695" t="e" cm="1">
        <f t="array" ref="K52">INTEGRANTE_6</f>
        <v>#N/A</v>
      </c>
      <c r="L52" s="695"/>
      <c r="M52" s="695"/>
      <c r="N52" s="266" t="e" cm="1">
        <f t="array" ref="N52">PORCENTAJE_INTEGRANTE6</f>
        <v>#N/A</v>
      </c>
      <c r="O52" s="251"/>
      <c r="P52" s="252"/>
    </row>
    <row r="53" spans="1:16" s="253" customFormat="1" ht="27.75" hidden="1" customHeight="1" outlineLevel="1" x14ac:dyDescent="0.25">
      <c r="A53" s="249"/>
      <c r="B53" s="254"/>
      <c r="C53" s="272"/>
      <c r="D53" s="272"/>
      <c r="E53" s="272"/>
      <c r="F53" s="246"/>
      <c r="G53" s="256"/>
      <c r="H53" s="256"/>
      <c r="I53" s="256"/>
      <c r="J53" s="256"/>
      <c r="K53" s="256"/>
      <c r="L53" s="256"/>
      <c r="M53" s="256"/>
      <c r="N53" s="256"/>
      <c r="O53" s="251"/>
      <c r="P53" s="252"/>
    </row>
    <row r="54" spans="1:16" ht="15.75" hidden="1" customHeight="1" outlineLevel="1" thickBot="1" x14ac:dyDescent="0.3">
      <c r="B54" s="247"/>
      <c r="C54" s="246"/>
      <c r="D54" s="248"/>
      <c r="E54" s="248"/>
      <c r="F54" s="246"/>
      <c r="G54" s="246"/>
      <c r="H54" s="246"/>
      <c r="I54" s="246"/>
      <c r="J54" s="246"/>
      <c r="K54" s="246"/>
      <c r="L54" s="246"/>
      <c r="M54" s="246"/>
      <c r="N54" s="246"/>
      <c r="O54" s="245"/>
      <c r="P54" s="246"/>
    </row>
    <row r="55" spans="1:16" ht="23.25" hidden="1" customHeight="1" outlineLevel="1" thickTop="1" x14ac:dyDescent="0.25">
      <c r="B55" s="247"/>
      <c r="C55" s="715" t="s">
        <v>255</v>
      </c>
      <c r="D55" s="716"/>
      <c r="E55" s="716"/>
      <c r="F55" s="716"/>
      <c r="G55" s="716"/>
      <c r="H55" s="717"/>
      <c r="J55" s="715" t="s">
        <v>256</v>
      </c>
      <c r="K55" s="716"/>
      <c r="L55" s="716"/>
      <c r="M55" s="716"/>
      <c r="N55" s="717"/>
      <c r="O55" s="245"/>
      <c r="P55" s="246"/>
    </row>
    <row r="56" spans="1:16" ht="122.25" hidden="1" customHeight="1" outlineLevel="1" thickBot="1" x14ac:dyDescent="0.3">
      <c r="B56" s="247"/>
      <c r="C56" s="719" t="s">
        <v>257</v>
      </c>
      <c r="D56" s="720"/>
      <c r="E56" s="720"/>
      <c r="F56" s="720"/>
      <c r="G56" s="720"/>
      <c r="H56" s="721"/>
      <c r="J56" s="722" t="s">
        <v>258</v>
      </c>
      <c r="K56" s="723"/>
      <c r="L56" s="723"/>
      <c r="M56" s="723"/>
      <c r="N56" s="724"/>
      <c r="O56" s="273"/>
      <c r="P56" s="274"/>
    </row>
    <row r="57" spans="1:16" hidden="1" outlineLevel="1" x14ac:dyDescent="0.25">
      <c r="B57" s="247"/>
      <c r="C57" s="246"/>
      <c r="D57" s="274"/>
      <c r="E57" s="274"/>
      <c r="F57" s="274"/>
      <c r="G57" s="274"/>
      <c r="H57" s="274"/>
      <c r="I57" s="274"/>
      <c r="J57" s="274"/>
      <c r="K57" s="274"/>
      <c r="L57" s="274"/>
      <c r="M57" s="274"/>
      <c r="N57" s="274"/>
      <c r="O57" s="273"/>
      <c r="P57" s="274"/>
    </row>
    <row r="58" spans="1:16" ht="15.75" hidden="1" customHeight="1" outlineLevel="1" x14ac:dyDescent="0.25">
      <c r="B58" s="247"/>
      <c r="G58" s="246"/>
      <c r="O58" s="273"/>
      <c r="P58" s="246"/>
    </row>
    <row r="59" spans="1:16" ht="44.25" hidden="1" customHeight="1" outlineLevel="1" x14ac:dyDescent="0.25">
      <c r="B59" s="247"/>
      <c r="C59" s="260" t="s">
        <v>259</v>
      </c>
      <c r="D59" s="260" t="s">
        <v>221</v>
      </c>
      <c r="E59" s="275" t="s">
        <v>260</v>
      </c>
      <c r="F59" s="275" t="s">
        <v>261</v>
      </c>
      <c r="H59" s="276"/>
      <c r="I59" s="246"/>
      <c r="J59" s="260" t="s">
        <v>259</v>
      </c>
      <c r="K59" s="260" t="s">
        <v>262</v>
      </c>
      <c r="L59" s="275" t="s">
        <v>260</v>
      </c>
      <c r="M59" s="260" t="s">
        <v>263</v>
      </c>
      <c r="N59" s="275" t="s">
        <v>261</v>
      </c>
      <c r="O59" s="273"/>
      <c r="P59" s="246"/>
    </row>
    <row r="60" spans="1:16" ht="27.75" hidden="1" customHeight="1" outlineLevel="1" x14ac:dyDescent="0.25">
      <c r="B60" s="247"/>
      <c r="C60" s="725">
        <v>2000000</v>
      </c>
      <c r="D60" s="725" t="str">
        <f>IF($N$7="Único Proponente",$E$18,"")</f>
        <v/>
      </c>
      <c r="E60" s="726" t="str">
        <f>IF($N$7="Único Proponente",$C$60/$D$60,"")</f>
        <v/>
      </c>
      <c r="F60" s="727" t="str">
        <f>IF($N$7="Único Proponente",IF($E$60&gt;11,$E$50,IF($E$60&gt;$C$49,$E$49,IF($E$60&gt;$C$48,$E$48,IF($E$60&gt;$C$47,E47,"")))),"")</f>
        <v/>
      </c>
      <c r="G60" s="728"/>
      <c r="H60" s="728"/>
      <c r="I60" s="255">
        <v>1</v>
      </c>
      <c r="J60" s="277">
        <v>2500000000</v>
      </c>
      <c r="K60" s="277" t="str">
        <f>IFERROR(IF($N$7="Proponente Plural",$E$18*$N47,""),"")</f>
        <v/>
      </c>
      <c r="L60" s="279" t="str">
        <f>IFERROR((J60/K60),"")</f>
        <v/>
      </c>
      <c r="M60" s="729" t="str">
        <f>IF(SUM($L$60:$L$65)=0,"",SUM($L$60:$L$65))</f>
        <v/>
      </c>
      <c r="N60" s="727">
        <f>IF($N$7="Proponente Plural",IF($M$60&gt;11,$E$50,IF($M$60&gt;$C$49,$E$49,IF($M$60&gt;$C$48,$E$48,IF($M$60&gt;$C$47,E47,"")))),"")</f>
        <v>120</v>
      </c>
      <c r="O60" s="273"/>
      <c r="P60" s="246"/>
    </row>
    <row r="61" spans="1:16" ht="27.75" hidden="1" customHeight="1" outlineLevel="1" x14ac:dyDescent="0.25">
      <c r="B61" s="247"/>
      <c r="C61" s="725"/>
      <c r="D61" s="725"/>
      <c r="E61" s="726"/>
      <c r="F61" s="727"/>
      <c r="G61" s="728"/>
      <c r="H61" s="728"/>
      <c r="I61" s="255">
        <v>2</v>
      </c>
      <c r="J61" s="277">
        <v>700000000</v>
      </c>
      <c r="K61" s="277" t="str">
        <f>IFERROR(IF($N$7="Proponente Plural",$E$18*$N48,""),"")</f>
        <v/>
      </c>
      <c r="L61" s="279" t="str">
        <f t="shared" ref="L61:L65" si="0">IFERROR((J61/K61),"")</f>
        <v/>
      </c>
      <c r="M61" s="729"/>
      <c r="N61" s="727"/>
      <c r="O61" s="273"/>
      <c r="P61" s="246"/>
    </row>
    <row r="62" spans="1:16" ht="27.75" hidden="1" customHeight="1" outlineLevel="1" x14ac:dyDescent="0.25">
      <c r="B62" s="247"/>
      <c r="C62" s="725"/>
      <c r="D62" s="725"/>
      <c r="E62" s="726"/>
      <c r="F62" s="727"/>
      <c r="G62" s="728"/>
      <c r="H62" s="728"/>
      <c r="I62" s="255">
        <v>3</v>
      </c>
      <c r="J62" s="277"/>
      <c r="K62" s="277" t="str">
        <f>IFERROR(IF($N$7="Proponente Plural",$E$18*$N49,""),"")</f>
        <v/>
      </c>
      <c r="L62" s="279" t="str">
        <f t="shared" si="0"/>
        <v/>
      </c>
      <c r="M62" s="729"/>
      <c r="N62" s="727"/>
      <c r="O62" s="273"/>
      <c r="P62" s="246"/>
    </row>
    <row r="63" spans="1:16" ht="26.25" hidden="1" customHeight="1" outlineLevel="1" x14ac:dyDescent="0.25">
      <c r="B63" s="247"/>
      <c r="C63" s="246"/>
      <c r="D63" s="248"/>
      <c r="E63" s="248"/>
      <c r="F63" s="246"/>
      <c r="G63" s="246"/>
      <c r="H63" s="246"/>
      <c r="I63" s="255">
        <v>4</v>
      </c>
      <c r="J63" s="277"/>
      <c r="K63" s="277" t="str">
        <f>IFERROR(IF($N$7="Proponente Plural",$E$18*$N50,""),"")</f>
        <v/>
      </c>
      <c r="L63" s="279" t="str">
        <f t="shared" si="0"/>
        <v/>
      </c>
      <c r="M63" s="729"/>
      <c r="N63" s="727"/>
      <c r="O63" s="245"/>
      <c r="P63" s="246"/>
    </row>
    <row r="64" spans="1:16" ht="26.25" hidden="1" customHeight="1" outlineLevel="1" x14ac:dyDescent="0.25">
      <c r="B64" s="247"/>
      <c r="C64" s="246"/>
      <c r="D64" s="248"/>
      <c r="E64" s="248"/>
      <c r="F64" s="246"/>
      <c r="G64" s="246"/>
      <c r="H64" s="246"/>
      <c r="I64" s="255">
        <v>5</v>
      </c>
      <c r="J64" s="277"/>
      <c r="K64" s="277" t="str">
        <f t="shared" ref="K64:K65" si="1">IFERROR(IF($N$7="Proponente Plural",$E$18*$N51,""),"")</f>
        <v/>
      </c>
      <c r="L64" s="279" t="str">
        <f t="shared" si="0"/>
        <v/>
      </c>
      <c r="M64" s="729"/>
      <c r="N64" s="727"/>
      <c r="O64" s="245"/>
      <c r="P64" s="246"/>
    </row>
    <row r="65" spans="2:16" ht="26.25" hidden="1" customHeight="1" outlineLevel="1" x14ac:dyDescent="0.25">
      <c r="B65" s="247"/>
      <c r="C65" s="246"/>
      <c r="D65" s="248"/>
      <c r="E65" s="248"/>
      <c r="F65" s="246"/>
      <c r="G65" s="246"/>
      <c r="H65" s="246"/>
      <c r="I65" s="255">
        <v>6</v>
      </c>
      <c r="J65" s="277"/>
      <c r="K65" s="277" t="str">
        <f t="shared" si="1"/>
        <v/>
      </c>
      <c r="L65" s="279" t="str">
        <f t="shared" si="0"/>
        <v/>
      </c>
      <c r="M65" s="729"/>
      <c r="N65" s="727"/>
      <c r="O65" s="245"/>
      <c r="P65" s="246"/>
    </row>
    <row r="66" spans="2:16" ht="15.75" hidden="1" customHeight="1" outlineLevel="1" x14ac:dyDescent="0.25">
      <c r="B66" s="247"/>
      <c r="C66" s="246"/>
      <c r="D66" s="248"/>
      <c r="E66" s="248"/>
      <c r="F66" s="246"/>
      <c r="G66" s="246"/>
      <c r="H66" s="246"/>
      <c r="I66" s="246"/>
      <c r="J66" s="246"/>
      <c r="K66" s="246"/>
      <c r="L66" s="246"/>
      <c r="M66" s="246"/>
      <c r="N66" s="246"/>
      <c r="O66" s="245"/>
      <c r="P66" s="246"/>
    </row>
    <row r="67" spans="2:16" ht="41.25" hidden="1" customHeight="1" collapsed="1" x14ac:dyDescent="0.25">
      <c r="B67" s="247"/>
      <c r="C67" s="241" t="s">
        <v>264</v>
      </c>
      <c r="D67" s="242"/>
      <c r="E67" s="242">
        <v>40</v>
      </c>
      <c r="F67" s="243"/>
      <c r="G67" s="243"/>
      <c r="H67" s="243"/>
      <c r="I67" s="243"/>
      <c r="J67" s="243"/>
      <c r="K67" s="243"/>
      <c r="L67" s="243"/>
      <c r="M67" s="244"/>
      <c r="N67" s="242"/>
      <c r="O67" s="245"/>
      <c r="P67" s="246"/>
    </row>
    <row r="68" spans="2:16" ht="15.75" hidden="1" customHeight="1" outlineLevel="1" x14ac:dyDescent="0.25">
      <c r="B68" s="247"/>
      <c r="C68" s="246"/>
      <c r="D68" s="248"/>
      <c r="E68" s="248"/>
      <c r="F68" s="246"/>
      <c r="G68" s="246"/>
      <c r="H68" s="246"/>
      <c r="I68" s="246"/>
      <c r="J68" s="246"/>
      <c r="K68" s="246"/>
      <c r="L68" s="246"/>
      <c r="M68" s="246"/>
      <c r="N68" s="246"/>
      <c r="O68" s="245"/>
      <c r="P68" s="246"/>
    </row>
    <row r="69" spans="2:16" ht="78" hidden="1" customHeight="1" outlineLevel="1" x14ac:dyDescent="0.25">
      <c r="B69" s="247"/>
      <c r="C69" s="730" t="s">
        <v>265</v>
      </c>
      <c r="D69" s="731"/>
      <c r="E69" s="731"/>
      <c r="F69" s="732" t="s">
        <v>266</v>
      </c>
      <c r="G69" s="733"/>
      <c r="H69" s="734"/>
      <c r="I69" s="246"/>
      <c r="O69" s="245"/>
      <c r="P69" s="246"/>
    </row>
    <row r="70" spans="2:16" ht="15.75" hidden="1" customHeight="1" outlineLevel="1" x14ac:dyDescent="0.25">
      <c r="B70" s="247"/>
      <c r="C70" s="246"/>
      <c r="D70" s="248"/>
      <c r="E70" s="248"/>
      <c r="F70" s="246"/>
      <c r="G70" s="246"/>
      <c r="H70" s="246"/>
      <c r="I70" s="246"/>
      <c r="J70" s="246"/>
      <c r="K70" s="246"/>
      <c r="L70" s="246"/>
      <c r="M70" s="246"/>
      <c r="N70" s="246"/>
      <c r="O70" s="245"/>
      <c r="P70" s="246"/>
    </row>
    <row r="71" spans="2:16" ht="15.75" hidden="1" customHeight="1" outlineLevel="1" x14ac:dyDescent="0.25">
      <c r="B71" s="247"/>
      <c r="C71" s="255" t="s">
        <v>267</v>
      </c>
      <c r="D71" s="248"/>
      <c r="E71" s="248"/>
      <c r="F71" s="246"/>
      <c r="G71" s="246"/>
      <c r="H71" s="246"/>
      <c r="I71" s="246"/>
      <c r="J71" s="246"/>
      <c r="K71" s="246"/>
      <c r="N71" s="246"/>
      <c r="O71" s="245"/>
      <c r="P71" s="246"/>
    </row>
    <row r="72" spans="2:16" ht="31.5" hidden="1" customHeight="1" outlineLevel="1" thickBot="1" x14ac:dyDescent="0.3">
      <c r="B72" s="247"/>
      <c r="C72" s="246"/>
      <c r="D72" s="248"/>
      <c r="E72" s="248"/>
      <c r="F72" s="246"/>
      <c r="G72" s="246"/>
      <c r="H72" s="246"/>
      <c r="J72" s="735" t="s">
        <v>268</v>
      </c>
      <c r="K72" s="735"/>
      <c r="L72" s="260" t="s">
        <v>269</v>
      </c>
      <c r="M72" s="260" t="s">
        <v>270</v>
      </c>
      <c r="O72" s="245"/>
      <c r="P72" s="246"/>
    </row>
    <row r="73" spans="2:16" ht="33" hidden="1" customHeight="1" outlineLevel="1" thickTop="1" x14ac:dyDescent="0.25">
      <c r="B73" s="247"/>
      <c r="C73" s="257" t="s">
        <v>250</v>
      </c>
      <c r="D73" s="258" t="s">
        <v>251</v>
      </c>
      <c r="E73" s="259" t="s">
        <v>146</v>
      </c>
      <c r="F73" s="246"/>
      <c r="I73" s="280">
        <v>1</v>
      </c>
      <c r="J73" s="718" t="str" cm="1">
        <f t="array" ref="J73">UNICO_PROPONENTE_INTEGRANTE_1</f>
        <v/>
      </c>
      <c r="K73" s="718"/>
      <c r="L73" s="281">
        <v>1500000000</v>
      </c>
      <c r="M73" s="281">
        <v>750000000</v>
      </c>
      <c r="O73" s="245"/>
      <c r="P73" s="246"/>
    </row>
    <row r="74" spans="2:16" ht="34.5" hidden="1" customHeight="1" outlineLevel="1" x14ac:dyDescent="0.25">
      <c r="B74" s="247"/>
      <c r="C74" s="282">
        <v>0</v>
      </c>
      <c r="D74" s="283">
        <v>0.5</v>
      </c>
      <c r="E74" s="263">
        <v>20</v>
      </c>
      <c r="F74" s="246"/>
      <c r="I74" s="284">
        <v>2</v>
      </c>
      <c r="J74" s="718" t="e" cm="1">
        <f t="array" ref="J74">INTEGRANTE_2</f>
        <v>#N/A</v>
      </c>
      <c r="K74" s="718"/>
      <c r="L74" s="281">
        <v>2000000000</v>
      </c>
      <c r="M74" s="281">
        <v>1500000000</v>
      </c>
      <c r="O74" s="245"/>
      <c r="P74" s="246"/>
    </row>
    <row r="75" spans="2:16" ht="34.5" hidden="1" customHeight="1" outlineLevel="1" x14ac:dyDescent="0.25">
      <c r="B75" s="247"/>
      <c r="C75" s="282">
        <v>0.5</v>
      </c>
      <c r="D75" s="283">
        <v>0.75</v>
      </c>
      <c r="E75" s="263">
        <v>25</v>
      </c>
      <c r="F75" s="246"/>
      <c r="I75" s="284">
        <v>3</v>
      </c>
      <c r="J75" s="718" t="e" cm="1">
        <f t="array" ref="J75">INTEGRANTE_3</f>
        <v>#N/A</v>
      </c>
      <c r="K75" s="718"/>
      <c r="L75" s="281">
        <v>3000000000</v>
      </c>
      <c r="M75" s="281">
        <v>1000000</v>
      </c>
      <c r="N75" s="285"/>
      <c r="O75" s="245"/>
      <c r="P75" s="246"/>
    </row>
    <row r="76" spans="2:16" ht="34.5" hidden="1" customHeight="1" outlineLevel="1" x14ac:dyDescent="0.25">
      <c r="B76" s="247"/>
      <c r="C76" s="282">
        <v>0.75</v>
      </c>
      <c r="D76" s="283">
        <v>1</v>
      </c>
      <c r="E76" s="263">
        <v>30</v>
      </c>
      <c r="F76" s="246"/>
      <c r="I76" s="284">
        <v>4</v>
      </c>
      <c r="J76" s="718" t="e" cm="1">
        <f t="array" ref="J76">INTEGRANTE_4</f>
        <v>#N/A</v>
      </c>
      <c r="K76" s="718"/>
      <c r="L76" s="281"/>
      <c r="M76" s="281"/>
      <c r="N76" s="285"/>
      <c r="O76" s="245"/>
      <c r="P76" s="246"/>
    </row>
    <row r="77" spans="2:16" ht="34.5" hidden="1" customHeight="1" outlineLevel="1" x14ac:dyDescent="0.25">
      <c r="B77" s="247"/>
      <c r="C77" s="282">
        <v>1</v>
      </c>
      <c r="D77" s="283">
        <v>1.5</v>
      </c>
      <c r="E77" s="263">
        <v>35</v>
      </c>
      <c r="F77" s="246"/>
      <c r="I77" s="284">
        <v>5</v>
      </c>
      <c r="J77" s="718" t="e" cm="1">
        <f t="array" ref="J77">INTEGRANTE_5</f>
        <v>#N/A</v>
      </c>
      <c r="K77" s="718"/>
      <c r="L77" s="281"/>
      <c r="M77" s="281"/>
      <c r="N77" s="285"/>
      <c r="O77" s="245"/>
      <c r="P77" s="246"/>
    </row>
    <row r="78" spans="2:16" ht="34.5" hidden="1" customHeight="1" outlineLevel="1" thickBot="1" x14ac:dyDescent="0.3">
      <c r="B78" s="247"/>
      <c r="C78" s="286">
        <v>1.5</v>
      </c>
      <c r="D78" s="270" t="s">
        <v>271</v>
      </c>
      <c r="E78" s="271">
        <v>40</v>
      </c>
      <c r="F78" s="246"/>
      <c r="I78" s="284">
        <v>6</v>
      </c>
      <c r="J78" s="718" t="e" cm="1">
        <f t="array" ref="J78">INTEGRANTE_6</f>
        <v>#N/A</v>
      </c>
      <c r="K78" s="718"/>
      <c r="L78" s="281"/>
      <c r="M78" s="281"/>
      <c r="N78" s="285"/>
      <c r="O78" s="245"/>
      <c r="P78" s="246"/>
    </row>
    <row r="79" spans="2:16" ht="34.5" hidden="1" customHeight="1" outlineLevel="1" thickTop="1" x14ac:dyDescent="0.25">
      <c r="B79" s="247"/>
      <c r="C79" s="246"/>
      <c r="D79" s="248"/>
      <c r="E79" s="248"/>
      <c r="F79" s="246"/>
      <c r="N79" s="285"/>
      <c r="O79" s="245"/>
      <c r="P79" s="246"/>
    </row>
    <row r="80" spans="2:16" ht="34.5" hidden="1" customHeight="1" outlineLevel="1" x14ac:dyDescent="0.25">
      <c r="B80" s="247"/>
      <c r="C80" s="246"/>
      <c r="D80" s="248"/>
      <c r="E80" s="248"/>
      <c r="F80" s="246"/>
      <c r="J80" s="260" t="s">
        <v>269</v>
      </c>
      <c r="K80" s="260" t="s">
        <v>270</v>
      </c>
      <c r="L80" s="260" t="s">
        <v>272</v>
      </c>
      <c r="M80" s="275" t="s">
        <v>261</v>
      </c>
      <c r="N80" s="285"/>
      <c r="O80" s="245"/>
      <c r="P80" s="246"/>
    </row>
    <row r="81" spans="2:16" ht="34.5" hidden="1" customHeight="1" outlineLevel="1" x14ac:dyDescent="0.25">
      <c r="B81" s="247"/>
      <c r="C81" s="246"/>
      <c r="D81" s="248"/>
      <c r="E81" s="248"/>
      <c r="F81" s="246"/>
      <c r="J81" s="281">
        <f>SUM(L73:L78)</f>
        <v>6500000000</v>
      </c>
      <c r="K81" s="281">
        <f>SUM(M73:M78)</f>
        <v>2251000000</v>
      </c>
      <c r="L81" s="287">
        <f>IFERROR(J81/K81,"INDETERMINADO")</f>
        <v>2.8876055086628165</v>
      </c>
      <c r="M81" s="278">
        <f>IF($L$81&gt;1.51,$E$78,IF($L$81&gt;$C$77,$E$77,IF($L$81&gt;$C$76,$E$76,IF($L$81&gt;$C$75,$E$75,IF($L$81&gt;$C$74,$E$74,"40")))))</f>
        <v>40</v>
      </c>
      <c r="N81" s="285"/>
      <c r="O81" s="245"/>
      <c r="P81" s="246"/>
    </row>
    <row r="82" spans="2:16" ht="15.75" hidden="1" customHeight="1" outlineLevel="1" x14ac:dyDescent="0.25">
      <c r="B82" s="247"/>
      <c r="C82" s="246"/>
      <c r="D82" s="248"/>
      <c r="E82" s="248"/>
      <c r="F82" s="246"/>
      <c r="G82" s="246"/>
      <c r="H82" s="246"/>
      <c r="I82" s="246"/>
      <c r="J82" s="288"/>
      <c r="K82" s="288"/>
      <c r="L82" s="246"/>
      <c r="M82" s="246"/>
      <c r="N82" s="246"/>
      <c r="O82" s="245"/>
      <c r="P82" s="246"/>
    </row>
    <row r="83" spans="2:16" ht="39.75" hidden="1" customHeight="1" collapsed="1" x14ac:dyDescent="0.25">
      <c r="B83" s="247"/>
      <c r="C83" s="241" t="s">
        <v>273</v>
      </c>
      <c r="D83" s="242"/>
      <c r="E83" s="242">
        <v>40</v>
      </c>
      <c r="F83" s="243"/>
      <c r="G83" s="243"/>
      <c r="H83" s="243"/>
      <c r="I83" s="243"/>
      <c r="J83" s="243"/>
      <c r="K83" s="243"/>
      <c r="L83" s="243"/>
      <c r="M83" s="244"/>
      <c r="N83" s="242"/>
      <c r="O83" s="245"/>
      <c r="P83" s="246"/>
    </row>
    <row r="84" spans="2:16" ht="15.75" hidden="1" customHeight="1" outlineLevel="1" x14ac:dyDescent="0.25">
      <c r="B84" s="247"/>
      <c r="C84" s="246"/>
      <c r="D84" s="248"/>
      <c r="E84" s="248"/>
      <c r="F84" s="246"/>
      <c r="G84" s="246"/>
      <c r="H84" s="246"/>
      <c r="I84" s="246"/>
      <c r="J84" s="288"/>
      <c r="K84" s="288"/>
      <c r="L84" s="246"/>
      <c r="M84" s="246"/>
      <c r="N84" s="246"/>
      <c r="O84" s="245"/>
      <c r="P84" s="246"/>
    </row>
    <row r="85" spans="2:16" ht="51" hidden="1" customHeight="1" outlineLevel="1" x14ac:dyDescent="0.25">
      <c r="B85" s="247"/>
      <c r="C85" s="709" t="s">
        <v>274</v>
      </c>
      <c r="D85" s="710"/>
      <c r="E85" s="710"/>
      <c r="F85" s="710"/>
      <c r="G85" s="710"/>
      <c r="H85" s="710"/>
      <c r="I85" s="710"/>
      <c r="J85" s="710"/>
      <c r="K85" s="710"/>
      <c r="L85" s="710"/>
      <c r="M85" s="710"/>
      <c r="N85" s="711"/>
      <c r="O85" s="245"/>
      <c r="P85" s="246"/>
    </row>
    <row r="86" spans="2:16" ht="15.75" hidden="1" customHeight="1" outlineLevel="1" thickBot="1" x14ac:dyDescent="0.3">
      <c r="B86" s="247"/>
      <c r="C86" s="246"/>
      <c r="D86" s="248"/>
      <c r="E86" s="248"/>
      <c r="F86" s="246"/>
      <c r="G86" s="246"/>
      <c r="H86" s="246"/>
      <c r="I86" s="246"/>
      <c r="J86" s="288"/>
      <c r="K86" s="288"/>
      <c r="L86" s="246"/>
      <c r="M86" s="246"/>
      <c r="N86" s="246"/>
      <c r="O86" s="245"/>
      <c r="P86" s="246"/>
    </row>
    <row r="87" spans="2:16" ht="50.25" hidden="1" customHeight="1" outlineLevel="1" thickTop="1" x14ac:dyDescent="0.25">
      <c r="B87" s="247"/>
      <c r="C87" s="257" t="s">
        <v>250</v>
      </c>
      <c r="D87" s="258" t="s">
        <v>251</v>
      </c>
      <c r="E87" s="259" t="s">
        <v>146</v>
      </c>
      <c r="F87" s="246"/>
      <c r="J87" s="735" t="s">
        <v>268</v>
      </c>
      <c r="K87" s="735"/>
      <c r="L87" s="289" t="s">
        <v>275</v>
      </c>
      <c r="M87" s="289" t="s">
        <v>276</v>
      </c>
      <c r="N87" s="275" t="s">
        <v>261</v>
      </c>
      <c r="O87" s="245"/>
      <c r="P87" s="246"/>
    </row>
    <row r="88" spans="2:16" ht="28.5" hidden="1" customHeight="1" outlineLevel="1" x14ac:dyDescent="0.25">
      <c r="B88" s="247"/>
      <c r="C88" s="261">
        <v>1</v>
      </c>
      <c r="D88" s="262">
        <v>5</v>
      </c>
      <c r="E88" s="263">
        <v>20</v>
      </c>
      <c r="F88" s="246"/>
      <c r="I88" s="280">
        <v>1</v>
      </c>
      <c r="J88" s="718" t="str" cm="1">
        <f t="array" ref="J88">UNICO_PROPONENTE_INTEGRANTE_1</f>
        <v/>
      </c>
      <c r="K88" s="718"/>
      <c r="L88" s="290">
        <v>3</v>
      </c>
      <c r="M88" s="736">
        <f>SUM(L88:L93)</f>
        <v>10</v>
      </c>
      <c r="N88" s="727">
        <f>IF($M$88&gt;=$C$90,$E$90,IF($M$88&gt;=$C$89,$E$89,IF($M$88&gt;=$C$88,$E$88,"")))</f>
        <v>30</v>
      </c>
      <c r="O88" s="245"/>
      <c r="P88" s="246"/>
    </row>
    <row r="89" spans="2:16" ht="28.5" hidden="1" customHeight="1" outlineLevel="1" x14ac:dyDescent="0.25">
      <c r="B89" s="247"/>
      <c r="C89" s="261">
        <v>6</v>
      </c>
      <c r="D89" s="262">
        <v>10</v>
      </c>
      <c r="E89" s="263">
        <v>30</v>
      </c>
      <c r="F89" s="246"/>
      <c r="I89" s="284">
        <v>2</v>
      </c>
      <c r="J89" s="718" t="e" cm="1">
        <f t="array" ref="J89">INTEGRANTE_2</f>
        <v>#N/A</v>
      </c>
      <c r="K89" s="718"/>
      <c r="L89" s="291">
        <v>4</v>
      </c>
      <c r="M89" s="737"/>
      <c r="N89" s="727"/>
      <c r="O89" s="245"/>
      <c r="P89" s="246"/>
    </row>
    <row r="90" spans="2:16" ht="28.5" hidden="1" customHeight="1" outlineLevel="1" thickBot="1" x14ac:dyDescent="0.3">
      <c r="B90" s="247"/>
      <c r="C90" s="269">
        <v>11</v>
      </c>
      <c r="D90" s="270" t="s">
        <v>271</v>
      </c>
      <c r="E90" s="271">
        <v>40</v>
      </c>
      <c r="F90" s="246"/>
      <c r="I90" s="284">
        <v>3</v>
      </c>
      <c r="J90" s="718" t="e" cm="1">
        <f t="array" ref="J90">INTEGRANTE_3</f>
        <v>#N/A</v>
      </c>
      <c r="K90" s="718"/>
      <c r="L90" s="291">
        <v>3</v>
      </c>
      <c r="M90" s="737"/>
      <c r="N90" s="727"/>
      <c r="O90" s="245"/>
      <c r="P90" s="246"/>
    </row>
    <row r="91" spans="2:16" ht="28.5" hidden="1" customHeight="1" outlineLevel="1" thickTop="1" x14ac:dyDescent="0.25">
      <c r="B91" s="247"/>
      <c r="C91" s="272"/>
      <c r="D91" s="272"/>
      <c r="E91" s="272"/>
      <c r="F91" s="246"/>
      <c r="I91" s="284">
        <v>4</v>
      </c>
      <c r="J91" s="718" t="e" cm="1">
        <f t="array" ref="J91">INTEGRANTE_4</f>
        <v>#N/A</v>
      </c>
      <c r="K91" s="718"/>
      <c r="L91" s="291"/>
      <c r="M91" s="737"/>
      <c r="N91" s="727"/>
      <c r="O91" s="245"/>
      <c r="P91" s="246"/>
    </row>
    <row r="92" spans="2:16" ht="28.5" hidden="1" customHeight="1" outlineLevel="1" x14ac:dyDescent="0.25">
      <c r="B92" s="247"/>
      <c r="C92" s="272"/>
      <c r="D92" s="272"/>
      <c r="E92" s="272"/>
      <c r="F92" s="246"/>
      <c r="I92" s="284">
        <v>5</v>
      </c>
      <c r="J92" s="718" t="e" cm="1">
        <f t="array" ref="J92">INTEGRANTE_5</f>
        <v>#N/A</v>
      </c>
      <c r="K92" s="718"/>
      <c r="L92" s="291"/>
      <c r="M92" s="737"/>
      <c r="N92" s="727"/>
      <c r="O92" s="245"/>
      <c r="P92" s="246"/>
    </row>
    <row r="93" spans="2:16" ht="28.5" hidden="1" customHeight="1" outlineLevel="1" x14ac:dyDescent="0.25">
      <c r="B93" s="247"/>
      <c r="C93" s="272"/>
      <c r="D93" s="272"/>
      <c r="E93" s="272"/>
      <c r="F93" s="246"/>
      <c r="I93" s="284">
        <v>6</v>
      </c>
      <c r="J93" s="718" t="e" cm="1">
        <f t="array" ref="J93">INTEGRANTE_6</f>
        <v>#N/A</v>
      </c>
      <c r="K93" s="718"/>
      <c r="L93" s="291"/>
      <c r="M93" s="737"/>
      <c r="N93" s="727"/>
      <c r="O93" s="245"/>
      <c r="P93" s="246"/>
    </row>
    <row r="94" spans="2:16" ht="28.5" hidden="1" customHeight="1" outlineLevel="1" x14ac:dyDescent="0.25">
      <c r="B94" s="247"/>
      <c r="C94" s="272"/>
      <c r="D94" s="272"/>
      <c r="E94" s="272"/>
      <c r="F94" s="246"/>
      <c r="K94" s="292"/>
      <c r="L94" s="292"/>
      <c r="M94" s="293"/>
      <c r="N94" s="293"/>
      <c r="O94" s="245"/>
      <c r="P94" s="246"/>
    </row>
    <row r="95" spans="2:16" ht="15.75" hidden="1" customHeight="1" outlineLevel="1" x14ac:dyDescent="0.25">
      <c r="B95" s="247"/>
      <c r="C95" s="272"/>
      <c r="D95" s="272"/>
      <c r="E95" s="272"/>
      <c r="F95" s="246"/>
      <c r="G95" s="246"/>
      <c r="H95" s="246"/>
      <c r="I95" s="246"/>
      <c r="J95" s="246"/>
      <c r="K95" s="246"/>
      <c r="L95" s="246"/>
      <c r="M95" s="246"/>
      <c r="N95" s="246"/>
      <c r="O95" s="245"/>
      <c r="P95" s="246"/>
    </row>
    <row r="96" spans="2:16" ht="39.75" hidden="1" customHeight="1" collapsed="1" x14ac:dyDescent="0.25">
      <c r="B96" s="247"/>
      <c r="C96" s="241" t="s">
        <v>277</v>
      </c>
      <c r="D96" s="242"/>
      <c r="E96" s="242"/>
      <c r="F96" s="243"/>
      <c r="G96" s="243"/>
      <c r="H96" s="243"/>
      <c r="I96" s="243"/>
      <c r="J96" s="243"/>
      <c r="K96" s="243"/>
      <c r="L96" s="243"/>
      <c r="M96" s="244"/>
      <c r="N96" s="242"/>
      <c r="O96" s="245"/>
      <c r="P96" s="246"/>
    </row>
    <row r="97" spans="2:16" ht="15.75" hidden="1" customHeight="1" x14ac:dyDescent="0.25">
      <c r="B97" s="247"/>
      <c r="C97" s="272"/>
      <c r="D97" s="272"/>
      <c r="E97" s="272"/>
      <c r="F97" s="246"/>
      <c r="G97" s="246"/>
      <c r="H97" s="246"/>
      <c r="I97" s="246"/>
      <c r="J97" s="246"/>
      <c r="K97" s="246"/>
      <c r="L97" s="246"/>
      <c r="M97" s="246"/>
      <c r="N97" s="246"/>
      <c r="O97" s="245"/>
      <c r="P97" s="246"/>
    </row>
    <row r="98" spans="2:16" ht="36.75" hidden="1" customHeight="1" x14ac:dyDescent="0.25">
      <c r="B98" s="247"/>
      <c r="C98" s="272"/>
      <c r="D98" s="272"/>
      <c r="E98" s="272"/>
      <c r="F98" s="246"/>
      <c r="G98" s="246"/>
      <c r="H98" s="246"/>
      <c r="J98" s="735" t="s">
        <v>268</v>
      </c>
      <c r="K98" s="735"/>
      <c r="L98" s="260" t="s">
        <v>245</v>
      </c>
      <c r="M98" s="246"/>
      <c r="N98" s="246"/>
      <c r="O98" s="245"/>
      <c r="P98" s="246"/>
    </row>
    <row r="99" spans="2:16" ht="36.75" hidden="1" customHeight="1" x14ac:dyDescent="0.25">
      <c r="B99" s="247"/>
      <c r="C99" s="272"/>
      <c r="D99" s="272"/>
      <c r="E99" s="272"/>
      <c r="F99" s="246"/>
      <c r="G99" s="246"/>
      <c r="H99" s="246"/>
      <c r="I99" s="280">
        <v>1</v>
      </c>
      <c r="J99" s="718" t="str" cm="1">
        <f t="array" ref="J99">UNICO_PROPONENTE_INTEGRANTE_1</f>
        <v/>
      </c>
      <c r="K99" s="718"/>
      <c r="L99" s="294">
        <v>2500000000</v>
      </c>
      <c r="M99" s="246"/>
      <c r="N99" s="246"/>
      <c r="O99" s="245"/>
      <c r="P99" s="246"/>
    </row>
    <row r="100" spans="2:16" ht="36.75" hidden="1" customHeight="1" x14ac:dyDescent="0.25">
      <c r="B100" s="247"/>
      <c r="C100" s="272"/>
      <c r="D100" s="272"/>
      <c r="E100" s="272"/>
      <c r="F100" s="246"/>
      <c r="G100" s="246"/>
      <c r="H100" s="246"/>
      <c r="I100" s="284">
        <v>2</v>
      </c>
      <c r="J100" s="718" t="e" cm="1">
        <f t="array" ref="J100">INTEGRANTE_2</f>
        <v>#N/A</v>
      </c>
      <c r="K100" s="718"/>
      <c r="L100" s="294">
        <v>9000000000</v>
      </c>
      <c r="M100" s="246"/>
      <c r="N100" s="246"/>
      <c r="O100" s="245"/>
      <c r="P100" s="246"/>
    </row>
    <row r="101" spans="2:16" ht="36.75" hidden="1" customHeight="1" x14ac:dyDescent="0.25">
      <c r="B101" s="247"/>
      <c r="C101" s="272"/>
      <c r="D101" s="272"/>
      <c r="E101" s="272"/>
      <c r="F101" s="246"/>
      <c r="G101" s="246"/>
      <c r="H101" s="246"/>
      <c r="I101" s="284">
        <v>3</v>
      </c>
      <c r="J101" s="718" t="e" cm="1">
        <f t="array" ref="J101">INTEGRANTE_3</f>
        <v>#N/A</v>
      </c>
      <c r="K101" s="718"/>
      <c r="L101" s="294">
        <v>5000000000</v>
      </c>
      <c r="M101" s="246"/>
      <c r="N101" s="246"/>
      <c r="O101" s="245"/>
      <c r="P101" s="246"/>
    </row>
    <row r="102" spans="2:16" ht="36.75" hidden="1" customHeight="1" x14ac:dyDescent="0.25">
      <c r="B102" s="247"/>
      <c r="C102" s="272"/>
      <c r="D102" s="272"/>
      <c r="E102" s="272"/>
      <c r="F102" s="246"/>
      <c r="G102" s="246"/>
      <c r="H102" s="246"/>
      <c r="I102" s="284">
        <v>4</v>
      </c>
      <c r="J102" s="718" t="e" cm="1">
        <f t="array" ref="J102">INTEGRANTE_4</f>
        <v>#N/A</v>
      </c>
      <c r="K102" s="718"/>
      <c r="L102" s="294"/>
      <c r="M102" s="246"/>
      <c r="N102" s="246"/>
      <c r="O102" s="245"/>
      <c r="P102" s="246"/>
    </row>
    <row r="103" spans="2:16" ht="36.75" hidden="1" customHeight="1" x14ac:dyDescent="0.25">
      <c r="B103" s="247"/>
      <c r="C103" s="272"/>
      <c r="D103" s="272"/>
      <c r="E103" s="272"/>
      <c r="F103" s="246"/>
      <c r="G103" s="246"/>
      <c r="H103" s="246"/>
      <c r="I103" s="284">
        <v>5</v>
      </c>
      <c r="J103" s="718" t="e" cm="1">
        <f t="array" ref="J103">INTEGRANTE_5</f>
        <v>#N/A</v>
      </c>
      <c r="K103" s="718"/>
      <c r="L103" s="294"/>
      <c r="M103" s="246"/>
      <c r="N103" s="246"/>
      <c r="O103" s="245"/>
      <c r="P103" s="246"/>
    </row>
    <row r="104" spans="2:16" ht="36.75" hidden="1" customHeight="1" x14ac:dyDescent="0.25">
      <c r="B104" s="247"/>
      <c r="G104" s="246"/>
      <c r="H104" s="246"/>
      <c r="I104" s="284">
        <v>6</v>
      </c>
      <c r="J104" s="718" t="e" cm="1">
        <f t="array" ref="J104">INTEGRANTE_6</f>
        <v>#N/A</v>
      </c>
      <c r="K104" s="718"/>
      <c r="L104" s="294"/>
      <c r="M104" s="246"/>
      <c r="N104" s="246"/>
      <c r="O104" s="245"/>
      <c r="P104" s="246"/>
    </row>
    <row r="105" spans="2:16" ht="44.25" hidden="1" customHeight="1" x14ac:dyDescent="0.25">
      <c r="B105" s="247"/>
      <c r="C105" s="272"/>
      <c r="D105" s="272"/>
      <c r="E105" s="272"/>
      <c r="F105" s="246"/>
      <c r="G105" s="246"/>
      <c r="H105" s="246"/>
      <c r="I105" s="246"/>
      <c r="J105" s="738" t="s">
        <v>278</v>
      </c>
      <c r="K105" s="739"/>
      <c r="L105" s="294">
        <f>SUM(L99:L104)</f>
        <v>16500000000</v>
      </c>
      <c r="M105" s="246"/>
      <c r="N105" s="246"/>
      <c r="O105" s="245"/>
      <c r="P105" s="246"/>
    </row>
    <row r="106" spans="2:16" ht="15.75" hidden="1" customHeight="1" x14ac:dyDescent="0.25">
      <c r="B106" s="295"/>
      <c r="C106" s="296"/>
      <c r="D106" s="297"/>
      <c r="E106" s="297"/>
      <c r="F106" s="296"/>
      <c r="G106" s="296"/>
      <c r="H106" s="296"/>
      <c r="I106" s="296"/>
      <c r="J106" s="296"/>
      <c r="K106" s="296"/>
      <c r="L106" s="296"/>
      <c r="M106" s="296"/>
      <c r="N106" s="296"/>
      <c r="O106" s="298"/>
      <c r="P106" s="246"/>
    </row>
    <row r="107" spans="2:16" ht="15.75" hidden="1" customHeight="1" x14ac:dyDescent="0.25">
      <c r="B107" s="246"/>
      <c r="C107" s="246"/>
      <c r="D107" s="248"/>
      <c r="E107" s="248"/>
      <c r="F107" s="246"/>
      <c r="G107" s="246"/>
      <c r="H107" s="246"/>
      <c r="I107" s="246"/>
      <c r="J107" s="246"/>
      <c r="K107" s="246"/>
      <c r="L107" s="246"/>
      <c r="M107" s="246"/>
      <c r="N107" s="246"/>
      <c r="O107" s="246"/>
      <c r="P107" s="246"/>
    </row>
    <row r="108" spans="2:16" ht="15.75" hidden="1" customHeight="1" x14ac:dyDescent="0.25">
      <c r="B108" s="246"/>
      <c r="C108" s="246"/>
      <c r="D108" s="248"/>
      <c r="E108" s="248"/>
      <c r="F108" s="246"/>
      <c r="G108" s="246"/>
      <c r="H108" s="246"/>
      <c r="I108" s="246"/>
      <c r="J108" s="246"/>
      <c r="K108" s="246"/>
      <c r="L108" s="246"/>
      <c r="M108" s="246"/>
      <c r="N108" s="246"/>
      <c r="O108" s="246"/>
      <c r="P108" s="246"/>
    </row>
    <row r="109" spans="2:16" ht="15.75" hidden="1" customHeight="1" x14ac:dyDescent="0.25">
      <c r="B109" s="246"/>
      <c r="C109" s="246"/>
      <c r="D109" s="248"/>
      <c r="E109" s="248"/>
      <c r="F109" s="246"/>
      <c r="G109" s="246"/>
      <c r="H109" s="246"/>
      <c r="I109" s="246"/>
      <c r="J109" s="246"/>
      <c r="K109" s="246"/>
      <c r="L109" s="246"/>
      <c r="M109" s="246"/>
      <c r="N109" s="246"/>
      <c r="O109" s="246"/>
      <c r="P109" s="246"/>
    </row>
    <row r="110" spans="2:16" ht="15.75" hidden="1" customHeight="1" x14ac:dyDescent="0.25">
      <c r="B110" s="246"/>
      <c r="C110" s="246"/>
      <c r="D110" s="248"/>
      <c r="E110" s="248"/>
      <c r="F110" s="246"/>
      <c r="G110" s="246"/>
      <c r="H110" s="246"/>
      <c r="I110" s="246"/>
      <c r="J110" s="246"/>
      <c r="K110" s="246"/>
      <c r="L110" s="246"/>
      <c r="M110" s="246"/>
      <c r="N110" s="246"/>
      <c r="O110" s="246"/>
      <c r="P110" s="246"/>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2024-12-12T05:12:31Z</cp:lastPrinted>
  <dcterms:created xsi:type="dcterms:W3CDTF">2024-12-07T06:40:49Z</dcterms:created>
  <dcterms:modified xsi:type="dcterms:W3CDTF">2024-12-12T05:12:38Z</dcterms:modified>
  <cp:category/>
  <cp:contentStatus/>
</cp:coreProperties>
</file>