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comments35.xml" ContentType="application/vnd.openxmlformats-officedocument.spreadsheetml.comments+xml"/>
  <Override PartName="/xl/comments36.xml" ContentType="application/vnd.openxmlformats-officedocument.spreadsheetml.comments+xml"/>
  <Override PartName="/xl/comments37.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24226"/>
  <mc:AlternateContent xmlns:mc="http://schemas.openxmlformats.org/markup-compatibility/2006">
    <mc:Choice Requires="x15">
      <x15ac:absPath xmlns:x15ac="http://schemas.microsoft.com/office/spreadsheetml/2010/11/ac" url="C:\Users\DELL\Downloads\"/>
    </mc:Choice>
  </mc:AlternateContent>
  <xr:revisionPtr revIDLastSave="0" documentId="13_ncr:1_{73A07655-F4E0-4A28-AB51-9D8DF7EA3CFF}" xr6:coauthVersionLast="47" xr6:coauthVersionMax="47" xr10:uidLastSave="{00000000-0000-0000-0000-000000000000}"/>
  <bookViews>
    <workbookView xWindow="-120" yWindow="-120" windowWidth="20730" windowHeight="11040" tabRatio="655" firstSheet="29" activeTab="44" xr2:uid="{00000000-000D-0000-FFFF-FFFF00000000}"/>
    <workbookView xWindow="-120" yWindow="-120" windowWidth="20730" windowHeight="11040" xr2:uid="{D7316BAB-3F47-471E-8AFC-16BF0A10305D}"/>
  </bookViews>
  <sheets>
    <sheet name="DATOS INICIALES" sheetId="1" r:id="rId1"/>
    <sheet name="PROPONENTES" sheetId="18" r:id="rId2"/>
    <sheet name="1" sheetId="8" r:id="rId3"/>
    <sheet name="K RESIDUAL DOCUMENTOS" sheetId="20" state="hidden" r:id="rId4"/>
    <sheet name="K RESIDUAL CALCULO" sheetId="19" state="hidden" r:id="rId5"/>
    <sheet name="2" sheetId="99" r:id="rId6"/>
    <sheet name="3" sheetId="100" r:id="rId7"/>
    <sheet name="4" sheetId="101" r:id="rId8"/>
    <sheet name="5" sheetId="102" r:id="rId9"/>
    <sheet name="6" sheetId="103" r:id="rId10"/>
    <sheet name="7" sheetId="104" r:id="rId11"/>
    <sheet name="8" sheetId="105" r:id="rId12"/>
    <sheet name="9" sheetId="106" r:id="rId13"/>
    <sheet name="10" sheetId="107" r:id="rId14"/>
    <sheet name="11" sheetId="108" r:id="rId15"/>
    <sheet name="12" sheetId="109" r:id="rId16"/>
    <sheet name="13" sheetId="110" r:id="rId17"/>
    <sheet name="14" sheetId="111" r:id="rId18"/>
    <sheet name="15" sheetId="112" r:id="rId19"/>
    <sheet name="16" sheetId="113" r:id="rId20"/>
    <sheet name="17" sheetId="114" r:id="rId21"/>
    <sheet name="18" sheetId="115" r:id="rId22"/>
    <sheet name="19" sheetId="116" r:id="rId23"/>
    <sheet name="20" sheetId="117" r:id="rId24"/>
    <sheet name="21" sheetId="118" r:id="rId25"/>
    <sheet name="22" sheetId="119" r:id="rId26"/>
    <sheet name="23" sheetId="120" r:id="rId27"/>
    <sheet name="24" sheetId="121" r:id="rId28"/>
    <sheet name="25" sheetId="122" r:id="rId29"/>
    <sheet name="26" sheetId="123" r:id="rId30"/>
    <sheet name="27" sheetId="124" r:id="rId31"/>
    <sheet name="28" sheetId="125" r:id="rId32"/>
    <sheet name="29" sheetId="126" r:id="rId33"/>
    <sheet name="30" sheetId="127" r:id="rId34"/>
    <sheet name="31" sheetId="128" r:id="rId35"/>
    <sheet name="32" sheetId="129" r:id="rId36"/>
    <sheet name="33" sheetId="130" r:id="rId37"/>
    <sheet name="34" sheetId="131" r:id="rId38"/>
    <sheet name="35" sheetId="132" r:id="rId39"/>
    <sheet name="36" sheetId="133" r:id="rId40"/>
    <sheet name="37" sheetId="134" r:id="rId41"/>
    <sheet name="CONSOLIDADO" sheetId="16" r:id="rId42"/>
    <sheet name="PUNTAJE" sheetId="21" r:id="rId43"/>
    <sheet name="PONDERACION" sheetId="22" r:id="rId44"/>
    <sheet name="PUNTAJE EXP" sheetId="95" r:id="rId45"/>
  </sheets>
  <definedNames>
    <definedName name="_xlnm.Print_Area" localSheetId="2">'1'!$A$1:$L$76</definedName>
    <definedName name="_xlnm.Print_Area" localSheetId="13">'10'!$A$1:$L$75</definedName>
    <definedName name="_xlnm.Print_Area" localSheetId="14">'11'!$A$1:$L$75</definedName>
    <definedName name="_xlnm.Print_Area" localSheetId="15">'12'!$A$1:$L$75</definedName>
    <definedName name="_xlnm.Print_Area" localSheetId="16">'13'!$A$1:$L$75</definedName>
    <definedName name="_xlnm.Print_Area" localSheetId="17">'14'!$A$1:$L$75</definedName>
    <definedName name="_xlnm.Print_Area" localSheetId="18">'15'!$A$1:$L$75</definedName>
    <definedName name="_xlnm.Print_Area" localSheetId="19">'16'!$A$1:$L$75</definedName>
    <definedName name="_xlnm.Print_Area" localSheetId="20">'17'!$A$1:$L$75</definedName>
    <definedName name="_xlnm.Print_Area" localSheetId="21">'18'!$A$1:$L$75</definedName>
    <definedName name="_xlnm.Print_Area" localSheetId="22">'19'!$A$1:$L$75</definedName>
    <definedName name="_xlnm.Print_Area" localSheetId="5">'2'!$A$1:$L$75</definedName>
    <definedName name="_xlnm.Print_Area" localSheetId="23">'20'!$A$1:$L$75</definedName>
    <definedName name="_xlnm.Print_Area" localSheetId="24">'21'!$A$1:$L$75</definedName>
    <definedName name="_xlnm.Print_Area" localSheetId="25">'22'!$A$1:$L$75</definedName>
    <definedName name="_xlnm.Print_Area" localSheetId="26">'23'!$A$1:$L$75</definedName>
    <definedName name="_xlnm.Print_Area" localSheetId="27">'24'!$A$1:$L$75</definedName>
    <definedName name="_xlnm.Print_Area" localSheetId="28">'25'!$A$1:$L$75</definedName>
    <definedName name="_xlnm.Print_Area" localSheetId="29">'26'!$A$1:$L$75</definedName>
    <definedName name="_xlnm.Print_Area" localSheetId="30">'27'!$A$1:$L$75</definedName>
    <definedName name="_xlnm.Print_Area" localSheetId="31">'28'!$A$1:$L$75</definedName>
    <definedName name="_xlnm.Print_Area" localSheetId="32">'29'!$A$1:$L$75</definedName>
    <definedName name="_xlnm.Print_Area" localSheetId="6">'3'!$A$1:$L$75</definedName>
    <definedName name="_xlnm.Print_Area" localSheetId="33">'30'!$A$1:$L$75</definedName>
    <definedName name="_xlnm.Print_Area" localSheetId="34">'31'!$A$1:$L$75</definedName>
    <definedName name="_xlnm.Print_Area" localSheetId="35">'32'!$A$1:$L$75</definedName>
    <definedName name="_xlnm.Print_Area" localSheetId="36">'33'!$A$1:$L$75</definedName>
    <definedName name="_xlnm.Print_Area" localSheetId="37">'34'!$A$1:$L$75</definedName>
    <definedName name="_xlnm.Print_Area" localSheetId="38">'35'!$A$1:$L$75</definedName>
    <definedName name="_xlnm.Print_Area" localSheetId="39">'36'!$A$1:$L$75</definedName>
    <definedName name="_xlnm.Print_Area" localSheetId="40">'37'!$A$1:$L$75</definedName>
    <definedName name="_xlnm.Print_Area" localSheetId="7">'4'!$A$1:$L$75</definedName>
    <definedName name="_xlnm.Print_Area" localSheetId="8">'5'!$A$1:$L$75</definedName>
    <definedName name="_xlnm.Print_Area" localSheetId="9">'6'!$A$1:$L$75</definedName>
    <definedName name="_xlnm.Print_Area" localSheetId="10">'7'!$A$1:$L$75</definedName>
    <definedName name="_xlnm.Print_Area" localSheetId="11">'8'!$A$1:$L$75</definedName>
    <definedName name="_xlnm.Print_Area" localSheetId="12">'9'!$A$1:$L$75</definedName>
    <definedName name="_xlnm.Print_Area" localSheetId="41">CONSOLIDADO!$A$1:$J$48</definedName>
    <definedName name="_xlnm.Print_Area" localSheetId="0">'DATOS INICIALES'!$A$1:$I$59</definedName>
    <definedName name="_xlnm.Print_Area" localSheetId="1">PROPONENTES!$A$1:$Q$46</definedName>
    <definedName name="_xlnm.Print_Area" localSheetId="42">PUNTAJE!$A$1:$AG$199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7" i="22" l="1"/>
  <c r="M38" i="22"/>
  <c r="M39" i="22"/>
  <c r="M40" i="22"/>
  <c r="M41" i="22"/>
  <c r="M42" i="22"/>
  <c r="M43" i="22"/>
  <c r="M44" i="22"/>
  <c r="M45" i="22"/>
  <c r="M46" i="22"/>
  <c r="M47" i="22"/>
  <c r="L38" i="22"/>
  <c r="L39" i="22"/>
  <c r="L40" i="22"/>
  <c r="L41" i="22"/>
  <c r="L42" i="22"/>
  <c r="L43" i="22"/>
  <c r="L44" i="22"/>
  <c r="L45" i="22"/>
  <c r="L46" i="22"/>
  <c r="L47" i="22"/>
  <c r="K31" i="22"/>
  <c r="K32" i="22"/>
  <c r="K33" i="22"/>
  <c r="K34" i="22"/>
  <c r="K35" i="22"/>
  <c r="K36" i="22"/>
  <c r="K37" i="22"/>
  <c r="K38" i="22"/>
  <c r="K39" i="22"/>
  <c r="K40" i="22"/>
  <c r="K41" i="22"/>
  <c r="K42" i="22"/>
  <c r="K43" i="22"/>
  <c r="K44" i="22"/>
  <c r="K45" i="22"/>
  <c r="K46" i="22"/>
  <c r="K47" i="22"/>
  <c r="K30" i="22"/>
  <c r="J47" i="22"/>
  <c r="J46" i="22"/>
  <c r="J45" i="22"/>
  <c r="J44" i="22"/>
  <c r="J43" i="22"/>
  <c r="J42" i="22"/>
  <c r="J41" i="22"/>
  <c r="J40" i="22"/>
  <c r="J39" i="22"/>
  <c r="J38" i="22"/>
  <c r="H47" i="22"/>
  <c r="H38" i="22"/>
  <c r="H39" i="22"/>
  <c r="H40" i="22"/>
  <c r="H41" i="22"/>
  <c r="H42" i="22"/>
  <c r="H43" i="22"/>
  <c r="H44" i="22"/>
  <c r="H45" i="22"/>
  <c r="H46" i="22"/>
  <c r="G38" i="22"/>
  <c r="G39" i="22"/>
  <c r="G40" i="22"/>
  <c r="G41" i="22"/>
  <c r="G42" i="22"/>
  <c r="G43" i="22"/>
  <c r="G44" i="22"/>
  <c r="G45" i="22"/>
  <c r="G46" i="22"/>
  <c r="G47" i="22"/>
  <c r="F38" i="22"/>
  <c r="F39" i="22"/>
  <c r="F40" i="22"/>
  <c r="F41" i="22"/>
  <c r="F42" i="22"/>
  <c r="F43" i="22"/>
  <c r="F44" i="22"/>
  <c r="F45" i="22"/>
  <c r="F46" i="22"/>
  <c r="F47" i="22"/>
  <c r="E38" i="22"/>
  <c r="E39" i="22"/>
  <c r="E40" i="22"/>
  <c r="E41" i="22"/>
  <c r="E42" i="22"/>
  <c r="E43" i="22"/>
  <c r="E44" i="22"/>
  <c r="E45" i="22"/>
  <c r="E46" i="22"/>
  <c r="E47" i="22"/>
  <c r="D38" i="22"/>
  <c r="D39" i="22"/>
  <c r="D40" i="22"/>
  <c r="D41" i="22"/>
  <c r="D42" i="22"/>
  <c r="D43" i="22"/>
  <c r="D44" i="22"/>
  <c r="D45" i="22"/>
  <c r="D46" i="22"/>
  <c r="D47" i="22"/>
  <c r="C38" i="22"/>
  <c r="C39" i="22"/>
  <c r="C40" i="22"/>
  <c r="C41" i="22"/>
  <c r="C42" i="22"/>
  <c r="C43" i="22"/>
  <c r="C44" i="22"/>
  <c r="C45" i="22"/>
  <c r="C46" i="22"/>
  <c r="B38" i="22"/>
  <c r="B39" i="22"/>
  <c r="B40" i="22"/>
  <c r="B41" i="22"/>
  <c r="B42" i="22"/>
  <c r="B43" i="22"/>
  <c r="B44" i="22"/>
  <c r="B45" i="22"/>
  <c r="B46" i="22"/>
  <c r="B47" i="22"/>
  <c r="E4" i="95"/>
  <c r="D43" i="95"/>
  <c r="D42" i="95"/>
  <c r="D41" i="95"/>
  <c r="D39" i="95"/>
  <c r="D38" i="95"/>
  <c r="D37" i="95"/>
  <c r="D36" i="95"/>
  <c r="D35" i="95"/>
  <c r="D34" i="95"/>
  <c r="D33" i="95"/>
  <c r="D32" i="95"/>
  <c r="D31" i="95"/>
  <c r="D30" i="95"/>
  <c r="D29" i="95"/>
  <c r="D28" i="95"/>
  <c r="D27" i="95"/>
  <c r="D26" i="95"/>
  <c r="D25" i="95"/>
  <c r="D24" i="95"/>
  <c r="I24" i="95" s="1"/>
  <c r="D22" i="95"/>
  <c r="I22" i="95" s="1"/>
  <c r="D21" i="95"/>
  <c r="G21" i="95" s="1"/>
  <c r="D20" i="95"/>
  <c r="D18" i="95"/>
  <c r="D16" i="95"/>
  <c r="D15" i="95"/>
  <c r="D13" i="95"/>
  <c r="D12" i="95"/>
  <c r="D11" i="95"/>
  <c r="D9" i="95"/>
  <c r="D8" i="95"/>
  <c r="I19" i="95"/>
  <c r="I40" i="95"/>
  <c r="G19" i="95"/>
  <c r="G40" i="95"/>
  <c r="E40" i="95"/>
  <c r="G24" i="95" l="1"/>
  <c r="G22" i="95"/>
  <c r="I21" i="95"/>
  <c r="AD30" i="21"/>
  <c r="C10" i="100" l="1"/>
  <c r="C10" i="101"/>
  <c r="C10" i="102"/>
  <c r="C10" i="103"/>
  <c r="C10" i="104"/>
  <c r="C10" i="105"/>
  <c r="C10" i="106"/>
  <c r="C10" i="107"/>
  <c r="C10" i="108"/>
  <c r="C10" i="109"/>
  <c r="C10" i="110"/>
  <c r="C10" i="111"/>
  <c r="C10" i="112"/>
  <c r="C10" i="113"/>
  <c r="C10" i="114"/>
  <c r="C10" i="115"/>
  <c r="C10" i="116"/>
  <c r="C10" i="117"/>
  <c r="C10" i="118"/>
  <c r="C10" i="119"/>
  <c r="C10" i="120"/>
  <c r="C10" i="121"/>
  <c r="C10" i="122"/>
  <c r="C10" i="123"/>
  <c r="C10" i="124"/>
  <c r="C10" i="125"/>
  <c r="C10" i="126"/>
  <c r="C10" i="127"/>
  <c r="C10" i="128"/>
  <c r="C10" i="129"/>
  <c r="C10" i="130"/>
  <c r="C10" i="131"/>
  <c r="C10" i="132"/>
  <c r="C10" i="133"/>
  <c r="C10" i="134"/>
  <c r="C10" i="99"/>
  <c r="C10" i="8"/>
  <c r="C11" i="8"/>
  <c r="B33" i="95" l="1"/>
  <c r="B34" i="95"/>
  <c r="B35" i="95"/>
  <c r="B36" i="95"/>
  <c r="B37" i="95"/>
  <c r="B38" i="95"/>
  <c r="B39" i="95"/>
  <c r="B40" i="95"/>
  <c r="B41" i="95"/>
  <c r="B42" i="95"/>
  <c r="B43" i="95"/>
  <c r="AF45" i="21"/>
  <c r="AF50" i="21"/>
  <c r="AF55" i="21"/>
  <c r="AF60" i="21"/>
  <c r="AF65" i="21"/>
  <c r="AF70" i="21"/>
  <c r="AF75" i="21"/>
  <c r="AF80" i="21"/>
  <c r="AF85" i="21"/>
  <c r="AF90" i="21"/>
  <c r="AF95" i="21"/>
  <c r="AF100" i="21"/>
  <c r="AF105" i="21"/>
  <c r="AF110" i="21"/>
  <c r="AF115" i="21"/>
  <c r="AF120" i="21"/>
  <c r="AF125" i="21"/>
  <c r="AF130" i="21"/>
  <c r="AF135" i="21"/>
  <c r="AF140" i="21"/>
  <c r="AF145" i="21"/>
  <c r="AF150" i="21"/>
  <c r="AF155" i="21"/>
  <c r="AF160" i="21"/>
  <c r="AF165" i="21"/>
  <c r="AF170" i="21"/>
  <c r="AF175" i="21"/>
  <c r="AF180" i="21"/>
  <c r="AF185" i="21"/>
  <c r="AF190" i="21"/>
  <c r="AF195" i="21"/>
  <c r="AF20" i="21"/>
  <c r="AF25" i="21"/>
  <c r="AF30" i="21"/>
  <c r="AF35" i="21"/>
  <c r="AF40" i="21"/>
  <c r="AF15" i="21"/>
  <c r="L20" i="21"/>
  <c r="N20" i="21"/>
  <c r="L25" i="21"/>
  <c r="N25" i="21"/>
  <c r="L30" i="21"/>
  <c r="N30" i="21"/>
  <c r="L35" i="21"/>
  <c r="N35" i="21"/>
  <c r="L40" i="21"/>
  <c r="N40" i="21"/>
  <c r="L45" i="21"/>
  <c r="N45" i="21"/>
  <c r="L50" i="21"/>
  <c r="N50" i="21"/>
  <c r="L55" i="21"/>
  <c r="N55" i="21"/>
  <c r="L60" i="21"/>
  <c r="N60" i="21"/>
  <c r="L65" i="21"/>
  <c r="N65" i="21"/>
  <c r="L70" i="21"/>
  <c r="N70" i="21"/>
  <c r="L75" i="21"/>
  <c r="N75" i="21"/>
  <c r="L80" i="21"/>
  <c r="N80" i="21"/>
  <c r="L85" i="21"/>
  <c r="N85" i="21"/>
  <c r="L90" i="21"/>
  <c r="N90" i="21"/>
  <c r="L95" i="21"/>
  <c r="N95" i="21"/>
  <c r="L100" i="21"/>
  <c r="N100" i="21"/>
  <c r="L105" i="21"/>
  <c r="N105" i="21"/>
  <c r="L110" i="21"/>
  <c r="N110" i="21"/>
  <c r="L115" i="21"/>
  <c r="N115" i="21"/>
  <c r="L120" i="21"/>
  <c r="N120" i="21"/>
  <c r="L125" i="21"/>
  <c r="N125" i="21"/>
  <c r="L130" i="21"/>
  <c r="N130" i="21"/>
  <c r="L135" i="21"/>
  <c r="N135" i="21"/>
  <c r="L140" i="21"/>
  <c r="N140" i="21"/>
  <c r="L145" i="21"/>
  <c r="N145" i="21"/>
  <c r="L150" i="21"/>
  <c r="N150" i="21"/>
  <c r="L155" i="21"/>
  <c r="N155" i="21"/>
  <c r="L160" i="21"/>
  <c r="N160" i="21"/>
  <c r="L165" i="21"/>
  <c r="N165" i="21"/>
  <c r="L170" i="21"/>
  <c r="N170" i="21"/>
  <c r="L175" i="21"/>
  <c r="N175" i="21"/>
  <c r="L180" i="21"/>
  <c r="N180" i="21"/>
  <c r="L185" i="21"/>
  <c r="N185" i="21"/>
  <c r="L190" i="21"/>
  <c r="N190" i="21"/>
  <c r="L195" i="21"/>
  <c r="N195" i="21"/>
  <c r="N15" i="21"/>
  <c r="L15" i="21"/>
  <c r="B195" i="21"/>
  <c r="B190" i="21"/>
  <c r="B185" i="21"/>
  <c r="C185" i="21" s="1"/>
  <c r="B180" i="21"/>
  <c r="B175" i="21"/>
  <c r="B170" i="21"/>
  <c r="B165" i="21"/>
  <c r="C165" i="21" s="1"/>
  <c r="B160" i="21"/>
  <c r="C160" i="21" s="1"/>
  <c r="B155" i="21"/>
  <c r="C155" i="21" s="1"/>
  <c r="B150" i="21"/>
  <c r="D151" i="21" s="1"/>
  <c r="T160" i="21"/>
  <c r="Q160" i="21"/>
  <c r="T165" i="21"/>
  <c r="Q165" i="21"/>
  <c r="T170" i="21"/>
  <c r="Q170" i="21"/>
  <c r="C170" i="21"/>
  <c r="T175" i="21"/>
  <c r="Q175" i="21"/>
  <c r="C175" i="21"/>
  <c r="T180" i="21"/>
  <c r="Q180" i="21"/>
  <c r="C180" i="21"/>
  <c r="T185" i="21"/>
  <c r="Q185" i="21"/>
  <c r="T190" i="21"/>
  <c r="Q190" i="21"/>
  <c r="C190" i="21"/>
  <c r="T155" i="21"/>
  <c r="Q155" i="21"/>
  <c r="T150" i="21"/>
  <c r="Q150" i="21"/>
  <c r="D38" i="16"/>
  <c r="D39" i="16"/>
  <c r="D40" i="16"/>
  <c r="D41" i="16"/>
  <c r="D42" i="16"/>
  <c r="D43" i="16"/>
  <c r="D44" i="16"/>
  <c r="D45" i="16"/>
  <c r="D46" i="16"/>
  <c r="D47" i="16"/>
  <c r="C38" i="16"/>
  <c r="C39" i="16"/>
  <c r="C40" i="16"/>
  <c r="C41" i="16"/>
  <c r="C42" i="16"/>
  <c r="C43" i="16"/>
  <c r="C44" i="16"/>
  <c r="C45" i="16"/>
  <c r="C46" i="16"/>
  <c r="C47" i="16"/>
  <c r="B38" i="16"/>
  <c r="B39" i="16"/>
  <c r="B40" i="16"/>
  <c r="B41" i="16"/>
  <c r="B42" i="16"/>
  <c r="B43" i="16"/>
  <c r="B44" i="16"/>
  <c r="B45" i="16"/>
  <c r="B46" i="16"/>
  <c r="B47" i="16"/>
  <c r="O30" i="21" l="1"/>
  <c r="O135" i="21"/>
  <c r="O125" i="21"/>
  <c r="O115" i="21"/>
  <c r="O95" i="21"/>
  <c r="O120" i="21"/>
  <c r="O20" i="21"/>
  <c r="O185" i="21"/>
  <c r="O150" i="21"/>
  <c r="O130" i="21"/>
  <c r="O65" i="21"/>
  <c r="O80" i="21"/>
  <c r="O40" i="21"/>
  <c r="O75" i="21"/>
  <c r="O55" i="21"/>
  <c r="O35" i="21"/>
  <c r="O145" i="21"/>
  <c r="O110" i="21"/>
  <c r="O90" i="21"/>
  <c r="O50" i="21"/>
  <c r="O180" i="21"/>
  <c r="O105" i="21"/>
  <c r="O195" i="21"/>
  <c r="O25" i="21"/>
  <c r="O175" i="21"/>
  <c r="O155" i="21"/>
  <c r="O190" i="21"/>
  <c r="O170" i="21"/>
  <c r="O85" i="21"/>
  <c r="O70" i="21"/>
  <c r="O100" i="21"/>
  <c r="O165" i="21"/>
  <c r="O45" i="21"/>
  <c r="O160" i="21"/>
  <c r="O60" i="21"/>
  <c r="O140" i="21"/>
  <c r="O15" i="21"/>
  <c r="D170" i="21"/>
  <c r="Y170" i="21" s="1"/>
  <c r="D160" i="21"/>
  <c r="AC160" i="21" s="1"/>
  <c r="C168" i="21"/>
  <c r="C164" i="21"/>
  <c r="H164" i="21" s="1"/>
  <c r="D165" i="21"/>
  <c r="AC165" i="21" s="1"/>
  <c r="C163" i="21"/>
  <c r="H163" i="21" s="1"/>
  <c r="D164" i="21"/>
  <c r="C162" i="21"/>
  <c r="D163" i="21"/>
  <c r="D169" i="21"/>
  <c r="C161" i="21"/>
  <c r="D162" i="21"/>
  <c r="D161" i="21"/>
  <c r="C173" i="21"/>
  <c r="H173" i="21" s="1"/>
  <c r="C169" i="21"/>
  <c r="H169" i="21" s="1"/>
  <c r="C167" i="21"/>
  <c r="H167" i="21" s="1"/>
  <c r="D168" i="21"/>
  <c r="D174" i="21"/>
  <c r="C166" i="21"/>
  <c r="D167" i="21"/>
  <c r="D166" i="21"/>
  <c r="C174" i="21"/>
  <c r="H174" i="21" s="1"/>
  <c r="C172" i="21"/>
  <c r="H172" i="21" s="1"/>
  <c r="D173" i="21"/>
  <c r="C171" i="21"/>
  <c r="H171" i="21" s="1"/>
  <c r="D172" i="21"/>
  <c r="D175" i="21"/>
  <c r="Y175" i="21" s="1"/>
  <c r="D171" i="21"/>
  <c r="C179" i="21"/>
  <c r="H179" i="21" s="1"/>
  <c r="C178" i="21"/>
  <c r="H178" i="21" s="1"/>
  <c r="D179" i="21"/>
  <c r="C177" i="21"/>
  <c r="H177" i="21" s="1"/>
  <c r="D178" i="21"/>
  <c r="C176" i="21"/>
  <c r="D177" i="21"/>
  <c r="D180" i="21"/>
  <c r="AC180" i="21" s="1"/>
  <c r="D176" i="21"/>
  <c r="C188" i="21"/>
  <c r="H188" i="21" s="1"/>
  <c r="C184" i="21"/>
  <c r="H184" i="21" s="1"/>
  <c r="D185" i="21"/>
  <c r="AC185" i="21" s="1"/>
  <c r="C183" i="21"/>
  <c r="H183" i="21" s="1"/>
  <c r="D184" i="21"/>
  <c r="C182" i="21"/>
  <c r="H182" i="21" s="1"/>
  <c r="D183" i="21"/>
  <c r="C192" i="21"/>
  <c r="D189" i="21"/>
  <c r="C181" i="21"/>
  <c r="D182" i="21"/>
  <c r="D181" i="21"/>
  <c r="D193" i="21"/>
  <c r="C193" i="21"/>
  <c r="C189" i="21"/>
  <c r="H189" i="21" s="1"/>
  <c r="C187" i="21"/>
  <c r="H187" i="21" s="1"/>
  <c r="D188" i="21"/>
  <c r="D194" i="21"/>
  <c r="C186" i="21"/>
  <c r="D187" i="21"/>
  <c r="D186" i="21"/>
  <c r="D190" i="21"/>
  <c r="AC190" i="21" s="1"/>
  <c r="C194" i="21"/>
  <c r="H194" i="21" s="1"/>
  <c r="C191" i="21"/>
  <c r="D192" i="21"/>
  <c r="D191" i="21"/>
  <c r="C159" i="21"/>
  <c r="H159" i="21" s="1"/>
  <c r="D155" i="21"/>
  <c r="AC155" i="21" s="1"/>
  <c r="C158" i="21"/>
  <c r="H158" i="21" s="1"/>
  <c r="D159" i="21"/>
  <c r="D158" i="21"/>
  <c r="C157" i="21"/>
  <c r="H157" i="21" s="1"/>
  <c r="C156" i="21"/>
  <c r="H156" i="21" s="1"/>
  <c r="D157" i="21"/>
  <c r="D156" i="21"/>
  <c r="C154" i="21"/>
  <c r="H154" i="21" s="1"/>
  <c r="D150" i="21"/>
  <c r="C153" i="21"/>
  <c r="H153" i="21" s="1"/>
  <c r="D154" i="21"/>
  <c r="C152" i="21"/>
  <c r="H152" i="21" s="1"/>
  <c r="D153" i="21"/>
  <c r="C150" i="21"/>
  <c r="C151" i="21"/>
  <c r="H151" i="21" s="1"/>
  <c r="D152" i="21"/>
  <c r="I192" i="21" l="1"/>
  <c r="H192" i="21"/>
  <c r="Y193" i="21"/>
  <c r="H193" i="21"/>
  <c r="I168" i="21"/>
  <c r="H168" i="21"/>
  <c r="AC170" i="21"/>
  <c r="Y160" i="21"/>
  <c r="Y165" i="21"/>
  <c r="AC175" i="21"/>
  <c r="Y163" i="21"/>
  <c r="I163" i="21"/>
  <c r="AC163" i="21"/>
  <c r="AC161" i="21"/>
  <c r="Y161" i="21"/>
  <c r="Y168" i="21"/>
  <c r="AC168" i="21"/>
  <c r="AC164" i="21"/>
  <c r="Y164" i="21"/>
  <c r="I164" i="21"/>
  <c r="AC162" i="21"/>
  <c r="Y162" i="21"/>
  <c r="I167" i="21"/>
  <c r="AC167" i="21"/>
  <c r="Y167" i="21"/>
  <c r="AC169" i="21"/>
  <c r="Y169" i="21"/>
  <c r="I169" i="21"/>
  <c r="Y173" i="21"/>
  <c r="AC173" i="21"/>
  <c r="I173" i="21"/>
  <c r="AC166" i="21"/>
  <c r="Y166" i="21"/>
  <c r="I171" i="21"/>
  <c r="AC171" i="21"/>
  <c r="Y171" i="21"/>
  <c r="AC174" i="21"/>
  <c r="Y174" i="21"/>
  <c r="I174" i="21"/>
  <c r="I188" i="21"/>
  <c r="Y180" i="21"/>
  <c r="I172" i="21"/>
  <c r="Y172" i="21"/>
  <c r="AC172" i="21"/>
  <c r="I177" i="21"/>
  <c r="AC177" i="21"/>
  <c r="Y177" i="21"/>
  <c r="AC192" i="21"/>
  <c r="AC179" i="21"/>
  <c r="Y179" i="21"/>
  <c r="I179" i="21"/>
  <c r="Y178" i="21"/>
  <c r="I178" i="21"/>
  <c r="AC178" i="21"/>
  <c r="Y192" i="21"/>
  <c r="AC176" i="21"/>
  <c r="Y176" i="21"/>
  <c r="Y188" i="21"/>
  <c r="AC188" i="21"/>
  <c r="Y183" i="21"/>
  <c r="I183" i="21"/>
  <c r="AC183" i="21"/>
  <c r="AC181" i="21"/>
  <c r="Y181" i="21"/>
  <c r="Y185" i="21"/>
  <c r="AC184" i="21"/>
  <c r="Y184" i="21"/>
  <c r="I184" i="21"/>
  <c r="I182" i="21"/>
  <c r="Y182" i="21"/>
  <c r="AC182" i="21"/>
  <c r="Y190" i="21"/>
  <c r="I187" i="21"/>
  <c r="Y187" i="21"/>
  <c r="AC187" i="21"/>
  <c r="AC189" i="21"/>
  <c r="Y189" i="21"/>
  <c r="I189" i="21"/>
  <c r="I193" i="21"/>
  <c r="AC193" i="21"/>
  <c r="AC186" i="21"/>
  <c r="Y186" i="21"/>
  <c r="AC191" i="21"/>
  <c r="Y191" i="21"/>
  <c r="AC194" i="21"/>
  <c r="Y194" i="21"/>
  <c r="I194" i="21"/>
  <c r="Y158" i="21"/>
  <c r="I158" i="21"/>
  <c r="AC158" i="21"/>
  <c r="AC159" i="21"/>
  <c r="Y159" i="21"/>
  <c r="I159" i="21"/>
  <c r="Y155" i="21"/>
  <c r="AC156" i="21"/>
  <c r="I156" i="21"/>
  <c r="Y156" i="21"/>
  <c r="I157" i="21"/>
  <c r="Y157" i="21"/>
  <c r="AC157" i="21"/>
  <c r="I151" i="21"/>
  <c r="AC151" i="21"/>
  <c r="Y151" i="21"/>
  <c r="I152" i="21"/>
  <c r="Y152" i="21"/>
  <c r="AC152" i="21"/>
  <c r="AC150" i="21"/>
  <c r="Y150" i="21"/>
  <c r="Y153" i="21"/>
  <c r="I153" i="21"/>
  <c r="AC153" i="21"/>
  <c r="AC154" i="21"/>
  <c r="Y154" i="21"/>
  <c r="I154" i="21"/>
  <c r="Z160" i="21" l="1"/>
  <c r="Z165" i="21"/>
  <c r="Z175" i="21"/>
  <c r="AD160" i="21"/>
  <c r="AD165" i="21"/>
  <c r="Z170" i="21"/>
  <c r="AD170" i="21"/>
  <c r="AD175" i="21"/>
  <c r="AD185" i="21"/>
  <c r="AD180" i="21"/>
  <c r="Z180" i="21"/>
  <c r="Z185" i="21"/>
  <c r="Z190" i="21"/>
  <c r="AD190" i="21"/>
  <c r="AD155" i="21"/>
  <c r="Z155" i="21"/>
  <c r="Z150" i="21"/>
  <c r="AD150" i="21"/>
  <c r="D74" i="100" l="1"/>
  <c r="J68" i="100"/>
  <c r="I68" i="100"/>
  <c r="H68" i="100"/>
  <c r="G68" i="100"/>
  <c r="F68" i="100"/>
  <c r="E68" i="100"/>
  <c r="D68" i="100"/>
  <c r="J55" i="100"/>
  <c r="I55" i="100"/>
  <c r="H55" i="100"/>
  <c r="G55" i="100"/>
  <c r="F55" i="100"/>
  <c r="E55" i="100"/>
  <c r="D55" i="100"/>
  <c r="C53" i="100"/>
  <c r="C52" i="100"/>
  <c r="C51" i="100"/>
  <c r="C50" i="100"/>
  <c r="C49" i="100"/>
  <c r="C48" i="100"/>
  <c r="J46" i="100"/>
  <c r="I46" i="100"/>
  <c r="H46" i="100"/>
  <c r="J45" i="100"/>
  <c r="I45" i="100"/>
  <c r="H45" i="100"/>
  <c r="G45" i="100"/>
  <c r="F45" i="100"/>
  <c r="E45" i="100"/>
  <c r="D45" i="100"/>
  <c r="J44" i="100"/>
  <c r="I44" i="100"/>
  <c r="H44" i="100"/>
  <c r="G44" i="100"/>
  <c r="F44" i="100"/>
  <c r="E44" i="100"/>
  <c r="D44" i="100"/>
  <c r="J42" i="100"/>
  <c r="I42" i="100"/>
  <c r="H42" i="100"/>
  <c r="G42" i="100"/>
  <c r="F42" i="100"/>
  <c r="E42" i="100"/>
  <c r="D42" i="100"/>
  <c r="J41" i="100"/>
  <c r="I41" i="100"/>
  <c r="H41" i="100"/>
  <c r="G41" i="100"/>
  <c r="F41" i="100"/>
  <c r="E41" i="100"/>
  <c r="D41" i="100"/>
  <c r="J39" i="100"/>
  <c r="I39" i="100"/>
  <c r="H39" i="100"/>
  <c r="G39" i="100"/>
  <c r="G46" i="100" s="1"/>
  <c r="F39" i="100"/>
  <c r="E39" i="100"/>
  <c r="D39" i="100"/>
  <c r="J38" i="100"/>
  <c r="I38" i="100"/>
  <c r="H38" i="100"/>
  <c r="G38" i="100"/>
  <c r="F38" i="100"/>
  <c r="J36" i="100"/>
  <c r="I36" i="100"/>
  <c r="H36" i="100"/>
  <c r="G36" i="100"/>
  <c r="F36" i="100"/>
  <c r="E36" i="100"/>
  <c r="E38" i="100" s="1"/>
  <c r="D36" i="100"/>
  <c r="D38" i="100" s="1"/>
  <c r="B22" i="100"/>
  <c r="I16" i="100"/>
  <c r="C15" i="100"/>
  <c r="C11" i="100"/>
  <c r="C9" i="100"/>
  <c r="L8" i="100" s="1"/>
  <c r="C8" i="100"/>
  <c r="B4" i="100"/>
  <c r="D74" i="101"/>
  <c r="J68" i="101"/>
  <c r="I68" i="101"/>
  <c r="H68" i="101"/>
  <c r="J55" i="101"/>
  <c r="I55" i="101"/>
  <c r="H55" i="101"/>
  <c r="G55" i="101"/>
  <c r="G68" i="101" s="1"/>
  <c r="F55" i="101"/>
  <c r="F68" i="101" s="1"/>
  <c r="E55" i="101"/>
  <c r="E68" i="101" s="1"/>
  <c r="D55" i="101"/>
  <c r="D68" i="101" s="1"/>
  <c r="C53" i="101"/>
  <c r="C52" i="101"/>
  <c r="C51" i="101"/>
  <c r="C50" i="101"/>
  <c r="C49" i="101"/>
  <c r="C48" i="101"/>
  <c r="J45" i="101"/>
  <c r="I45" i="101"/>
  <c r="H45" i="101"/>
  <c r="G45" i="101"/>
  <c r="F45" i="101"/>
  <c r="E45" i="101"/>
  <c r="D45" i="101"/>
  <c r="J44" i="101"/>
  <c r="I44" i="101"/>
  <c r="H44" i="101"/>
  <c r="G44" i="101"/>
  <c r="F44" i="101"/>
  <c r="E44" i="101"/>
  <c r="D44" i="101"/>
  <c r="J42" i="101"/>
  <c r="I42" i="101"/>
  <c r="I46" i="101" s="1"/>
  <c r="H42" i="101"/>
  <c r="G42" i="101"/>
  <c r="F42" i="101"/>
  <c r="E42" i="101"/>
  <c r="D42" i="101"/>
  <c r="J41" i="101"/>
  <c r="I41" i="101"/>
  <c r="H41" i="101"/>
  <c r="G41" i="101"/>
  <c r="F41" i="101"/>
  <c r="E41" i="101"/>
  <c r="D41" i="101"/>
  <c r="J39" i="101"/>
  <c r="I39" i="101"/>
  <c r="H39" i="101"/>
  <c r="H46" i="101" s="1"/>
  <c r="G39" i="101"/>
  <c r="F39" i="101"/>
  <c r="E39" i="101"/>
  <c r="D39" i="101"/>
  <c r="J38" i="101"/>
  <c r="I38" i="101"/>
  <c r="H38" i="101"/>
  <c r="D38" i="101"/>
  <c r="J36" i="101"/>
  <c r="I36" i="101"/>
  <c r="H36" i="101"/>
  <c r="G36" i="101"/>
  <c r="G38" i="101" s="1"/>
  <c r="F36" i="101"/>
  <c r="F38" i="101" s="1"/>
  <c r="E36" i="101"/>
  <c r="E38" i="101" s="1"/>
  <c r="D36" i="101"/>
  <c r="B22" i="101"/>
  <c r="I16" i="101"/>
  <c r="C11" i="101"/>
  <c r="C9" i="101"/>
  <c r="L8" i="101" s="1"/>
  <c r="C8" i="101"/>
  <c r="B4" i="101"/>
  <c r="D74" i="102"/>
  <c r="J68" i="102"/>
  <c r="I68" i="102"/>
  <c r="H68" i="102"/>
  <c r="G68" i="102"/>
  <c r="F68" i="102"/>
  <c r="J55" i="102"/>
  <c r="I55" i="102"/>
  <c r="H55" i="102"/>
  <c r="G55" i="102"/>
  <c r="F55" i="102"/>
  <c r="E55" i="102"/>
  <c r="E68" i="102" s="1"/>
  <c r="D55" i="102"/>
  <c r="D68" i="102" s="1"/>
  <c r="C53" i="102"/>
  <c r="C52" i="102"/>
  <c r="C51" i="102"/>
  <c r="C50" i="102"/>
  <c r="C49" i="102"/>
  <c r="C48" i="102"/>
  <c r="H46" i="102"/>
  <c r="J45" i="102"/>
  <c r="I45" i="102"/>
  <c r="H45" i="102"/>
  <c r="G45" i="102"/>
  <c r="G46" i="102" s="1"/>
  <c r="F45" i="102"/>
  <c r="F46" i="102" s="1"/>
  <c r="E45" i="102"/>
  <c r="D45" i="102"/>
  <c r="J44" i="102"/>
  <c r="I44" i="102"/>
  <c r="H44" i="102"/>
  <c r="G44" i="102"/>
  <c r="F44" i="102"/>
  <c r="E44" i="102"/>
  <c r="D44" i="102"/>
  <c r="J42" i="102"/>
  <c r="I42" i="102"/>
  <c r="H42" i="102"/>
  <c r="G42" i="102"/>
  <c r="F42" i="102"/>
  <c r="E42" i="102"/>
  <c r="D42" i="102"/>
  <c r="J41" i="102"/>
  <c r="I41" i="102"/>
  <c r="H41" i="102"/>
  <c r="G41" i="102"/>
  <c r="F41" i="102"/>
  <c r="E41" i="102"/>
  <c r="D41" i="102"/>
  <c r="J39" i="102"/>
  <c r="J46" i="102" s="1"/>
  <c r="I39" i="102"/>
  <c r="I46" i="102" s="1"/>
  <c r="H39" i="102"/>
  <c r="G39" i="102"/>
  <c r="F39" i="102"/>
  <c r="E39" i="102"/>
  <c r="D39" i="102"/>
  <c r="J38" i="102"/>
  <c r="I38" i="102"/>
  <c r="H38" i="102"/>
  <c r="G38" i="102"/>
  <c r="F38" i="102"/>
  <c r="J36" i="102"/>
  <c r="I36" i="102"/>
  <c r="H36" i="102"/>
  <c r="G36" i="102"/>
  <c r="F36" i="102"/>
  <c r="E36" i="102"/>
  <c r="E38" i="102" s="1"/>
  <c r="D36" i="102"/>
  <c r="D38" i="102" s="1"/>
  <c r="B22" i="102"/>
  <c r="I16" i="102"/>
  <c r="C11" i="102"/>
  <c r="D19" i="102" s="1"/>
  <c r="C9" i="102"/>
  <c r="L8" i="102"/>
  <c r="C8" i="102"/>
  <c r="B4" i="102"/>
  <c r="D74" i="103"/>
  <c r="J68" i="103"/>
  <c r="I68" i="103"/>
  <c r="H68" i="103"/>
  <c r="G68" i="103"/>
  <c r="J55" i="103"/>
  <c r="I55" i="103"/>
  <c r="H55" i="103"/>
  <c r="G55" i="103"/>
  <c r="F55" i="103"/>
  <c r="F68" i="103" s="1"/>
  <c r="E55" i="103"/>
  <c r="E68" i="103" s="1"/>
  <c r="D55" i="103"/>
  <c r="D68" i="103" s="1"/>
  <c r="C53" i="103"/>
  <c r="C52" i="103"/>
  <c r="C51" i="103"/>
  <c r="C50" i="103"/>
  <c r="C49" i="103"/>
  <c r="C48" i="103"/>
  <c r="J45" i="103"/>
  <c r="J46" i="103" s="1"/>
  <c r="I45" i="103"/>
  <c r="I46" i="103" s="1"/>
  <c r="H45" i="103"/>
  <c r="G45" i="103"/>
  <c r="F45" i="103"/>
  <c r="E45" i="103"/>
  <c r="D45" i="103"/>
  <c r="J44" i="103"/>
  <c r="I44" i="103"/>
  <c r="H44" i="103"/>
  <c r="G44" i="103"/>
  <c r="F44" i="103"/>
  <c r="E44" i="103"/>
  <c r="D44" i="103"/>
  <c r="J42" i="103"/>
  <c r="I42" i="103"/>
  <c r="H42" i="103"/>
  <c r="G42" i="103"/>
  <c r="G46" i="103" s="1"/>
  <c r="F42" i="103"/>
  <c r="E42" i="103"/>
  <c r="D42" i="103"/>
  <c r="J41" i="103"/>
  <c r="I41" i="103"/>
  <c r="H41" i="103"/>
  <c r="G41" i="103"/>
  <c r="F41" i="103"/>
  <c r="E41" i="103"/>
  <c r="D41" i="103"/>
  <c r="J39" i="103"/>
  <c r="I39" i="103"/>
  <c r="H39" i="103"/>
  <c r="G39" i="103"/>
  <c r="F39" i="103"/>
  <c r="E39" i="103"/>
  <c r="D39" i="103"/>
  <c r="J38" i="103"/>
  <c r="I38" i="103"/>
  <c r="H38" i="103"/>
  <c r="G38" i="103"/>
  <c r="E38" i="103"/>
  <c r="J36" i="103"/>
  <c r="I36" i="103"/>
  <c r="H36" i="103"/>
  <c r="G36" i="103"/>
  <c r="F36" i="103"/>
  <c r="F38" i="103" s="1"/>
  <c r="E36" i="103"/>
  <c r="D36" i="103"/>
  <c r="D38" i="103" s="1"/>
  <c r="B22" i="103"/>
  <c r="I16" i="103"/>
  <c r="C11" i="103"/>
  <c r="L8" i="103"/>
  <c r="C9" i="103"/>
  <c r="C8" i="103"/>
  <c r="B4" i="103"/>
  <c r="D74" i="104"/>
  <c r="J68" i="104"/>
  <c r="I68" i="104"/>
  <c r="H68" i="104"/>
  <c r="G68" i="104"/>
  <c r="F68" i="104"/>
  <c r="J55" i="104"/>
  <c r="I55" i="104"/>
  <c r="H55" i="104"/>
  <c r="G55" i="104"/>
  <c r="F55" i="104"/>
  <c r="E55" i="104"/>
  <c r="E68" i="104" s="1"/>
  <c r="D55" i="104"/>
  <c r="D68" i="104" s="1"/>
  <c r="C53" i="104"/>
  <c r="C52" i="104"/>
  <c r="C51" i="104"/>
  <c r="C50" i="104"/>
  <c r="C49" i="104"/>
  <c r="C48" i="104"/>
  <c r="J45" i="104"/>
  <c r="I45" i="104"/>
  <c r="H45" i="104"/>
  <c r="G45" i="104"/>
  <c r="F45" i="104"/>
  <c r="E45" i="104"/>
  <c r="D45" i="104"/>
  <c r="J44" i="104"/>
  <c r="I44" i="104"/>
  <c r="H44" i="104"/>
  <c r="G44" i="104"/>
  <c r="F44" i="104"/>
  <c r="J42" i="104"/>
  <c r="J46" i="104" s="1"/>
  <c r="I42" i="104"/>
  <c r="H42" i="104"/>
  <c r="G42" i="104"/>
  <c r="F42" i="104"/>
  <c r="E42" i="104"/>
  <c r="D42" i="104"/>
  <c r="J41" i="104"/>
  <c r="I41" i="104"/>
  <c r="H41" i="104"/>
  <c r="G41" i="104"/>
  <c r="F41" i="104"/>
  <c r="J39" i="104"/>
  <c r="I39" i="104"/>
  <c r="H39" i="104"/>
  <c r="G39" i="104"/>
  <c r="F39" i="104"/>
  <c r="E39" i="104"/>
  <c r="D39" i="104"/>
  <c r="J38" i="104"/>
  <c r="I38" i="104"/>
  <c r="H38" i="104"/>
  <c r="G38" i="104"/>
  <c r="F38" i="104"/>
  <c r="D38" i="104"/>
  <c r="J36" i="104"/>
  <c r="I36" i="104"/>
  <c r="H36" i="104"/>
  <c r="G36" i="104"/>
  <c r="F36" i="104"/>
  <c r="E36" i="104"/>
  <c r="E41" i="104" s="1"/>
  <c r="D36" i="104"/>
  <c r="D41" i="104" s="1"/>
  <c r="B22" i="104"/>
  <c r="I16" i="104"/>
  <c r="C11" i="104"/>
  <c r="C9" i="104"/>
  <c r="L8" i="104" s="1"/>
  <c r="J16" i="104" s="1"/>
  <c r="C8" i="104"/>
  <c r="B4" i="104"/>
  <c r="D74" i="105"/>
  <c r="J68" i="105"/>
  <c r="I68" i="105"/>
  <c r="H68" i="105"/>
  <c r="G68" i="105"/>
  <c r="F68" i="105"/>
  <c r="J55" i="105"/>
  <c r="I55" i="105"/>
  <c r="H55" i="105"/>
  <c r="G55" i="105"/>
  <c r="F55" i="105"/>
  <c r="E55" i="105"/>
  <c r="E68" i="105" s="1"/>
  <c r="D55" i="105"/>
  <c r="D68" i="105" s="1"/>
  <c r="C53" i="105"/>
  <c r="C52" i="105"/>
  <c r="C51" i="105"/>
  <c r="C50" i="105"/>
  <c r="C49" i="105"/>
  <c r="C48" i="105"/>
  <c r="I46" i="105"/>
  <c r="J45" i="105"/>
  <c r="I45" i="105"/>
  <c r="H45" i="105"/>
  <c r="H46" i="105" s="1"/>
  <c r="G45" i="105"/>
  <c r="G46" i="105" s="1"/>
  <c r="F45" i="105"/>
  <c r="E45" i="105"/>
  <c r="D45" i="105"/>
  <c r="J44" i="105"/>
  <c r="I44" i="105"/>
  <c r="H44" i="105"/>
  <c r="G44" i="105"/>
  <c r="F44" i="105"/>
  <c r="E44" i="105"/>
  <c r="D44" i="105"/>
  <c r="J42" i="105"/>
  <c r="I42" i="105"/>
  <c r="H42" i="105"/>
  <c r="G42" i="105"/>
  <c r="F42" i="105"/>
  <c r="E42" i="105"/>
  <c r="D42" i="105"/>
  <c r="J41" i="105"/>
  <c r="I41" i="105"/>
  <c r="H41" i="105"/>
  <c r="G41" i="105"/>
  <c r="F41" i="105"/>
  <c r="E41" i="105"/>
  <c r="D41" i="105"/>
  <c r="J39" i="105"/>
  <c r="J46" i="105" s="1"/>
  <c r="I39" i="105"/>
  <c r="H39" i="105"/>
  <c r="G39" i="105"/>
  <c r="F39" i="105"/>
  <c r="E39" i="105"/>
  <c r="D39" i="105"/>
  <c r="J38" i="105"/>
  <c r="I38" i="105"/>
  <c r="H38" i="105"/>
  <c r="G38" i="105"/>
  <c r="F38" i="105"/>
  <c r="J36" i="105"/>
  <c r="I36" i="105"/>
  <c r="H36" i="105"/>
  <c r="G36" i="105"/>
  <c r="F36" i="105"/>
  <c r="E36" i="105"/>
  <c r="E38" i="105" s="1"/>
  <c r="D36" i="105"/>
  <c r="D38" i="105" s="1"/>
  <c r="B22" i="105"/>
  <c r="I16" i="105"/>
  <c r="C11" i="105"/>
  <c r="C18" i="105" s="1"/>
  <c r="F18" i="105" s="1"/>
  <c r="C9" i="105"/>
  <c r="L8" i="105"/>
  <c r="C8" i="105"/>
  <c r="B4" i="105"/>
  <c r="D74" i="106"/>
  <c r="J68" i="106"/>
  <c r="I68" i="106"/>
  <c r="H68" i="106"/>
  <c r="G68" i="106"/>
  <c r="J55" i="106"/>
  <c r="I55" i="106"/>
  <c r="H55" i="106"/>
  <c r="G55" i="106"/>
  <c r="F55" i="106"/>
  <c r="F68" i="106" s="1"/>
  <c r="E55" i="106"/>
  <c r="E68" i="106" s="1"/>
  <c r="D55" i="106"/>
  <c r="D68" i="106" s="1"/>
  <c r="C53" i="106"/>
  <c r="C52" i="106"/>
  <c r="C51" i="106"/>
  <c r="C50" i="106"/>
  <c r="C49" i="106"/>
  <c r="C48" i="106"/>
  <c r="J45" i="106"/>
  <c r="I45" i="106"/>
  <c r="H45" i="106"/>
  <c r="G45" i="106"/>
  <c r="F45" i="106"/>
  <c r="E45" i="106"/>
  <c r="D45" i="106"/>
  <c r="J44" i="106"/>
  <c r="I44" i="106"/>
  <c r="H44" i="106"/>
  <c r="G44" i="106"/>
  <c r="F44" i="106"/>
  <c r="E44" i="106"/>
  <c r="D44" i="106"/>
  <c r="J42" i="106"/>
  <c r="I42" i="106"/>
  <c r="H42" i="106"/>
  <c r="G42" i="106"/>
  <c r="F42" i="106"/>
  <c r="E42" i="106"/>
  <c r="D42" i="106"/>
  <c r="J41" i="106"/>
  <c r="I41" i="106"/>
  <c r="H41" i="106"/>
  <c r="G41" i="106"/>
  <c r="F41" i="106"/>
  <c r="E41" i="106"/>
  <c r="D41" i="106"/>
  <c r="J39" i="106"/>
  <c r="J46" i="106" s="1"/>
  <c r="I39" i="106"/>
  <c r="H39" i="106"/>
  <c r="G39" i="106"/>
  <c r="F39" i="106"/>
  <c r="F46" i="106" s="1"/>
  <c r="E39" i="106"/>
  <c r="D39" i="106"/>
  <c r="J38" i="106"/>
  <c r="I38" i="106"/>
  <c r="H38" i="106"/>
  <c r="G38" i="106"/>
  <c r="D38" i="106"/>
  <c r="J36" i="106"/>
  <c r="I36" i="106"/>
  <c r="H36" i="106"/>
  <c r="G36" i="106"/>
  <c r="F36" i="106"/>
  <c r="F38" i="106" s="1"/>
  <c r="E36" i="106"/>
  <c r="E38" i="106" s="1"/>
  <c r="D36" i="106"/>
  <c r="B22" i="106"/>
  <c r="I16" i="106"/>
  <c r="C11" i="106"/>
  <c r="C9" i="106"/>
  <c r="L8" i="106" s="1"/>
  <c r="C8" i="106"/>
  <c r="B4" i="106"/>
  <c r="D74" i="107"/>
  <c r="J68" i="107"/>
  <c r="I68" i="107"/>
  <c r="H68" i="107"/>
  <c r="G68" i="107"/>
  <c r="F68" i="107"/>
  <c r="J55" i="107"/>
  <c r="I55" i="107"/>
  <c r="H55" i="107"/>
  <c r="G55" i="107"/>
  <c r="F55" i="107"/>
  <c r="E55" i="107"/>
  <c r="E68" i="107" s="1"/>
  <c r="D55" i="107"/>
  <c r="D68" i="107" s="1"/>
  <c r="C53" i="107"/>
  <c r="C52" i="107"/>
  <c r="C51" i="107"/>
  <c r="C50" i="107"/>
  <c r="C49" i="107"/>
  <c r="C48" i="107"/>
  <c r="G46" i="107"/>
  <c r="J45" i="107"/>
  <c r="I45" i="107"/>
  <c r="H45" i="107"/>
  <c r="G45" i="107"/>
  <c r="F45" i="107"/>
  <c r="F46" i="107" s="1"/>
  <c r="E45" i="107"/>
  <c r="D45" i="107"/>
  <c r="J44" i="107"/>
  <c r="I44" i="107"/>
  <c r="H44" i="107"/>
  <c r="G44" i="107"/>
  <c r="F44" i="107"/>
  <c r="E44" i="107"/>
  <c r="D44" i="107"/>
  <c r="J42" i="107"/>
  <c r="I42" i="107"/>
  <c r="H42" i="107"/>
  <c r="G42" i="107"/>
  <c r="F42" i="107"/>
  <c r="E42" i="107"/>
  <c r="D42" i="107"/>
  <c r="J41" i="107"/>
  <c r="I41" i="107"/>
  <c r="H41" i="107"/>
  <c r="G41" i="107"/>
  <c r="F41" i="107"/>
  <c r="E41" i="107"/>
  <c r="D41" i="107"/>
  <c r="J39" i="107"/>
  <c r="J46" i="107" s="1"/>
  <c r="I39" i="107"/>
  <c r="I46" i="107" s="1"/>
  <c r="H39" i="107"/>
  <c r="H46" i="107" s="1"/>
  <c r="G39" i="107"/>
  <c r="F39" i="107"/>
  <c r="E39" i="107"/>
  <c r="D39" i="107"/>
  <c r="J38" i="107"/>
  <c r="I38" i="107"/>
  <c r="H38" i="107"/>
  <c r="G38" i="107"/>
  <c r="F38" i="107"/>
  <c r="J36" i="107"/>
  <c r="I36" i="107"/>
  <c r="H36" i="107"/>
  <c r="G36" i="107"/>
  <c r="F36" i="107"/>
  <c r="E36" i="107"/>
  <c r="E38" i="107" s="1"/>
  <c r="D36" i="107"/>
  <c r="D38" i="107" s="1"/>
  <c r="B22" i="107"/>
  <c r="D18" i="107"/>
  <c r="J16" i="107"/>
  <c r="I16" i="107"/>
  <c r="J14" i="107"/>
  <c r="C11" i="107"/>
  <c r="C19" i="107" s="1"/>
  <c r="F19" i="107" s="1"/>
  <c r="C9" i="107"/>
  <c r="L8" i="107"/>
  <c r="C8" i="107"/>
  <c r="B4" i="107"/>
  <c r="D74" i="108"/>
  <c r="J68" i="108"/>
  <c r="I68" i="108"/>
  <c r="H68" i="108"/>
  <c r="G68" i="108"/>
  <c r="F68" i="108"/>
  <c r="E68" i="108"/>
  <c r="J55" i="108"/>
  <c r="I55" i="108"/>
  <c r="H55" i="108"/>
  <c r="G55" i="108"/>
  <c r="F55" i="108"/>
  <c r="E55" i="108"/>
  <c r="D55" i="108"/>
  <c r="D68" i="108" s="1"/>
  <c r="C53" i="108"/>
  <c r="C52" i="108"/>
  <c r="C51" i="108"/>
  <c r="C50" i="108"/>
  <c r="C49" i="108"/>
  <c r="C48" i="108"/>
  <c r="J46" i="108"/>
  <c r="J45" i="108"/>
  <c r="I45" i="108"/>
  <c r="I46" i="108" s="1"/>
  <c r="H45" i="108"/>
  <c r="H46" i="108" s="1"/>
  <c r="G45" i="108"/>
  <c r="F45" i="108"/>
  <c r="E45" i="108"/>
  <c r="D45" i="108"/>
  <c r="J44" i="108"/>
  <c r="I44" i="108"/>
  <c r="H44" i="108"/>
  <c r="G44" i="108"/>
  <c r="F44" i="108"/>
  <c r="E44" i="108"/>
  <c r="D44" i="108"/>
  <c r="J42" i="108"/>
  <c r="I42" i="108"/>
  <c r="H42" i="108"/>
  <c r="G42" i="108"/>
  <c r="F42" i="108"/>
  <c r="E42" i="108"/>
  <c r="D42" i="108"/>
  <c r="J41" i="108"/>
  <c r="I41" i="108"/>
  <c r="H41" i="108"/>
  <c r="G41" i="108"/>
  <c r="F41" i="108"/>
  <c r="E41" i="108"/>
  <c r="J39" i="108"/>
  <c r="I39" i="108"/>
  <c r="H39" i="108"/>
  <c r="G39" i="108"/>
  <c r="F39" i="108"/>
  <c r="E39" i="108"/>
  <c r="E46" i="108" s="1"/>
  <c r="D39" i="108"/>
  <c r="J38" i="108"/>
  <c r="I38" i="108"/>
  <c r="H38" i="108"/>
  <c r="G38" i="108"/>
  <c r="F38" i="108"/>
  <c r="E38" i="108"/>
  <c r="D38" i="108"/>
  <c r="J36" i="108"/>
  <c r="I36" i="108"/>
  <c r="H36" i="108"/>
  <c r="G36" i="108"/>
  <c r="F36" i="108"/>
  <c r="E36" i="108"/>
  <c r="D36" i="108"/>
  <c r="D41" i="108" s="1"/>
  <c r="B22" i="108"/>
  <c r="I16" i="108"/>
  <c r="C11" i="108"/>
  <c r="D15" i="108" s="1"/>
  <c r="L8" i="108"/>
  <c r="C9" i="108"/>
  <c r="C8" i="108"/>
  <c r="B4" i="108"/>
  <c r="D74" i="109"/>
  <c r="J68" i="109"/>
  <c r="I68" i="109"/>
  <c r="H68" i="109"/>
  <c r="G68" i="109"/>
  <c r="J55" i="109"/>
  <c r="I55" i="109"/>
  <c r="H55" i="109"/>
  <c r="G55" i="109"/>
  <c r="F55" i="109"/>
  <c r="F68" i="109" s="1"/>
  <c r="E55" i="109"/>
  <c r="E68" i="109" s="1"/>
  <c r="D55" i="109"/>
  <c r="D68" i="109" s="1"/>
  <c r="C53" i="109"/>
  <c r="C52" i="109"/>
  <c r="C51" i="109"/>
  <c r="C50" i="109"/>
  <c r="C49" i="109"/>
  <c r="C48" i="109"/>
  <c r="J45" i="109"/>
  <c r="I45" i="109"/>
  <c r="H45" i="109"/>
  <c r="G45" i="109"/>
  <c r="F45" i="109"/>
  <c r="E45" i="109"/>
  <c r="D45" i="109"/>
  <c r="J44" i="109"/>
  <c r="I44" i="109"/>
  <c r="H44" i="109"/>
  <c r="G44" i="109"/>
  <c r="F44" i="109"/>
  <c r="E44" i="109"/>
  <c r="D44" i="109"/>
  <c r="J42" i="109"/>
  <c r="I42" i="109"/>
  <c r="I46" i="109" s="1"/>
  <c r="H42" i="109"/>
  <c r="G42" i="109"/>
  <c r="F42" i="109"/>
  <c r="E42" i="109"/>
  <c r="D42" i="109"/>
  <c r="J41" i="109"/>
  <c r="I41" i="109"/>
  <c r="H41" i="109"/>
  <c r="G41" i="109"/>
  <c r="F41" i="109"/>
  <c r="E41" i="109"/>
  <c r="D41" i="109"/>
  <c r="J39" i="109"/>
  <c r="I39" i="109"/>
  <c r="H39" i="109"/>
  <c r="G39" i="109"/>
  <c r="G46" i="109" s="1"/>
  <c r="F39" i="109"/>
  <c r="E39" i="109"/>
  <c r="E46" i="109" s="1"/>
  <c r="D39" i="109"/>
  <c r="J38" i="109"/>
  <c r="I38" i="109"/>
  <c r="H38" i="109"/>
  <c r="G38" i="109"/>
  <c r="E38" i="109"/>
  <c r="J36" i="109"/>
  <c r="I36" i="109"/>
  <c r="H36" i="109"/>
  <c r="G36" i="109"/>
  <c r="F36" i="109"/>
  <c r="F38" i="109" s="1"/>
  <c r="E36" i="109"/>
  <c r="D36" i="109"/>
  <c r="D38" i="109" s="1"/>
  <c r="B22" i="109"/>
  <c r="J16" i="109"/>
  <c r="I16" i="109"/>
  <c r="K16" i="109" s="1"/>
  <c r="C11" i="109"/>
  <c r="L8" i="109"/>
  <c r="J14" i="109" s="1"/>
  <c r="C9" i="109"/>
  <c r="C8" i="109"/>
  <c r="B4" i="109"/>
  <c r="D74" i="110"/>
  <c r="J68" i="110"/>
  <c r="I68" i="110"/>
  <c r="H68" i="110"/>
  <c r="G68" i="110"/>
  <c r="F68" i="110"/>
  <c r="J55" i="110"/>
  <c r="I55" i="110"/>
  <c r="H55" i="110"/>
  <c r="G55" i="110"/>
  <c r="F55" i="110"/>
  <c r="E55" i="110"/>
  <c r="E68" i="110" s="1"/>
  <c r="D55" i="110"/>
  <c r="D68" i="110" s="1"/>
  <c r="C53" i="110"/>
  <c r="C52" i="110"/>
  <c r="C51" i="110"/>
  <c r="C50" i="110"/>
  <c r="C49" i="110"/>
  <c r="C48" i="110"/>
  <c r="H46" i="110"/>
  <c r="J45" i="110"/>
  <c r="I45" i="110"/>
  <c r="H45" i="110"/>
  <c r="G45" i="110"/>
  <c r="G46" i="110" s="1"/>
  <c r="F45" i="110"/>
  <c r="E45" i="110"/>
  <c r="I16" i="110" s="1"/>
  <c r="D45" i="110"/>
  <c r="J44" i="110"/>
  <c r="I44" i="110"/>
  <c r="H44" i="110"/>
  <c r="G44" i="110"/>
  <c r="F44" i="110"/>
  <c r="E44" i="110"/>
  <c r="D44" i="110"/>
  <c r="J42" i="110"/>
  <c r="I42" i="110"/>
  <c r="H42" i="110"/>
  <c r="G42" i="110"/>
  <c r="F42" i="110"/>
  <c r="E42" i="110"/>
  <c r="D42" i="110"/>
  <c r="J41" i="110"/>
  <c r="I41" i="110"/>
  <c r="H41" i="110"/>
  <c r="G41" i="110"/>
  <c r="F41" i="110"/>
  <c r="E41" i="110"/>
  <c r="D41" i="110"/>
  <c r="J39" i="110"/>
  <c r="J46" i="110" s="1"/>
  <c r="I39" i="110"/>
  <c r="I46" i="110" s="1"/>
  <c r="H39" i="110"/>
  <c r="G39" i="110"/>
  <c r="F39" i="110"/>
  <c r="E39" i="110"/>
  <c r="D39" i="110"/>
  <c r="J38" i="110"/>
  <c r="I38" i="110"/>
  <c r="H38" i="110"/>
  <c r="G38" i="110"/>
  <c r="F38" i="110"/>
  <c r="D38" i="110"/>
  <c r="J36" i="110"/>
  <c r="I36" i="110"/>
  <c r="H36" i="110"/>
  <c r="G36" i="110"/>
  <c r="F36" i="110"/>
  <c r="E36" i="110"/>
  <c r="E38" i="110" s="1"/>
  <c r="D36" i="110"/>
  <c r="B22" i="110"/>
  <c r="C11" i="110"/>
  <c r="D19" i="110" s="1"/>
  <c r="C9" i="110"/>
  <c r="L8" i="110"/>
  <c r="C8" i="110"/>
  <c r="B4" i="110"/>
  <c r="D74" i="111"/>
  <c r="J68" i="111"/>
  <c r="I68" i="111"/>
  <c r="H68" i="111"/>
  <c r="G68" i="111"/>
  <c r="F68" i="111"/>
  <c r="E68" i="111"/>
  <c r="J55" i="111"/>
  <c r="I55" i="111"/>
  <c r="H55" i="111"/>
  <c r="G55" i="111"/>
  <c r="F55" i="111"/>
  <c r="E55" i="111"/>
  <c r="D55" i="111"/>
  <c r="D68" i="111" s="1"/>
  <c r="C53" i="111"/>
  <c r="C52" i="111"/>
  <c r="C51" i="111"/>
  <c r="C50" i="111"/>
  <c r="C49" i="111"/>
  <c r="C48" i="111"/>
  <c r="J46" i="111"/>
  <c r="I46" i="111"/>
  <c r="G46" i="111"/>
  <c r="J45" i="111"/>
  <c r="I45" i="111"/>
  <c r="H45" i="111"/>
  <c r="G45" i="111"/>
  <c r="F45" i="111"/>
  <c r="E45" i="111"/>
  <c r="D45" i="111"/>
  <c r="J44" i="111"/>
  <c r="I44" i="111"/>
  <c r="H44" i="111"/>
  <c r="G44" i="111"/>
  <c r="F44" i="111"/>
  <c r="E44" i="111"/>
  <c r="D44" i="111"/>
  <c r="J42" i="111"/>
  <c r="I42" i="111"/>
  <c r="H42" i="111"/>
  <c r="G42" i="111"/>
  <c r="F42" i="111"/>
  <c r="E42" i="111"/>
  <c r="D42" i="111"/>
  <c r="J41" i="111"/>
  <c r="I41" i="111"/>
  <c r="H41" i="111"/>
  <c r="G41" i="111"/>
  <c r="F41" i="111"/>
  <c r="E41" i="111"/>
  <c r="D41" i="111"/>
  <c r="J39" i="111"/>
  <c r="I39" i="111"/>
  <c r="H39" i="111"/>
  <c r="G39" i="111"/>
  <c r="F39" i="111"/>
  <c r="E39" i="111"/>
  <c r="D39" i="111"/>
  <c r="J38" i="111"/>
  <c r="I38" i="111"/>
  <c r="H38" i="111"/>
  <c r="G38" i="111"/>
  <c r="F38" i="111"/>
  <c r="J36" i="111"/>
  <c r="I36" i="111"/>
  <c r="H36" i="111"/>
  <c r="G36" i="111"/>
  <c r="F36" i="111"/>
  <c r="E36" i="111"/>
  <c r="E38" i="111" s="1"/>
  <c r="D36" i="111"/>
  <c r="D38" i="111" s="1"/>
  <c r="B22" i="111"/>
  <c r="I16" i="111"/>
  <c r="C11" i="111"/>
  <c r="C9" i="111"/>
  <c r="L8" i="111"/>
  <c r="J16" i="111" s="1"/>
  <c r="C8" i="111"/>
  <c r="B4" i="111"/>
  <c r="D74" i="112"/>
  <c r="J68" i="112"/>
  <c r="I68" i="112"/>
  <c r="H68" i="112"/>
  <c r="G68" i="112"/>
  <c r="F68" i="112"/>
  <c r="E68" i="112"/>
  <c r="D68" i="112"/>
  <c r="J55" i="112"/>
  <c r="I55" i="112"/>
  <c r="H55" i="112"/>
  <c r="G55" i="112"/>
  <c r="F55" i="112"/>
  <c r="E55" i="112"/>
  <c r="D55" i="112"/>
  <c r="C53" i="112"/>
  <c r="C52" i="112"/>
  <c r="C51" i="112"/>
  <c r="C50" i="112"/>
  <c r="C49" i="112"/>
  <c r="C48" i="112"/>
  <c r="F46" i="112"/>
  <c r="D46" i="112"/>
  <c r="J45" i="112"/>
  <c r="I45" i="112"/>
  <c r="H45" i="112"/>
  <c r="G45" i="112"/>
  <c r="F45" i="112"/>
  <c r="E45" i="112"/>
  <c r="E46" i="112" s="1"/>
  <c r="D45" i="112"/>
  <c r="J44" i="112"/>
  <c r="I44" i="112"/>
  <c r="H44" i="112"/>
  <c r="G44" i="112"/>
  <c r="F44" i="112"/>
  <c r="E44" i="112"/>
  <c r="D44" i="112"/>
  <c r="J42" i="112"/>
  <c r="J46" i="112" s="1"/>
  <c r="I42" i="112"/>
  <c r="H42" i="112"/>
  <c r="G42" i="112"/>
  <c r="F42" i="112"/>
  <c r="E42" i="112"/>
  <c r="D42" i="112"/>
  <c r="J41" i="112"/>
  <c r="I41" i="112"/>
  <c r="H41" i="112"/>
  <c r="G41" i="112"/>
  <c r="F41" i="112"/>
  <c r="E41" i="112"/>
  <c r="D41" i="112"/>
  <c r="J39" i="112"/>
  <c r="I39" i="112"/>
  <c r="H39" i="112"/>
  <c r="H46" i="112" s="1"/>
  <c r="G39" i="112"/>
  <c r="G46" i="112" s="1"/>
  <c r="F39" i="112"/>
  <c r="E39" i="112"/>
  <c r="D39" i="112"/>
  <c r="J38" i="112"/>
  <c r="I38" i="112"/>
  <c r="H38" i="112"/>
  <c r="G38" i="112"/>
  <c r="F38" i="112"/>
  <c r="E38" i="112"/>
  <c r="D38" i="112"/>
  <c r="J36" i="112"/>
  <c r="I36" i="112"/>
  <c r="H36" i="112"/>
  <c r="G36" i="112"/>
  <c r="F36" i="112"/>
  <c r="E36" i="112"/>
  <c r="D36" i="112"/>
  <c r="B22" i="112"/>
  <c r="I16" i="112"/>
  <c r="C11" i="112"/>
  <c r="L8" i="112"/>
  <c r="C9" i="112"/>
  <c r="C8" i="112"/>
  <c r="B4" i="112"/>
  <c r="D74" i="113"/>
  <c r="J68" i="113"/>
  <c r="I68" i="113"/>
  <c r="H68" i="113"/>
  <c r="G68" i="113"/>
  <c r="F68" i="113"/>
  <c r="E68" i="113"/>
  <c r="D68" i="113"/>
  <c r="I14" i="113" s="1"/>
  <c r="J55" i="113"/>
  <c r="I55" i="113"/>
  <c r="H55" i="113"/>
  <c r="G55" i="113"/>
  <c r="F55" i="113"/>
  <c r="E55" i="113"/>
  <c r="D55" i="113"/>
  <c r="C53" i="113"/>
  <c r="C52" i="113"/>
  <c r="C51" i="113"/>
  <c r="C50" i="113"/>
  <c r="C49" i="113"/>
  <c r="C48" i="113"/>
  <c r="F46" i="113"/>
  <c r="D46" i="113"/>
  <c r="J45" i="113"/>
  <c r="I45" i="113"/>
  <c r="H45" i="113"/>
  <c r="G45" i="113"/>
  <c r="F45" i="113"/>
  <c r="E45" i="113"/>
  <c r="E46" i="113" s="1"/>
  <c r="D45" i="113"/>
  <c r="J44" i="113"/>
  <c r="I44" i="113"/>
  <c r="H44" i="113"/>
  <c r="G44" i="113"/>
  <c r="F44" i="113"/>
  <c r="E44" i="113"/>
  <c r="D44" i="113"/>
  <c r="J42" i="113"/>
  <c r="I42" i="113"/>
  <c r="H42" i="113"/>
  <c r="G42" i="113"/>
  <c r="F42" i="113"/>
  <c r="E42" i="113"/>
  <c r="D42" i="113"/>
  <c r="J41" i="113"/>
  <c r="I41" i="113"/>
  <c r="H41" i="113"/>
  <c r="G41" i="113"/>
  <c r="F41" i="113"/>
  <c r="E41" i="113"/>
  <c r="D41" i="113"/>
  <c r="J39" i="113"/>
  <c r="I39" i="113"/>
  <c r="H39" i="113"/>
  <c r="H46" i="113" s="1"/>
  <c r="G39" i="113"/>
  <c r="G46" i="113" s="1"/>
  <c r="F39" i="113"/>
  <c r="E39" i="113"/>
  <c r="D39" i="113"/>
  <c r="J38" i="113"/>
  <c r="I38" i="113"/>
  <c r="H38" i="113"/>
  <c r="G38" i="113"/>
  <c r="F38" i="113"/>
  <c r="E38" i="113"/>
  <c r="D38" i="113"/>
  <c r="J36" i="113"/>
  <c r="I36" i="113"/>
  <c r="H36" i="113"/>
  <c r="G36" i="113"/>
  <c r="F36" i="113"/>
  <c r="E36" i="113"/>
  <c r="D36" i="113"/>
  <c r="B22" i="113"/>
  <c r="I16" i="113"/>
  <c r="C11" i="113"/>
  <c r="C9" i="113"/>
  <c r="L8" i="113" s="1"/>
  <c r="J16" i="113" s="1"/>
  <c r="K16" i="113" s="1"/>
  <c r="C8" i="113"/>
  <c r="B4" i="113"/>
  <c r="D74" i="114"/>
  <c r="J68" i="114"/>
  <c r="I68" i="114"/>
  <c r="H68" i="114"/>
  <c r="G68" i="114"/>
  <c r="F68" i="114"/>
  <c r="E68" i="114"/>
  <c r="J55" i="114"/>
  <c r="I55" i="114"/>
  <c r="H55" i="114"/>
  <c r="G55" i="114"/>
  <c r="F55" i="114"/>
  <c r="E55" i="114"/>
  <c r="D55" i="114"/>
  <c r="D68" i="114" s="1"/>
  <c r="C53" i="114"/>
  <c r="C52" i="114"/>
  <c r="C51" i="114"/>
  <c r="C50" i="114"/>
  <c r="C49" i="114"/>
  <c r="C48" i="114"/>
  <c r="I46" i="114"/>
  <c r="J45" i="114"/>
  <c r="I45" i="114"/>
  <c r="H45" i="114"/>
  <c r="H46" i="114" s="1"/>
  <c r="G45" i="114"/>
  <c r="G46" i="114" s="1"/>
  <c r="F45" i="114"/>
  <c r="E45" i="114"/>
  <c r="D45" i="114"/>
  <c r="J44" i="114"/>
  <c r="I44" i="114"/>
  <c r="H44" i="114"/>
  <c r="G44" i="114"/>
  <c r="F44" i="114"/>
  <c r="E44" i="114"/>
  <c r="D44" i="114"/>
  <c r="J42" i="114"/>
  <c r="I42" i="114"/>
  <c r="H42" i="114"/>
  <c r="G42" i="114"/>
  <c r="F42" i="114"/>
  <c r="E42" i="114"/>
  <c r="D42" i="114"/>
  <c r="J41" i="114"/>
  <c r="I41" i="114"/>
  <c r="H41" i="114"/>
  <c r="G41" i="114"/>
  <c r="F41" i="114"/>
  <c r="E41" i="114"/>
  <c r="D41" i="114"/>
  <c r="J39" i="114"/>
  <c r="J46" i="114" s="1"/>
  <c r="I39" i="114"/>
  <c r="H39" i="114"/>
  <c r="G39" i="114"/>
  <c r="F39" i="114"/>
  <c r="F46" i="114" s="1"/>
  <c r="E39" i="114"/>
  <c r="E46" i="114" s="1"/>
  <c r="D39" i="114"/>
  <c r="J38" i="114"/>
  <c r="I38" i="114"/>
  <c r="H38" i="114"/>
  <c r="G38" i="114"/>
  <c r="F38" i="114"/>
  <c r="E38" i="114"/>
  <c r="J36" i="114"/>
  <c r="I36" i="114"/>
  <c r="H36" i="114"/>
  <c r="G36" i="114"/>
  <c r="F36" i="114"/>
  <c r="E36" i="114"/>
  <c r="D36" i="114"/>
  <c r="D38" i="114" s="1"/>
  <c r="B22" i="114"/>
  <c r="C17" i="114"/>
  <c r="I16" i="114"/>
  <c r="D16" i="114"/>
  <c r="C11" i="114"/>
  <c r="C18" i="114" s="1"/>
  <c r="F18" i="114" s="1"/>
  <c r="C9" i="114"/>
  <c r="L8" i="114" s="1"/>
  <c r="C8" i="114"/>
  <c r="B4" i="114"/>
  <c r="D74" i="115"/>
  <c r="J68" i="115"/>
  <c r="I68" i="115"/>
  <c r="H68" i="115"/>
  <c r="G68" i="115"/>
  <c r="F68" i="115"/>
  <c r="E68" i="115"/>
  <c r="I14" i="115" s="1"/>
  <c r="D68" i="115"/>
  <c r="J55" i="115"/>
  <c r="I55" i="115"/>
  <c r="H55" i="115"/>
  <c r="G55" i="115"/>
  <c r="F55" i="115"/>
  <c r="E55" i="115"/>
  <c r="D55" i="115"/>
  <c r="C53" i="115"/>
  <c r="C52" i="115"/>
  <c r="C51" i="115"/>
  <c r="C50" i="115"/>
  <c r="C49" i="115"/>
  <c r="C48" i="115"/>
  <c r="J46" i="115"/>
  <c r="D46" i="115"/>
  <c r="J45" i="115"/>
  <c r="I45" i="115"/>
  <c r="H45" i="115"/>
  <c r="G45" i="115"/>
  <c r="F45" i="115"/>
  <c r="E45" i="115"/>
  <c r="D45" i="115"/>
  <c r="J44" i="115"/>
  <c r="I44" i="115"/>
  <c r="H44" i="115"/>
  <c r="G44" i="115"/>
  <c r="F44" i="115"/>
  <c r="E44" i="115"/>
  <c r="D44" i="115"/>
  <c r="J42" i="115"/>
  <c r="I42" i="115"/>
  <c r="H42" i="115"/>
  <c r="G42" i="115"/>
  <c r="F42" i="115"/>
  <c r="E42" i="115"/>
  <c r="D42" i="115"/>
  <c r="J41" i="115"/>
  <c r="I41" i="115"/>
  <c r="H41" i="115"/>
  <c r="G41" i="115"/>
  <c r="F41" i="115"/>
  <c r="E41" i="115"/>
  <c r="D41" i="115"/>
  <c r="J39" i="115"/>
  <c r="I39" i="115"/>
  <c r="H39" i="115"/>
  <c r="H46" i="115" s="1"/>
  <c r="G39" i="115"/>
  <c r="G46" i="115" s="1"/>
  <c r="F39" i="115"/>
  <c r="F46" i="115" s="1"/>
  <c r="E39" i="115"/>
  <c r="E46" i="115" s="1"/>
  <c r="D39" i="115"/>
  <c r="J38" i="115"/>
  <c r="I38" i="115"/>
  <c r="H38" i="115"/>
  <c r="G38" i="115"/>
  <c r="F38" i="115"/>
  <c r="E38" i="115"/>
  <c r="D38" i="115"/>
  <c r="J36" i="115"/>
  <c r="I36" i="115"/>
  <c r="H36" i="115"/>
  <c r="G36" i="115"/>
  <c r="F36" i="115"/>
  <c r="E36" i="115"/>
  <c r="D36" i="115"/>
  <c r="B22" i="115"/>
  <c r="I16" i="115"/>
  <c r="C11" i="115"/>
  <c r="C9" i="115"/>
  <c r="L8" i="115" s="1"/>
  <c r="C8" i="115"/>
  <c r="B4" i="115"/>
  <c r="D74" i="116"/>
  <c r="J68" i="116"/>
  <c r="I68" i="116"/>
  <c r="H68" i="116"/>
  <c r="G68" i="116"/>
  <c r="F68" i="116"/>
  <c r="J55" i="116"/>
  <c r="I55" i="116"/>
  <c r="H55" i="116"/>
  <c r="G55" i="116"/>
  <c r="F55" i="116"/>
  <c r="E55" i="116"/>
  <c r="E68" i="116" s="1"/>
  <c r="D55" i="116"/>
  <c r="D68" i="116" s="1"/>
  <c r="C53" i="116"/>
  <c r="C52" i="116"/>
  <c r="C51" i="116"/>
  <c r="C50" i="116"/>
  <c r="C49" i="116"/>
  <c r="C48" i="116"/>
  <c r="G46" i="116"/>
  <c r="J45" i="116"/>
  <c r="I45" i="116"/>
  <c r="H45" i="116"/>
  <c r="G45" i="116"/>
  <c r="F45" i="116"/>
  <c r="E45" i="116"/>
  <c r="D45" i="116"/>
  <c r="J44" i="116"/>
  <c r="I44" i="116"/>
  <c r="H44" i="116"/>
  <c r="G44" i="116"/>
  <c r="F44" i="116"/>
  <c r="E44" i="116"/>
  <c r="D44" i="116"/>
  <c r="J42" i="116"/>
  <c r="I42" i="116"/>
  <c r="H42" i="116"/>
  <c r="G42" i="116"/>
  <c r="F42" i="116"/>
  <c r="E42" i="116"/>
  <c r="D42" i="116"/>
  <c r="J41" i="116"/>
  <c r="I41" i="116"/>
  <c r="H41" i="116"/>
  <c r="G41" i="116"/>
  <c r="F41" i="116"/>
  <c r="E41" i="116"/>
  <c r="D41" i="116"/>
  <c r="J39" i="116"/>
  <c r="I39" i="116"/>
  <c r="I46" i="116" s="1"/>
  <c r="H39" i="116"/>
  <c r="H46" i="116" s="1"/>
  <c r="G39" i="116"/>
  <c r="F39" i="116"/>
  <c r="F46" i="116" s="1"/>
  <c r="E39" i="116"/>
  <c r="E46" i="116" s="1"/>
  <c r="D39" i="116"/>
  <c r="J38" i="116"/>
  <c r="I38" i="116"/>
  <c r="H38" i="116"/>
  <c r="G38" i="116"/>
  <c r="J36" i="116"/>
  <c r="I36" i="116"/>
  <c r="H36" i="116"/>
  <c r="G36" i="116"/>
  <c r="F36" i="116"/>
  <c r="F38" i="116" s="1"/>
  <c r="E36" i="116"/>
  <c r="E38" i="116" s="1"/>
  <c r="D36" i="116"/>
  <c r="D38" i="116" s="1"/>
  <c r="B22" i="116"/>
  <c r="I16" i="116"/>
  <c r="C11" i="116"/>
  <c r="C19" i="116" s="1"/>
  <c r="E19" i="116" s="1"/>
  <c r="C9" i="116"/>
  <c r="L8" i="116"/>
  <c r="C8" i="116"/>
  <c r="B4" i="116"/>
  <c r="D74" i="117"/>
  <c r="J68" i="117"/>
  <c r="I68" i="117"/>
  <c r="H68" i="117"/>
  <c r="F68" i="117"/>
  <c r="J55" i="117"/>
  <c r="I55" i="117"/>
  <c r="H55" i="117"/>
  <c r="G55" i="117"/>
  <c r="G68" i="117" s="1"/>
  <c r="F55" i="117"/>
  <c r="E55" i="117"/>
  <c r="E68" i="117" s="1"/>
  <c r="D55" i="117"/>
  <c r="D68" i="117" s="1"/>
  <c r="C53" i="117"/>
  <c r="C52" i="117"/>
  <c r="C51" i="117"/>
  <c r="C50" i="117"/>
  <c r="C49" i="117"/>
  <c r="C48" i="117"/>
  <c r="J46" i="117"/>
  <c r="I46" i="117"/>
  <c r="H46" i="117"/>
  <c r="J45" i="117"/>
  <c r="I45" i="117"/>
  <c r="H45" i="117"/>
  <c r="G45" i="117"/>
  <c r="F45" i="117"/>
  <c r="E45" i="117"/>
  <c r="D45" i="117"/>
  <c r="J44" i="117"/>
  <c r="I44" i="117"/>
  <c r="H44" i="117"/>
  <c r="G44" i="117"/>
  <c r="F44" i="117"/>
  <c r="E44" i="117"/>
  <c r="D44" i="117"/>
  <c r="J42" i="117"/>
  <c r="I42" i="117"/>
  <c r="H42" i="117"/>
  <c r="G42" i="117"/>
  <c r="F42" i="117"/>
  <c r="E42" i="117"/>
  <c r="D42" i="117"/>
  <c r="J41" i="117"/>
  <c r="I41" i="117"/>
  <c r="H41" i="117"/>
  <c r="G41" i="117"/>
  <c r="F41" i="117"/>
  <c r="E41" i="117"/>
  <c r="D41" i="117"/>
  <c r="J39" i="117"/>
  <c r="I39" i="117"/>
  <c r="H39" i="117"/>
  <c r="G39" i="117"/>
  <c r="F39" i="117"/>
  <c r="E39" i="117"/>
  <c r="D39" i="117"/>
  <c r="J38" i="117"/>
  <c r="I38" i="117"/>
  <c r="H38" i="117"/>
  <c r="E38" i="117"/>
  <c r="D38" i="117"/>
  <c r="J36" i="117"/>
  <c r="I36" i="117"/>
  <c r="H36" i="117"/>
  <c r="G36" i="117"/>
  <c r="G38" i="117" s="1"/>
  <c r="F36" i="117"/>
  <c r="F38" i="117" s="1"/>
  <c r="E36" i="117"/>
  <c r="D36" i="117"/>
  <c r="B22" i="117"/>
  <c r="C17" i="117"/>
  <c r="I16" i="117"/>
  <c r="C11" i="117"/>
  <c r="L8" i="117"/>
  <c r="C9" i="117"/>
  <c r="C8" i="117"/>
  <c r="B4" i="117"/>
  <c r="D74" i="118"/>
  <c r="J68" i="118"/>
  <c r="I68" i="118"/>
  <c r="H68" i="118"/>
  <c r="J55" i="118"/>
  <c r="I55" i="118"/>
  <c r="H55" i="118"/>
  <c r="G55" i="118"/>
  <c r="G68" i="118" s="1"/>
  <c r="F55" i="118"/>
  <c r="F68" i="118" s="1"/>
  <c r="E55" i="118"/>
  <c r="E68" i="118" s="1"/>
  <c r="D55" i="118"/>
  <c r="D68" i="118" s="1"/>
  <c r="C53" i="118"/>
  <c r="C52" i="118"/>
  <c r="C51" i="118"/>
  <c r="C50" i="118"/>
  <c r="C49" i="118"/>
  <c r="C48" i="118"/>
  <c r="J45" i="118"/>
  <c r="I45" i="118"/>
  <c r="H45" i="118"/>
  <c r="G45" i="118"/>
  <c r="F45" i="118"/>
  <c r="E45" i="118"/>
  <c r="D45" i="118"/>
  <c r="J44" i="118"/>
  <c r="I44" i="118"/>
  <c r="H44" i="118"/>
  <c r="G44" i="118"/>
  <c r="F44" i="118"/>
  <c r="E44" i="118"/>
  <c r="D44" i="118"/>
  <c r="J42" i="118"/>
  <c r="I42" i="118"/>
  <c r="H42" i="118"/>
  <c r="G42" i="118"/>
  <c r="F42" i="118"/>
  <c r="E42" i="118"/>
  <c r="D42" i="118"/>
  <c r="J41" i="118"/>
  <c r="I41" i="118"/>
  <c r="H41" i="118"/>
  <c r="G41" i="118"/>
  <c r="F41" i="118"/>
  <c r="E41" i="118"/>
  <c r="D41" i="118"/>
  <c r="J39" i="118"/>
  <c r="J46" i="118" s="1"/>
  <c r="I39" i="118"/>
  <c r="H39" i="118"/>
  <c r="H46" i="118" s="1"/>
  <c r="G39" i="118"/>
  <c r="G46" i="118" s="1"/>
  <c r="F39" i="118"/>
  <c r="E39" i="118"/>
  <c r="E46" i="118" s="1"/>
  <c r="D39" i="118"/>
  <c r="J38" i="118"/>
  <c r="I38" i="118"/>
  <c r="G38" i="118"/>
  <c r="J36" i="118"/>
  <c r="I36" i="118"/>
  <c r="H36" i="118"/>
  <c r="H38" i="118" s="1"/>
  <c r="G36" i="118"/>
  <c r="F36" i="118"/>
  <c r="F38" i="118" s="1"/>
  <c r="E36" i="118"/>
  <c r="E38" i="118" s="1"/>
  <c r="D36" i="118"/>
  <c r="D38" i="118" s="1"/>
  <c r="B22" i="118"/>
  <c r="C18" i="118"/>
  <c r="G18" i="118" s="1"/>
  <c r="I16" i="118"/>
  <c r="D16" i="118"/>
  <c r="C11" i="118"/>
  <c r="C9" i="118"/>
  <c r="L8" i="118"/>
  <c r="C8" i="118"/>
  <c r="B4" i="118"/>
  <c r="D74" i="119"/>
  <c r="J68" i="119"/>
  <c r="I68" i="119"/>
  <c r="H68" i="119"/>
  <c r="G68" i="119"/>
  <c r="E68" i="119"/>
  <c r="J55" i="119"/>
  <c r="I55" i="119"/>
  <c r="H55" i="119"/>
  <c r="G55" i="119"/>
  <c r="F55" i="119"/>
  <c r="F68" i="119" s="1"/>
  <c r="E55" i="119"/>
  <c r="D55" i="119"/>
  <c r="D68" i="119" s="1"/>
  <c r="C53" i="119"/>
  <c r="C52" i="119"/>
  <c r="C51" i="119"/>
  <c r="C50" i="119"/>
  <c r="C49" i="119"/>
  <c r="C48" i="119"/>
  <c r="J46" i="119"/>
  <c r="H46" i="119"/>
  <c r="J45" i="119"/>
  <c r="I45" i="119"/>
  <c r="H45" i="119"/>
  <c r="G45" i="119"/>
  <c r="G46" i="119" s="1"/>
  <c r="F45" i="119"/>
  <c r="E45" i="119"/>
  <c r="D45" i="119"/>
  <c r="J44" i="119"/>
  <c r="I44" i="119"/>
  <c r="H44" i="119"/>
  <c r="G44" i="119"/>
  <c r="F44" i="119"/>
  <c r="E44" i="119"/>
  <c r="D44" i="119"/>
  <c r="J42" i="119"/>
  <c r="I42" i="119"/>
  <c r="H42" i="119"/>
  <c r="G42" i="119"/>
  <c r="F42" i="119"/>
  <c r="E42" i="119"/>
  <c r="D42" i="119"/>
  <c r="J41" i="119"/>
  <c r="I41" i="119"/>
  <c r="H41" i="119"/>
  <c r="G41" i="119"/>
  <c r="F41" i="119"/>
  <c r="E41" i="119"/>
  <c r="D41" i="119"/>
  <c r="J39" i="119"/>
  <c r="I39" i="119"/>
  <c r="I46" i="119" s="1"/>
  <c r="H39" i="119"/>
  <c r="G39" i="119"/>
  <c r="F39" i="119"/>
  <c r="F46" i="119" s="1"/>
  <c r="E39" i="119"/>
  <c r="D39" i="119"/>
  <c r="J38" i="119"/>
  <c r="I38" i="119"/>
  <c r="H38" i="119"/>
  <c r="G38" i="119"/>
  <c r="F38" i="119"/>
  <c r="J36" i="119"/>
  <c r="I36" i="119"/>
  <c r="H36" i="119"/>
  <c r="G36" i="119"/>
  <c r="F36" i="119"/>
  <c r="E36" i="119"/>
  <c r="E38" i="119" s="1"/>
  <c r="D36" i="119"/>
  <c r="D38" i="119" s="1"/>
  <c r="B22" i="119"/>
  <c r="I16" i="119"/>
  <c r="C11" i="119"/>
  <c r="C15" i="119" s="1"/>
  <c r="L8" i="119"/>
  <c r="C9" i="119"/>
  <c r="C8" i="119"/>
  <c r="B4" i="119"/>
  <c r="D74" i="120"/>
  <c r="J68" i="120"/>
  <c r="I68" i="120"/>
  <c r="H68" i="120"/>
  <c r="G68" i="120"/>
  <c r="F68" i="120"/>
  <c r="J55" i="120"/>
  <c r="I55" i="120"/>
  <c r="H55" i="120"/>
  <c r="G55" i="120"/>
  <c r="F55" i="120"/>
  <c r="E55" i="120"/>
  <c r="E68" i="120" s="1"/>
  <c r="D55" i="120"/>
  <c r="D68" i="120" s="1"/>
  <c r="C53" i="120"/>
  <c r="C52" i="120"/>
  <c r="C51" i="120"/>
  <c r="C50" i="120"/>
  <c r="C49" i="120"/>
  <c r="C48" i="120"/>
  <c r="J45" i="120"/>
  <c r="J46" i="120" s="1"/>
  <c r="I45" i="120"/>
  <c r="H45" i="120"/>
  <c r="G45" i="120"/>
  <c r="F45" i="120"/>
  <c r="E45" i="120"/>
  <c r="D45" i="120"/>
  <c r="J44" i="120"/>
  <c r="I44" i="120"/>
  <c r="H44" i="120"/>
  <c r="G44" i="120"/>
  <c r="F44" i="120"/>
  <c r="E44" i="120"/>
  <c r="D44" i="120"/>
  <c r="J42" i="120"/>
  <c r="I42" i="120"/>
  <c r="H42" i="120"/>
  <c r="G42" i="120"/>
  <c r="F42" i="120"/>
  <c r="E42" i="120"/>
  <c r="D42" i="120"/>
  <c r="J41" i="120"/>
  <c r="I41" i="120"/>
  <c r="H41" i="120"/>
  <c r="G41" i="120"/>
  <c r="F41" i="120"/>
  <c r="E41" i="120"/>
  <c r="D41" i="120"/>
  <c r="J39" i="120"/>
  <c r="I39" i="120"/>
  <c r="I46" i="120" s="1"/>
  <c r="H39" i="120"/>
  <c r="G39" i="120"/>
  <c r="G46" i="120" s="1"/>
  <c r="F39" i="120"/>
  <c r="E39" i="120"/>
  <c r="D39" i="120"/>
  <c r="J38" i="120"/>
  <c r="I38" i="120"/>
  <c r="H38" i="120"/>
  <c r="G38" i="120"/>
  <c r="F38" i="120"/>
  <c r="J36" i="120"/>
  <c r="I36" i="120"/>
  <c r="H36" i="120"/>
  <c r="G36" i="120"/>
  <c r="F36" i="120"/>
  <c r="E36" i="120"/>
  <c r="E38" i="120" s="1"/>
  <c r="D36" i="120"/>
  <c r="D38" i="120" s="1"/>
  <c r="B22" i="120"/>
  <c r="D17" i="120"/>
  <c r="J16" i="120"/>
  <c r="I16" i="120"/>
  <c r="J14" i="120"/>
  <c r="C11" i="120"/>
  <c r="D19" i="120" s="1"/>
  <c r="C9" i="120"/>
  <c r="L8" i="120"/>
  <c r="C8" i="120"/>
  <c r="B4" i="120"/>
  <c r="D74" i="121"/>
  <c r="J68" i="121"/>
  <c r="I68" i="121"/>
  <c r="H68" i="121"/>
  <c r="G68" i="121"/>
  <c r="F68" i="121"/>
  <c r="E68" i="121"/>
  <c r="D68" i="121"/>
  <c r="J55" i="121"/>
  <c r="I55" i="121"/>
  <c r="H55" i="121"/>
  <c r="G55" i="121"/>
  <c r="F55" i="121"/>
  <c r="E55" i="121"/>
  <c r="D55" i="121"/>
  <c r="C53" i="121"/>
  <c r="C52" i="121"/>
  <c r="C51" i="121"/>
  <c r="C50" i="121"/>
  <c r="C49" i="121"/>
  <c r="C48" i="121"/>
  <c r="F46" i="121"/>
  <c r="J45" i="121"/>
  <c r="I45" i="121"/>
  <c r="H45" i="121"/>
  <c r="H46" i="121" s="1"/>
  <c r="G45" i="121"/>
  <c r="G46" i="121" s="1"/>
  <c r="F45" i="121"/>
  <c r="E45" i="121"/>
  <c r="D45" i="121"/>
  <c r="J44" i="121"/>
  <c r="I44" i="121"/>
  <c r="H44" i="121"/>
  <c r="G44" i="121"/>
  <c r="F44" i="121"/>
  <c r="E44" i="121"/>
  <c r="D44" i="121"/>
  <c r="J42" i="121"/>
  <c r="I42" i="121"/>
  <c r="H42" i="121"/>
  <c r="G42" i="121"/>
  <c r="F42" i="121"/>
  <c r="E42" i="121"/>
  <c r="D42" i="121"/>
  <c r="J41" i="121"/>
  <c r="I41" i="121"/>
  <c r="H41" i="121"/>
  <c r="G41" i="121"/>
  <c r="F41" i="121"/>
  <c r="E41" i="121"/>
  <c r="J39" i="121"/>
  <c r="J46" i="121" s="1"/>
  <c r="I39" i="121"/>
  <c r="I46" i="121" s="1"/>
  <c r="H39" i="121"/>
  <c r="G39" i="121"/>
  <c r="F39" i="121"/>
  <c r="E39" i="121"/>
  <c r="D39" i="121"/>
  <c r="D46" i="121" s="1"/>
  <c r="J38" i="121"/>
  <c r="I38" i="121"/>
  <c r="H38" i="121"/>
  <c r="G38" i="121"/>
  <c r="F38" i="121"/>
  <c r="E38" i="121"/>
  <c r="D38" i="121"/>
  <c r="J36" i="121"/>
  <c r="I36" i="121"/>
  <c r="H36" i="121"/>
  <c r="G36" i="121"/>
  <c r="F36" i="121"/>
  <c r="E36" i="121"/>
  <c r="D36" i="121"/>
  <c r="D41" i="121" s="1"/>
  <c r="B22" i="121"/>
  <c r="I16" i="121"/>
  <c r="C11" i="121"/>
  <c r="C9" i="121"/>
  <c r="L8" i="121" s="1"/>
  <c r="J14" i="121" s="1"/>
  <c r="C8" i="121"/>
  <c r="B4" i="121"/>
  <c r="D74" i="122"/>
  <c r="J68" i="122"/>
  <c r="I68" i="122"/>
  <c r="H68" i="122"/>
  <c r="G68" i="122"/>
  <c r="F68" i="122"/>
  <c r="J55" i="122"/>
  <c r="I55" i="122"/>
  <c r="H55" i="122"/>
  <c r="G55" i="122"/>
  <c r="F55" i="122"/>
  <c r="E55" i="122"/>
  <c r="E68" i="122" s="1"/>
  <c r="D55" i="122"/>
  <c r="D68" i="122" s="1"/>
  <c r="C53" i="122"/>
  <c r="C52" i="122"/>
  <c r="C51" i="122"/>
  <c r="C50" i="122"/>
  <c r="C49" i="122"/>
  <c r="C48" i="122"/>
  <c r="F46" i="122"/>
  <c r="J45" i="122"/>
  <c r="I45" i="122"/>
  <c r="H45" i="122"/>
  <c r="G45" i="122"/>
  <c r="F45" i="122"/>
  <c r="E45" i="122"/>
  <c r="D45" i="122"/>
  <c r="J44" i="122"/>
  <c r="I44" i="122"/>
  <c r="H44" i="122"/>
  <c r="G44" i="122"/>
  <c r="F44" i="122"/>
  <c r="E44" i="122"/>
  <c r="D44" i="122"/>
  <c r="J42" i="122"/>
  <c r="I42" i="122"/>
  <c r="H42" i="122"/>
  <c r="G42" i="122"/>
  <c r="F42" i="122"/>
  <c r="E42" i="122"/>
  <c r="D42" i="122"/>
  <c r="J41" i="122"/>
  <c r="I41" i="122"/>
  <c r="H41" i="122"/>
  <c r="G41" i="122"/>
  <c r="F41" i="122"/>
  <c r="E41" i="122"/>
  <c r="D41" i="122"/>
  <c r="J39" i="122"/>
  <c r="I39" i="122"/>
  <c r="I46" i="122" s="1"/>
  <c r="H39" i="122"/>
  <c r="H46" i="122" s="1"/>
  <c r="G39" i="122"/>
  <c r="G46" i="122" s="1"/>
  <c r="F39" i="122"/>
  <c r="E39" i="122"/>
  <c r="D39" i="122"/>
  <c r="J38" i="122"/>
  <c r="I38" i="122"/>
  <c r="H38" i="122"/>
  <c r="G38" i="122"/>
  <c r="F38" i="122"/>
  <c r="J36" i="122"/>
  <c r="I36" i="122"/>
  <c r="H36" i="122"/>
  <c r="G36" i="122"/>
  <c r="F36" i="122"/>
  <c r="E36" i="122"/>
  <c r="E38" i="122" s="1"/>
  <c r="D36" i="122"/>
  <c r="D38" i="122" s="1"/>
  <c r="B22" i="122"/>
  <c r="J16" i="122"/>
  <c r="I16" i="122"/>
  <c r="J14" i="122"/>
  <c r="C11" i="122"/>
  <c r="C9" i="122"/>
  <c r="L8" i="122"/>
  <c r="C8" i="122"/>
  <c r="B4" i="122"/>
  <c r="D74" i="123"/>
  <c r="J68" i="123"/>
  <c r="I68" i="123"/>
  <c r="H68" i="123"/>
  <c r="G68" i="123"/>
  <c r="F68" i="123"/>
  <c r="E68" i="123"/>
  <c r="J55" i="123"/>
  <c r="I55" i="123"/>
  <c r="H55" i="123"/>
  <c r="G55" i="123"/>
  <c r="F55" i="123"/>
  <c r="E55" i="123"/>
  <c r="D55" i="123"/>
  <c r="D68" i="123" s="1"/>
  <c r="C53" i="123"/>
  <c r="C52" i="123"/>
  <c r="C51" i="123"/>
  <c r="C50" i="123"/>
  <c r="C49" i="123"/>
  <c r="C48" i="123"/>
  <c r="J45" i="123"/>
  <c r="I45" i="123"/>
  <c r="H45" i="123"/>
  <c r="H46" i="123" s="1"/>
  <c r="G45" i="123"/>
  <c r="G46" i="123" s="1"/>
  <c r="F45" i="123"/>
  <c r="E45" i="123"/>
  <c r="D45" i="123"/>
  <c r="J44" i="123"/>
  <c r="I44" i="123"/>
  <c r="H44" i="123"/>
  <c r="G44" i="123"/>
  <c r="F44" i="123"/>
  <c r="E44" i="123"/>
  <c r="D44" i="123"/>
  <c r="J42" i="123"/>
  <c r="I42" i="123"/>
  <c r="H42" i="123"/>
  <c r="G42" i="123"/>
  <c r="F42" i="123"/>
  <c r="F46" i="123" s="1"/>
  <c r="E42" i="123"/>
  <c r="D42" i="123"/>
  <c r="J41" i="123"/>
  <c r="I41" i="123"/>
  <c r="H41" i="123"/>
  <c r="G41" i="123"/>
  <c r="F41" i="123"/>
  <c r="E41" i="123"/>
  <c r="D41" i="123"/>
  <c r="J39" i="123"/>
  <c r="J46" i="123" s="1"/>
  <c r="I39" i="123"/>
  <c r="I46" i="123" s="1"/>
  <c r="H39" i="123"/>
  <c r="G39" i="123"/>
  <c r="F39" i="123"/>
  <c r="E39" i="123"/>
  <c r="E46" i="123" s="1"/>
  <c r="D39" i="123"/>
  <c r="D46" i="123" s="1"/>
  <c r="J38" i="123"/>
  <c r="I38" i="123"/>
  <c r="H38" i="123"/>
  <c r="G38" i="123"/>
  <c r="F38" i="123"/>
  <c r="E38" i="123"/>
  <c r="D38" i="123"/>
  <c r="J36" i="123"/>
  <c r="I36" i="123"/>
  <c r="H36" i="123"/>
  <c r="G36" i="123"/>
  <c r="F36" i="123"/>
  <c r="E36" i="123"/>
  <c r="D36" i="123"/>
  <c r="B22" i="123"/>
  <c r="I16" i="123"/>
  <c r="C11" i="123"/>
  <c r="D19" i="123" s="1"/>
  <c r="L8" i="123"/>
  <c r="C9" i="123"/>
  <c r="C8" i="123"/>
  <c r="B4" i="123"/>
  <c r="D74" i="124"/>
  <c r="J68" i="124"/>
  <c r="I68" i="124"/>
  <c r="H68" i="124"/>
  <c r="G68" i="124"/>
  <c r="F68" i="124"/>
  <c r="E68" i="124"/>
  <c r="J55" i="124"/>
  <c r="I55" i="124"/>
  <c r="H55" i="124"/>
  <c r="G55" i="124"/>
  <c r="F55" i="124"/>
  <c r="E55" i="124"/>
  <c r="D55" i="124"/>
  <c r="D68" i="124" s="1"/>
  <c r="C53" i="124"/>
  <c r="C52" i="124"/>
  <c r="C51" i="124"/>
  <c r="C50" i="124"/>
  <c r="C49" i="124"/>
  <c r="C48" i="124"/>
  <c r="J46" i="124"/>
  <c r="I46" i="124"/>
  <c r="J45" i="124"/>
  <c r="I45" i="124"/>
  <c r="H45" i="124"/>
  <c r="G45" i="124"/>
  <c r="F45" i="124"/>
  <c r="E45" i="124"/>
  <c r="D45" i="124"/>
  <c r="J44" i="124"/>
  <c r="I44" i="124"/>
  <c r="H44" i="124"/>
  <c r="G44" i="124"/>
  <c r="F44" i="124"/>
  <c r="E44" i="124"/>
  <c r="D44" i="124"/>
  <c r="J42" i="124"/>
  <c r="I42" i="124"/>
  <c r="H42" i="124"/>
  <c r="G42" i="124"/>
  <c r="F42" i="124"/>
  <c r="E42" i="124"/>
  <c r="D42" i="124"/>
  <c r="J41" i="124"/>
  <c r="I41" i="124"/>
  <c r="H41" i="124"/>
  <c r="G41" i="124"/>
  <c r="F41" i="124"/>
  <c r="E41" i="124"/>
  <c r="D41" i="124"/>
  <c r="J39" i="124"/>
  <c r="I39" i="124"/>
  <c r="H39" i="124"/>
  <c r="H46" i="124" s="1"/>
  <c r="G39" i="124"/>
  <c r="F39" i="124"/>
  <c r="F46" i="124" s="1"/>
  <c r="E39" i="124"/>
  <c r="E46" i="124" s="1"/>
  <c r="D39" i="124"/>
  <c r="J38" i="124"/>
  <c r="I38" i="124"/>
  <c r="H38" i="124"/>
  <c r="G38" i="124"/>
  <c r="F38" i="124"/>
  <c r="E38" i="124"/>
  <c r="J36" i="124"/>
  <c r="I36" i="124"/>
  <c r="H36" i="124"/>
  <c r="G36" i="124"/>
  <c r="F36" i="124"/>
  <c r="E36" i="124"/>
  <c r="D36" i="124"/>
  <c r="D38" i="124" s="1"/>
  <c r="B22" i="124"/>
  <c r="I16" i="124"/>
  <c r="C11" i="124"/>
  <c r="L8" i="124"/>
  <c r="C9" i="124"/>
  <c r="C8" i="124"/>
  <c r="B4" i="124"/>
  <c r="D74" i="125"/>
  <c r="J68" i="125"/>
  <c r="I68" i="125"/>
  <c r="H68" i="125"/>
  <c r="G68" i="125"/>
  <c r="E68" i="125"/>
  <c r="J55" i="125"/>
  <c r="I55" i="125"/>
  <c r="H55" i="125"/>
  <c r="G55" i="125"/>
  <c r="F55" i="125"/>
  <c r="F68" i="125" s="1"/>
  <c r="E55" i="125"/>
  <c r="D55" i="125"/>
  <c r="D68" i="125" s="1"/>
  <c r="C53" i="125"/>
  <c r="C52" i="125"/>
  <c r="C51" i="125"/>
  <c r="C50" i="125"/>
  <c r="C49" i="125"/>
  <c r="C48" i="125"/>
  <c r="D46" i="125"/>
  <c r="J45" i="125"/>
  <c r="I45" i="125"/>
  <c r="H45" i="125"/>
  <c r="G45" i="125"/>
  <c r="F45" i="125"/>
  <c r="E45" i="125"/>
  <c r="D45" i="125"/>
  <c r="J44" i="125"/>
  <c r="I44" i="125"/>
  <c r="H44" i="125"/>
  <c r="G44" i="125"/>
  <c r="F44" i="125"/>
  <c r="E44" i="125"/>
  <c r="D44" i="125"/>
  <c r="J42" i="125"/>
  <c r="I42" i="125"/>
  <c r="H42" i="125"/>
  <c r="G42" i="125"/>
  <c r="F42" i="125"/>
  <c r="E42" i="125"/>
  <c r="D42" i="125"/>
  <c r="J41" i="125"/>
  <c r="I41" i="125"/>
  <c r="H41" i="125"/>
  <c r="G41" i="125"/>
  <c r="F41" i="125"/>
  <c r="E41" i="125"/>
  <c r="D41" i="125"/>
  <c r="J39" i="125"/>
  <c r="J46" i="125" s="1"/>
  <c r="I39" i="125"/>
  <c r="H39" i="125"/>
  <c r="H46" i="125" s="1"/>
  <c r="G39" i="125"/>
  <c r="G46" i="125" s="1"/>
  <c r="F39" i="125"/>
  <c r="F46" i="125" s="1"/>
  <c r="E39" i="125"/>
  <c r="D39" i="125"/>
  <c r="J38" i="125"/>
  <c r="I38" i="125"/>
  <c r="H38" i="125"/>
  <c r="G38" i="125"/>
  <c r="F38" i="125"/>
  <c r="D38" i="125"/>
  <c r="J36" i="125"/>
  <c r="I36" i="125"/>
  <c r="H36" i="125"/>
  <c r="G36" i="125"/>
  <c r="F36" i="125"/>
  <c r="E36" i="125"/>
  <c r="E38" i="125" s="1"/>
  <c r="D36" i="125"/>
  <c r="B22" i="125"/>
  <c r="I16" i="125"/>
  <c r="C11" i="125"/>
  <c r="D20" i="125" s="1"/>
  <c r="C9" i="125"/>
  <c r="L8" i="125" s="1"/>
  <c r="J16" i="125" s="1"/>
  <c r="C8" i="125"/>
  <c r="B4" i="125"/>
  <c r="D74" i="126"/>
  <c r="J68" i="126"/>
  <c r="I68" i="126"/>
  <c r="H68" i="126"/>
  <c r="G68" i="126"/>
  <c r="F68" i="126"/>
  <c r="J55" i="126"/>
  <c r="I55" i="126"/>
  <c r="H55" i="126"/>
  <c r="G55" i="126"/>
  <c r="F55" i="126"/>
  <c r="E55" i="126"/>
  <c r="E68" i="126" s="1"/>
  <c r="D55" i="126"/>
  <c r="D68" i="126" s="1"/>
  <c r="C53" i="126"/>
  <c r="C52" i="126"/>
  <c r="C51" i="126"/>
  <c r="C50" i="126"/>
  <c r="C49" i="126"/>
  <c r="C48" i="126"/>
  <c r="J45" i="126"/>
  <c r="I45" i="126"/>
  <c r="I46" i="126" s="1"/>
  <c r="H45" i="126"/>
  <c r="G45" i="126"/>
  <c r="F45" i="126"/>
  <c r="E45" i="126"/>
  <c r="D45" i="126"/>
  <c r="J44" i="126"/>
  <c r="I44" i="126"/>
  <c r="H44" i="126"/>
  <c r="G44" i="126"/>
  <c r="F44" i="126"/>
  <c r="E44" i="126"/>
  <c r="D44" i="126"/>
  <c r="J42" i="126"/>
  <c r="I42" i="126"/>
  <c r="H42" i="126"/>
  <c r="H46" i="126" s="1"/>
  <c r="G42" i="126"/>
  <c r="G46" i="126" s="1"/>
  <c r="F42" i="126"/>
  <c r="E42" i="126"/>
  <c r="D42" i="126"/>
  <c r="J41" i="126"/>
  <c r="I41" i="126"/>
  <c r="H41" i="126"/>
  <c r="G41" i="126"/>
  <c r="F41" i="126"/>
  <c r="E41" i="126"/>
  <c r="D41" i="126"/>
  <c r="J39" i="126"/>
  <c r="I39" i="126"/>
  <c r="H39" i="126"/>
  <c r="G39" i="126"/>
  <c r="F39" i="126"/>
  <c r="F46" i="126" s="1"/>
  <c r="E39" i="126"/>
  <c r="D39" i="126"/>
  <c r="D46" i="126" s="1"/>
  <c r="J38" i="126"/>
  <c r="I38" i="126"/>
  <c r="H38" i="126"/>
  <c r="G38" i="126"/>
  <c r="F38" i="126"/>
  <c r="J36" i="126"/>
  <c r="I36" i="126"/>
  <c r="H36" i="126"/>
  <c r="G36" i="126"/>
  <c r="F36" i="126"/>
  <c r="E36" i="126"/>
  <c r="E38" i="126" s="1"/>
  <c r="D36" i="126"/>
  <c r="D38" i="126" s="1"/>
  <c r="B22" i="126"/>
  <c r="I16" i="126"/>
  <c r="C11" i="126"/>
  <c r="L8" i="126"/>
  <c r="C9" i="126"/>
  <c r="C8" i="126"/>
  <c r="B4" i="126"/>
  <c r="D74" i="127"/>
  <c r="J68" i="127"/>
  <c r="I68" i="127"/>
  <c r="H68" i="127"/>
  <c r="G68" i="127"/>
  <c r="F68" i="127"/>
  <c r="J55" i="127"/>
  <c r="I55" i="127"/>
  <c r="H55" i="127"/>
  <c r="G55" i="127"/>
  <c r="F55" i="127"/>
  <c r="E55" i="127"/>
  <c r="E68" i="127" s="1"/>
  <c r="D55" i="127"/>
  <c r="D68" i="127" s="1"/>
  <c r="C53" i="127"/>
  <c r="C52" i="127"/>
  <c r="C51" i="127"/>
  <c r="C50" i="127"/>
  <c r="C49" i="127"/>
  <c r="C48" i="127"/>
  <c r="J46" i="127"/>
  <c r="F46" i="127"/>
  <c r="J45" i="127"/>
  <c r="I45" i="127"/>
  <c r="H45" i="127"/>
  <c r="G45" i="127"/>
  <c r="F45" i="127"/>
  <c r="E45" i="127"/>
  <c r="D45" i="127"/>
  <c r="D46" i="127" s="1"/>
  <c r="J44" i="127"/>
  <c r="I44" i="127"/>
  <c r="H44" i="127"/>
  <c r="G44" i="127"/>
  <c r="F44" i="127"/>
  <c r="E44" i="127"/>
  <c r="D44" i="127"/>
  <c r="J42" i="127"/>
  <c r="I42" i="127"/>
  <c r="H42" i="127"/>
  <c r="G42" i="127"/>
  <c r="F42" i="127"/>
  <c r="E42" i="127"/>
  <c r="D42" i="127"/>
  <c r="J41" i="127"/>
  <c r="I41" i="127"/>
  <c r="H41" i="127"/>
  <c r="G41" i="127"/>
  <c r="F41" i="127"/>
  <c r="E41" i="127"/>
  <c r="D41" i="127"/>
  <c r="J39" i="127"/>
  <c r="I39" i="127"/>
  <c r="H39" i="127"/>
  <c r="H46" i="127" s="1"/>
  <c r="G39" i="127"/>
  <c r="F39" i="127"/>
  <c r="E39" i="127"/>
  <c r="D39" i="127"/>
  <c r="J38" i="127"/>
  <c r="I38" i="127"/>
  <c r="H38" i="127"/>
  <c r="G38" i="127"/>
  <c r="F38" i="127"/>
  <c r="J36" i="127"/>
  <c r="I36" i="127"/>
  <c r="H36" i="127"/>
  <c r="G36" i="127"/>
  <c r="F36" i="127"/>
  <c r="E36" i="127"/>
  <c r="E38" i="127" s="1"/>
  <c r="D36" i="127"/>
  <c r="D38" i="127" s="1"/>
  <c r="B22" i="127"/>
  <c r="I16" i="127"/>
  <c r="K16" i="127" s="1"/>
  <c r="J14" i="127"/>
  <c r="C11" i="127"/>
  <c r="C17" i="127" s="1"/>
  <c r="C9" i="127"/>
  <c r="L8" i="127" s="1"/>
  <c r="J16" i="127" s="1"/>
  <c r="C8" i="127"/>
  <c r="B4" i="127"/>
  <c r="D74" i="128"/>
  <c r="J68" i="128"/>
  <c r="I68" i="128"/>
  <c r="H68" i="128"/>
  <c r="G68" i="128"/>
  <c r="F68" i="128"/>
  <c r="E68" i="128"/>
  <c r="J55" i="128"/>
  <c r="I55" i="128"/>
  <c r="H55" i="128"/>
  <c r="G55" i="128"/>
  <c r="F55" i="128"/>
  <c r="E55" i="128"/>
  <c r="D55" i="128"/>
  <c r="D68" i="128" s="1"/>
  <c r="C53" i="128"/>
  <c r="C52" i="128"/>
  <c r="C51" i="128"/>
  <c r="C50" i="128"/>
  <c r="C49" i="128"/>
  <c r="C48" i="128"/>
  <c r="E46" i="128"/>
  <c r="J45" i="128"/>
  <c r="I45" i="128"/>
  <c r="H45" i="128"/>
  <c r="H46" i="128" s="1"/>
  <c r="G45" i="128"/>
  <c r="G46" i="128" s="1"/>
  <c r="F45" i="128"/>
  <c r="E45" i="128"/>
  <c r="D45" i="128"/>
  <c r="J44" i="128"/>
  <c r="I44" i="128"/>
  <c r="H44" i="128"/>
  <c r="G44" i="128"/>
  <c r="F44" i="128"/>
  <c r="E44" i="128"/>
  <c r="D44" i="128"/>
  <c r="J42" i="128"/>
  <c r="I42" i="128"/>
  <c r="H42" i="128"/>
  <c r="G42" i="128"/>
  <c r="F42" i="128"/>
  <c r="E42" i="128"/>
  <c r="D42" i="128"/>
  <c r="J41" i="128"/>
  <c r="I41" i="128"/>
  <c r="H41" i="128"/>
  <c r="G41" i="128"/>
  <c r="F41" i="128"/>
  <c r="E41" i="128"/>
  <c r="D41" i="128"/>
  <c r="J39" i="128"/>
  <c r="J46" i="128" s="1"/>
  <c r="I39" i="128"/>
  <c r="I46" i="128" s="1"/>
  <c r="H39" i="128"/>
  <c r="G39" i="128"/>
  <c r="F39" i="128"/>
  <c r="E39" i="128"/>
  <c r="D39" i="128"/>
  <c r="J38" i="128"/>
  <c r="I38" i="128"/>
  <c r="H38" i="128"/>
  <c r="G38" i="128"/>
  <c r="F38" i="128"/>
  <c r="E38" i="128"/>
  <c r="J36" i="128"/>
  <c r="I36" i="128"/>
  <c r="H36" i="128"/>
  <c r="G36" i="128"/>
  <c r="F36" i="128"/>
  <c r="E36" i="128"/>
  <c r="D36" i="128"/>
  <c r="D38" i="128" s="1"/>
  <c r="B22" i="128"/>
  <c r="I16" i="128"/>
  <c r="C11" i="128"/>
  <c r="C15" i="128" s="1"/>
  <c r="L8" i="128"/>
  <c r="C9" i="128"/>
  <c r="C8" i="128"/>
  <c r="B4" i="128"/>
  <c r="D74" i="129"/>
  <c r="J68" i="129"/>
  <c r="I68" i="129"/>
  <c r="H68" i="129"/>
  <c r="G68" i="129"/>
  <c r="J55" i="129"/>
  <c r="I55" i="129"/>
  <c r="H55" i="129"/>
  <c r="G55" i="129"/>
  <c r="F55" i="129"/>
  <c r="F68" i="129" s="1"/>
  <c r="E55" i="129"/>
  <c r="E68" i="129" s="1"/>
  <c r="D55" i="129"/>
  <c r="D68" i="129" s="1"/>
  <c r="C53" i="129"/>
  <c r="C52" i="129"/>
  <c r="C51" i="129"/>
  <c r="C50" i="129"/>
  <c r="C49" i="129"/>
  <c r="C48" i="129"/>
  <c r="J45" i="129"/>
  <c r="J46" i="129" s="1"/>
  <c r="I45" i="129"/>
  <c r="H45" i="129"/>
  <c r="G45" i="129"/>
  <c r="F45" i="129"/>
  <c r="E45" i="129"/>
  <c r="D45" i="129"/>
  <c r="J44" i="129"/>
  <c r="I44" i="129"/>
  <c r="H44" i="129"/>
  <c r="G44" i="129"/>
  <c r="F44" i="129"/>
  <c r="E44" i="129"/>
  <c r="D44" i="129"/>
  <c r="J42" i="129"/>
  <c r="I42" i="129"/>
  <c r="H42" i="129"/>
  <c r="H46" i="129" s="1"/>
  <c r="G42" i="129"/>
  <c r="F42" i="129"/>
  <c r="E42" i="129"/>
  <c r="D42" i="129"/>
  <c r="J41" i="129"/>
  <c r="I41" i="129"/>
  <c r="H41" i="129"/>
  <c r="G41" i="129"/>
  <c r="F41" i="129"/>
  <c r="E41" i="129"/>
  <c r="D41" i="129"/>
  <c r="J39" i="129"/>
  <c r="I39" i="129"/>
  <c r="H39" i="129"/>
  <c r="G39" i="129"/>
  <c r="G46" i="129" s="1"/>
  <c r="F39" i="129"/>
  <c r="F46" i="129" s="1"/>
  <c r="E39" i="129"/>
  <c r="E46" i="129" s="1"/>
  <c r="D39" i="129"/>
  <c r="D46" i="129" s="1"/>
  <c r="J38" i="129"/>
  <c r="I38" i="129"/>
  <c r="H38" i="129"/>
  <c r="G38" i="129"/>
  <c r="J36" i="129"/>
  <c r="I36" i="129"/>
  <c r="H36" i="129"/>
  <c r="G36" i="129"/>
  <c r="F36" i="129"/>
  <c r="F38" i="129" s="1"/>
  <c r="E36" i="129"/>
  <c r="E38" i="129" s="1"/>
  <c r="D36" i="129"/>
  <c r="D38" i="129" s="1"/>
  <c r="B22" i="129"/>
  <c r="I16" i="129"/>
  <c r="C11" i="129"/>
  <c r="C15" i="129" s="1"/>
  <c r="C9" i="129"/>
  <c r="L8" i="129" s="1"/>
  <c r="J16" i="129" s="1"/>
  <c r="C8" i="129"/>
  <c r="B4" i="129"/>
  <c r="D74" i="130"/>
  <c r="J68" i="130"/>
  <c r="I68" i="130"/>
  <c r="H68" i="130"/>
  <c r="J55" i="130"/>
  <c r="I55" i="130"/>
  <c r="H55" i="130"/>
  <c r="G55" i="130"/>
  <c r="G68" i="130" s="1"/>
  <c r="F55" i="130"/>
  <c r="F68" i="130" s="1"/>
  <c r="E55" i="130"/>
  <c r="E68" i="130" s="1"/>
  <c r="D55" i="130"/>
  <c r="D68" i="130" s="1"/>
  <c r="C53" i="130"/>
  <c r="C52" i="130"/>
  <c r="C51" i="130"/>
  <c r="C50" i="130"/>
  <c r="C49" i="130"/>
  <c r="C48" i="130"/>
  <c r="J45" i="130"/>
  <c r="I45" i="130"/>
  <c r="H45" i="130"/>
  <c r="G45" i="130"/>
  <c r="F45" i="130"/>
  <c r="E45" i="130"/>
  <c r="D45" i="130"/>
  <c r="J44" i="130"/>
  <c r="I44" i="130"/>
  <c r="H44" i="130"/>
  <c r="G44" i="130"/>
  <c r="F44" i="130"/>
  <c r="E44" i="130"/>
  <c r="D44" i="130"/>
  <c r="J42" i="130"/>
  <c r="I42" i="130"/>
  <c r="H42" i="130"/>
  <c r="G42" i="130"/>
  <c r="F42" i="130"/>
  <c r="E42" i="130"/>
  <c r="D42" i="130"/>
  <c r="J41" i="130"/>
  <c r="I41" i="130"/>
  <c r="H41" i="130"/>
  <c r="G41" i="130"/>
  <c r="J39" i="130"/>
  <c r="I39" i="130"/>
  <c r="I46" i="130" s="1"/>
  <c r="H39" i="130"/>
  <c r="H46" i="130" s="1"/>
  <c r="G39" i="130"/>
  <c r="G46" i="130" s="1"/>
  <c r="F39" i="130"/>
  <c r="E39" i="130"/>
  <c r="D39" i="130"/>
  <c r="J38" i="130"/>
  <c r="I38" i="130"/>
  <c r="H38" i="130"/>
  <c r="G38" i="130"/>
  <c r="J36" i="130"/>
  <c r="I36" i="130"/>
  <c r="H36" i="130"/>
  <c r="G36" i="130"/>
  <c r="F36" i="130"/>
  <c r="F41" i="130" s="1"/>
  <c r="E36" i="130"/>
  <c r="E41" i="130" s="1"/>
  <c r="D36" i="130"/>
  <c r="D38" i="130" s="1"/>
  <c r="B22" i="130"/>
  <c r="I16" i="130"/>
  <c r="C11" i="130"/>
  <c r="C19" i="130" s="1"/>
  <c r="F19" i="130" s="1"/>
  <c r="C9" i="130"/>
  <c r="L8" i="130" s="1"/>
  <c r="C8" i="130"/>
  <c r="B4" i="130"/>
  <c r="D74" i="131"/>
  <c r="J68" i="131"/>
  <c r="I68" i="131"/>
  <c r="H68" i="131"/>
  <c r="G68" i="131"/>
  <c r="F68" i="131"/>
  <c r="E68" i="131"/>
  <c r="D68" i="131"/>
  <c r="J55" i="131"/>
  <c r="I55" i="131"/>
  <c r="H55" i="131"/>
  <c r="G55" i="131"/>
  <c r="F55" i="131"/>
  <c r="E55" i="131"/>
  <c r="D55" i="131"/>
  <c r="C53" i="131"/>
  <c r="C52" i="131"/>
  <c r="C51" i="131"/>
  <c r="C50" i="131"/>
  <c r="C49" i="131"/>
  <c r="C48" i="131"/>
  <c r="H46" i="131"/>
  <c r="J45" i="131"/>
  <c r="J46" i="131" s="1"/>
  <c r="I45" i="131"/>
  <c r="H45" i="131"/>
  <c r="G45" i="131"/>
  <c r="F45" i="131"/>
  <c r="E45" i="131"/>
  <c r="D45" i="131"/>
  <c r="J44" i="131"/>
  <c r="I44" i="131"/>
  <c r="H44" i="131"/>
  <c r="G44" i="131"/>
  <c r="F44" i="131"/>
  <c r="E44" i="131"/>
  <c r="D44" i="131"/>
  <c r="J42" i="131"/>
  <c r="I42" i="131"/>
  <c r="H42" i="131"/>
  <c r="G42" i="131"/>
  <c r="G46" i="131" s="1"/>
  <c r="F42" i="131"/>
  <c r="E42" i="131"/>
  <c r="D42" i="131"/>
  <c r="J41" i="131"/>
  <c r="I41" i="131"/>
  <c r="H41" i="131"/>
  <c r="G41" i="131"/>
  <c r="F41" i="131"/>
  <c r="E41" i="131"/>
  <c r="D41" i="131"/>
  <c r="J39" i="131"/>
  <c r="I39" i="131"/>
  <c r="I46" i="131" s="1"/>
  <c r="H39" i="131"/>
  <c r="G39" i="131"/>
  <c r="F39" i="131"/>
  <c r="F46" i="131" s="1"/>
  <c r="E39" i="131"/>
  <c r="E46" i="131" s="1"/>
  <c r="D39" i="131"/>
  <c r="D46" i="131" s="1"/>
  <c r="J38" i="131"/>
  <c r="I38" i="131"/>
  <c r="H38" i="131"/>
  <c r="G38" i="131"/>
  <c r="F38" i="131"/>
  <c r="E38" i="131"/>
  <c r="D38" i="131"/>
  <c r="J36" i="131"/>
  <c r="I36" i="131"/>
  <c r="H36" i="131"/>
  <c r="G36" i="131"/>
  <c r="F36" i="131"/>
  <c r="E36" i="131"/>
  <c r="D36" i="131"/>
  <c r="B22" i="131"/>
  <c r="I16" i="131"/>
  <c r="C11" i="131"/>
  <c r="C9" i="131"/>
  <c r="L8" i="131" s="1"/>
  <c r="C8" i="131"/>
  <c r="B4" i="131"/>
  <c r="D74" i="132"/>
  <c r="J68" i="132"/>
  <c r="I68" i="132"/>
  <c r="H68" i="132"/>
  <c r="G68" i="132"/>
  <c r="J55" i="132"/>
  <c r="I55" i="132"/>
  <c r="H55" i="132"/>
  <c r="G55" i="132"/>
  <c r="F55" i="132"/>
  <c r="F68" i="132" s="1"/>
  <c r="E55" i="132"/>
  <c r="E68" i="132" s="1"/>
  <c r="D55" i="132"/>
  <c r="D68" i="132" s="1"/>
  <c r="C53" i="132"/>
  <c r="C52" i="132"/>
  <c r="C51" i="132"/>
  <c r="C50" i="132"/>
  <c r="C49" i="132"/>
  <c r="C48" i="132"/>
  <c r="J45" i="132"/>
  <c r="I45" i="132"/>
  <c r="H45" i="132"/>
  <c r="G45" i="132"/>
  <c r="F45" i="132"/>
  <c r="E45" i="132"/>
  <c r="D45" i="132"/>
  <c r="J44" i="132"/>
  <c r="I44" i="132"/>
  <c r="H44" i="132"/>
  <c r="G44" i="132"/>
  <c r="F44" i="132"/>
  <c r="E44" i="132"/>
  <c r="D44" i="132"/>
  <c r="J42" i="132"/>
  <c r="J46" i="132" s="1"/>
  <c r="I42" i="132"/>
  <c r="H42" i="132"/>
  <c r="G42" i="132"/>
  <c r="F42" i="132"/>
  <c r="E42" i="132"/>
  <c r="D42" i="132"/>
  <c r="J41" i="132"/>
  <c r="I41" i="132"/>
  <c r="H41" i="132"/>
  <c r="G41" i="132"/>
  <c r="F41" i="132"/>
  <c r="E41" i="132"/>
  <c r="J39" i="132"/>
  <c r="I39" i="132"/>
  <c r="I46" i="132" s="1"/>
  <c r="H39" i="132"/>
  <c r="H46" i="132" s="1"/>
  <c r="G39" i="132"/>
  <c r="G46" i="132" s="1"/>
  <c r="F39" i="132"/>
  <c r="E39" i="132"/>
  <c r="D39" i="132"/>
  <c r="J38" i="132"/>
  <c r="I38" i="132"/>
  <c r="H38" i="132"/>
  <c r="G38" i="132"/>
  <c r="E38" i="132"/>
  <c r="D38" i="132"/>
  <c r="J36" i="132"/>
  <c r="I36" i="132"/>
  <c r="H36" i="132"/>
  <c r="G36" i="132"/>
  <c r="F36" i="132"/>
  <c r="F38" i="132" s="1"/>
  <c r="E36" i="132"/>
  <c r="D36" i="132"/>
  <c r="D41" i="132" s="1"/>
  <c r="B22" i="132"/>
  <c r="I16" i="132"/>
  <c r="C11" i="132"/>
  <c r="C20" i="132" s="1"/>
  <c r="C9" i="132"/>
  <c r="L8" i="132" s="1"/>
  <c r="J16" i="132" s="1"/>
  <c r="C8" i="132"/>
  <c r="B4" i="132"/>
  <c r="D74" i="133"/>
  <c r="J68" i="133"/>
  <c r="I68" i="133"/>
  <c r="H68" i="133"/>
  <c r="G68" i="133"/>
  <c r="F68" i="133"/>
  <c r="J55" i="133"/>
  <c r="I55" i="133"/>
  <c r="H55" i="133"/>
  <c r="G55" i="133"/>
  <c r="F55" i="133"/>
  <c r="E55" i="133"/>
  <c r="E68" i="133" s="1"/>
  <c r="D55" i="133"/>
  <c r="D68" i="133" s="1"/>
  <c r="C53" i="133"/>
  <c r="C52" i="133"/>
  <c r="C51" i="133"/>
  <c r="C50" i="133"/>
  <c r="C49" i="133"/>
  <c r="C48" i="133"/>
  <c r="H46" i="133"/>
  <c r="F46" i="133"/>
  <c r="J45" i="133"/>
  <c r="I45" i="133"/>
  <c r="H45" i="133"/>
  <c r="G45" i="133"/>
  <c r="F45" i="133"/>
  <c r="E45" i="133"/>
  <c r="D45" i="133"/>
  <c r="J44" i="133"/>
  <c r="I44" i="133"/>
  <c r="H44" i="133"/>
  <c r="G44" i="133"/>
  <c r="F44" i="133"/>
  <c r="E44" i="133"/>
  <c r="D44" i="133"/>
  <c r="J42" i="133"/>
  <c r="I42" i="133"/>
  <c r="H42" i="133"/>
  <c r="G42" i="133"/>
  <c r="F42" i="133"/>
  <c r="E42" i="133"/>
  <c r="D42" i="133"/>
  <c r="J41" i="133"/>
  <c r="I41" i="133"/>
  <c r="H41" i="133"/>
  <c r="G41" i="133"/>
  <c r="F41" i="133"/>
  <c r="E41" i="133"/>
  <c r="D41" i="133"/>
  <c r="J39" i="133"/>
  <c r="J46" i="133" s="1"/>
  <c r="I39" i="133"/>
  <c r="I46" i="133" s="1"/>
  <c r="H39" i="133"/>
  <c r="G39" i="133"/>
  <c r="G46" i="133" s="1"/>
  <c r="F39" i="133"/>
  <c r="E39" i="133"/>
  <c r="D39" i="133"/>
  <c r="D46" i="133" s="1"/>
  <c r="J38" i="133"/>
  <c r="I38" i="133"/>
  <c r="H38" i="133"/>
  <c r="G38" i="133"/>
  <c r="F38" i="133"/>
  <c r="J36" i="133"/>
  <c r="I36" i="133"/>
  <c r="H36" i="133"/>
  <c r="G36" i="133"/>
  <c r="F36" i="133"/>
  <c r="E36" i="133"/>
  <c r="E38" i="133" s="1"/>
  <c r="D36" i="133"/>
  <c r="D38" i="133" s="1"/>
  <c r="B22" i="133"/>
  <c r="I16" i="133"/>
  <c r="C11" i="133"/>
  <c r="C20" i="133" s="1"/>
  <c r="L8" i="133"/>
  <c r="C9" i="133"/>
  <c r="C8" i="133"/>
  <c r="B4" i="133"/>
  <c r="D74" i="134"/>
  <c r="J68" i="134"/>
  <c r="I68" i="134"/>
  <c r="H68" i="134"/>
  <c r="G68" i="134"/>
  <c r="F68" i="134"/>
  <c r="J55" i="134"/>
  <c r="I55" i="134"/>
  <c r="H55" i="134"/>
  <c r="G55" i="134"/>
  <c r="F55" i="134"/>
  <c r="E55" i="134"/>
  <c r="E68" i="134" s="1"/>
  <c r="D55" i="134"/>
  <c r="D68" i="134" s="1"/>
  <c r="C53" i="134"/>
  <c r="C52" i="134"/>
  <c r="C51" i="134"/>
  <c r="C50" i="134"/>
  <c r="C49" i="134"/>
  <c r="C48" i="134"/>
  <c r="G46" i="134"/>
  <c r="F46" i="134"/>
  <c r="J45" i="134"/>
  <c r="I45" i="134"/>
  <c r="H45" i="134"/>
  <c r="G45" i="134"/>
  <c r="F45" i="134"/>
  <c r="E45" i="134"/>
  <c r="D45" i="134"/>
  <c r="J44" i="134"/>
  <c r="I44" i="134"/>
  <c r="H44" i="134"/>
  <c r="G44" i="134"/>
  <c r="F44" i="134"/>
  <c r="E44" i="134"/>
  <c r="D44" i="134"/>
  <c r="J42" i="134"/>
  <c r="I42" i="134"/>
  <c r="H42" i="134"/>
  <c r="G42" i="134"/>
  <c r="F42" i="134"/>
  <c r="E42" i="134"/>
  <c r="D42" i="134"/>
  <c r="J41" i="134"/>
  <c r="I41" i="134"/>
  <c r="H41" i="134"/>
  <c r="G41" i="134"/>
  <c r="F41" i="134"/>
  <c r="E41" i="134"/>
  <c r="D41" i="134"/>
  <c r="J39" i="134"/>
  <c r="J46" i="134" s="1"/>
  <c r="I39" i="134"/>
  <c r="I46" i="134" s="1"/>
  <c r="H39" i="134"/>
  <c r="G39" i="134"/>
  <c r="F39" i="134"/>
  <c r="E39" i="134"/>
  <c r="D39" i="134"/>
  <c r="J38" i="134"/>
  <c r="I38" i="134"/>
  <c r="H38" i="134"/>
  <c r="G38" i="134"/>
  <c r="F38" i="134"/>
  <c r="J36" i="134"/>
  <c r="I36" i="134"/>
  <c r="H36" i="134"/>
  <c r="G36" i="134"/>
  <c r="F36" i="134"/>
  <c r="E36" i="134"/>
  <c r="E38" i="134" s="1"/>
  <c r="D36" i="134"/>
  <c r="D38" i="134" s="1"/>
  <c r="B22" i="134"/>
  <c r="C18" i="134"/>
  <c r="F18" i="134" s="1"/>
  <c r="I16" i="134"/>
  <c r="C11" i="134"/>
  <c r="C9" i="134"/>
  <c r="L8" i="134"/>
  <c r="C8" i="134"/>
  <c r="B4" i="134"/>
  <c r="D74" i="99"/>
  <c r="J68" i="99"/>
  <c r="I68" i="99"/>
  <c r="H68" i="99"/>
  <c r="G68" i="99"/>
  <c r="F68" i="99"/>
  <c r="D68" i="99"/>
  <c r="J55" i="99"/>
  <c r="I55" i="99"/>
  <c r="H55" i="99"/>
  <c r="G55" i="99"/>
  <c r="F55" i="99"/>
  <c r="E55" i="99"/>
  <c r="E68" i="99" s="1"/>
  <c r="D55" i="99"/>
  <c r="C53" i="99"/>
  <c r="C52" i="99"/>
  <c r="C51" i="99"/>
  <c r="C50" i="99"/>
  <c r="C49" i="99"/>
  <c r="C48" i="99"/>
  <c r="J45" i="99"/>
  <c r="I45" i="99"/>
  <c r="H45" i="99"/>
  <c r="G45" i="99"/>
  <c r="F45" i="99"/>
  <c r="E45" i="99"/>
  <c r="D45" i="99"/>
  <c r="J44" i="99"/>
  <c r="I44" i="99"/>
  <c r="H44" i="99"/>
  <c r="G44" i="99"/>
  <c r="F44" i="99"/>
  <c r="E44" i="99"/>
  <c r="D44" i="99"/>
  <c r="J42" i="99"/>
  <c r="I42" i="99"/>
  <c r="H42" i="99"/>
  <c r="G42" i="99"/>
  <c r="F42" i="99"/>
  <c r="E42" i="99"/>
  <c r="D42" i="99"/>
  <c r="J41" i="99"/>
  <c r="I41" i="99"/>
  <c r="H41" i="99"/>
  <c r="G41" i="99"/>
  <c r="F41" i="99"/>
  <c r="E41" i="99"/>
  <c r="D41" i="99"/>
  <c r="J39" i="99"/>
  <c r="J46" i="99" s="1"/>
  <c r="I39" i="99"/>
  <c r="I46" i="99" s="1"/>
  <c r="H39" i="99"/>
  <c r="H46" i="99" s="1"/>
  <c r="G39" i="99"/>
  <c r="G46" i="99" s="1"/>
  <c r="F39" i="99"/>
  <c r="F46" i="99" s="1"/>
  <c r="E39" i="99"/>
  <c r="D39" i="99"/>
  <c r="J38" i="99"/>
  <c r="I38" i="99"/>
  <c r="H38" i="99"/>
  <c r="F38" i="99"/>
  <c r="D38" i="99"/>
  <c r="J36" i="99"/>
  <c r="I36" i="99"/>
  <c r="H36" i="99"/>
  <c r="G36" i="99"/>
  <c r="G38" i="99" s="1"/>
  <c r="F36" i="99"/>
  <c r="E36" i="99"/>
  <c r="E38" i="99" s="1"/>
  <c r="D36" i="99"/>
  <c r="B22" i="99"/>
  <c r="I16" i="99"/>
  <c r="C11" i="99"/>
  <c r="C18" i="99" s="1"/>
  <c r="F18" i="99" s="1"/>
  <c r="C9" i="99"/>
  <c r="L8" i="99" s="1"/>
  <c r="C8" i="99"/>
  <c r="B4" i="99"/>
  <c r="I16" i="8"/>
  <c r="I14" i="134" l="1"/>
  <c r="D46" i="134"/>
  <c r="F46" i="132"/>
  <c r="E46" i="132"/>
  <c r="K16" i="132"/>
  <c r="E38" i="130"/>
  <c r="F38" i="130"/>
  <c r="D41" i="130"/>
  <c r="E46" i="130"/>
  <c r="E46" i="127"/>
  <c r="E46" i="126"/>
  <c r="E46" i="125"/>
  <c r="K16" i="125"/>
  <c r="D46" i="124"/>
  <c r="E46" i="122"/>
  <c r="K16" i="122"/>
  <c r="D46" i="122"/>
  <c r="K16" i="120"/>
  <c r="D46" i="120"/>
  <c r="E46" i="120"/>
  <c r="D46" i="118"/>
  <c r="F46" i="118"/>
  <c r="G46" i="117"/>
  <c r="D46" i="117"/>
  <c r="L16" i="111"/>
  <c r="D46" i="111"/>
  <c r="E46" i="111"/>
  <c r="L16" i="110"/>
  <c r="F46" i="109"/>
  <c r="D46" i="109"/>
  <c r="D46" i="108"/>
  <c r="E46" i="107"/>
  <c r="K16" i="107"/>
  <c r="D46" i="106"/>
  <c r="H46" i="106"/>
  <c r="E46" i="106"/>
  <c r="G46" i="106"/>
  <c r="L16" i="105"/>
  <c r="E46" i="105"/>
  <c r="D46" i="105"/>
  <c r="E46" i="104"/>
  <c r="D46" i="104"/>
  <c r="F46" i="104"/>
  <c r="H46" i="104"/>
  <c r="E38" i="104"/>
  <c r="D44" i="104"/>
  <c r="K16" i="104"/>
  <c r="E44" i="104"/>
  <c r="G46" i="104"/>
  <c r="D46" i="103"/>
  <c r="E46" i="103"/>
  <c r="L16" i="102"/>
  <c r="E46" i="101"/>
  <c r="F46" i="101"/>
  <c r="G46" i="101"/>
  <c r="D46" i="101"/>
  <c r="D46" i="100"/>
  <c r="E46" i="100"/>
  <c r="L16" i="125"/>
  <c r="L16" i="126"/>
  <c r="I14" i="129"/>
  <c r="I14" i="125"/>
  <c r="L16" i="130"/>
  <c r="I14" i="99"/>
  <c r="J14" i="113"/>
  <c r="J14" i="104"/>
  <c r="D46" i="116"/>
  <c r="I14" i="116"/>
  <c r="I14" i="114"/>
  <c r="L16" i="134"/>
  <c r="I14" i="107"/>
  <c r="I14" i="106"/>
  <c r="L16" i="115"/>
  <c r="I14" i="109"/>
  <c r="L16" i="104"/>
  <c r="I14" i="102"/>
  <c r="L16" i="113"/>
  <c r="I14" i="112"/>
  <c r="L16" i="99"/>
  <c r="L16" i="120"/>
  <c r="I14" i="111"/>
  <c r="L16" i="133"/>
  <c r="L16" i="116"/>
  <c r="L16" i="107"/>
  <c r="I14" i="105"/>
  <c r="D46" i="99"/>
  <c r="C19" i="99"/>
  <c r="G19" i="99" s="1"/>
  <c r="C16" i="99"/>
  <c r="G16" i="99" s="1"/>
  <c r="D46" i="114"/>
  <c r="D15" i="99"/>
  <c r="C15" i="130"/>
  <c r="C18" i="116"/>
  <c r="G18" i="116" s="1"/>
  <c r="D16" i="110"/>
  <c r="D16" i="105"/>
  <c r="D17" i="124"/>
  <c r="C18" i="122"/>
  <c r="D17" i="114"/>
  <c r="C17" i="110"/>
  <c r="G17" i="110" s="1"/>
  <c r="D19" i="107"/>
  <c r="C16" i="102"/>
  <c r="D17" i="122"/>
  <c r="D18" i="116"/>
  <c r="D18" i="99"/>
  <c r="D17" i="123"/>
  <c r="C15" i="122"/>
  <c r="D17" i="110"/>
  <c r="C17" i="105"/>
  <c r="C19" i="110"/>
  <c r="C15" i="107"/>
  <c r="D19" i="105"/>
  <c r="C19" i="104"/>
  <c r="D17" i="126"/>
  <c r="C16" i="122"/>
  <c r="G16" i="122" s="1"/>
  <c r="C16" i="116"/>
  <c r="D18" i="113"/>
  <c r="D16" i="107"/>
  <c r="D17" i="103"/>
  <c r="C18" i="102"/>
  <c r="D16" i="122"/>
  <c r="D16" i="116"/>
  <c r="C19" i="113"/>
  <c r="H19" i="113" s="1"/>
  <c r="C19" i="109"/>
  <c r="D18" i="134"/>
  <c r="D17" i="134"/>
  <c r="D15" i="134"/>
  <c r="C16" i="134"/>
  <c r="C19" i="134"/>
  <c r="G19" i="134" s="1"/>
  <c r="D16" i="134"/>
  <c r="C19" i="133"/>
  <c r="C17" i="133"/>
  <c r="D19" i="133"/>
  <c r="D17" i="133"/>
  <c r="C15" i="133"/>
  <c r="E15" i="133" s="1"/>
  <c r="G190" i="21" s="1"/>
  <c r="C18" i="133"/>
  <c r="D20" i="133"/>
  <c r="D15" i="133"/>
  <c r="D18" i="133"/>
  <c r="C16" i="133"/>
  <c r="D16" i="133"/>
  <c r="D15" i="132"/>
  <c r="D20" i="132"/>
  <c r="D17" i="132"/>
  <c r="D19" i="132"/>
  <c r="C16" i="132"/>
  <c r="C17" i="132"/>
  <c r="C15" i="132"/>
  <c r="C18" i="132"/>
  <c r="H18" i="132" s="1"/>
  <c r="D16" i="130"/>
  <c r="C17" i="130"/>
  <c r="D18" i="130"/>
  <c r="D19" i="130"/>
  <c r="D15" i="129"/>
  <c r="D19" i="129"/>
  <c r="C16" i="129"/>
  <c r="C20" i="129"/>
  <c r="C17" i="129"/>
  <c r="D20" i="129"/>
  <c r="C19" i="129"/>
  <c r="D17" i="129"/>
  <c r="C18" i="129"/>
  <c r="G18" i="129" s="1"/>
  <c r="D17" i="128"/>
  <c r="C18" i="128"/>
  <c r="G18" i="128" s="1"/>
  <c r="C17" i="125"/>
  <c r="C18" i="125"/>
  <c r="D18" i="125"/>
  <c r="C15" i="125"/>
  <c r="C19" i="125"/>
  <c r="F19" i="125" s="1"/>
  <c r="C16" i="125"/>
  <c r="E16" i="125" s="1"/>
  <c r="G151" i="21" s="1"/>
  <c r="D19" i="125"/>
  <c r="D16" i="125"/>
  <c r="D15" i="124"/>
  <c r="D16" i="123"/>
  <c r="C17" i="123"/>
  <c r="H17" i="123" s="1"/>
  <c r="C15" i="123"/>
  <c r="E15" i="123" s="1"/>
  <c r="C18" i="123"/>
  <c r="E18" i="123" s="1"/>
  <c r="D15" i="123"/>
  <c r="D18" i="123"/>
  <c r="C16" i="123"/>
  <c r="E16" i="123" s="1"/>
  <c r="D18" i="122"/>
  <c r="C19" i="122"/>
  <c r="C17" i="122"/>
  <c r="D19" i="122"/>
  <c r="D15" i="122"/>
  <c r="D15" i="121"/>
  <c r="C18" i="121"/>
  <c r="D19" i="121"/>
  <c r="C18" i="120"/>
  <c r="F18" i="120" s="1"/>
  <c r="D18" i="120"/>
  <c r="D15" i="120"/>
  <c r="C16" i="120"/>
  <c r="E16" i="120" s="1"/>
  <c r="C19" i="120"/>
  <c r="E19" i="120" s="1"/>
  <c r="D16" i="120"/>
  <c r="D18" i="118"/>
  <c r="E18" i="118"/>
  <c r="H18" i="118"/>
  <c r="C17" i="118"/>
  <c r="C19" i="118"/>
  <c r="G19" i="118" s="1"/>
  <c r="C15" i="118"/>
  <c r="D17" i="118"/>
  <c r="D19" i="118"/>
  <c r="D15" i="118"/>
  <c r="C16" i="118"/>
  <c r="D19" i="116"/>
  <c r="C19" i="115"/>
  <c r="D18" i="114"/>
  <c r="E18" i="114"/>
  <c r="C15" i="114"/>
  <c r="E15" i="114" s="1"/>
  <c r="D15" i="114"/>
  <c r="D19" i="113"/>
  <c r="C17" i="113"/>
  <c r="C15" i="113"/>
  <c r="D17" i="113"/>
  <c r="D15" i="113"/>
  <c r="C16" i="113"/>
  <c r="E16" i="113" s="1"/>
  <c r="D16" i="113"/>
  <c r="C18" i="113"/>
  <c r="C15" i="110"/>
  <c r="C18" i="110"/>
  <c r="D15" i="110"/>
  <c r="D18" i="110"/>
  <c r="C16" i="110"/>
  <c r="D19" i="109"/>
  <c r="D17" i="109"/>
  <c r="D15" i="109"/>
  <c r="C18" i="109"/>
  <c r="C16" i="109"/>
  <c r="D18" i="109"/>
  <c r="D16" i="109"/>
  <c r="C16" i="107"/>
  <c r="C18" i="107"/>
  <c r="E19" i="107"/>
  <c r="C17" i="107"/>
  <c r="D17" i="105"/>
  <c r="D18" i="105"/>
  <c r="C15" i="105"/>
  <c r="E15" i="105" s="1"/>
  <c r="E18" i="105"/>
  <c r="D15" i="105"/>
  <c r="D19" i="104"/>
  <c r="C16" i="104"/>
  <c r="C18" i="104"/>
  <c r="G18" i="104" s="1"/>
  <c r="D18" i="102"/>
  <c r="C15" i="102"/>
  <c r="D16" i="102"/>
  <c r="C17" i="102"/>
  <c r="D16" i="101"/>
  <c r="D18" i="101"/>
  <c r="C19" i="101"/>
  <c r="D19" i="101"/>
  <c r="D15" i="100"/>
  <c r="D17" i="100"/>
  <c r="D17" i="99"/>
  <c r="J14" i="128"/>
  <c r="J16" i="128"/>
  <c r="K16" i="128" s="1"/>
  <c r="E17" i="127"/>
  <c r="F17" i="127" s="1"/>
  <c r="J16" i="126"/>
  <c r="J14" i="126"/>
  <c r="E15" i="119"/>
  <c r="J16" i="130"/>
  <c r="J14" i="130"/>
  <c r="J16" i="131"/>
  <c r="K16" i="131" s="1"/>
  <c r="J14" i="131"/>
  <c r="J16" i="119"/>
  <c r="K16" i="119" s="1"/>
  <c r="J14" i="119"/>
  <c r="D18" i="131"/>
  <c r="D16" i="131"/>
  <c r="C18" i="131"/>
  <c r="C16" i="131"/>
  <c r="D19" i="131"/>
  <c r="C19" i="131"/>
  <c r="D17" i="131"/>
  <c r="D15" i="131"/>
  <c r="L16" i="124"/>
  <c r="I14" i="124"/>
  <c r="L16" i="100"/>
  <c r="I14" i="100"/>
  <c r="C17" i="131"/>
  <c r="D20" i="131"/>
  <c r="J46" i="130"/>
  <c r="D46" i="130"/>
  <c r="E15" i="129"/>
  <c r="K16" i="129"/>
  <c r="I14" i="127"/>
  <c r="I46" i="125"/>
  <c r="J14" i="118"/>
  <c r="J16" i="118"/>
  <c r="J16" i="114"/>
  <c r="J14" i="114"/>
  <c r="H18" i="99"/>
  <c r="E18" i="99"/>
  <c r="H16" i="129"/>
  <c r="G16" i="129"/>
  <c r="F16" i="129"/>
  <c r="H19" i="130"/>
  <c r="E19" i="130"/>
  <c r="G179" i="21" s="1"/>
  <c r="G19" i="130"/>
  <c r="E16" i="129"/>
  <c r="G171" i="21" s="1"/>
  <c r="G18" i="99"/>
  <c r="H17" i="133"/>
  <c r="E17" i="133"/>
  <c r="G192" i="21" s="1"/>
  <c r="G17" i="130"/>
  <c r="F17" i="130"/>
  <c r="E17" i="130"/>
  <c r="G177" i="21" s="1"/>
  <c r="C17" i="112"/>
  <c r="C15" i="112"/>
  <c r="D18" i="112"/>
  <c r="D16" i="112"/>
  <c r="C18" i="112"/>
  <c r="C16" i="112"/>
  <c r="D19" i="112"/>
  <c r="C19" i="112"/>
  <c r="D17" i="112"/>
  <c r="D15" i="112"/>
  <c r="E15" i="130"/>
  <c r="G175" i="21" s="1"/>
  <c r="H17" i="130"/>
  <c r="J14" i="129"/>
  <c r="H17" i="129"/>
  <c r="G17" i="129"/>
  <c r="F17" i="129"/>
  <c r="E17" i="129"/>
  <c r="G172" i="21" s="1"/>
  <c r="F17" i="125"/>
  <c r="E17" i="125"/>
  <c r="G152" i="21" s="1"/>
  <c r="G17" i="125"/>
  <c r="J14" i="101"/>
  <c r="J16" i="101"/>
  <c r="E18" i="134"/>
  <c r="G198" i="21" s="1"/>
  <c r="G18" i="134"/>
  <c r="H17" i="117"/>
  <c r="G17" i="117"/>
  <c r="F17" i="117"/>
  <c r="E17" i="117"/>
  <c r="J16" i="133"/>
  <c r="K16" i="133" s="1"/>
  <c r="J14" i="133"/>
  <c r="C19" i="127"/>
  <c r="J16" i="99"/>
  <c r="K16" i="99" s="1"/>
  <c r="J14" i="99"/>
  <c r="E46" i="133"/>
  <c r="D46" i="132"/>
  <c r="E19" i="99"/>
  <c r="E46" i="99"/>
  <c r="E46" i="134"/>
  <c r="F17" i="133"/>
  <c r="J14" i="132"/>
  <c r="L16" i="131"/>
  <c r="I14" i="131"/>
  <c r="C19" i="128"/>
  <c r="C20" i="128"/>
  <c r="C17" i="128"/>
  <c r="D16" i="128"/>
  <c r="D20" i="128"/>
  <c r="C16" i="128"/>
  <c r="D18" i="128"/>
  <c r="D15" i="128"/>
  <c r="C18" i="126"/>
  <c r="C16" i="126"/>
  <c r="D19" i="126"/>
  <c r="C19" i="126"/>
  <c r="D15" i="126"/>
  <c r="D20" i="126"/>
  <c r="C15" i="126"/>
  <c r="C20" i="126"/>
  <c r="D18" i="126"/>
  <c r="C17" i="126"/>
  <c r="J14" i="125"/>
  <c r="H17" i="125"/>
  <c r="L16" i="121"/>
  <c r="I14" i="121"/>
  <c r="K16" i="130"/>
  <c r="C20" i="131"/>
  <c r="J16" i="134"/>
  <c r="K16" i="134" s="1"/>
  <c r="J14" i="134"/>
  <c r="H18" i="134"/>
  <c r="F46" i="128"/>
  <c r="J16" i="123"/>
  <c r="K16" i="123" s="1"/>
  <c r="J14" i="123"/>
  <c r="G18" i="132"/>
  <c r="E18" i="132"/>
  <c r="G188" i="21" s="1"/>
  <c r="H46" i="134"/>
  <c r="I14" i="133"/>
  <c r="E16" i="133"/>
  <c r="G191" i="21" s="1"/>
  <c r="H191" i="21" s="1"/>
  <c r="I191" i="21" s="1"/>
  <c r="G17" i="133"/>
  <c r="F46" i="130"/>
  <c r="E18" i="129"/>
  <c r="G173" i="21" s="1"/>
  <c r="F18" i="128"/>
  <c r="E18" i="128"/>
  <c r="G168" i="21" s="1"/>
  <c r="L16" i="128"/>
  <c r="J46" i="126"/>
  <c r="H18" i="125"/>
  <c r="G18" i="125"/>
  <c r="F18" i="125"/>
  <c r="E18" i="125"/>
  <c r="G153" i="21" s="1"/>
  <c r="J16" i="121"/>
  <c r="K16" i="121" s="1"/>
  <c r="D17" i="127"/>
  <c r="D15" i="127"/>
  <c r="D18" i="127"/>
  <c r="D16" i="127"/>
  <c r="D20" i="127"/>
  <c r="C15" i="127"/>
  <c r="C20" i="127"/>
  <c r="D19" i="127"/>
  <c r="C16" i="127"/>
  <c r="C18" i="127"/>
  <c r="D19" i="119"/>
  <c r="C19" i="119"/>
  <c r="D17" i="119"/>
  <c r="C17" i="119"/>
  <c r="D16" i="119"/>
  <c r="C16" i="119"/>
  <c r="D18" i="119"/>
  <c r="D15" i="119"/>
  <c r="C18" i="119"/>
  <c r="E16" i="132"/>
  <c r="C15" i="131"/>
  <c r="I46" i="129"/>
  <c r="D46" i="128"/>
  <c r="E16" i="99"/>
  <c r="F19" i="99"/>
  <c r="E16" i="134"/>
  <c r="G196" i="21" s="1"/>
  <c r="G16" i="134"/>
  <c r="E19" i="133"/>
  <c r="G194" i="21" s="1"/>
  <c r="L16" i="132"/>
  <c r="C17" i="99"/>
  <c r="C15" i="99"/>
  <c r="D19" i="99"/>
  <c r="D16" i="99"/>
  <c r="H19" i="99"/>
  <c r="H19" i="134"/>
  <c r="G19" i="133"/>
  <c r="E15" i="132"/>
  <c r="G185" i="21" s="1"/>
  <c r="I14" i="130"/>
  <c r="E15" i="128"/>
  <c r="G165" i="21" s="1"/>
  <c r="D19" i="128"/>
  <c r="D16" i="126"/>
  <c r="J14" i="116"/>
  <c r="J16" i="116"/>
  <c r="K16" i="116" s="1"/>
  <c r="H18" i="113"/>
  <c r="G18" i="113"/>
  <c r="F18" i="113"/>
  <c r="E18" i="113"/>
  <c r="E15" i="110"/>
  <c r="I14" i="132"/>
  <c r="C19" i="132"/>
  <c r="C16" i="130"/>
  <c r="C18" i="130"/>
  <c r="H19" i="129"/>
  <c r="H18" i="123"/>
  <c r="G18" i="123"/>
  <c r="E18" i="120"/>
  <c r="H18" i="120"/>
  <c r="I14" i="119"/>
  <c r="L16" i="119"/>
  <c r="J16" i="105"/>
  <c r="J14" i="105"/>
  <c r="D19" i="134"/>
  <c r="D16" i="132"/>
  <c r="D18" i="132"/>
  <c r="D15" i="130"/>
  <c r="D17" i="130"/>
  <c r="J16" i="124"/>
  <c r="K16" i="124" s="1"/>
  <c r="J14" i="124"/>
  <c r="F18" i="123"/>
  <c r="L16" i="122"/>
  <c r="I14" i="122"/>
  <c r="C19" i="121"/>
  <c r="C15" i="121"/>
  <c r="D17" i="121"/>
  <c r="C17" i="121"/>
  <c r="D16" i="121"/>
  <c r="C16" i="121"/>
  <c r="G18" i="120"/>
  <c r="I46" i="118"/>
  <c r="I14" i="118"/>
  <c r="L16" i="118"/>
  <c r="J16" i="117"/>
  <c r="K16" i="117" s="1"/>
  <c r="J14" i="117"/>
  <c r="J16" i="100"/>
  <c r="J14" i="100"/>
  <c r="C20" i="130"/>
  <c r="G46" i="127"/>
  <c r="I14" i="126"/>
  <c r="C17" i="124"/>
  <c r="C15" i="124"/>
  <c r="D18" i="124"/>
  <c r="D16" i="124"/>
  <c r="C18" i="124"/>
  <c r="C16" i="124"/>
  <c r="D19" i="124"/>
  <c r="I14" i="123"/>
  <c r="L16" i="123"/>
  <c r="G18" i="122"/>
  <c r="F18" i="122"/>
  <c r="E18" i="122"/>
  <c r="J46" i="122"/>
  <c r="F46" i="120"/>
  <c r="D18" i="117"/>
  <c r="D16" i="117"/>
  <c r="C18" i="117"/>
  <c r="C16" i="117"/>
  <c r="D19" i="117"/>
  <c r="C19" i="117"/>
  <c r="D15" i="117"/>
  <c r="D17" i="117"/>
  <c r="C15" i="117"/>
  <c r="E16" i="116"/>
  <c r="G16" i="116" s="1"/>
  <c r="H16" i="116" s="1"/>
  <c r="H19" i="110"/>
  <c r="G19" i="110"/>
  <c r="F19" i="110"/>
  <c r="E19" i="110"/>
  <c r="D20" i="130"/>
  <c r="L16" i="129"/>
  <c r="L16" i="127"/>
  <c r="E15" i="125"/>
  <c r="H18" i="121"/>
  <c r="G18" i="121"/>
  <c r="F18" i="121"/>
  <c r="E18" i="121"/>
  <c r="E46" i="121"/>
  <c r="K16" i="118"/>
  <c r="L16" i="117"/>
  <c r="I14" i="117"/>
  <c r="C15" i="134"/>
  <c r="C17" i="134"/>
  <c r="D18" i="129"/>
  <c r="D16" i="129"/>
  <c r="E19" i="129"/>
  <c r="G174" i="21" s="1"/>
  <c r="I14" i="128"/>
  <c r="I46" i="127"/>
  <c r="K16" i="126"/>
  <c r="C19" i="124"/>
  <c r="G46" i="124"/>
  <c r="H18" i="122"/>
  <c r="D18" i="121"/>
  <c r="I14" i="120"/>
  <c r="H19" i="101"/>
  <c r="G19" i="101"/>
  <c r="F19" i="101"/>
  <c r="E19" i="101"/>
  <c r="E15" i="118"/>
  <c r="H18" i="116"/>
  <c r="C17" i="111"/>
  <c r="C15" i="111"/>
  <c r="C18" i="111"/>
  <c r="C16" i="111"/>
  <c r="D18" i="111"/>
  <c r="D15" i="111"/>
  <c r="D19" i="111"/>
  <c r="D17" i="111"/>
  <c r="L16" i="106"/>
  <c r="I14" i="104"/>
  <c r="H17" i="102"/>
  <c r="G17" i="102"/>
  <c r="F17" i="102"/>
  <c r="E17" i="102"/>
  <c r="L16" i="101"/>
  <c r="I14" i="101"/>
  <c r="F19" i="122"/>
  <c r="H46" i="120"/>
  <c r="D46" i="119"/>
  <c r="H19" i="115"/>
  <c r="G19" i="115"/>
  <c r="F19" i="115"/>
  <c r="E19" i="115"/>
  <c r="I46" i="115"/>
  <c r="D46" i="110"/>
  <c r="F46" i="110"/>
  <c r="F46" i="108"/>
  <c r="C17" i="103"/>
  <c r="C15" i="103"/>
  <c r="D18" i="103"/>
  <c r="D16" i="103"/>
  <c r="C18" i="103"/>
  <c r="C16" i="103"/>
  <c r="D19" i="103"/>
  <c r="C19" i="103"/>
  <c r="D15" i="125"/>
  <c r="D17" i="125"/>
  <c r="E46" i="119"/>
  <c r="H19" i="116"/>
  <c r="G19" i="116"/>
  <c r="F19" i="116"/>
  <c r="J16" i="115"/>
  <c r="K16" i="115" s="1"/>
  <c r="J14" i="115"/>
  <c r="K16" i="114"/>
  <c r="C19" i="111"/>
  <c r="J16" i="110"/>
  <c r="K16" i="110" s="1"/>
  <c r="J14" i="110"/>
  <c r="C20" i="125"/>
  <c r="C19" i="123"/>
  <c r="F19" i="118"/>
  <c r="E46" i="117"/>
  <c r="J46" i="116"/>
  <c r="D17" i="115"/>
  <c r="D15" i="115"/>
  <c r="C17" i="115"/>
  <c r="C15" i="115"/>
  <c r="D18" i="115"/>
  <c r="D16" i="115"/>
  <c r="C18" i="115"/>
  <c r="C16" i="115"/>
  <c r="D19" i="115"/>
  <c r="H18" i="114"/>
  <c r="G18" i="114"/>
  <c r="L16" i="114"/>
  <c r="I46" i="113"/>
  <c r="I46" i="112"/>
  <c r="L16" i="112"/>
  <c r="D16" i="111"/>
  <c r="D15" i="103"/>
  <c r="C17" i="120"/>
  <c r="C15" i="120"/>
  <c r="F46" i="117"/>
  <c r="H17" i="114"/>
  <c r="G17" i="114"/>
  <c r="F17" i="114"/>
  <c r="E17" i="114"/>
  <c r="J46" i="113"/>
  <c r="J16" i="112"/>
  <c r="K16" i="112" s="1"/>
  <c r="J14" i="112"/>
  <c r="I14" i="110"/>
  <c r="K16" i="101"/>
  <c r="K16" i="100"/>
  <c r="C15" i="116"/>
  <c r="C17" i="116"/>
  <c r="J14" i="111"/>
  <c r="H17" i="110"/>
  <c r="F17" i="110"/>
  <c r="E17" i="110"/>
  <c r="H19" i="109"/>
  <c r="G19" i="109"/>
  <c r="F19" i="109"/>
  <c r="E19" i="109"/>
  <c r="L16" i="109"/>
  <c r="G46" i="108"/>
  <c r="L16" i="108"/>
  <c r="I14" i="108"/>
  <c r="C19" i="106"/>
  <c r="I46" i="106"/>
  <c r="F46" i="105"/>
  <c r="H18" i="104"/>
  <c r="E15" i="102"/>
  <c r="H18" i="102"/>
  <c r="G18" i="102"/>
  <c r="F18" i="102"/>
  <c r="D46" i="102"/>
  <c r="J46" i="101"/>
  <c r="D18" i="100"/>
  <c r="D16" i="100"/>
  <c r="C18" i="100"/>
  <c r="C16" i="100"/>
  <c r="D19" i="100"/>
  <c r="C19" i="100"/>
  <c r="C17" i="100"/>
  <c r="D15" i="116"/>
  <c r="D17" i="116"/>
  <c r="E46" i="110"/>
  <c r="H46" i="109"/>
  <c r="J16" i="106"/>
  <c r="K16" i="106" s="1"/>
  <c r="J14" i="106"/>
  <c r="K16" i="105"/>
  <c r="H19" i="104"/>
  <c r="G19" i="104"/>
  <c r="F19" i="104"/>
  <c r="F46" i="103"/>
  <c r="H16" i="102"/>
  <c r="G16" i="102"/>
  <c r="F16" i="102"/>
  <c r="E46" i="102"/>
  <c r="C19" i="114"/>
  <c r="F46" i="111"/>
  <c r="J16" i="108"/>
  <c r="K16" i="108" s="1"/>
  <c r="J14" i="108"/>
  <c r="H16" i="107"/>
  <c r="G16" i="107"/>
  <c r="F16" i="107"/>
  <c r="E16" i="107"/>
  <c r="D17" i="106"/>
  <c r="D15" i="106"/>
  <c r="C17" i="106"/>
  <c r="C15" i="106"/>
  <c r="D18" i="106"/>
  <c r="D16" i="106"/>
  <c r="C18" i="106"/>
  <c r="C16" i="106"/>
  <c r="D19" i="106"/>
  <c r="H18" i="105"/>
  <c r="G18" i="105"/>
  <c r="H16" i="104"/>
  <c r="G16" i="104"/>
  <c r="F16" i="104"/>
  <c r="E16" i="104"/>
  <c r="L16" i="103"/>
  <c r="I14" i="103"/>
  <c r="E18" i="102"/>
  <c r="F18" i="118"/>
  <c r="D19" i="114"/>
  <c r="E15" i="113"/>
  <c r="F15" i="113" s="1"/>
  <c r="E17" i="113"/>
  <c r="K16" i="111"/>
  <c r="H18" i="110"/>
  <c r="G18" i="110"/>
  <c r="J46" i="109"/>
  <c r="D18" i="108"/>
  <c r="D16" i="108"/>
  <c r="C18" i="108"/>
  <c r="C16" i="108"/>
  <c r="D19" i="108"/>
  <c r="C19" i="108"/>
  <c r="C17" i="108"/>
  <c r="H18" i="107"/>
  <c r="G18" i="107"/>
  <c r="F18" i="107"/>
  <c r="E18" i="107"/>
  <c r="H17" i="105"/>
  <c r="G17" i="105"/>
  <c r="F17" i="105"/>
  <c r="E17" i="105"/>
  <c r="E19" i="104"/>
  <c r="I46" i="104"/>
  <c r="H46" i="103"/>
  <c r="J16" i="102"/>
  <c r="K16" i="102" s="1"/>
  <c r="J14" i="102"/>
  <c r="E16" i="102"/>
  <c r="E15" i="100"/>
  <c r="C16" i="114"/>
  <c r="H46" i="111"/>
  <c r="C15" i="108"/>
  <c r="D17" i="108"/>
  <c r="H19" i="107"/>
  <c r="G19" i="107"/>
  <c r="D46" i="107"/>
  <c r="J16" i="103"/>
  <c r="K16" i="103" s="1"/>
  <c r="J14" i="103"/>
  <c r="F46" i="100"/>
  <c r="D16" i="104"/>
  <c r="D18" i="104"/>
  <c r="D15" i="102"/>
  <c r="D17" i="102"/>
  <c r="C16" i="101"/>
  <c r="C18" i="101"/>
  <c r="D15" i="107"/>
  <c r="D17" i="107"/>
  <c r="C15" i="104"/>
  <c r="C17" i="104"/>
  <c r="C15" i="109"/>
  <c r="E16" i="109"/>
  <c r="C17" i="109"/>
  <c r="E15" i="107"/>
  <c r="F15" i="107" s="1"/>
  <c r="E17" i="107"/>
  <c r="C19" i="105"/>
  <c r="D15" i="104"/>
  <c r="D17" i="104"/>
  <c r="C15" i="101"/>
  <c r="C17" i="101"/>
  <c r="C19" i="102"/>
  <c r="D15" i="101"/>
  <c r="D17" i="101"/>
  <c r="C16" i="105"/>
  <c r="F16" i="133" l="1"/>
  <c r="H165" i="21"/>
  <c r="I165" i="21" s="1"/>
  <c r="G15" i="123"/>
  <c r="H15" i="123" s="1"/>
  <c r="F15" i="100"/>
  <c r="H190" i="21"/>
  <c r="I190" i="21" s="1"/>
  <c r="J190" i="21" s="1"/>
  <c r="G15" i="105"/>
  <c r="H15" i="105" s="1"/>
  <c r="H185" i="21"/>
  <c r="I185" i="21" s="1"/>
  <c r="H175" i="21"/>
  <c r="I175" i="21" s="1"/>
  <c r="G15" i="110"/>
  <c r="H15" i="110" s="1"/>
  <c r="G16" i="132"/>
  <c r="G186" i="21"/>
  <c r="H186" i="21" s="1"/>
  <c r="I186" i="21" s="1"/>
  <c r="G15" i="125"/>
  <c r="G150" i="21"/>
  <c r="H150" i="21" s="1"/>
  <c r="I150" i="21" s="1"/>
  <c r="J150" i="21" s="1"/>
  <c r="G15" i="129"/>
  <c r="H15" i="129" s="1"/>
  <c r="H20" i="129" s="1"/>
  <c r="G170" i="21"/>
  <c r="H170" i="21" s="1"/>
  <c r="I170" i="21" s="1"/>
  <c r="J170" i="21" s="1"/>
  <c r="G17" i="127"/>
  <c r="H17" i="127" s="1"/>
  <c r="G162" i="21"/>
  <c r="H162" i="21" s="1"/>
  <c r="I162" i="21" s="1"/>
  <c r="F16" i="99"/>
  <c r="H16" i="99"/>
  <c r="E17" i="123"/>
  <c r="G19" i="125"/>
  <c r="H18" i="129"/>
  <c r="F17" i="123"/>
  <c r="H19" i="125"/>
  <c r="F19" i="134"/>
  <c r="H16" i="132"/>
  <c r="E19" i="134"/>
  <c r="G199" i="21" s="1"/>
  <c r="G17" i="123"/>
  <c r="F16" i="116"/>
  <c r="E16" i="110"/>
  <c r="G16" i="110" s="1"/>
  <c r="H16" i="110" s="1"/>
  <c r="F16" i="132"/>
  <c r="H16" i="122"/>
  <c r="E19" i="113"/>
  <c r="E15" i="122"/>
  <c r="G15" i="122" s="1"/>
  <c r="H15" i="122" s="1"/>
  <c r="E16" i="122"/>
  <c r="F19" i="113"/>
  <c r="E18" i="104"/>
  <c r="E18" i="116"/>
  <c r="F18" i="104"/>
  <c r="F18" i="116"/>
  <c r="F16" i="122"/>
  <c r="G19" i="113"/>
  <c r="E19" i="125"/>
  <c r="G154" i="21" s="1"/>
  <c r="H16" i="134"/>
  <c r="F16" i="134"/>
  <c r="G18" i="133"/>
  <c r="H18" i="133"/>
  <c r="F18" i="133"/>
  <c r="E18" i="133"/>
  <c r="F15" i="133"/>
  <c r="G16" i="133"/>
  <c r="H16" i="133" s="1"/>
  <c r="G15" i="133"/>
  <c r="H15" i="133" s="1"/>
  <c r="F19" i="133"/>
  <c r="H19" i="133"/>
  <c r="E17" i="132"/>
  <c r="G187" i="21" s="1"/>
  <c r="H17" i="132"/>
  <c r="F17" i="132"/>
  <c r="G17" i="132"/>
  <c r="F18" i="132"/>
  <c r="G15" i="130"/>
  <c r="H15" i="130" s="1"/>
  <c r="F19" i="129"/>
  <c r="G19" i="129"/>
  <c r="F18" i="129"/>
  <c r="F15" i="129"/>
  <c r="H18" i="128"/>
  <c r="G16" i="125"/>
  <c r="F15" i="125"/>
  <c r="F16" i="125"/>
  <c r="H16" i="125"/>
  <c r="F16" i="123"/>
  <c r="G16" i="123"/>
  <c r="H16" i="123" s="1"/>
  <c r="E17" i="122"/>
  <c r="F17" i="122"/>
  <c r="H17" i="122"/>
  <c r="G17" i="122"/>
  <c r="H19" i="122"/>
  <c r="E19" i="122"/>
  <c r="G19" i="122"/>
  <c r="F16" i="120"/>
  <c r="G16" i="120"/>
  <c r="G19" i="120"/>
  <c r="H19" i="120"/>
  <c r="F19" i="120"/>
  <c r="H16" i="120"/>
  <c r="F15" i="119"/>
  <c r="E17" i="118"/>
  <c r="F17" i="118" s="1"/>
  <c r="E19" i="118"/>
  <c r="E16" i="118"/>
  <c r="G16" i="118" s="1"/>
  <c r="H16" i="118" s="1"/>
  <c r="H19" i="118"/>
  <c r="G16" i="113"/>
  <c r="H16" i="113" s="1"/>
  <c r="F16" i="113"/>
  <c r="F17" i="113"/>
  <c r="H17" i="113"/>
  <c r="G17" i="113"/>
  <c r="E18" i="110"/>
  <c r="F18" i="110"/>
  <c r="G16" i="109"/>
  <c r="F16" i="109"/>
  <c r="H16" i="109"/>
  <c r="G18" i="109"/>
  <c r="H18" i="109"/>
  <c r="F18" i="109"/>
  <c r="E18" i="109"/>
  <c r="G17" i="107"/>
  <c r="F17" i="107"/>
  <c r="F20" i="107" s="1"/>
  <c r="H17" i="107"/>
  <c r="H19" i="102"/>
  <c r="F19" i="102"/>
  <c r="E19" i="102"/>
  <c r="G19" i="102"/>
  <c r="E19" i="105"/>
  <c r="H19" i="105"/>
  <c r="G19" i="105"/>
  <c r="F19" i="105"/>
  <c r="H17" i="106"/>
  <c r="F17" i="106"/>
  <c r="E17" i="106"/>
  <c r="G17" i="106"/>
  <c r="E15" i="120"/>
  <c r="G15" i="120" s="1"/>
  <c r="H15" i="120" s="1"/>
  <c r="G19" i="103"/>
  <c r="F19" i="103"/>
  <c r="E19" i="103"/>
  <c r="H19" i="103"/>
  <c r="H17" i="111"/>
  <c r="G17" i="111"/>
  <c r="F17" i="111"/>
  <c r="E17" i="111"/>
  <c r="G19" i="124"/>
  <c r="F19" i="124"/>
  <c r="E19" i="124"/>
  <c r="H19" i="124"/>
  <c r="H18" i="117"/>
  <c r="F18" i="117"/>
  <c r="E18" i="117"/>
  <c r="G18" i="117"/>
  <c r="H17" i="124"/>
  <c r="E17" i="124"/>
  <c r="G17" i="124"/>
  <c r="F17" i="124"/>
  <c r="E16" i="121"/>
  <c r="F16" i="121" s="1"/>
  <c r="E15" i="127"/>
  <c r="G160" i="21" s="1"/>
  <c r="H160" i="21" s="1"/>
  <c r="I160" i="21" s="1"/>
  <c r="E19" i="126"/>
  <c r="G159" i="21" s="1"/>
  <c r="H19" i="126"/>
  <c r="G19" i="126"/>
  <c r="F19" i="126"/>
  <c r="H19" i="112"/>
  <c r="G19" i="112"/>
  <c r="F19" i="112"/>
  <c r="E19" i="112"/>
  <c r="E15" i="112"/>
  <c r="F15" i="112" s="1"/>
  <c r="F18" i="131"/>
  <c r="H18" i="131"/>
  <c r="G18" i="131"/>
  <c r="E18" i="131"/>
  <c r="G183" i="21" s="1"/>
  <c r="E17" i="109"/>
  <c r="H17" i="109"/>
  <c r="G17" i="109"/>
  <c r="F17" i="109"/>
  <c r="E15" i="103"/>
  <c r="G15" i="103" s="1"/>
  <c r="H15" i="103" s="1"/>
  <c r="F15" i="118"/>
  <c r="H19" i="121"/>
  <c r="E19" i="121"/>
  <c r="F19" i="121"/>
  <c r="G19" i="121"/>
  <c r="E15" i="109"/>
  <c r="G15" i="109" s="1"/>
  <c r="H15" i="109" s="1"/>
  <c r="H18" i="108"/>
  <c r="G18" i="108"/>
  <c r="F18" i="108"/>
  <c r="E18" i="108"/>
  <c r="H16" i="100"/>
  <c r="E16" i="100"/>
  <c r="G16" i="100"/>
  <c r="F16" i="100"/>
  <c r="H17" i="120"/>
  <c r="G17" i="120"/>
  <c r="F17" i="120"/>
  <c r="E17" i="120"/>
  <c r="G19" i="111"/>
  <c r="E19" i="111"/>
  <c r="H19" i="111"/>
  <c r="F19" i="111"/>
  <c r="G15" i="118"/>
  <c r="H15" i="118" s="1"/>
  <c r="H17" i="126"/>
  <c r="G17" i="126"/>
  <c r="F17" i="126"/>
  <c r="E17" i="126"/>
  <c r="G157" i="21" s="1"/>
  <c r="H17" i="112"/>
  <c r="G17" i="112"/>
  <c r="E17" i="112"/>
  <c r="F17" i="112"/>
  <c r="H16" i="126"/>
  <c r="G16" i="126"/>
  <c r="F16" i="126"/>
  <c r="E16" i="126"/>
  <c r="G156" i="21" s="1"/>
  <c r="G17" i="128"/>
  <c r="E17" i="128"/>
  <c r="G167" i="21" s="1"/>
  <c r="F17" i="128"/>
  <c r="H17" i="128"/>
  <c r="H19" i="127"/>
  <c r="G19" i="127"/>
  <c r="F19" i="127"/>
  <c r="E19" i="127"/>
  <c r="G164" i="21" s="1"/>
  <c r="E17" i="101"/>
  <c r="H17" i="101"/>
  <c r="G17" i="101"/>
  <c r="F17" i="101"/>
  <c r="E15" i="115"/>
  <c r="G15" i="115" s="1"/>
  <c r="H15" i="115" s="1"/>
  <c r="F17" i="121"/>
  <c r="E17" i="121"/>
  <c r="H17" i="121"/>
  <c r="G17" i="121"/>
  <c r="F15" i="128"/>
  <c r="H19" i="119"/>
  <c r="G19" i="119"/>
  <c r="F19" i="119"/>
  <c r="E19" i="119"/>
  <c r="E15" i="101"/>
  <c r="G15" i="101" s="1"/>
  <c r="H15" i="101" s="1"/>
  <c r="E20" i="107"/>
  <c r="K14" i="107" s="1"/>
  <c r="L14" i="107" s="1"/>
  <c r="G18" i="101"/>
  <c r="F18" i="101"/>
  <c r="E18" i="101"/>
  <c r="H18" i="101"/>
  <c r="E17" i="108"/>
  <c r="G17" i="108" s="1"/>
  <c r="H17" i="108" s="1"/>
  <c r="F16" i="106"/>
  <c r="E16" i="106"/>
  <c r="H16" i="106"/>
  <c r="G16" i="106"/>
  <c r="F15" i="102"/>
  <c r="F20" i="102" s="1"/>
  <c r="H17" i="115"/>
  <c r="E17" i="115"/>
  <c r="G17" i="115"/>
  <c r="F17" i="115"/>
  <c r="E18" i="103"/>
  <c r="H18" i="103"/>
  <c r="G18" i="103"/>
  <c r="F18" i="103"/>
  <c r="H15" i="125"/>
  <c r="H17" i="134"/>
  <c r="E17" i="134"/>
  <c r="G197" i="21" s="1"/>
  <c r="G17" i="134"/>
  <c r="F17" i="134"/>
  <c r="E16" i="124"/>
  <c r="G16" i="124" s="1"/>
  <c r="H16" i="124" s="1"/>
  <c r="H18" i="130"/>
  <c r="G18" i="130"/>
  <c r="F18" i="130"/>
  <c r="E18" i="130"/>
  <c r="G178" i="21" s="1"/>
  <c r="E15" i="131"/>
  <c r="F18" i="126"/>
  <c r="E18" i="126"/>
  <c r="G158" i="21" s="1"/>
  <c r="H18" i="126"/>
  <c r="G18" i="126"/>
  <c r="E16" i="112"/>
  <c r="G16" i="112" s="1"/>
  <c r="H16" i="112" s="1"/>
  <c r="F17" i="104"/>
  <c r="E17" i="104"/>
  <c r="G17" i="104"/>
  <c r="H17" i="104"/>
  <c r="G16" i="101"/>
  <c r="F16" i="101"/>
  <c r="E16" i="101"/>
  <c r="H16" i="101"/>
  <c r="F18" i="106"/>
  <c r="E18" i="106"/>
  <c r="H18" i="106"/>
  <c r="G18" i="106"/>
  <c r="E19" i="114"/>
  <c r="H19" i="114"/>
  <c r="G19" i="114"/>
  <c r="F19" i="114"/>
  <c r="G15" i="102"/>
  <c r="H15" i="102" s="1"/>
  <c r="H19" i="106"/>
  <c r="G19" i="106"/>
  <c r="F19" i="106"/>
  <c r="E19" i="106"/>
  <c r="G17" i="116"/>
  <c r="F17" i="116"/>
  <c r="E17" i="116"/>
  <c r="H17" i="116"/>
  <c r="F15" i="123"/>
  <c r="E15" i="134"/>
  <c r="E18" i="124"/>
  <c r="H18" i="124"/>
  <c r="G18" i="124"/>
  <c r="F18" i="124"/>
  <c r="E16" i="130"/>
  <c r="G176" i="21" s="1"/>
  <c r="H176" i="21" s="1"/>
  <c r="I176" i="21" s="1"/>
  <c r="F15" i="110"/>
  <c r="E16" i="119"/>
  <c r="F16" i="119" s="1"/>
  <c r="F18" i="127"/>
  <c r="E18" i="127"/>
  <c r="G163" i="21" s="1"/>
  <c r="G18" i="127"/>
  <c r="H18" i="127"/>
  <c r="G15" i="128"/>
  <c r="H15" i="128" s="1"/>
  <c r="H19" i="128"/>
  <c r="E19" i="128"/>
  <c r="G169" i="21" s="1"/>
  <c r="F19" i="128"/>
  <c r="G19" i="128"/>
  <c r="F15" i="130"/>
  <c r="H18" i="112"/>
  <c r="E18" i="112"/>
  <c r="G18" i="112"/>
  <c r="F18" i="112"/>
  <c r="H17" i="131"/>
  <c r="G17" i="131"/>
  <c r="F17" i="131"/>
  <c r="E17" i="131"/>
  <c r="G182" i="21" s="1"/>
  <c r="H16" i="105"/>
  <c r="G16" i="105"/>
  <c r="F16" i="105"/>
  <c r="E16" i="105"/>
  <c r="H20" i="113"/>
  <c r="G20" i="113"/>
  <c r="E20" i="113"/>
  <c r="K14" i="113" s="1"/>
  <c r="L14" i="113" s="1"/>
  <c r="G15" i="113"/>
  <c r="H15" i="113" s="1"/>
  <c r="H18" i="100"/>
  <c r="F18" i="100"/>
  <c r="E18" i="100"/>
  <c r="G18" i="100"/>
  <c r="E16" i="103"/>
  <c r="G16" i="103" s="1"/>
  <c r="H16" i="103" s="1"/>
  <c r="E15" i="104"/>
  <c r="G15" i="104" s="1"/>
  <c r="H15" i="104" s="1"/>
  <c r="F19" i="108"/>
  <c r="E19" i="108"/>
  <c r="H19" i="108"/>
  <c r="G19" i="108"/>
  <c r="H17" i="100"/>
  <c r="G17" i="100"/>
  <c r="F17" i="100"/>
  <c r="E17" i="100"/>
  <c r="G15" i="107"/>
  <c r="H15" i="107" s="1"/>
  <c r="H20" i="107" s="1"/>
  <c r="E15" i="116"/>
  <c r="G15" i="116" s="1"/>
  <c r="H15" i="116" s="1"/>
  <c r="F19" i="123"/>
  <c r="H19" i="123"/>
  <c r="G19" i="123"/>
  <c r="E19" i="123"/>
  <c r="E16" i="111"/>
  <c r="G16" i="111" s="1"/>
  <c r="H16" i="111" s="1"/>
  <c r="F16" i="111"/>
  <c r="F19" i="117"/>
  <c r="E19" i="117"/>
  <c r="G19" i="117"/>
  <c r="H19" i="117"/>
  <c r="E15" i="121"/>
  <c r="F15" i="121" s="1"/>
  <c r="H19" i="132"/>
  <c r="G19" i="132"/>
  <c r="F19" i="132"/>
  <c r="E19" i="132"/>
  <c r="G189" i="21" s="1"/>
  <c r="E15" i="99"/>
  <c r="F15" i="99" s="1"/>
  <c r="E16" i="127"/>
  <c r="E15" i="126"/>
  <c r="G15" i="126" s="1"/>
  <c r="H15" i="126" s="1"/>
  <c r="F19" i="131"/>
  <c r="E19" i="131"/>
  <c r="G184" i="21" s="1"/>
  <c r="H19" i="131"/>
  <c r="G19" i="131"/>
  <c r="F15" i="132"/>
  <c r="F17" i="99"/>
  <c r="H17" i="99"/>
  <c r="G17" i="99"/>
  <c r="E17" i="99"/>
  <c r="F15" i="114"/>
  <c r="G15" i="119"/>
  <c r="H15" i="119" s="1"/>
  <c r="E16" i="114"/>
  <c r="F16" i="114" s="1"/>
  <c r="E16" i="115"/>
  <c r="G16" i="115" s="1"/>
  <c r="H16" i="115" s="1"/>
  <c r="E18" i="111"/>
  <c r="F18" i="111"/>
  <c r="H18" i="111"/>
  <c r="G18" i="111"/>
  <c r="F15" i="105"/>
  <c r="E15" i="108"/>
  <c r="F15" i="108" s="1"/>
  <c r="E16" i="108"/>
  <c r="F16" i="108" s="1"/>
  <c r="E15" i="106"/>
  <c r="G15" i="106" s="1"/>
  <c r="H15" i="106" s="1"/>
  <c r="G15" i="100"/>
  <c r="H15" i="100" s="1"/>
  <c r="F19" i="100"/>
  <c r="E19" i="100"/>
  <c r="H19" i="100"/>
  <c r="G19" i="100"/>
  <c r="F18" i="115"/>
  <c r="E18" i="115"/>
  <c r="G18" i="115"/>
  <c r="H18" i="115"/>
  <c r="H17" i="103"/>
  <c r="G17" i="103"/>
  <c r="F17" i="103"/>
  <c r="E17" i="103"/>
  <c r="E15" i="111"/>
  <c r="F15" i="111" s="1"/>
  <c r="E15" i="117"/>
  <c r="H16" i="117"/>
  <c r="E16" i="117"/>
  <c r="G16" i="117"/>
  <c r="F16" i="117"/>
  <c r="E15" i="124"/>
  <c r="F15" i="124" s="1"/>
  <c r="G15" i="132"/>
  <c r="H15" i="132" s="1"/>
  <c r="F18" i="119"/>
  <c r="H18" i="119"/>
  <c r="G18" i="119"/>
  <c r="E18" i="119"/>
  <c r="H17" i="119"/>
  <c r="G17" i="119"/>
  <c r="F17" i="119"/>
  <c r="E17" i="119"/>
  <c r="E16" i="128"/>
  <c r="G166" i="21" s="1"/>
  <c r="H166" i="21" s="1"/>
  <c r="I166" i="21" s="1"/>
  <c r="J165" i="21" s="1"/>
  <c r="G15" i="114"/>
  <c r="H15" i="114" s="1"/>
  <c r="E20" i="129"/>
  <c r="K14" i="129" s="1"/>
  <c r="L14" i="129" s="1"/>
  <c r="E16" i="131"/>
  <c r="E20" i="133"/>
  <c r="K14" i="133" s="1"/>
  <c r="L14" i="133" s="1"/>
  <c r="H20" i="133" l="1"/>
  <c r="F16" i="130"/>
  <c r="F20" i="130" s="1"/>
  <c r="F20" i="129"/>
  <c r="F16" i="124"/>
  <c r="J175" i="21"/>
  <c r="E20" i="110"/>
  <c r="K14" i="110" s="1"/>
  <c r="L14" i="110" s="1"/>
  <c r="G16" i="130"/>
  <c r="H16" i="130" s="1"/>
  <c r="H20" i="130" s="1"/>
  <c r="G16" i="108"/>
  <c r="H16" i="108" s="1"/>
  <c r="H20" i="110"/>
  <c r="F16" i="112"/>
  <c r="F17" i="108"/>
  <c r="F20" i="108" s="1"/>
  <c r="G20" i="129"/>
  <c r="I11" i="129" s="1"/>
  <c r="E42" i="16" s="1"/>
  <c r="I42" i="16" s="1"/>
  <c r="J185" i="21"/>
  <c r="G15" i="134"/>
  <c r="H15" i="134" s="1"/>
  <c r="H20" i="134" s="1"/>
  <c r="G195" i="21"/>
  <c r="G16" i="128"/>
  <c r="H16" i="128" s="1"/>
  <c r="H20" i="128" s="1"/>
  <c r="F16" i="127"/>
  <c r="G161" i="21"/>
  <c r="H161" i="21" s="1"/>
  <c r="I161" i="21" s="1"/>
  <c r="J160" i="21" s="1"/>
  <c r="F15" i="131"/>
  <c r="G180" i="21"/>
  <c r="H180" i="21" s="1"/>
  <c r="I180" i="21" s="1"/>
  <c r="G20" i="110"/>
  <c r="G16" i="121"/>
  <c r="H16" i="121" s="1"/>
  <c r="H20" i="102"/>
  <c r="G20" i="133"/>
  <c r="G193" i="21"/>
  <c r="F16" i="103"/>
  <c r="F20" i="113"/>
  <c r="I11" i="113" s="1"/>
  <c r="H20" i="123"/>
  <c r="H20" i="125"/>
  <c r="G20" i="125"/>
  <c r="F15" i="126"/>
  <c r="F20" i="126" s="1"/>
  <c r="G155" i="21"/>
  <c r="H155" i="21" s="1"/>
  <c r="I155" i="21" s="1"/>
  <c r="J155" i="21" s="1"/>
  <c r="H20" i="105"/>
  <c r="E20" i="125"/>
  <c r="K14" i="125" s="1"/>
  <c r="L14" i="125" s="1"/>
  <c r="F16" i="131"/>
  <c r="G181" i="21"/>
  <c r="H181" i="21" s="1"/>
  <c r="I181" i="21" s="1"/>
  <c r="F16" i="128"/>
  <c r="F20" i="128" s="1"/>
  <c r="G16" i="119"/>
  <c r="H16" i="119" s="1"/>
  <c r="G20" i="122"/>
  <c r="G16" i="114"/>
  <c r="H16" i="114" s="1"/>
  <c r="H20" i="114" s="1"/>
  <c r="G16" i="127"/>
  <c r="H16" i="127" s="1"/>
  <c r="E20" i="123"/>
  <c r="K14" i="123" s="1"/>
  <c r="L14" i="123" s="1"/>
  <c r="G20" i="102"/>
  <c r="E20" i="118"/>
  <c r="K14" i="118" s="1"/>
  <c r="L14" i="118" s="1"/>
  <c r="F16" i="118"/>
  <c r="F20" i="118" s="1"/>
  <c r="F20" i="99"/>
  <c r="E20" i="119"/>
  <c r="K14" i="119" s="1"/>
  <c r="L14" i="119" s="1"/>
  <c r="G16" i="131"/>
  <c r="H16" i="131" s="1"/>
  <c r="F20" i="111"/>
  <c r="G15" i="99"/>
  <c r="H15" i="99" s="1"/>
  <c r="H20" i="99" s="1"/>
  <c r="F15" i="134"/>
  <c r="F20" i="134" s="1"/>
  <c r="G17" i="118"/>
  <c r="H17" i="118" s="1"/>
  <c r="H20" i="118" s="1"/>
  <c r="F20" i="133"/>
  <c r="H20" i="119"/>
  <c r="F15" i="122"/>
  <c r="F20" i="122" s="1"/>
  <c r="E20" i="100"/>
  <c r="K14" i="100" s="1"/>
  <c r="L14" i="100" s="1"/>
  <c r="F16" i="110"/>
  <c r="F20" i="110" s="1"/>
  <c r="H20" i="132"/>
  <c r="F20" i="131"/>
  <c r="E20" i="130"/>
  <c r="K14" i="130" s="1"/>
  <c r="L14" i="130" s="1"/>
  <c r="E20" i="128"/>
  <c r="K14" i="128" s="1"/>
  <c r="L14" i="128" s="1"/>
  <c r="F20" i="125"/>
  <c r="G15" i="124"/>
  <c r="H15" i="124" s="1"/>
  <c r="H20" i="124" s="1"/>
  <c r="H20" i="122"/>
  <c r="E20" i="122"/>
  <c r="K14" i="122" s="1"/>
  <c r="L14" i="122" s="1"/>
  <c r="F20" i="121"/>
  <c r="G15" i="121"/>
  <c r="H15" i="121" s="1"/>
  <c r="F20" i="119"/>
  <c r="F16" i="115"/>
  <c r="F15" i="109"/>
  <c r="F20" i="109" s="1"/>
  <c r="F15" i="106"/>
  <c r="F20" i="106" s="1"/>
  <c r="E20" i="105"/>
  <c r="K14" i="105" s="1"/>
  <c r="L14" i="105" s="1"/>
  <c r="G20" i="105"/>
  <c r="F20" i="105"/>
  <c r="F15" i="103"/>
  <c r="F20" i="103" s="1"/>
  <c r="F20" i="100"/>
  <c r="H20" i="100"/>
  <c r="G15" i="108"/>
  <c r="H15" i="108" s="1"/>
  <c r="H20" i="108" s="1"/>
  <c r="F20" i="124"/>
  <c r="E20" i="117"/>
  <c r="K14" i="117" s="1"/>
  <c r="L14" i="117" s="1"/>
  <c r="F20" i="132"/>
  <c r="E20" i="114"/>
  <c r="K14" i="114" s="1"/>
  <c r="L14" i="114" s="1"/>
  <c r="E20" i="134"/>
  <c r="K14" i="134" s="1"/>
  <c r="L14" i="134" s="1"/>
  <c r="G20" i="100"/>
  <c r="E20" i="102"/>
  <c r="K14" i="102" s="1"/>
  <c r="L14" i="102" s="1"/>
  <c r="H20" i="109"/>
  <c r="G20" i="109"/>
  <c r="E20" i="109"/>
  <c r="K14" i="109" s="1"/>
  <c r="L14" i="109" s="1"/>
  <c r="G20" i="118"/>
  <c r="E20" i="112"/>
  <c r="K14" i="112" s="1"/>
  <c r="L14" i="112" s="1"/>
  <c r="E20" i="127"/>
  <c r="K14" i="127" s="1"/>
  <c r="L14" i="127" s="1"/>
  <c r="G20" i="132"/>
  <c r="H20" i="131"/>
  <c r="G20" i="131"/>
  <c r="E20" i="131"/>
  <c r="K14" i="131" s="1"/>
  <c r="L14" i="131" s="1"/>
  <c r="F15" i="117"/>
  <c r="F20" i="117" s="1"/>
  <c r="E20" i="132"/>
  <c r="K14" i="132" s="1"/>
  <c r="L14" i="132" s="1"/>
  <c r="H20" i="104"/>
  <c r="E20" i="104"/>
  <c r="K14" i="104" s="1"/>
  <c r="L14" i="104" s="1"/>
  <c r="G20" i="104"/>
  <c r="G20" i="130"/>
  <c r="G15" i="131"/>
  <c r="H15" i="131" s="1"/>
  <c r="F15" i="101"/>
  <c r="F20" i="101" s="1"/>
  <c r="F20" i="112"/>
  <c r="H20" i="106"/>
  <c r="G20" i="106"/>
  <c r="E20" i="106"/>
  <c r="K14" i="106" s="1"/>
  <c r="L14" i="106" s="1"/>
  <c r="F15" i="127"/>
  <c r="G20" i="124"/>
  <c r="E20" i="124"/>
  <c r="K14" i="124" s="1"/>
  <c r="L14" i="124" s="1"/>
  <c r="G15" i="117"/>
  <c r="H15" i="117" s="1"/>
  <c r="H20" i="117" s="1"/>
  <c r="F20" i="114"/>
  <c r="G20" i="126"/>
  <c r="E20" i="126"/>
  <c r="K14" i="126" s="1"/>
  <c r="L14" i="126" s="1"/>
  <c r="H20" i="126"/>
  <c r="E20" i="99"/>
  <c r="K14" i="99" s="1"/>
  <c r="L14" i="99" s="1"/>
  <c r="F15" i="104"/>
  <c r="F20" i="104" s="1"/>
  <c r="F20" i="123"/>
  <c r="F15" i="115"/>
  <c r="F20" i="115" s="1"/>
  <c r="H20" i="103"/>
  <c r="G20" i="103"/>
  <c r="E20" i="103"/>
  <c r="K14" i="103" s="1"/>
  <c r="L14" i="103" s="1"/>
  <c r="G15" i="112"/>
  <c r="H15" i="112" s="1"/>
  <c r="H20" i="112" s="1"/>
  <c r="E20" i="108"/>
  <c r="K14" i="108" s="1"/>
  <c r="L14" i="108" s="1"/>
  <c r="E20" i="111"/>
  <c r="K14" i="111" s="1"/>
  <c r="L14" i="111" s="1"/>
  <c r="G20" i="107"/>
  <c r="I11" i="107" s="1"/>
  <c r="E20" i="116"/>
  <c r="K14" i="116" s="1"/>
  <c r="L14" i="116" s="1"/>
  <c r="G20" i="116"/>
  <c r="H20" i="116"/>
  <c r="G20" i="119"/>
  <c r="G20" i="123"/>
  <c r="G20" i="128"/>
  <c r="H20" i="120"/>
  <c r="G20" i="120"/>
  <c r="E20" i="120"/>
  <c r="K14" i="120" s="1"/>
  <c r="L14" i="120" s="1"/>
  <c r="G15" i="111"/>
  <c r="H15" i="111" s="1"/>
  <c r="H20" i="111" s="1"/>
  <c r="E20" i="121"/>
  <c r="K14" i="121" s="1"/>
  <c r="L14" i="121" s="1"/>
  <c r="H20" i="121"/>
  <c r="G20" i="121"/>
  <c r="F15" i="116"/>
  <c r="F20" i="116" s="1"/>
  <c r="H20" i="101"/>
  <c r="G20" i="101"/>
  <c r="E20" i="101"/>
  <c r="K14" i="101" s="1"/>
  <c r="L14" i="101" s="1"/>
  <c r="H20" i="115"/>
  <c r="G20" i="115"/>
  <c r="E20" i="115"/>
  <c r="K14" i="115" s="1"/>
  <c r="L14" i="115" s="1"/>
  <c r="G15" i="127"/>
  <c r="H15" i="127" s="1"/>
  <c r="F15" i="120"/>
  <c r="F20" i="120" s="1"/>
  <c r="I11" i="133" l="1"/>
  <c r="E46" i="16" s="1"/>
  <c r="I46" i="16" s="1"/>
  <c r="H20" i="127"/>
  <c r="I11" i="110"/>
  <c r="G20" i="99"/>
  <c r="I11" i="99" s="1"/>
  <c r="G20" i="134"/>
  <c r="I11" i="134" s="1"/>
  <c r="E47" i="16" s="1"/>
  <c r="I47" i="16" s="1"/>
  <c r="I11" i="105"/>
  <c r="I11" i="118"/>
  <c r="I11" i="119"/>
  <c r="F20" i="127"/>
  <c r="G20" i="114"/>
  <c r="I11" i="114" s="1"/>
  <c r="I11" i="125"/>
  <c r="E38" i="16" s="1"/>
  <c r="I38" i="16" s="1"/>
  <c r="J180" i="21"/>
  <c r="I11" i="131"/>
  <c r="E44" i="16" s="1"/>
  <c r="I11" i="106"/>
  <c r="I11" i="109"/>
  <c r="I11" i="130"/>
  <c r="E43" i="16" s="1"/>
  <c r="I43" i="16" s="1"/>
  <c r="I11" i="121"/>
  <c r="I11" i="102"/>
  <c r="I11" i="100"/>
  <c r="I11" i="122"/>
  <c r="G20" i="127"/>
  <c r="I11" i="123"/>
  <c r="I11" i="124"/>
  <c r="I11" i="116"/>
  <c r="I11" i="103"/>
  <c r="G20" i="108"/>
  <c r="I11" i="108" s="1"/>
  <c r="I11" i="101"/>
  <c r="I11" i="132"/>
  <c r="E45" i="16" s="1"/>
  <c r="I45" i="16" s="1"/>
  <c r="I11" i="104"/>
  <c r="I11" i="115"/>
  <c r="I11" i="126"/>
  <c r="E39" i="16" s="1"/>
  <c r="I39" i="16" s="1"/>
  <c r="G20" i="117"/>
  <c r="I11" i="117" s="1"/>
  <c r="G20" i="111"/>
  <c r="I11" i="111" s="1"/>
  <c r="I11" i="128"/>
  <c r="E41" i="16" s="1"/>
  <c r="I41" i="16" s="1"/>
  <c r="I11" i="120"/>
  <c r="G20" i="112"/>
  <c r="I11" i="112" s="1"/>
  <c r="I11" i="127" l="1"/>
  <c r="E40" i="16" s="1"/>
  <c r="I40" i="16" s="1"/>
  <c r="B25" i="95"/>
  <c r="B26" i="95"/>
  <c r="B27" i="95"/>
  <c r="B28" i="95"/>
  <c r="B29" i="95"/>
  <c r="B30" i="95"/>
  <c r="B31" i="95"/>
  <c r="B32" i="95"/>
  <c r="B29" i="22"/>
  <c r="B30" i="22"/>
  <c r="B31" i="22"/>
  <c r="B32" i="22"/>
  <c r="B33" i="22"/>
  <c r="B34" i="22"/>
  <c r="B35" i="22"/>
  <c r="B36" i="22"/>
  <c r="B37" i="22"/>
  <c r="B145" i="21"/>
  <c r="B140" i="21"/>
  <c r="B135" i="21"/>
  <c r="B130" i="21"/>
  <c r="B125" i="21"/>
  <c r="B120" i="21"/>
  <c r="B115" i="21"/>
  <c r="B110" i="21"/>
  <c r="B105" i="21"/>
  <c r="M28" i="18"/>
  <c r="N28" i="18"/>
  <c r="M29" i="18"/>
  <c r="N29" i="18"/>
  <c r="M30" i="18"/>
  <c r="N30" i="18"/>
  <c r="M31" i="18"/>
  <c r="N31" i="18"/>
  <c r="M32" i="18"/>
  <c r="N32" i="18"/>
  <c r="M33" i="18"/>
  <c r="N33" i="18"/>
  <c r="M34" i="18"/>
  <c r="N34" i="18"/>
  <c r="M35" i="18"/>
  <c r="N35" i="18"/>
  <c r="M36" i="18"/>
  <c r="N36" i="18"/>
  <c r="M46" i="18"/>
  <c r="N46" i="18"/>
  <c r="B29" i="16"/>
  <c r="B30" i="16"/>
  <c r="B31" i="16"/>
  <c r="B32" i="16"/>
  <c r="B33" i="16"/>
  <c r="B34" i="16"/>
  <c r="B35" i="16"/>
  <c r="B36" i="16"/>
  <c r="B37" i="16"/>
  <c r="C33" i="16" l="1"/>
  <c r="C20" i="120"/>
  <c r="C29" i="16"/>
  <c r="C20" i="116"/>
  <c r="D36" i="16"/>
  <c r="D20" i="123"/>
  <c r="D32" i="16"/>
  <c r="D20" i="119"/>
  <c r="C36" i="16"/>
  <c r="C20" i="123"/>
  <c r="C32" i="16"/>
  <c r="C20" i="119"/>
  <c r="D35" i="16"/>
  <c r="D20" i="122"/>
  <c r="D31" i="16"/>
  <c r="D20" i="118"/>
  <c r="C31" i="16"/>
  <c r="C20" i="118"/>
  <c r="C35" i="16"/>
  <c r="C20" i="122"/>
  <c r="D20" i="134"/>
  <c r="D34" i="16"/>
  <c r="D20" i="121"/>
  <c r="D30" i="16"/>
  <c r="D20" i="117"/>
  <c r="C37" i="16"/>
  <c r="C20" i="124"/>
  <c r="C30" i="16"/>
  <c r="C20" i="117"/>
  <c r="C20" i="134"/>
  <c r="C34" i="16"/>
  <c r="C20" i="121"/>
  <c r="D37" i="16"/>
  <c r="D20" i="124"/>
  <c r="D33" i="16"/>
  <c r="D20" i="120"/>
  <c r="D29" i="16"/>
  <c r="D20" i="116"/>
  <c r="B24" i="95"/>
  <c r="Q20" i="21"/>
  <c r="Q25" i="21"/>
  <c r="Q30" i="21"/>
  <c r="Q35" i="21"/>
  <c r="Q40" i="21"/>
  <c r="Q45" i="21"/>
  <c r="Q50" i="21"/>
  <c r="Q55" i="21"/>
  <c r="Q60" i="21"/>
  <c r="Q65" i="21"/>
  <c r="Q70" i="21"/>
  <c r="Q75" i="21"/>
  <c r="Q80" i="21"/>
  <c r="Q85" i="21"/>
  <c r="Q90" i="21"/>
  <c r="Q95" i="21"/>
  <c r="Q100" i="21"/>
  <c r="Q105" i="21"/>
  <c r="Q110" i="21"/>
  <c r="Q115" i="21"/>
  <c r="Q120" i="21"/>
  <c r="Q125" i="21"/>
  <c r="Q130" i="21"/>
  <c r="Q135" i="21"/>
  <c r="Q140" i="21"/>
  <c r="Q145" i="21"/>
  <c r="Q195" i="21"/>
  <c r="Q15" i="21"/>
  <c r="T45" i="21"/>
  <c r="T50" i="21"/>
  <c r="T55" i="21"/>
  <c r="T60" i="21"/>
  <c r="T65" i="21"/>
  <c r="T70" i="21"/>
  <c r="T75" i="21"/>
  <c r="T80" i="21"/>
  <c r="T85" i="21"/>
  <c r="T90" i="21"/>
  <c r="T95" i="21"/>
  <c r="T100" i="21"/>
  <c r="T105" i="21"/>
  <c r="T110" i="21"/>
  <c r="T115" i="21"/>
  <c r="T120" i="21"/>
  <c r="T125" i="21"/>
  <c r="T130" i="21"/>
  <c r="T135" i="21"/>
  <c r="T140" i="21"/>
  <c r="T145" i="21"/>
  <c r="T195" i="21"/>
  <c r="C116" i="21" l="1"/>
  <c r="C124" i="21"/>
  <c r="H124" i="21" s="1"/>
  <c r="C128" i="21"/>
  <c r="H128" i="21" s="1"/>
  <c r="C132" i="21"/>
  <c r="H132" i="21" s="1"/>
  <c r="C136" i="21"/>
  <c r="H136" i="21" s="1"/>
  <c r="C144" i="21"/>
  <c r="H144" i="21" s="1"/>
  <c r="C148" i="21"/>
  <c r="H148" i="21" s="1"/>
  <c r="C197" i="21"/>
  <c r="H197" i="21" s="1"/>
  <c r="C114" i="21"/>
  <c r="H114" i="21" s="1"/>
  <c r="D124" i="21" l="1"/>
  <c r="C130" i="21"/>
  <c r="D131" i="21"/>
  <c r="C138" i="21"/>
  <c r="H138" i="21" s="1"/>
  <c r="D140" i="21"/>
  <c r="C141" i="21"/>
  <c r="D112" i="21"/>
  <c r="D148" i="21"/>
  <c r="D115" i="21"/>
  <c r="D147" i="21"/>
  <c r="C149" i="21"/>
  <c r="H149" i="21" s="1"/>
  <c r="D116" i="21"/>
  <c r="D132" i="21"/>
  <c r="C142" i="21"/>
  <c r="D197" i="21"/>
  <c r="C117" i="21"/>
  <c r="C133" i="21"/>
  <c r="H133" i="21" s="1"/>
  <c r="D143" i="21"/>
  <c r="C198" i="21"/>
  <c r="C118" i="21"/>
  <c r="C134" i="21"/>
  <c r="D144" i="21"/>
  <c r="D119" i="21"/>
  <c r="D136" i="21"/>
  <c r="C145" i="21"/>
  <c r="D120" i="21"/>
  <c r="C137" i="21"/>
  <c r="C146" i="21"/>
  <c r="G109" i="21"/>
  <c r="D117" i="21"/>
  <c r="D121" i="21"/>
  <c r="D125" i="21"/>
  <c r="D129" i="21"/>
  <c r="D133" i="21"/>
  <c r="D137" i="21"/>
  <c r="D141" i="21"/>
  <c r="D145" i="21"/>
  <c r="D149" i="21"/>
  <c r="D198" i="21"/>
  <c r="G126" i="21"/>
  <c r="G128" i="21"/>
  <c r="G125" i="21"/>
  <c r="D128" i="21"/>
  <c r="C121" i="21"/>
  <c r="C113" i="21"/>
  <c r="D118" i="21"/>
  <c r="D122" i="21"/>
  <c r="D126" i="21"/>
  <c r="D130" i="21"/>
  <c r="D134" i="21"/>
  <c r="D138" i="21"/>
  <c r="D142" i="21"/>
  <c r="D146" i="21"/>
  <c r="D195" i="21"/>
  <c r="D199" i="21"/>
  <c r="G81" i="21"/>
  <c r="G87" i="21"/>
  <c r="G92" i="21"/>
  <c r="C122" i="21"/>
  <c r="C195" i="21"/>
  <c r="H195" i="21" s="1"/>
  <c r="C199" i="21"/>
  <c r="C115" i="21"/>
  <c r="Y115" i="21" s="1"/>
  <c r="C119" i="21"/>
  <c r="C123" i="21"/>
  <c r="H123" i="21" s="1"/>
  <c r="C127" i="21"/>
  <c r="C131" i="21"/>
  <c r="C135" i="21"/>
  <c r="C139" i="21"/>
  <c r="C143" i="21"/>
  <c r="C147" i="21"/>
  <c r="C196" i="21"/>
  <c r="G37" i="21"/>
  <c r="G77" i="21"/>
  <c r="C125" i="21"/>
  <c r="D123" i="21"/>
  <c r="D127" i="21"/>
  <c r="G61" i="21"/>
  <c r="G96" i="21"/>
  <c r="G122" i="21"/>
  <c r="C129" i="21"/>
  <c r="C126" i="21"/>
  <c r="H126" i="21" s="1"/>
  <c r="D135" i="21"/>
  <c r="D139" i="21"/>
  <c r="D196" i="21"/>
  <c r="C15" i="8"/>
  <c r="C19" i="8"/>
  <c r="H19" i="8" s="1"/>
  <c r="C17" i="8"/>
  <c r="H17" i="8" s="1"/>
  <c r="C18" i="8"/>
  <c r="H18" i="8" s="1"/>
  <c r="C16" i="8"/>
  <c r="H16" i="8" s="1"/>
  <c r="C120" i="21"/>
  <c r="C140" i="21"/>
  <c r="G145" i="21"/>
  <c r="G147" i="21"/>
  <c r="AC114" i="21"/>
  <c r="Y114" i="21"/>
  <c r="I114" i="21"/>
  <c r="C111" i="21"/>
  <c r="H111" i="21" s="1"/>
  <c r="Y145" i="21"/>
  <c r="D113" i="21"/>
  <c r="D110" i="21"/>
  <c r="D114" i="21"/>
  <c r="D111" i="21"/>
  <c r="C112" i="21"/>
  <c r="H112" i="21" s="1"/>
  <c r="Y116" i="21"/>
  <c r="AC116" i="21"/>
  <c r="I124" i="21"/>
  <c r="Y124" i="21"/>
  <c r="AC124" i="21"/>
  <c r="Y128" i="21"/>
  <c r="AC128" i="21"/>
  <c r="I128" i="21"/>
  <c r="I132" i="21"/>
  <c r="Y132" i="21"/>
  <c r="AC132" i="21"/>
  <c r="Y136" i="21"/>
  <c r="AC136" i="21"/>
  <c r="I136" i="21"/>
  <c r="Y144" i="21"/>
  <c r="AC144" i="21"/>
  <c r="I144" i="21"/>
  <c r="I148" i="21"/>
  <c r="Y148" i="21"/>
  <c r="AC148" i="21"/>
  <c r="Y197" i="21"/>
  <c r="AC197" i="21"/>
  <c r="I197" i="21"/>
  <c r="I133" i="21"/>
  <c r="Y133" i="21"/>
  <c r="AC133" i="21"/>
  <c r="Y138" i="21"/>
  <c r="C110" i="21"/>
  <c r="G133" i="21"/>
  <c r="G141" i="21"/>
  <c r="H141" i="21" s="1"/>
  <c r="G82" i="21"/>
  <c r="G78" i="21"/>
  <c r="G70" i="21"/>
  <c r="G66" i="21"/>
  <c r="G52" i="21"/>
  <c r="G49" i="21"/>
  <c r="G41" i="21"/>
  <c r="G27" i="21"/>
  <c r="G21" i="21"/>
  <c r="F4" i="22"/>
  <c r="F5" i="22"/>
  <c r="E1" i="95"/>
  <c r="AC129" i="21" l="1"/>
  <c r="H129" i="21"/>
  <c r="Y119" i="21"/>
  <c r="H119" i="21"/>
  <c r="Y147" i="21"/>
  <c r="H147" i="21"/>
  <c r="AC142" i="21"/>
  <c r="H142" i="21"/>
  <c r="Y196" i="21"/>
  <c r="H196" i="21"/>
  <c r="Y143" i="21"/>
  <c r="H143" i="21"/>
  <c r="AC199" i="21"/>
  <c r="H199" i="21"/>
  <c r="I113" i="21"/>
  <c r="H113" i="21"/>
  <c r="Y134" i="21"/>
  <c r="H134" i="21"/>
  <c r="Y118" i="21"/>
  <c r="H118" i="21"/>
  <c r="Y122" i="21"/>
  <c r="H122" i="21"/>
  <c r="I137" i="21"/>
  <c r="H137" i="21"/>
  <c r="AC198" i="21"/>
  <c r="H198" i="21"/>
  <c r="H125" i="21"/>
  <c r="I125" i="21" s="1"/>
  <c r="Y139" i="21"/>
  <c r="H139" i="21"/>
  <c r="AC127" i="21"/>
  <c r="H127" i="21"/>
  <c r="H145" i="21"/>
  <c r="I145" i="21" s="1"/>
  <c r="AC130" i="21"/>
  <c r="AC121" i="21"/>
  <c r="AC145" i="21"/>
  <c r="Y117" i="21"/>
  <c r="Z115" i="21" s="1"/>
  <c r="AC146" i="21"/>
  <c r="Y131" i="21"/>
  <c r="G136" i="21"/>
  <c r="I138" i="21"/>
  <c r="AC131" i="21"/>
  <c r="Y195" i="21"/>
  <c r="AC125" i="21"/>
  <c r="AC137" i="21"/>
  <c r="AC138" i="21"/>
  <c r="Y135" i="21"/>
  <c r="G31" i="21"/>
  <c r="Y146" i="21"/>
  <c r="G23" i="21"/>
  <c r="Y141" i="21"/>
  <c r="AC195" i="21"/>
  <c r="I147" i="21"/>
  <c r="AC147" i="21"/>
  <c r="AC141" i="21"/>
  <c r="Y142" i="21"/>
  <c r="I142" i="21"/>
  <c r="I141" i="21"/>
  <c r="Y130" i="21"/>
  <c r="Z130" i="21" s="1"/>
  <c r="AC126" i="21"/>
  <c r="Y127" i="21"/>
  <c r="Y121" i="21"/>
  <c r="AC118" i="21"/>
  <c r="AC115" i="21"/>
  <c r="I118" i="21"/>
  <c r="I143" i="21"/>
  <c r="G56" i="21"/>
  <c r="AC134" i="21"/>
  <c r="I122" i="21"/>
  <c r="G72" i="21"/>
  <c r="AC122" i="21"/>
  <c r="I139" i="21"/>
  <c r="I134" i="21"/>
  <c r="Y120" i="21"/>
  <c r="AC119" i="21"/>
  <c r="Y149" i="21"/>
  <c r="I149" i="21"/>
  <c r="Y198" i="21"/>
  <c r="AC113" i="21"/>
  <c r="I199" i="21"/>
  <c r="I198" i="21"/>
  <c r="Y137" i="21"/>
  <c r="AC149" i="21"/>
  <c r="AC120" i="21"/>
  <c r="G33" i="21"/>
  <c r="I127" i="21"/>
  <c r="I119" i="21"/>
  <c r="G106" i="21"/>
  <c r="G116" i="21"/>
  <c r="Y199" i="21"/>
  <c r="G108" i="21"/>
  <c r="I196" i="21"/>
  <c r="Y123" i="21"/>
  <c r="G102" i="21"/>
  <c r="G142" i="21"/>
  <c r="AC140" i="21"/>
  <c r="AC196" i="21"/>
  <c r="I123" i="21"/>
  <c r="Y140" i="21"/>
  <c r="AC117" i="21"/>
  <c r="AC123" i="21"/>
  <c r="G46" i="21"/>
  <c r="Y125" i="21"/>
  <c r="AC139" i="21"/>
  <c r="Y129" i="21"/>
  <c r="G64" i="21"/>
  <c r="G62" i="21"/>
  <c r="G112" i="21"/>
  <c r="G83" i="21"/>
  <c r="Y126" i="21"/>
  <c r="AC143" i="21"/>
  <c r="I129" i="21"/>
  <c r="I126" i="21"/>
  <c r="AC135" i="21"/>
  <c r="Y113" i="21"/>
  <c r="AC110" i="21"/>
  <c r="Y110" i="21"/>
  <c r="Y112" i="21"/>
  <c r="AC112" i="21"/>
  <c r="I112" i="21"/>
  <c r="Y111" i="21"/>
  <c r="AC111" i="21"/>
  <c r="G148" i="21"/>
  <c r="G146" i="21"/>
  <c r="G143" i="21"/>
  <c r="G132" i="21"/>
  <c r="G131" i="21"/>
  <c r="G115" i="21"/>
  <c r="G75" i="21"/>
  <c r="G67" i="21"/>
  <c r="G50" i="21"/>
  <c r="I195" i="21"/>
  <c r="G140" i="21"/>
  <c r="G144" i="21"/>
  <c r="G138" i="21"/>
  <c r="G139" i="21"/>
  <c r="G137" i="21"/>
  <c r="G130" i="21"/>
  <c r="G134" i="21"/>
  <c r="G129" i="21"/>
  <c r="G123" i="21"/>
  <c r="G124" i="21"/>
  <c r="G121" i="21"/>
  <c r="G118" i="21"/>
  <c r="G117" i="21"/>
  <c r="G119" i="21"/>
  <c r="G113" i="21"/>
  <c r="G114" i="21"/>
  <c r="G111" i="21"/>
  <c r="I111" i="21" s="1"/>
  <c r="G105" i="21"/>
  <c r="G107" i="21"/>
  <c r="G103" i="21"/>
  <c r="G104" i="21"/>
  <c r="G100" i="21"/>
  <c r="G101" i="21"/>
  <c r="G95" i="21"/>
  <c r="G99" i="21"/>
  <c r="G98" i="21"/>
  <c r="G97" i="21"/>
  <c r="G93" i="21"/>
  <c r="G94" i="21"/>
  <c r="G91" i="21"/>
  <c r="G88" i="21"/>
  <c r="G89" i="21"/>
  <c r="G85" i="21"/>
  <c r="G86" i="21"/>
  <c r="G80" i="21"/>
  <c r="G84" i="21"/>
  <c r="G79" i="21"/>
  <c r="G74" i="21"/>
  <c r="G73" i="21"/>
  <c r="G71" i="21"/>
  <c r="G68" i="21"/>
  <c r="G69" i="21"/>
  <c r="G63" i="21"/>
  <c r="G59" i="21"/>
  <c r="G58" i="21"/>
  <c r="G55" i="21"/>
  <c r="G57" i="21"/>
  <c r="G54" i="21"/>
  <c r="G53" i="21"/>
  <c r="G45" i="21"/>
  <c r="G48" i="21"/>
  <c r="G47" i="21"/>
  <c r="G43" i="21"/>
  <c r="G44" i="21"/>
  <c r="G42" i="21"/>
  <c r="G39" i="21"/>
  <c r="G38" i="21"/>
  <c r="G36" i="21"/>
  <c r="G34" i="21"/>
  <c r="G32" i="21"/>
  <c r="G28" i="21"/>
  <c r="G29" i="21"/>
  <c r="G26" i="21"/>
  <c r="G24" i="21"/>
  <c r="G22" i="21"/>
  <c r="B1" i="95"/>
  <c r="B8" i="95"/>
  <c r="B9" i="95"/>
  <c r="B10" i="95"/>
  <c r="B11" i="95"/>
  <c r="B12" i="95"/>
  <c r="B13" i="95"/>
  <c r="B14" i="95"/>
  <c r="B15" i="95"/>
  <c r="B16" i="95"/>
  <c r="B17" i="95"/>
  <c r="B18" i="95"/>
  <c r="B19" i="95"/>
  <c r="B20" i="95"/>
  <c r="B21" i="95"/>
  <c r="B22" i="95"/>
  <c r="B23" i="95"/>
  <c r="B7" i="95"/>
  <c r="E4" i="16"/>
  <c r="E5" i="16"/>
  <c r="D74" i="8"/>
  <c r="H140" i="21" l="1"/>
  <c r="I140" i="21" s="1"/>
  <c r="J140" i="21" s="1"/>
  <c r="H146" i="21"/>
  <c r="I146" i="21" s="1"/>
  <c r="J145" i="21" s="1"/>
  <c r="H130" i="21"/>
  <c r="I130" i="21" s="1"/>
  <c r="H117" i="21"/>
  <c r="I117" i="21" s="1"/>
  <c r="H116" i="21"/>
  <c r="I116" i="21" s="1"/>
  <c r="H115" i="21"/>
  <c r="I115" i="21" s="1"/>
  <c r="H121" i="21"/>
  <c r="I121" i="21" s="1"/>
  <c r="H131" i="21"/>
  <c r="I131" i="21" s="1"/>
  <c r="AD130" i="21"/>
  <c r="AD125" i="21"/>
  <c r="AD195" i="21"/>
  <c r="Z135" i="21"/>
  <c r="AD145" i="21"/>
  <c r="Z140" i="21"/>
  <c r="Z145" i="21"/>
  <c r="Z195" i="21"/>
  <c r="Z120" i="21"/>
  <c r="AD115" i="21"/>
  <c r="AD120" i="21"/>
  <c r="AD135" i="21"/>
  <c r="J195" i="21"/>
  <c r="AD140" i="21"/>
  <c r="Z125" i="21"/>
  <c r="J125" i="21"/>
  <c r="Z110" i="21"/>
  <c r="AD110" i="21"/>
  <c r="G149" i="21"/>
  <c r="G135" i="21"/>
  <c r="G127" i="21"/>
  <c r="G120" i="21"/>
  <c r="G110" i="21"/>
  <c r="G90" i="21"/>
  <c r="G76" i="21"/>
  <c r="G65" i="21"/>
  <c r="G60" i="21"/>
  <c r="G51" i="21"/>
  <c r="G40" i="21"/>
  <c r="G35" i="21"/>
  <c r="G30" i="21"/>
  <c r="G25" i="21"/>
  <c r="G20" i="21"/>
  <c r="T20" i="21"/>
  <c r="T25" i="21"/>
  <c r="T30" i="21"/>
  <c r="T35" i="21"/>
  <c r="T40" i="21"/>
  <c r="T15" i="21"/>
  <c r="J115" i="21" l="1"/>
  <c r="J130" i="21"/>
  <c r="H110" i="21"/>
  <c r="I110" i="21" s="1"/>
  <c r="J110" i="21" s="1"/>
  <c r="H135" i="21"/>
  <c r="I135" i="21" s="1"/>
  <c r="J135" i="21" s="1"/>
  <c r="H120" i="21"/>
  <c r="I120" i="21" s="1"/>
  <c r="J120" i="21" s="1"/>
  <c r="E14" i="16"/>
  <c r="E15" i="16"/>
  <c r="E21" i="16"/>
  <c r="E31" i="16"/>
  <c r="I31" i="16" s="1"/>
  <c r="C31" i="22" s="1"/>
  <c r="E33" i="16"/>
  <c r="I33" i="16" s="1"/>
  <c r="C33" i="22" s="1"/>
  <c r="E22" i="16"/>
  <c r="E23" i="16"/>
  <c r="E32" i="16"/>
  <c r="I32" i="16" s="1"/>
  <c r="C32" i="22" s="1"/>
  <c r="E20" i="16"/>
  <c r="E18" i="16"/>
  <c r="E37" i="16"/>
  <c r="I37" i="16" s="1"/>
  <c r="C37" i="22" s="1"/>
  <c r="E16" i="16"/>
  <c r="C47" i="22"/>
  <c r="E36" i="16"/>
  <c r="I36" i="16" s="1"/>
  <c r="C36" i="22" s="1"/>
  <c r="E35" i="16"/>
  <c r="I35" i="16" s="1"/>
  <c r="C35" i="22" s="1"/>
  <c r="E34" i="16"/>
  <c r="I34" i="16" s="1"/>
  <c r="C34" i="22" s="1"/>
  <c r="E30" i="16"/>
  <c r="I30" i="16" s="1"/>
  <c r="C30" i="22" s="1"/>
  <c r="E29" i="16"/>
  <c r="I29" i="16" s="1"/>
  <c r="C29" i="22" s="1"/>
  <c r="K29" i="22" s="1"/>
  <c r="E27" i="16"/>
  <c r="E26" i="16"/>
  <c r="E25" i="16"/>
  <c r="E24" i="16"/>
  <c r="E19" i="16"/>
  <c r="E17" i="16"/>
  <c r="E13" i="16"/>
  <c r="E12" i="16"/>
  <c r="B21" i="22"/>
  <c r="B22" i="22"/>
  <c r="B23" i="22"/>
  <c r="B24" i="22"/>
  <c r="B25" i="22"/>
  <c r="B26" i="22"/>
  <c r="B27" i="22"/>
  <c r="B28" i="22"/>
  <c r="B12" i="22"/>
  <c r="B13" i="22"/>
  <c r="B14" i="22"/>
  <c r="B15" i="22"/>
  <c r="B16" i="22"/>
  <c r="B17" i="22"/>
  <c r="B18" i="22"/>
  <c r="B19" i="22"/>
  <c r="B20" i="22"/>
  <c r="A7" i="16"/>
  <c r="B22" i="8"/>
  <c r="J68" i="8"/>
  <c r="I68" i="8"/>
  <c r="J55" i="8"/>
  <c r="J45" i="8"/>
  <c r="J44" i="8"/>
  <c r="J42" i="8"/>
  <c r="J41" i="8"/>
  <c r="J39" i="8"/>
  <c r="J36" i="8"/>
  <c r="J38" i="8" s="1"/>
  <c r="C49" i="8"/>
  <c r="C50" i="8"/>
  <c r="C51" i="8"/>
  <c r="C52" i="8"/>
  <c r="C53" i="8"/>
  <c r="C5" i="18"/>
  <c r="H32" i="22" l="1"/>
  <c r="F32" i="22"/>
  <c r="E32" i="22"/>
  <c r="G32" i="22"/>
  <c r="H35" i="22"/>
  <c r="G35" i="22"/>
  <c r="F35" i="22"/>
  <c r="E35" i="22"/>
  <c r="H34" i="22"/>
  <c r="G34" i="22"/>
  <c r="F34" i="22"/>
  <c r="E34" i="22"/>
  <c r="G36" i="22"/>
  <c r="F36" i="22"/>
  <c r="E36" i="22"/>
  <c r="H36" i="22"/>
  <c r="H33" i="22"/>
  <c r="F33" i="22"/>
  <c r="E33" i="22"/>
  <c r="G33" i="22"/>
  <c r="G37" i="22"/>
  <c r="F37" i="22"/>
  <c r="E37" i="22"/>
  <c r="H37" i="22"/>
  <c r="E31" i="22"/>
  <c r="F31" i="22"/>
  <c r="H31" i="22"/>
  <c r="G31" i="22"/>
  <c r="J33" i="22"/>
  <c r="E28" i="16"/>
  <c r="J31" i="22"/>
  <c r="D32" i="22"/>
  <c r="J32" i="22"/>
  <c r="D34" i="22"/>
  <c r="J34" i="22"/>
  <c r="J35" i="22"/>
  <c r="J36" i="22"/>
  <c r="F29" i="22"/>
  <c r="J29" i="22"/>
  <c r="G29" i="22"/>
  <c r="D29" i="22"/>
  <c r="H29" i="22"/>
  <c r="E29" i="22"/>
  <c r="J37" i="22"/>
  <c r="J30" i="22"/>
  <c r="F30" i="22"/>
  <c r="G30" i="22"/>
  <c r="D30" i="22"/>
  <c r="H30" i="22"/>
  <c r="E30" i="22"/>
  <c r="J46" i="8"/>
  <c r="L34" i="22" l="1"/>
  <c r="L30" i="22"/>
  <c r="L29" i="22"/>
  <c r="L32" i="22"/>
  <c r="I19" i="16"/>
  <c r="I18" i="16"/>
  <c r="I13" i="16"/>
  <c r="I20" i="16"/>
  <c r="I24" i="16"/>
  <c r="I21" i="16"/>
  <c r="I22" i="16"/>
  <c r="I12" i="16"/>
  <c r="I15" i="16"/>
  <c r="I27" i="16"/>
  <c r="I16" i="16"/>
  <c r="I17" i="16"/>
  <c r="M5" i="22"/>
  <c r="I5" i="16"/>
  <c r="C9" i="21"/>
  <c r="C9" i="8"/>
  <c r="A7" i="22"/>
  <c r="B15" i="16"/>
  <c r="B16" i="16"/>
  <c r="B17" i="16"/>
  <c r="B18" i="16"/>
  <c r="B19" i="16"/>
  <c r="B20" i="16"/>
  <c r="B21" i="16"/>
  <c r="B22" i="16"/>
  <c r="B23" i="16"/>
  <c r="B24" i="16"/>
  <c r="B25" i="16"/>
  <c r="B26" i="16"/>
  <c r="B27" i="16"/>
  <c r="B28" i="16"/>
  <c r="B12" i="16"/>
  <c r="B13" i="16"/>
  <c r="B14" i="16"/>
  <c r="D23" i="95" l="1"/>
  <c r="D14" i="95"/>
  <c r="C109" i="21"/>
  <c r="H109" i="21" s="1"/>
  <c r="B100" i="21"/>
  <c r="C104" i="21" s="1"/>
  <c r="H104" i="21" s="1"/>
  <c r="B95" i="21"/>
  <c r="C99" i="21" s="1"/>
  <c r="H99" i="21" s="1"/>
  <c r="B90" i="21"/>
  <c r="C94" i="21" s="1"/>
  <c r="H94" i="21" s="1"/>
  <c r="B85" i="21"/>
  <c r="C89" i="21" s="1"/>
  <c r="H89" i="21" s="1"/>
  <c r="B80" i="21"/>
  <c r="C84" i="21" s="1"/>
  <c r="H84" i="21" s="1"/>
  <c r="B75" i="21"/>
  <c r="D77" i="21" s="1"/>
  <c r="B70" i="21"/>
  <c r="C74" i="21" s="1"/>
  <c r="H74" i="21" s="1"/>
  <c r="B65" i="21"/>
  <c r="C69" i="21" s="1"/>
  <c r="H69" i="21" s="1"/>
  <c r="B60" i="21"/>
  <c r="C64" i="21" s="1"/>
  <c r="H64" i="21" s="1"/>
  <c r="B55" i="21"/>
  <c r="C59" i="21" s="1"/>
  <c r="H59" i="21" s="1"/>
  <c r="B50" i="21"/>
  <c r="C54" i="21" s="1"/>
  <c r="H54" i="21" s="1"/>
  <c r="B45" i="21"/>
  <c r="C49" i="21" s="1"/>
  <c r="H49" i="21" s="1"/>
  <c r="B40" i="21"/>
  <c r="C44" i="21" s="1"/>
  <c r="H44" i="21" s="1"/>
  <c r="B35" i="21"/>
  <c r="C39" i="21" s="1"/>
  <c r="H39" i="21" s="1"/>
  <c r="B30" i="21"/>
  <c r="C34" i="21" s="1"/>
  <c r="H34" i="21" s="1"/>
  <c r="B25" i="21"/>
  <c r="C27" i="21" s="1"/>
  <c r="H27" i="21" s="1"/>
  <c r="B20" i="21"/>
  <c r="C22" i="21" s="1"/>
  <c r="H22" i="21" s="1"/>
  <c r="H9" i="21"/>
  <c r="C48" i="8"/>
  <c r="D36" i="8"/>
  <c r="N17" i="18"/>
  <c r="D20" i="105" s="1"/>
  <c r="N18" i="18"/>
  <c r="D20" i="106" s="1"/>
  <c r="N19" i="18"/>
  <c r="D20" i="107" s="1"/>
  <c r="N20" i="18"/>
  <c r="D20" i="108" s="1"/>
  <c r="N21" i="18"/>
  <c r="D20" i="109" s="1"/>
  <c r="N22" i="18"/>
  <c r="D20" i="110" s="1"/>
  <c r="N23" i="18"/>
  <c r="D20" i="111" s="1"/>
  <c r="N24" i="18"/>
  <c r="D20" i="112" s="1"/>
  <c r="N25" i="18"/>
  <c r="D20" i="113" s="1"/>
  <c r="N26" i="18"/>
  <c r="D20" i="114" s="1"/>
  <c r="N27" i="18"/>
  <c r="D20" i="115" s="1"/>
  <c r="M11" i="18"/>
  <c r="C20" i="99" s="1"/>
  <c r="M12" i="18"/>
  <c r="C20" i="100" s="1"/>
  <c r="M13" i="18"/>
  <c r="C20" i="101" s="1"/>
  <c r="M14" i="18"/>
  <c r="C20" i="102" s="1"/>
  <c r="M15" i="18"/>
  <c r="C20" i="103" s="1"/>
  <c r="M16" i="18"/>
  <c r="C20" i="104" s="1"/>
  <c r="M17" i="18"/>
  <c r="C20" i="105" s="1"/>
  <c r="M18" i="18"/>
  <c r="C20" i="106" s="1"/>
  <c r="M19" i="18"/>
  <c r="C20" i="107" s="1"/>
  <c r="M20" i="18"/>
  <c r="C20" i="108" s="1"/>
  <c r="M21" i="18"/>
  <c r="C20" i="109" s="1"/>
  <c r="M22" i="18"/>
  <c r="C20" i="110" s="1"/>
  <c r="M23" i="18"/>
  <c r="C20" i="111" s="1"/>
  <c r="M24" i="18"/>
  <c r="C20" i="112" s="1"/>
  <c r="M25" i="18"/>
  <c r="C20" i="113" s="1"/>
  <c r="M26" i="18"/>
  <c r="C20" i="114" s="1"/>
  <c r="M27" i="18"/>
  <c r="C20" i="115" s="1"/>
  <c r="D5" i="18"/>
  <c r="O5" i="18"/>
  <c r="N5" i="18"/>
  <c r="A9" i="1"/>
  <c r="B15" i="21"/>
  <c r="H52" i="19"/>
  <c r="L20" i="117" l="1"/>
  <c r="L20" i="124"/>
  <c r="L20" i="132"/>
  <c r="J20" i="123"/>
  <c r="J20" i="131"/>
  <c r="J20" i="117"/>
  <c r="L20" i="125"/>
  <c r="L20" i="133"/>
  <c r="J20" i="124"/>
  <c r="J20" i="132"/>
  <c r="L20" i="118"/>
  <c r="L20" i="126"/>
  <c r="L20" i="134"/>
  <c r="J20" i="125"/>
  <c r="J20" i="133"/>
  <c r="L20" i="119"/>
  <c r="L20" i="127"/>
  <c r="J20" i="118"/>
  <c r="J20" i="126"/>
  <c r="J20" i="134"/>
  <c r="L20" i="120"/>
  <c r="L20" i="128"/>
  <c r="J20" i="119"/>
  <c r="J20" i="127"/>
  <c r="L20" i="121"/>
  <c r="L20" i="129"/>
  <c r="J20" i="120"/>
  <c r="J20" i="128"/>
  <c r="L20" i="122"/>
  <c r="L20" i="130"/>
  <c r="J20" i="121"/>
  <c r="J20" i="129"/>
  <c r="L20" i="123"/>
  <c r="L20" i="131"/>
  <c r="J20" i="122"/>
  <c r="J20" i="130"/>
  <c r="Y54" i="21"/>
  <c r="Y94" i="21"/>
  <c r="Y59" i="21"/>
  <c r="Y99" i="21"/>
  <c r="Y22" i="21"/>
  <c r="Y64" i="21"/>
  <c r="Y104" i="21"/>
  <c r="Y27" i="21"/>
  <c r="Y69" i="21"/>
  <c r="Y109" i="21"/>
  <c r="Y34" i="21"/>
  <c r="Y74" i="21"/>
  <c r="Y39" i="21"/>
  <c r="Y44" i="21"/>
  <c r="Y84" i="21"/>
  <c r="Y49" i="21"/>
  <c r="Y89" i="21"/>
  <c r="C51" i="21"/>
  <c r="H51" i="21" s="1"/>
  <c r="C32" i="21"/>
  <c r="H32" i="21" s="1"/>
  <c r="AC84" i="21"/>
  <c r="AC89" i="21"/>
  <c r="AC44" i="21"/>
  <c r="C56" i="21"/>
  <c r="H56" i="21" s="1"/>
  <c r="AC54" i="21"/>
  <c r="AC94" i="21"/>
  <c r="D107" i="21"/>
  <c r="AC59" i="21"/>
  <c r="AC99" i="21"/>
  <c r="AC64" i="21"/>
  <c r="AC104" i="21"/>
  <c r="AC69" i="21"/>
  <c r="AC109" i="21"/>
  <c r="AC74" i="21"/>
  <c r="D72" i="21"/>
  <c r="C71" i="21"/>
  <c r="H71" i="21" s="1"/>
  <c r="D30" i="21"/>
  <c r="AC39" i="21"/>
  <c r="C27" i="16"/>
  <c r="D22" i="16"/>
  <c r="C26" i="16"/>
  <c r="C25" i="16"/>
  <c r="D28" i="16"/>
  <c r="D20" i="16"/>
  <c r="C16" i="16"/>
  <c r="D27" i="16"/>
  <c r="D19" i="16"/>
  <c r="D15" i="21"/>
  <c r="C12" i="16"/>
  <c r="D23" i="16"/>
  <c r="C19" i="16"/>
  <c r="AC49" i="21"/>
  <c r="C15" i="16"/>
  <c r="D26" i="16"/>
  <c r="D18" i="16"/>
  <c r="AC22" i="21"/>
  <c r="C20" i="16"/>
  <c r="C18" i="16"/>
  <c r="D21" i="16"/>
  <c r="C24" i="16"/>
  <c r="C14" i="16"/>
  <c r="D25" i="16"/>
  <c r="AC27" i="21"/>
  <c r="C28" i="16"/>
  <c r="C17" i="16"/>
  <c r="C23" i="16"/>
  <c r="C21" i="16"/>
  <c r="C13" i="16"/>
  <c r="D24" i="16"/>
  <c r="AC34" i="21"/>
  <c r="D57" i="21"/>
  <c r="D92" i="21"/>
  <c r="D47" i="21"/>
  <c r="D31" i="21"/>
  <c r="C96" i="21"/>
  <c r="H96" i="21" s="1"/>
  <c r="D96" i="21"/>
  <c r="D49" i="21"/>
  <c r="C91" i="21"/>
  <c r="H91" i="21" s="1"/>
  <c r="D97" i="21"/>
  <c r="D35" i="21"/>
  <c r="D21" i="21"/>
  <c r="D82" i="21"/>
  <c r="D102" i="21"/>
  <c r="C106" i="21"/>
  <c r="H106" i="21" s="1"/>
  <c r="C81" i="21"/>
  <c r="H81" i="21" s="1"/>
  <c r="C101" i="21"/>
  <c r="H101" i="21" s="1"/>
  <c r="D104" i="21"/>
  <c r="D40" i="21"/>
  <c r="C86" i="21"/>
  <c r="H86" i="21" s="1"/>
  <c r="C61" i="21"/>
  <c r="H61" i="21" s="1"/>
  <c r="C66" i="21"/>
  <c r="H66" i="21" s="1"/>
  <c r="D25" i="21"/>
  <c r="D32" i="21"/>
  <c r="D87" i="21"/>
  <c r="D42" i="21"/>
  <c r="D34" i="21"/>
  <c r="D44" i="21"/>
  <c r="D67" i="21"/>
  <c r="D52" i="21"/>
  <c r="C37" i="21"/>
  <c r="H37" i="21" s="1"/>
  <c r="D37" i="21"/>
  <c r="D39" i="21"/>
  <c r="D38" i="21"/>
  <c r="C22" i="16"/>
  <c r="C42" i="21"/>
  <c r="H42" i="21" s="1"/>
  <c r="D62" i="21"/>
  <c r="C76" i="21"/>
  <c r="H76" i="21" s="1"/>
  <c r="C79" i="21"/>
  <c r="H79" i="21" s="1"/>
  <c r="D19" i="21"/>
  <c r="C19" i="21"/>
  <c r="C18" i="21"/>
  <c r="D24" i="21"/>
  <c r="C24" i="21"/>
  <c r="H24" i="21" s="1"/>
  <c r="D29" i="21"/>
  <c r="C29" i="21"/>
  <c r="H29" i="21" s="1"/>
  <c r="I34" i="21"/>
  <c r="D28" i="21"/>
  <c r="D27" i="21"/>
  <c r="I27" i="21"/>
  <c r="D22" i="21"/>
  <c r="D20" i="21"/>
  <c r="D106" i="21"/>
  <c r="D109" i="21"/>
  <c r="C108" i="21"/>
  <c r="H108" i="21" s="1"/>
  <c r="C105" i="21"/>
  <c r="H105" i="21" s="1"/>
  <c r="D108" i="21"/>
  <c r="D105" i="21"/>
  <c r="C107" i="21"/>
  <c r="H107" i="21" s="1"/>
  <c r="D101" i="21"/>
  <c r="C103" i="21"/>
  <c r="H103" i="21" s="1"/>
  <c r="C100" i="21"/>
  <c r="H100" i="21" s="1"/>
  <c r="D103" i="21"/>
  <c r="D100" i="21"/>
  <c r="C102" i="21"/>
  <c r="H102" i="21" s="1"/>
  <c r="I104" i="21"/>
  <c r="D99" i="21"/>
  <c r="C98" i="21"/>
  <c r="H98" i="21" s="1"/>
  <c r="C95" i="21"/>
  <c r="H95" i="21" s="1"/>
  <c r="D98" i="21"/>
  <c r="D95" i="21"/>
  <c r="C97" i="21"/>
  <c r="H97" i="21" s="1"/>
  <c r="D91" i="21"/>
  <c r="D94" i="21"/>
  <c r="C93" i="21"/>
  <c r="H93" i="21" s="1"/>
  <c r="C90" i="21"/>
  <c r="H90" i="21" s="1"/>
  <c r="D93" i="21"/>
  <c r="D90" i="21"/>
  <c r="C92" i="21"/>
  <c r="H92" i="21" s="1"/>
  <c r="D86" i="21"/>
  <c r="D89" i="21"/>
  <c r="C88" i="21"/>
  <c r="H88" i="21" s="1"/>
  <c r="C85" i="21"/>
  <c r="H85" i="21" s="1"/>
  <c r="D88" i="21"/>
  <c r="D85" i="21"/>
  <c r="C87" i="21"/>
  <c r="H87" i="21" s="1"/>
  <c r="D81" i="21"/>
  <c r="D84" i="21"/>
  <c r="C83" i="21"/>
  <c r="H83" i="21" s="1"/>
  <c r="C80" i="21"/>
  <c r="H80" i="21" s="1"/>
  <c r="D83" i="21"/>
  <c r="D80" i="21"/>
  <c r="C82" i="21"/>
  <c r="H82" i="21" s="1"/>
  <c r="D76" i="21"/>
  <c r="D79" i="21"/>
  <c r="C78" i="21"/>
  <c r="H78" i="21" s="1"/>
  <c r="C75" i="21"/>
  <c r="H75" i="21" s="1"/>
  <c r="D78" i="21"/>
  <c r="D75" i="21"/>
  <c r="C77" i="21"/>
  <c r="H77" i="21" s="1"/>
  <c r="D71" i="21"/>
  <c r="D74" i="21"/>
  <c r="C73" i="21"/>
  <c r="H73" i="21" s="1"/>
  <c r="C70" i="21"/>
  <c r="H70" i="21" s="1"/>
  <c r="D73" i="21"/>
  <c r="D70" i="21"/>
  <c r="C72" i="21"/>
  <c r="H72" i="21" s="1"/>
  <c r="D66" i="21"/>
  <c r="D69" i="21"/>
  <c r="C68" i="21"/>
  <c r="H68" i="21" s="1"/>
  <c r="C65" i="21"/>
  <c r="H65" i="21" s="1"/>
  <c r="D68" i="21"/>
  <c r="D65" i="21"/>
  <c r="C67" i="21"/>
  <c r="H67" i="21" s="1"/>
  <c r="D61" i="21"/>
  <c r="D64" i="21"/>
  <c r="C63" i="21"/>
  <c r="H63" i="21" s="1"/>
  <c r="C60" i="21"/>
  <c r="H60" i="21" s="1"/>
  <c r="D63" i="21"/>
  <c r="D60" i="21"/>
  <c r="C62" i="21"/>
  <c r="H62" i="21" s="1"/>
  <c r="D56" i="21"/>
  <c r="D59" i="21"/>
  <c r="C58" i="21"/>
  <c r="H58" i="21" s="1"/>
  <c r="C55" i="21"/>
  <c r="H55" i="21" s="1"/>
  <c r="D58" i="21"/>
  <c r="D55" i="21"/>
  <c r="C57" i="21"/>
  <c r="H57" i="21" s="1"/>
  <c r="D51" i="21"/>
  <c r="D54" i="21"/>
  <c r="C53" i="21"/>
  <c r="H53" i="21" s="1"/>
  <c r="C50" i="21"/>
  <c r="H50" i="21" s="1"/>
  <c r="D53" i="21"/>
  <c r="D50" i="21"/>
  <c r="C52" i="21"/>
  <c r="H52" i="21" s="1"/>
  <c r="I44" i="21"/>
  <c r="C23" i="21"/>
  <c r="H23" i="21" s="1"/>
  <c r="C26" i="21"/>
  <c r="H26" i="21" s="1"/>
  <c r="C33" i="21"/>
  <c r="H33" i="21" s="1"/>
  <c r="C36" i="21"/>
  <c r="H36" i="21" s="1"/>
  <c r="C43" i="21"/>
  <c r="H43" i="21" s="1"/>
  <c r="C46" i="21"/>
  <c r="H46" i="21" s="1"/>
  <c r="I22" i="21"/>
  <c r="C20" i="21"/>
  <c r="H20" i="21" s="1"/>
  <c r="D23" i="21"/>
  <c r="D26" i="21"/>
  <c r="C30" i="21"/>
  <c r="H30" i="21" s="1"/>
  <c r="D33" i="21"/>
  <c r="D36" i="21"/>
  <c r="C40" i="21"/>
  <c r="D43" i="21"/>
  <c r="D46" i="21"/>
  <c r="C21" i="21"/>
  <c r="H21" i="21" s="1"/>
  <c r="C28" i="21"/>
  <c r="H28" i="21" s="1"/>
  <c r="C31" i="21"/>
  <c r="H31" i="21" s="1"/>
  <c r="C38" i="21"/>
  <c r="H38" i="21" s="1"/>
  <c r="C41" i="21"/>
  <c r="H41" i="21" s="1"/>
  <c r="C48" i="21"/>
  <c r="H48" i="21" s="1"/>
  <c r="C25" i="21"/>
  <c r="H25" i="21" s="1"/>
  <c r="C35" i="21"/>
  <c r="H35" i="21" s="1"/>
  <c r="D41" i="21"/>
  <c r="C45" i="21"/>
  <c r="H45" i="21" s="1"/>
  <c r="D48" i="21"/>
  <c r="I39" i="21"/>
  <c r="D45" i="21"/>
  <c r="C47" i="21"/>
  <c r="H47" i="21" s="1"/>
  <c r="I49" i="21"/>
  <c r="D16" i="21"/>
  <c r="C15" i="21"/>
  <c r="D17" i="21"/>
  <c r="C16" i="21"/>
  <c r="D18" i="21"/>
  <c r="C17" i="21"/>
  <c r="Y17" i="21" l="1"/>
  <c r="H17" i="21"/>
  <c r="Y18" i="21"/>
  <c r="H18" i="21"/>
  <c r="Y16" i="21"/>
  <c r="H16" i="21"/>
  <c r="Y19" i="21"/>
  <c r="H19" i="21"/>
  <c r="Y35" i="21"/>
  <c r="Y20" i="21"/>
  <c r="Y57" i="21"/>
  <c r="Y70" i="21"/>
  <c r="Y78" i="21"/>
  <c r="Y97" i="21"/>
  <c r="Y105" i="21"/>
  <c r="Y81" i="21"/>
  <c r="Y25" i="21"/>
  <c r="Y52" i="21"/>
  <c r="Y65" i="21"/>
  <c r="Y73" i="21"/>
  <c r="Y92" i="21"/>
  <c r="Y108" i="21"/>
  <c r="Y79" i="21"/>
  <c r="Y37" i="21"/>
  <c r="Y106" i="21"/>
  <c r="Y71" i="21"/>
  <c r="Y32" i="21"/>
  <c r="Y60" i="21"/>
  <c r="Y68" i="21"/>
  <c r="Y87" i="21"/>
  <c r="Y100" i="21"/>
  <c r="I100" i="21"/>
  <c r="Y29" i="21"/>
  <c r="Y76" i="21"/>
  <c r="Y66" i="21"/>
  <c r="Y96" i="21"/>
  <c r="Y51" i="21"/>
  <c r="Y48" i="21"/>
  <c r="Y41" i="21"/>
  <c r="Y43" i="21"/>
  <c r="Y55" i="21"/>
  <c r="Y63" i="21"/>
  <c r="Y82" i="21"/>
  <c r="Y95" i="21"/>
  <c r="I95" i="21"/>
  <c r="Y103" i="21"/>
  <c r="Y61" i="21"/>
  <c r="Y47" i="21"/>
  <c r="Y38" i="21"/>
  <c r="Y36" i="21"/>
  <c r="Y50" i="21"/>
  <c r="Y58" i="21"/>
  <c r="Y77" i="21"/>
  <c r="I90" i="21"/>
  <c r="Y90" i="21"/>
  <c r="Y98" i="21"/>
  <c r="Y24" i="21"/>
  <c r="Y42" i="21"/>
  <c r="Y86" i="21"/>
  <c r="Y46" i="21"/>
  <c r="Y31" i="21"/>
  <c r="Y30" i="21"/>
  <c r="Y33" i="21"/>
  <c r="Y53" i="21"/>
  <c r="Y72" i="21"/>
  <c r="Y85" i="21"/>
  <c r="I85" i="21"/>
  <c r="Y93" i="21"/>
  <c r="Y107" i="21"/>
  <c r="Y56" i="21"/>
  <c r="Y40" i="21"/>
  <c r="H40" i="21"/>
  <c r="I40" i="21" s="1"/>
  <c r="Y45" i="21"/>
  <c r="Y28" i="21"/>
  <c r="Y26" i="21"/>
  <c r="Y67" i="21"/>
  <c r="Y80" i="21"/>
  <c r="Y88" i="21"/>
  <c r="Y21" i="21"/>
  <c r="Y23" i="21"/>
  <c r="Y62" i="21"/>
  <c r="Y75" i="21"/>
  <c r="Y83" i="21"/>
  <c r="Y102" i="21"/>
  <c r="Y101" i="21"/>
  <c r="Y91" i="21"/>
  <c r="I32" i="21"/>
  <c r="AC51" i="21"/>
  <c r="AC32" i="21"/>
  <c r="AC102" i="21"/>
  <c r="AC91" i="21"/>
  <c r="I91" i="21"/>
  <c r="AC57" i="21"/>
  <c r="AC78" i="21"/>
  <c r="AC97" i="21"/>
  <c r="AC105" i="21"/>
  <c r="AC25" i="21"/>
  <c r="AC92" i="21"/>
  <c r="AC79" i="21"/>
  <c r="AC48" i="21"/>
  <c r="AC46" i="21"/>
  <c r="AC68" i="21"/>
  <c r="AC87" i="21"/>
  <c r="I87" i="21"/>
  <c r="AC71" i="21"/>
  <c r="AC23" i="21"/>
  <c r="AC83" i="21"/>
  <c r="AC73" i="21"/>
  <c r="AC108" i="21"/>
  <c r="AC47" i="21"/>
  <c r="AC43" i="21"/>
  <c r="AC63" i="21"/>
  <c r="AC103" i="21"/>
  <c r="AC36" i="21"/>
  <c r="AC77" i="21"/>
  <c r="AC58" i="21"/>
  <c r="AC30" i="21"/>
  <c r="AC33" i="21"/>
  <c r="AC53" i="21"/>
  <c r="AC72" i="21"/>
  <c r="AC93" i="21"/>
  <c r="AC107" i="21"/>
  <c r="AC52" i="21"/>
  <c r="AC37" i="21"/>
  <c r="AC38" i="21"/>
  <c r="AC98" i="21"/>
  <c r="AC28" i="21"/>
  <c r="AC67" i="21"/>
  <c r="AC88" i="21"/>
  <c r="AC62" i="21"/>
  <c r="AC106" i="21"/>
  <c r="AC40" i="21"/>
  <c r="AC75" i="21"/>
  <c r="AC26" i="21"/>
  <c r="AC80" i="21"/>
  <c r="AC70" i="21"/>
  <c r="AC56" i="21"/>
  <c r="AC17" i="21"/>
  <c r="AC61" i="21"/>
  <c r="AC41" i="21"/>
  <c r="AC85" i="21"/>
  <c r="AC18" i="21"/>
  <c r="AC16" i="21"/>
  <c r="AC31" i="21"/>
  <c r="AC55" i="21"/>
  <c r="AC82" i="21"/>
  <c r="AC95" i="21"/>
  <c r="AC19" i="21"/>
  <c r="AC101" i="21"/>
  <c r="AC86" i="21"/>
  <c r="AC45" i="21"/>
  <c r="AC50" i="21"/>
  <c r="AC90" i="21"/>
  <c r="AC81" i="21"/>
  <c r="AC42" i="21"/>
  <c r="AC65" i="21"/>
  <c r="AC100" i="21"/>
  <c r="AC21" i="21"/>
  <c r="AC24" i="21"/>
  <c r="AC60" i="21"/>
  <c r="AC35" i="21"/>
  <c r="AC20" i="21"/>
  <c r="AC29" i="21"/>
  <c r="AC76" i="21"/>
  <c r="AC66" i="21"/>
  <c r="AC96" i="21"/>
  <c r="Y15" i="21"/>
  <c r="AC15" i="21"/>
  <c r="I82" i="21"/>
  <c r="I75" i="21"/>
  <c r="I37" i="21"/>
  <c r="I24" i="21"/>
  <c r="I42" i="21"/>
  <c r="I29" i="21"/>
  <c r="I108" i="21"/>
  <c r="I109" i="21"/>
  <c r="I107" i="21"/>
  <c r="I103" i="21"/>
  <c r="I102" i="21"/>
  <c r="I98" i="21"/>
  <c r="I97" i="21"/>
  <c r="I99" i="21"/>
  <c r="I93" i="21"/>
  <c r="I92" i="21"/>
  <c r="I94" i="21"/>
  <c r="I88" i="21"/>
  <c r="I89" i="21"/>
  <c r="I83" i="21"/>
  <c r="I84" i="21"/>
  <c r="I78" i="21"/>
  <c r="I79" i="21"/>
  <c r="I77" i="21"/>
  <c r="I68" i="21"/>
  <c r="I67" i="21"/>
  <c r="I69" i="21"/>
  <c r="I63" i="21"/>
  <c r="I64" i="21"/>
  <c r="I62" i="21"/>
  <c r="I58" i="21"/>
  <c r="I57" i="21"/>
  <c r="I59" i="21"/>
  <c r="I53" i="21"/>
  <c r="I54" i="21"/>
  <c r="I48" i="21"/>
  <c r="I47" i="21"/>
  <c r="I23" i="21"/>
  <c r="I38" i="21"/>
  <c r="I28" i="21"/>
  <c r="I43" i="21"/>
  <c r="I36" i="21"/>
  <c r="I33" i="21"/>
  <c r="I74" i="21"/>
  <c r="L20" i="101" l="1"/>
  <c r="AD105" i="21"/>
  <c r="L20" i="116" s="1"/>
  <c r="AD70" i="21"/>
  <c r="L20" i="109" s="1"/>
  <c r="AD45" i="21"/>
  <c r="L20" i="104" s="1"/>
  <c r="AD35" i="21"/>
  <c r="L20" i="102" s="1"/>
  <c r="AD25" i="21"/>
  <c r="L20" i="100" s="1"/>
  <c r="AD90" i="21"/>
  <c r="L20" i="113" s="1"/>
  <c r="AD75" i="21"/>
  <c r="L20" i="110" s="1"/>
  <c r="AD50" i="21"/>
  <c r="L20" i="105" s="1"/>
  <c r="AD60" i="21"/>
  <c r="L20" i="107" s="1"/>
  <c r="AD55" i="21"/>
  <c r="L20" i="106" s="1"/>
  <c r="AD85" i="21"/>
  <c r="L20" i="112" s="1"/>
  <c r="AD40" i="21"/>
  <c r="L20" i="103" s="1"/>
  <c r="AD100" i="21"/>
  <c r="L20" i="115" s="1"/>
  <c r="AD80" i="21"/>
  <c r="L20" i="111" s="1"/>
  <c r="AD15" i="21"/>
  <c r="AD65" i="21"/>
  <c r="L20" i="108" s="1"/>
  <c r="AD20" i="21"/>
  <c r="L20" i="99" s="1"/>
  <c r="AD95" i="21"/>
  <c r="L20" i="114" s="1"/>
  <c r="Z15" i="21"/>
  <c r="Z25" i="21"/>
  <c r="J20" i="100" s="1"/>
  <c r="Z75" i="21"/>
  <c r="J20" i="110" s="1"/>
  <c r="Z85" i="21"/>
  <c r="J20" i="112" s="1"/>
  <c r="Z95" i="21"/>
  <c r="J20" i="114" s="1"/>
  <c r="Z50" i="21"/>
  <c r="J20" i="105" s="1"/>
  <c r="Z80" i="21"/>
  <c r="J20" i="111" s="1"/>
  <c r="Z70" i="21"/>
  <c r="J20" i="109" s="1"/>
  <c r="Z90" i="21"/>
  <c r="J20" i="113" s="1"/>
  <c r="Z65" i="21"/>
  <c r="J20" i="108" s="1"/>
  <c r="Z100" i="21"/>
  <c r="J20" i="115" s="1"/>
  <c r="Z35" i="21"/>
  <c r="J20" i="102" s="1"/>
  <c r="Z60" i="21"/>
  <c r="J20" i="107" s="1"/>
  <c r="Z40" i="21"/>
  <c r="J20" i="103" s="1"/>
  <c r="Z20" i="21"/>
  <c r="J20" i="99" s="1"/>
  <c r="Z105" i="21"/>
  <c r="J20" i="116" s="1"/>
  <c r="Z55" i="21"/>
  <c r="J20" i="106" s="1"/>
  <c r="Z45" i="21"/>
  <c r="J20" i="104" s="1"/>
  <c r="Z30" i="21"/>
  <c r="J20" i="101" s="1"/>
  <c r="I45" i="21"/>
  <c r="I60" i="21"/>
  <c r="I61" i="21"/>
  <c r="I31" i="21"/>
  <c r="I55" i="21"/>
  <c r="I50" i="21"/>
  <c r="I65" i="21"/>
  <c r="I86" i="21"/>
  <c r="J85" i="21" s="1"/>
  <c r="I51" i="21"/>
  <c r="I70" i="21"/>
  <c r="I76" i="21"/>
  <c r="J75" i="21" s="1"/>
  <c r="I81" i="21"/>
  <c r="I26" i="21"/>
  <c r="I46" i="21"/>
  <c r="I73" i="21"/>
  <c r="I80" i="21"/>
  <c r="I52" i="21"/>
  <c r="I106" i="21"/>
  <c r="I35" i="21"/>
  <c r="J35" i="21" s="1"/>
  <c r="I56" i="21"/>
  <c r="I101" i="21"/>
  <c r="J100" i="21" s="1"/>
  <c r="I105" i="21"/>
  <c r="I41" i="21"/>
  <c r="J40" i="21" s="1"/>
  <c r="I20" i="21"/>
  <c r="I66" i="21"/>
  <c r="I25" i="21"/>
  <c r="I21" i="21"/>
  <c r="I30" i="21"/>
  <c r="I71" i="21"/>
  <c r="I72" i="21"/>
  <c r="I96" i="21"/>
  <c r="J95" i="21" s="1"/>
  <c r="J90" i="21"/>
  <c r="J105" i="21" l="1"/>
  <c r="J45" i="21"/>
  <c r="J60" i="21"/>
  <c r="J55" i="21"/>
  <c r="J80" i="21"/>
  <c r="J65" i="21"/>
  <c r="J30" i="21"/>
  <c r="J25" i="21"/>
  <c r="C14" i="22"/>
  <c r="K14" i="22" s="1"/>
  <c r="C20" i="22"/>
  <c r="K20" i="22" s="1"/>
  <c r="J50" i="21"/>
  <c r="J20" i="21"/>
  <c r="J70" i="21"/>
  <c r="J20" i="22" l="1"/>
  <c r="D14" i="22"/>
  <c r="J14" i="22"/>
  <c r="H14" i="22"/>
  <c r="G14" i="22"/>
  <c r="F14" i="22"/>
  <c r="E14" i="22"/>
  <c r="H20" i="22"/>
  <c r="G20" i="22"/>
  <c r="F20" i="22"/>
  <c r="E20" i="22"/>
  <c r="C24" i="22"/>
  <c r="K24" i="22" s="1"/>
  <c r="C12" i="22"/>
  <c r="K12" i="22" s="1"/>
  <c r="C15" i="22"/>
  <c r="K15" i="22" s="1"/>
  <c r="C19" i="22"/>
  <c r="K19" i="22" s="1"/>
  <c r="C22" i="22"/>
  <c r="K22" i="22" s="1"/>
  <c r="C17" i="22"/>
  <c r="K17" i="22" s="1"/>
  <c r="C23" i="22"/>
  <c r="K23" i="22" s="1"/>
  <c r="C21" i="22"/>
  <c r="K21" i="22" s="1"/>
  <c r="C18" i="22"/>
  <c r="K18" i="22" s="1"/>
  <c r="C16" i="22"/>
  <c r="K16" i="22" s="1"/>
  <c r="C13" i="22"/>
  <c r="K13" i="22" s="1"/>
  <c r="C27" i="22"/>
  <c r="K27" i="22" s="1"/>
  <c r="L14" i="22" l="1"/>
  <c r="J16" i="22"/>
  <c r="J18" i="22"/>
  <c r="J12" i="22"/>
  <c r="D23" i="22"/>
  <c r="J23" i="22"/>
  <c r="D21" i="22"/>
  <c r="J21" i="22"/>
  <c r="J22" i="22"/>
  <c r="D27" i="22"/>
  <c r="J27" i="22"/>
  <c r="J19" i="22"/>
  <c r="J24" i="22"/>
  <c r="J17" i="22"/>
  <c r="J13" i="22"/>
  <c r="J15" i="22"/>
  <c r="E16" i="22"/>
  <c r="H16" i="22"/>
  <c r="G16" i="22"/>
  <c r="F16" i="22"/>
  <c r="H21" i="22"/>
  <c r="G21" i="22"/>
  <c r="F21" i="22"/>
  <c r="E21" i="22"/>
  <c r="H23" i="22"/>
  <c r="G23" i="22"/>
  <c r="F23" i="22"/>
  <c r="E23" i="22"/>
  <c r="H12" i="22"/>
  <c r="G12" i="22"/>
  <c r="F12" i="22"/>
  <c r="E12" i="22"/>
  <c r="F18" i="22"/>
  <c r="E18" i="22"/>
  <c r="G18" i="22"/>
  <c r="H18" i="22"/>
  <c r="E17" i="22"/>
  <c r="H17" i="22"/>
  <c r="F17" i="22"/>
  <c r="G17" i="22"/>
  <c r="H22" i="22"/>
  <c r="G22" i="22"/>
  <c r="F22" i="22"/>
  <c r="E22" i="22"/>
  <c r="E24" i="22"/>
  <c r="H24" i="22"/>
  <c r="G24" i="22"/>
  <c r="F24" i="22"/>
  <c r="G27" i="22"/>
  <c r="F27" i="22"/>
  <c r="E27" i="22"/>
  <c r="H27" i="22"/>
  <c r="G19" i="22"/>
  <c r="F19" i="22"/>
  <c r="E19" i="22"/>
  <c r="H19" i="22"/>
  <c r="H13" i="22"/>
  <c r="G13" i="22"/>
  <c r="F13" i="22"/>
  <c r="E13" i="22"/>
  <c r="H15" i="22"/>
  <c r="G15" i="22"/>
  <c r="F15" i="22"/>
  <c r="E15" i="22"/>
  <c r="C28" i="22"/>
  <c r="K28" i="22" s="1"/>
  <c r="C26" i="22"/>
  <c r="K26" i="22" s="1"/>
  <c r="C25" i="22"/>
  <c r="K25" i="22" s="1"/>
  <c r="E45" i="8"/>
  <c r="F45" i="8"/>
  <c r="G45" i="8"/>
  <c r="H45" i="8"/>
  <c r="I45" i="8"/>
  <c r="D45" i="8"/>
  <c r="E42" i="8"/>
  <c r="F42" i="8"/>
  <c r="G42" i="8"/>
  <c r="H42" i="8"/>
  <c r="I42" i="8"/>
  <c r="D42" i="8"/>
  <c r="E36" i="8"/>
  <c r="E44" i="8" s="1"/>
  <c r="F36" i="8"/>
  <c r="F44" i="8" s="1"/>
  <c r="G36" i="8"/>
  <c r="G44" i="8" s="1"/>
  <c r="H36" i="8"/>
  <c r="H44" i="8" s="1"/>
  <c r="I36" i="8"/>
  <c r="I44" i="8" s="1"/>
  <c r="D44" i="8"/>
  <c r="H4" i="18"/>
  <c r="C4" i="18"/>
  <c r="E2" i="18"/>
  <c r="L27" i="22" l="1"/>
  <c r="L21" i="22"/>
  <c r="L23" i="22"/>
  <c r="D28" i="22"/>
  <c r="J28" i="22"/>
  <c r="D26" i="22"/>
  <c r="J26" i="22"/>
  <c r="D25" i="22"/>
  <c r="J25" i="22"/>
  <c r="F26" i="22"/>
  <c r="E26" i="22"/>
  <c r="G26" i="22"/>
  <c r="H26" i="22"/>
  <c r="H28" i="22"/>
  <c r="G28" i="22"/>
  <c r="F28" i="22"/>
  <c r="E28" i="22"/>
  <c r="E25" i="22"/>
  <c r="H25" i="22"/>
  <c r="F25" i="22"/>
  <c r="G25" i="22"/>
  <c r="B11" i="22"/>
  <c r="C10" i="21"/>
  <c r="C8" i="21"/>
  <c r="A4" i="21"/>
  <c r="B43" i="20"/>
  <c r="B38" i="20"/>
  <c r="B33" i="20"/>
  <c r="B28" i="20"/>
  <c r="B23" i="20"/>
  <c r="B18" i="20"/>
  <c r="B13" i="20"/>
  <c r="C9" i="20"/>
  <c r="C8" i="20"/>
  <c r="A4" i="20"/>
  <c r="B18" i="19"/>
  <c r="C9" i="19"/>
  <c r="C8" i="19"/>
  <c r="A4" i="19"/>
  <c r="B43" i="19"/>
  <c r="B38" i="19"/>
  <c r="B33" i="19"/>
  <c r="B28" i="19"/>
  <c r="B23" i="19"/>
  <c r="B13" i="19"/>
  <c r="L26" i="22" l="1"/>
  <c r="L28" i="22"/>
  <c r="L25" i="22"/>
  <c r="C44" i="19"/>
  <c r="C43" i="19"/>
  <c r="C46" i="19"/>
  <c r="C45" i="19"/>
  <c r="C47" i="19"/>
  <c r="L47" i="19" s="1"/>
  <c r="C47" i="20"/>
  <c r="N47" i="20" s="1"/>
  <c r="C46" i="20"/>
  <c r="N46" i="20" s="1"/>
  <c r="C45" i="20"/>
  <c r="N45" i="20" s="1"/>
  <c r="C44" i="20"/>
  <c r="N44" i="20" s="1"/>
  <c r="C43" i="20"/>
  <c r="N43" i="20" s="1"/>
  <c r="C41" i="19"/>
  <c r="C40" i="19"/>
  <c r="C39" i="19"/>
  <c r="C38" i="19"/>
  <c r="C42" i="19"/>
  <c r="K42" i="19" s="1"/>
  <c r="D40" i="20"/>
  <c r="C39" i="20"/>
  <c r="N39" i="20" s="1"/>
  <c r="C38" i="20"/>
  <c r="N38" i="20" s="1"/>
  <c r="C42" i="20"/>
  <c r="N42" i="20" s="1"/>
  <c r="C41" i="20"/>
  <c r="N41" i="20" s="1"/>
  <c r="C40" i="20"/>
  <c r="N40" i="20" s="1"/>
  <c r="C37" i="19"/>
  <c r="C36" i="19"/>
  <c r="C35" i="19"/>
  <c r="K35" i="19" s="1"/>
  <c r="C34" i="19"/>
  <c r="C33" i="19"/>
  <c r="D34" i="20"/>
  <c r="C37" i="20"/>
  <c r="N37" i="20" s="1"/>
  <c r="C36" i="20"/>
  <c r="N36" i="20" s="1"/>
  <c r="C35" i="20"/>
  <c r="N35" i="20" s="1"/>
  <c r="C34" i="20"/>
  <c r="N34" i="20" s="1"/>
  <c r="C33" i="20"/>
  <c r="N33" i="20" s="1"/>
  <c r="C28" i="19"/>
  <c r="C32" i="19"/>
  <c r="L32" i="19" s="1"/>
  <c r="C31" i="19"/>
  <c r="C30" i="19"/>
  <c r="C29" i="19"/>
  <c r="C31" i="20"/>
  <c r="N31" i="20" s="1"/>
  <c r="C30" i="20"/>
  <c r="N30" i="20" s="1"/>
  <c r="C29" i="20"/>
  <c r="N29" i="20" s="1"/>
  <c r="C28" i="20"/>
  <c r="N28" i="20" s="1"/>
  <c r="C32" i="20"/>
  <c r="N32" i="20" s="1"/>
  <c r="C23" i="20"/>
  <c r="N23" i="20" s="1"/>
  <c r="C27" i="20"/>
  <c r="N27" i="20" s="1"/>
  <c r="C26" i="20"/>
  <c r="N26" i="20" s="1"/>
  <c r="C25" i="20"/>
  <c r="N25" i="20" s="1"/>
  <c r="C24" i="20"/>
  <c r="N24" i="20" s="1"/>
  <c r="D25" i="19"/>
  <c r="C24" i="19"/>
  <c r="C27" i="19"/>
  <c r="C26" i="19"/>
  <c r="C23" i="19"/>
  <c r="C25" i="19"/>
  <c r="J25" i="19" s="1"/>
  <c r="C22" i="20"/>
  <c r="N22" i="20" s="1"/>
  <c r="C21" i="20"/>
  <c r="N21" i="20" s="1"/>
  <c r="C20" i="20"/>
  <c r="N20" i="20" s="1"/>
  <c r="C19" i="20"/>
  <c r="N19" i="20" s="1"/>
  <c r="C18" i="20"/>
  <c r="N18" i="20" s="1"/>
  <c r="C21" i="19"/>
  <c r="K21" i="19" s="1"/>
  <c r="C20" i="19"/>
  <c r="K20" i="19" s="1"/>
  <c r="C19" i="19"/>
  <c r="K19" i="19" s="1"/>
  <c r="C18" i="19"/>
  <c r="K18" i="19" s="1"/>
  <c r="C22" i="19"/>
  <c r="K22" i="19" s="1"/>
  <c r="D13" i="20"/>
  <c r="C17" i="20"/>
  <c r="N17" i="20" s="1"/>
  <c r="I19" i="21"/>
  <c r="D17" i="19"/>
  <c r="C17" i="19"/>
  <c r="D26" i="19"/>
  <c r="D31" i="20"/>
  <c r="D23" i="19"/>
  <c r="D24" i="19"/>
  <c r="D27" i="19"/>
  <c r="P23" i="20"/>
  <c r="P18" i="20"/>
  <c r="P38" i="20"/>
  <c r="C10" i="19"/>
  <c r="O23" i="19"/>
  <c r="O18" i="19"/>
  <c r="O33" i="19"/>
  <c r="O28" i="19"/>
  <c r="O13" i="19"/>
  <c r="O38" i="19"/>
  <c r="O43" i="19"/>
  <c r="I18" i="21"/>
  <c r="D16" i="20"/>
  <c r="D14" i="20"/>
  <c r="D17" i="20"/>
  <c r="C13" i="20"/>
  <c r="N13" i="20" s="1"/>
  <c r="C14" i="20"/>
  <c r="N14" i="20" s="1"/>
  <c r="C15" i="20"/>
  <c r="N15" i="20" s="1"/>
  <c r="D15" i="20"/>
  <c r="C16" i="20"/>
  <c r="N16" i="20" s="1"/>
  <c r="D32" i="20"/>
  <c r="D28" i="20"/>
  <c r="P28" i="20"/>
  <c r="P43" i="20"/>
  <c r="D20" i="20"/>
  <c r="D44" i="20"/>
  <c r="D46" i="20"/>
  <c r="D43" i="20"/>
  <c r="D38" i="20"/>
  <c r="D24" i="20"/>
  <c r="D26" i="20"/>
  <c r="D23" i="20"/>
  <c r="D27" i="20"/>
  <c r="D36" i="20"/>
  <c r="D37" i="20"/>
  <c r="D22" i="20"/>
  <c r="D19" i="20"/>
  <c r="D18" i="20"/>
  <c r="D21" i="20"/>
  <c r="D25" i="20"/>
  <c r="D42" i="20"/>
  <c r="D41" i="20"/>
  <c r="D39" i="20"/>
  <c r="D47" i="20"/>
  <c r="D33" i="20"/>
  <c r="D45" i="20"/>
  <c r="D35" i="20"/>
  <c r="C10" i="20"/>
  <c r="P13" i="20"/>
  <c r="D30" i="20"/>
  <c r="D29" i="20"/>
  <c r="P33" i="20"/>
  <c r="C14" i="19"/>
  <c r="C15" i="19"/>
  <c r="C16" i="19"/>
  <c r="D44" i="19"/>
  <c r="D16" i="19"/>
  <c r="C13" i="19"/>
  <c r="D41" i="19"/>
  <c r="D42" i="19"/>
  <c r="D43" i="19"/>
  <c r="D18" i="19"/>
  <c r="D36" i="19"/>
  <c r="D35" i="19"/>
  <c r="D15" i="19"/>
  <c r="D14" i="19"/>
  <c r="D13" i="19"/>
  <c r="D22" i="19"/>
  <c r="D21" i="19"/>
  <c r="D19" i="19"/>
  <c r="D33" i="19"/>
  <c r="D34" i="19"/>
  <c r="D37" i="19"/>
  <c r="D20" i="19"/>
  <c r="D32" i="19"/>
  <c r="D31" i="19"/>
  <c r="D30" i="19"/>
  <c r="D29" i="19"/>
  <c r="D28" i="19"/>
  <c r="D40" i="19"/>
  <c r="D39" i="19"/>
  <c r="D38" i="19"/>
  <c r="D47" i="19"/>
  <c r="D46" i="19"/>
  <c r="D45" i="19"/>
  <c r="J47" i="19" l="1"/>
  <c r="K47" i="19"/>
  <c r="J35" i="19"/>
  <c r="L42" i="19"/>
  <c r="L35" i="19"/>
  <c r="J32" i="19"/>
  <c r="J42" i="19"/>
  <c r="J22" i="19"/>
  <c r="M35" i="19"/>
  <c r="K32" i="19"/>
  <c r="L22" i="19"/>
  <c r="J26" i="19"/>
  <c r="M42" i="19"/>
  <c r="M47" i="19"/>
  <c r="J37" i="19"/>
  <c r="J39" i="19"/>
  <c r="J46" i="19"/>
  <c r="J44" i="19"/>
  <c r="J43" i="19"/>
  <c r="J34" i="19"/>
  <c r="M32" i="19"/>
  <c r="J33" i="19"/>
  <c r="M22" i="19"/>
  <c r="J29" i="19"/>
  <c r="J36" i="19"/>
  <c r="L39" i="19"/>
  <c r="K39" i="19"/>
  <c r="J17" i="19"/>
  <c r="L17" i="19"/>
  <c r="K17" i="19"/>
  <c r="M17" i="19"/>
  <c r="K27" i="19"/>
  <c r="L27" i="19"/>
  <c r="J27" i="19"/>
  <c r="L28" i="19"/>
  <c r="K28" i="19"/>
  <c r="J28" i="19"/>
  <c r="K43" i="19"/>
  <c r="L43" i="19"/>
  <c r="K44" i="19"/>
  <c r="L44" i="19"/>
  <c r="K45" i="19"/>
  <c r="L45" i="19"/>
  <c r="J45" i="19"/>
  <c r="K30" i="19"/>
  <c r="L30" i="19"/>
  <c r="J30" i="19"/>
  <c r="K33" i="19"/>
  <c r="L33" i="19"/>
  <c r="K34" i="19"/>
  <c r="L34" i="19"/>
  <c r="K29" i="19"/>
  <c r="L29" i="19"/>
  <c r="K13" i="19"/>
  <c r="L13" i="19"/>
  <c r="K40" i="19"/>
  <c r="L40" i="19"/>
  <c r="J40" i="19"/>
  <c r="L14" i="19"/>
  <c r="K14" i="19"/>
  <c r="J23" i="19"/>
  <c r="J38" i="19"/>
  <c r="L24" i="19"/>
  <c r="K24" i="19"/>
  <c r="K25" i="19"/>
  <c r="L25" i="19"/>
  <c r="K26" i="19"/>
  <c r="L26" i="19"/>
  <c r="L23" i="19"/>
  <c r="K23" i="19"/>
  <c r="K31" i="19"/>
  <c r="L31" i="19"/>
  <c r="K41" i="19"/>
  <c r="L41" i="19"/>
  <c r="K15" i="19"/>
  <c r="L15" i="19"/>
  <c r="L38" i="19"/>
  <c r="K38" i="19"/>
  <c r="J41" i="19"/>
  <c r="L36" i="19"/>
  <c r="K36" i="19"/>
  <c r="J16" i="19"/>
  <c r="L16" i="19"/>
  <c r="K16" i="19"/>
  <c r="M16" i="19"/>
  <c r="J31" i="19"/>
  <c r="K46" i="19"/>
  <c r="L46" i="19"/>
  <c r="K37" i="19"/>
  <c r="L37" i="19"/>
  <c r="J24" i="19"/>
  <c r="L18" i="19"/>
  <c r="J18" i="19"/>
  <c r="L20" i="19"/>
  <c r="J20" i="19"/>
  <c r="J19" i="19"/>
  <c r="L19" i="19"/>
  <c r="J21" i="19"/>
  <c r="L21" i="19"/>
  <c r="J14" i="19"/>
  <c r="J15" i="19"/>
  <c r="J13" i="19"/>
  <c r="M26" i="19" l="1"/>
  <c r="M43" i="19"/>
  <c r="M45" i="19"/>
  <c r="M36" i="19"/>
  <c r="M38" i="19"/>
  <c r="M40" i="19"/>
  <c r="M44" i="19"/>
  <c r="M13" i="19"/>
  <c r="M18" i="19"/>
  <c r="M37" i="19"/>
  <c r="M24" i="19"/>
  <c r="M46" i="19"/>
  <c r="M25" i="19"/>
  <c r="M29" i="19"/>
  <c r="M34" i="19"/>
  <c r="M33" i="19"/>
  <c r="M39" i="19"/>
  <c r="M41" i="19"/>
  <c r="M27" i="19"/>
  <c r="M23" i="19"/>
  <c r="M15" i="19"/>
  <c r="M14" i="19"/>
  <c r="M31" i="19"/>
  <c r="M30" i="19"/>
  <c r="M28" i="19"/>
  <c r="M21" i="19"/>
  <c r="M20" i="19"/>
  <c r="M19" i="19"/>
  <c r="N43" i="19" l="1"/>
  <c r="P43" i="19" s="1"/>
  <c r="N33" i="19"/>
  <c r="P33" i="19" s="1"/>
  <c r="N23" i="19"/>
  <c r="P23" i="19" s="1"/>
  <c r="N38" i="19"/>
  <c r="P38" i="19" s="1"/>
  <c r="N13" i="19"/>
  <c r="P13" i="19" s="1"/>
  <c r="N28" i="19"/>
  <c r="N18" i="19"/>
  <c r="P18" i="19" s="1"/>
  <c r="D39" i="8"/>
  <c r="D46" i="8" s="1"/>
  <c r="I41" i="8"/>
  <c r="I38" i="8"/>
  <c r="I55" i="8"/>
  <c r="E55" i="8"/>
  <c r="E68" i="8" s="1"/>
  <c r="F55" i="8"/>
  <c r="F68" i="8" s="1"/>
  <c r="G55" i="8"/>
  <c r="G68" i="8" s="1"/>
  <c r="H55" i="8"/>
  <c r="H68" i="8" s="1"/>
  <c r="D55" i="8"/>
  <c r="D68" i="8" l="1"/>
  <c r="L16" i="8" s="1"/>
  <c r="O43" i="20"/>
  <c r="Q43" i="20" s="1"/>
  <c r="O38" i="20"/>
  <c r="Q38" i="20" s="1"/>
  <c r="O18" i="20"/>
  <c r="Q18" i="20" s="1"/>
  <c r="O23" i="20"/>
  <c r="Q23" i="20" s="1"/>
  <c r="O33" i="20"/>
  <c r="Q33" i="20" s="1"/>
  <c r="O13" i="20"/>
  <c r="Q13" i="20" s="1"/>
  <c r="O28" i="20"/>
  <c r="Q28" i="20" s="1"/>
  <c r="P28" i="19"/>
  <c r="I39" i="8"/>
  <c r="I46" i="8" s="1"/>
  <c r="I14" i="8" l="1"/>
  <c r="N10" i="18"/>
  <c r="D11" i="16" s="1"/>
  <c r="B11" i="16"/>
  <c r="L20" i="8" l="1"/>
  <c r="J20" i="8"/>
  <c r="D18" i="8"/>
  <c r="D17" i="8"/>
  <c r="D20" i="8"/>
  <c r="D16" i="8"/>
  <c r="D19" i="8"/>
  <c r="E15" i="8"/>
  <c r="D15" i="8"/>
  <c r="L8" i="8"/>
  <c r="M10" i="18"/>
  <c r="C20" i="8" s="1"/>
  <c r="C8" i="8"/>
  <c r="B4" i="8"/>
  <c r="J14" i="8" l="1"/>
  <c r="J16" i="8"/>
  <c r="K16" i="8" s="1"/>
  <c r="E17" i="8"/>
  <c r="E18" i="8"/>
  <c r="G18" i="21" s="1"/>
  <c r="E19" i="8"/>
  <c r="G19" i="21" s="1"/>
  <c r="E16" i="8"/>
  <c r="G19" i="8"/>
  <c r="F19" i="8"/>
  <c r="G18" i="8"/>
  <c r="F18" i="8"/>
  <c r="C11" i="16"/>
  <c r="N13" i="18" l="1"/>
  <c r="D20" i="101" s="1"/>
  <c r="N16" i="18"/>
  <c r="D20" i="104" s="1"/>
  <c r="N12" i="18"/>
  <c r="D20" i="100" s="1"/>
  <c r="N14" i="18"/>
  <c r="D20" i="102" s="1"/>
  <c r="N11" i="18"/>
  <c r="D20" i="99" s="1"/>
  <c r="N15" i="18"/>
  <c r="D20" i="103" s="1"/>
  <c r="C9" i="1"/>
  <c r="D15" i="16" l="1"/>
  <c r="D17" i="16"/>
  <c r="D16" i="16"/>
  <c r="D12" i="16"/>
  <c r="D13" i="16"/>
  <c r="D14" i="16"/>
  <c r="D41" i="8"/>
  <c r="D38" i="8"/>
  <c r="G38" i="8"/>
  <c r="G41" i="8"/>
  <c r="F41" i="8"/>
  <c r="F38" i="8"/>
  <c r="H38" i="8"/>
  <c r="H41" i="8"/>
  <c r="E41" i="8"/>
  <c r="E39" i="8"/>
  <c r="E38" i="8"/>
  <c r="H39" i="8"/>
  <c r="H46" i="8" s="1"/>
  <c r="G39" i="8"/>
  <c r="G46" i="8" s="1"/>
  <c r="F39" i="8"/>
  <c r="F46" i="8" s="1"/>
  <c r="E46" i="8" l="1"/>
  <c r="G16" i="8"/>
  <c r="F16" i="8"/>
  <c r="G16" i="21"/>
  <c r="I16" i="21" s="1"/>
  <c r="F15" i="8" l="1"/>
  <c r="E20" i="8"/>
  <c r="K14" i="8" s="1"/>
  <c r="L14" i="8" s="1"/>
  <c r="G15" i="8"/>
  <c r="H15" i="8" s="1"/>
  <c r="G15" i="21"/>
  <c r="H15" i="21" s="1"/>
  <c r="G17" i="21"/>
  <c r="I17" i="21" s="1"/>
  <c r="G17" i="8"/>
  <c r="F17" i="8"/>
  <c r="I15" i="21" l="1"/>
  <c r="J15" i="21" s="1"/>
  <c r="H20" i="8"/>
  <c r="G20" i="8"/>
  <c r="F20" i="8"/>
  <c r="I11" i="8" l="1"/>
  <c r="E11" i="16" s="1"/>
  <c r="I11" i="16" s="1"/>
  <c r="D7" i="95" l="1"/>
  <c r="C11" i="22"/>
  <c r="J11" i="22" l="1"/>
  <c r="K11" i="22"/>
  <c r="E24" i="95"/>
  <c r="C24" i="95"/>
  <c r="E22" i="95"/>
  <c r="C22" i="95"/>
  <c r="F4" i="95"/>
  <c r="E10" i="95" s="1"/>
  <c r="C19" i="95"/>
  <c r="E19" i="95"/>
  <c r="E21" i="95"/>
  <c r="C21" i="95"/>
  <c r="F2" i="95"/>
  <c r="J3" i="95"/>
  <c r="J2" i="95"/>
  <c r="H2" i="95"/>
  <c r="C36" i="95" s="1"/>
  <c r="G11" i="22"/>
  <c r="E11" i="22"/>
  <c r="F11" i="22"/>
  <c r="H11" i="22"/>
  <c r="F3" i="95" l="1" a="1"/>
  <c r="F3" i="95" s="1"/>
  <c r="E41" i="95"/>
  <c r="C10" i="95"/>
  <c r="J4" i="95"/>
  <c r="I11" i="95" s="1"/>
  <c r="I17" i="95"/>
  <c r="I25" i="95"/>
  <c r="I23" i="95"/>
  <c r="I26" i="95"/>
  <c r="I42" i="95"/>
  <c r="I30" i="95"/>
  <c r="I15" i="95"/>
  <c r="I28" i="95"/>
  <c r="E42" i="95"/>
  <c r="E28" i="95"/>
  <c r="C25" i="95"/>
  <c r="C34" i="95"/>
  <c r="C35" i="95"/>
  <c r="C39" i="95"/>
  <c r="C37" i="95"/>
  <c r="C38" i="95"/>
  <c r="C40" i="95"/>
  <c r="C41" i="95"/>
  <c r="E26" i="95"/>
  <c r="E25" i="95"/>
  <c r="E30" i="95"/>
  <c r="C14" i="95"/>
  <c r="C18" i="95"/>
  <c r="C31" i="95"/>
  <c r="C26" i="95"/>
  <c r="C28" i="95"/>
  <c r="C13" i="95"/>
  <c r="C30" i="95"/>
  <c r="C32" i="95"/>
  <c r="C11" i="95"/>
  <c r="C29" i="95"/>
  <c r="C23" i="95"/>
  <c r="C20" i="95"/>
  <c r="C15" i="95"/>
  <c r="C9" i="95"/>
  <c r="C17" i="95"/>
  <c r="C16" i="95"/>
  <c r="C27" i="95"/>
  <c r="C7" i="95"/>
  <c r="C12" i="95"/>
  <c r="C8" i="95"/>
  <c r="C43" i="95"/>
  <c r="C33" i="95"/>
  <c r="E23" i="95"/>
  <c r="E17" i="95"/>
  <c r="I7" i="95"/>
  <c r="E27" i="95" l="1"/>
  <c r="D31" i="22" s="1"/>
  <c r="L31" i="22" s="1"/>
  <c r="E8" i="95"/>
  <c r="D12" i="22" s="1"/>
  <c r="L12" i="22" s="1"/>
  <c r="E39" i="95"/>
  <c r="E20" i="95"/>
  <c r="D24" i="22" s="1"/>
  <c r="L24" i="22" s="1"/>
  <c r="E35" i="95"/>
  <c r="E12" i="95"/>
  <c r="D16" i="22" s="1"/>
  <c r="L16" i="22" s="1"/>
  <c r="E9" i="95"/>
  <c r="D13" i="22" s="1"/>
  <c r="L13" i="22" s="1"/>
  <c r="E38" i="95"/>
  <c r="E36" i="95"/>
  <c r="E43" i="95"/>
  <c r="E32" i="95"/>
  <c r="D36" i="22" s="1"/>
  <c r="L36" i="22" s="1"/>
  <c r="E33" i="95"/>
  <c r="D37" i="22" s="1"/>
  <c r="L37" i="22" s="1"/>
  <c r="E34" i="95"/>
  <c r="E31" i="95"/>
  <c r="D35" i="22" s="1"/>
  <c r="L35" i="22" s="1"/>
  <c r="M35" i="22" s="1"/>
  <c r="E13" i="95"/>
  <c r="D17" i="22" s="1"/>
  <c r="L17" i="22" s="1"/>
  <c r="E29" i="95"/>
  <c r="D33" i="22" s="1"/>
  <c r="L33" i="22" s="1"/>
  <c r="E37" i="95"/>
  <c r="E7" i="95"/>
  <c r="E14" i="95"/>
  <c r="D18" i="22" s="1"/>
  <c r="L18" i="22" s="1"/>
  <c r="E11" i="95"/>
  <c r="D15" i="22" s="1"/>
  <c r="L15" i="22" s="1"/>
  <c r="E16" i="95"/>
  <c r="D20" i="22" s="1"/>
  <c r="L20" i="22" s="1"/>
  <c r="E15" i="95"/>
  <c r="D19" i="22" s="1"/>
  <c r="L19" i="22" s="1"/>
  <c r="E18" i="95"/>
  <c r="D22" i="22" s="1"/>
  <c r="L22" i="22" s="1"/>
  <c r="I12" i="95"/>
  <c r="I36" i="95"/>
  <c r="I10" i="95"/>
  <c r="I34" i="95"/>
  <c r="I38" i="95"/>
  <c r="I20" i="95"/>
  <c r="I14" i="95"/>
  <c r="I33" i="95"/>
  <c r="I31" i="95"/>
  <c r="I27" i="95"/>
  <c r="I13" i="95"/>
  <c r="I39" i="95"/>
  <c r="I9" i="95"/>
  <c r="I32" i="95"/>
  <c r="I37" i="95"/>
  <c r="I43" i="95"/>
  <c r="I18" i="95"/>
  <c r="I16" i="95"/>
  <c r="I29" i="95"/>
  <c r="I35" i="95"/>
  <c r="I8" i="95"/>
  <c r="I41" i="95"/>
  <c r="H3" i="95"/>
  <c r="G10" i="95" s="1"/>
  <c r="M33" i="22" l="1"/>
  <c r="M36" i="22"/>
  <c r="M31" i="22"/>
  <c r="G12" i="95"/>
  <c r="G36" i="95"/>
  <c r="G11" i="95"/>
  <c r="G9" i="95"/>
  <c r="G43" i="95"/>
  <c r="G31" i="95"/>
  <c r="G35" i="95"/>
  <c r="G34" i="95"/>
  <c r="G33" i="95"/>
  <c r="G30" i="95"/>
  <c r="G32" i="95"/>
  <c r="G42" i="95"/>
  <c r="G27" i="95"/>
  <c r="G29" i="95"/>
  <c r="G26" i="95"/>
  <c r="G13" i="95"/>
  <c r="G16" i="95"/>
  <c r="G23" i="95"/>
  <c r="G25" i="95"/>
  <c r="G7" i="95"/>
  <c r="D11" i="22" s="1"/>
  <c r="L11" i="22" s="1"/>
  <c r="G8" i="95"/>
  <c r="G15" i="95"/>
  <c r="G37" i="95"/>
  <c r="G18" i="95"/>
  <c r="G41" i="95"/>
  <c r="G38" i="95"/>
  <c r="G28" i="95"/>
  <c r="G20" i="95"/>
  <c r="G17" i="95"/>
  <c r="G39" i="95"/>
  <c r="G14" i="95"/>
  <c r="M32" i="22" l="1"/>
  <c r="M13" i="22"/>
  <c r="M12" i="22"/>
  <c r="M18" i="22"/>
  <c r="M20" i="22"/>
  <c r="M17" i="22"/>
  <c r="M19" i="22"/>
  <c r="M22" i="22"/>
  <c r="M24" i="22"/>
  <c r="M16" i="22"/>
  <c r="M15" i="22"/>
  <c r="M34" i="22"/>
  <c r="M28" i="22"/>
  <c r="M21" i="22"/>
  <c r="M27" i="22"/>
  <c r="M23" i="22"/>
  <c r="M26" i="22"/>
  <c r="M29" i="22"/>
  <c r="M11" i="22"/>
  <c r="M14" i="22"/>
  <c r="M30" i="22"/>
  <c r="M25"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5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5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5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5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5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5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5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6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6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6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6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6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6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6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7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7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7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7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7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7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7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8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8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8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8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8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8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8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9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9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9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9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9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9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9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A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A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A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A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A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A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A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B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B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B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B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B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B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B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C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C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C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C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C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C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C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D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D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D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D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D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D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D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E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E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E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E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E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E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E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F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F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F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F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F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F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F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0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0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0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0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0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0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0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1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1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1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1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1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1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1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3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3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3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3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3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3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3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4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4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4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4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4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4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4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5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5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5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5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5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5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5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6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6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6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6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6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6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6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7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7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7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7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7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7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7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8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8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8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8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8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8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8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9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9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9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9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9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9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9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A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A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A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A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A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A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A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B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B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B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B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B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B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B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C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C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C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C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C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C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C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D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D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D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D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D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D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D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E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E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E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E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E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E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E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1F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1F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1F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1F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1F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1F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1F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7CC1FDE4-88A4-4161-B7D7-E994AB556AC6}">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8DC85037-B047-4A8B-B909-7BFEFAB9E622}">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D3752AE0-0DF2-4BAD-833B-60D7E23B1B51}">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99D1F16D-2522-4A80-B63E-4508E6AA6A59}">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1918A471-6BFF-486D-B301-3354BDE13AC6}">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A1F41D9D-9473-4C35-8B63-F5ABB0A2F7EF}">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D9B736A-9B0B-463C-9FA3-A128D44AE6AF}">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359367A7-C27E-4597-8FA7-927F0A0049F4}">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F35D6609-E3E5-49C3-A9C8-8DF31BDF276D}">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D5D72FE7-D8C0-4FFA-866C-43C5C8DDE3F3}">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85E692BE-8FAB-4E27-B8AD-B5F8F6178362}">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AD203701-1171-4A2E-806D-0A0C3633AF7C}">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E2B36075-CB5A-425E-83BE-29993969EB49}">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A5645E7B-1708-432E-9D40-FAF4007E1C21}">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F98F20A-7E06-40E4-A273-080F87EB36B4}">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178B05C9-049F-401E-ACBA-3AFE253F0258}">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FAE128EB-0657-41CC-9271-3982F70783E6}">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F15D9E75-F7A1-477A-B3A7-122E201157C2}">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B113236-C76F-4120-84AE-4714D02EA051}">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AE20B66B-1C53-4664-BD74-9AC92E86B72E}">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83885C6A-C484-4D41-A209-F9902BFD182B}">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B139D002-8FBF-4A0D-B0F3-8019F7BE24E8}">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A1B3301B-8C46-4146-8192-C9C966A64772}">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5E3451F2-080B-455C-BC87-E830935229C3}">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CB5B1112-2928-498B-A26B-1CC9C06C72F6}">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990E197A-9DD7-4E1E-B5E6-A0D87E6FDF15}">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26391D30-FFC4-4489-9255-A453E874037F}">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2F072230-6EF6-4447-92C3-04B0F3C9A225}">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7B5434A6-CBF0-465F-B544-D6C918B67DF4}">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FEB3C92F-678D-4590-9D78-A82AF3A574FC}">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B9EFDD1E-7970-42A2-B512-4F78C4A8C653}">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61F97AA9-E736-46AF-8103-0014928E4B4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208B6961-2447-4F13-B2F4-06A2C69D46B2}">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954AF121-2319-476D-837C-CC45A93F56AC}">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483EC835-EB05-4E7D-81C4-2D19BADE2E9C}">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6A40A55F-1CDB-4B80-B662-E7B15BD938EB}">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BE341015-3C44-47CD-8F87-82D3A9CDE31E}">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20D86C03-475F-4907-A6B4-4C75B6786112}">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26D2027D-4BF5-4249-9D3C-EF63BFD17AFA}">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A64BCABA-0FEB-4744-873A-02EB42C2E9EB}">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7E7F78ED-673B-431A-9386-85F6C6E1F97C}">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2B13C852-E1A5-4D21-8E5E-7E84948C26E5}">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7B18B8EA-C86E-4CC2-83A7-42B0E222A58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C1AFBC3F-B456-4A61-8233-30C0A037992C}">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E1E897FE-C64A-476F-9033-1B954176383F}">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A0EF7ABD-EABC-4E92-BDA1-10C5E3B2C2F3}">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F4A787F8-630F-4786-89B9-BE85F4292A47}">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41FD019B-61E7-4908-B0A1-2E9582A8E7A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7AE6038E-51BA-4457-908D-97C809EDCA7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19499FCF-CCA4-48D6-A193-A6476D83E134}">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9A0657C7-3EC0-4A9F-BFC8-02C6F5AF50E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342ED4C0-0DBC-4980-8C4C-877F8D063986}">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119D69D-671D-4450-B622-729D9135092D}">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33800FF2-7575-4248-AC3E-237A2D6796A8}">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F7DCAEB9-422E-4AF6-9EB2-85CF66298B2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CC6E8570-9676-4426-82EC-0F6283F2BFB8}">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746E2807-8263-4155-9722-8F31F0A364AD}">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F294DA38-21D2-4A23-8411-40399C630A5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2BD077AA-5949-47B6-BA3D-A54BE1CF20FD}">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57D18B1B-5799-43A5-AFF8-1D6541FB2014}">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2B9C2989-B479-4FCB-8FA6-DB050D0EEED6}">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7436373E-2AD1-4A49-AC51-4913470F28FB}">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9A4EF2ED-87A2-49F0-88E3-772DF4216A79}">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<sst xmlns="http://schemas.openxmlformats.org/spreadsheetml/2006/main" count="5682" uniqueCount="582">
  <si>
    <t>ALCALDIA LOCAL DE KENNEDY</t>
  </si>
  <si>
    <t xml:space="preserve">OBJETO DEL CONTRATO: </t>
  </si>
  <si>
    <t xml:space="preserve">DATOS DEL PROCESO </t>
  </si>
  <si>
    <t xml:space="preserve">MODALIDAD DE CONTRATACION </t>
  </si>
  <si>
    <t>No. Del Proceso</t>
  </si>
  <si>
    <t>VALOR DEL PROCESO:</t>
  </si>
  <si>
    <t>VALOR SMMLV</t>
  </si>
  <si>
    <t>VIGENCIA</t>
  </si>
  <si>
    <t>VALOR</t>
  </si>
  <si>
    <t>CODIGO UNSPSC</t>
  </si>
  <si>
    <t>DESCRIPCION</t>
  </si>
  <si>
    <t>HABILITADO</t>
  </si>
  <si>
    <t>INHABILITADO</t>
  </si>
  <si>
    <t>N/A</t>
  </si>
  <si>
    <t>CUMPLE</t>
  </si>
  <si>
    <t>NO CUMPLE</t>
  </si>
  <si>
    <t>CONTRATO No. 1</t>
  </si>
  <si>
    <t>CONTRATO No. 2</t>
  </si>
  <si>
    <t>CONTRATO No. 3</t>
  </si>
  <si>
    <t>CONTRATO No. 4</t>
  </si>
  <si>
    <t>CONTRATO No. 5</t>
  </si>
  <si>
    <t>CONTRATO No. 6</t>
  </si>
  <si>
    <t>FONDO DE DESARROLLO LOCAL DE KENNEDY</t>
  </si>
  <si>
    <t>OBJETO DE LA CONVOCATORIA</t>
  </si>
  <si>
    <t>PROPONENTE</t>
  </si>
  <si>
    <t xml:space="preserve">OBJETO DE CONTRATO </t>
  </si>
  <si>
    <t>VALOR DEL CONTRATO</t>
  </si>
  <si>
    <t>NOMBRE DEL PROPONENTE</t>
  </si>
  <si>
    <t>% PARTICIPACION</t>
  </si>
  <si>
    <t xml:space="preserve">RESULTADO EVALUACIÓN  </t>
  </si>
  <si>
    <t>Ciudad</t>
  </si>
  <si>
    <t>MIEMBRO UNICO O INTEGRANTES DEL CONSORCIO O UNION TEMPORAL.</t>
  </si>
  <si>
    <t>NÚMERO DE CERTIFICACIONES</t>
  </si>
  <si>
    <t>No. Consecutivo RUP</t>
  </si>
  <si>
    <t>CODIGO CIIU</t>
  </si>
  <si>
    <t>N° del contrato y año de suscripción</t>
  </si>
  <si>
    <t>Objeto</t>
  </si>
  <si>
    <t>Año de terminación para convertir en SMMLV</t>
  </si>
  <si>
    <t>Nombre o razón social del contratante</t>
  </si>
  <si>
    <t>Nombre o razón social del contratista</t>
  </si>
  <si>
    <t>Fecha de terminación del contrato. (dd/mm/aaaa)</t>
  </si>
  <si>
    <t>EVALUACIÓN TÉCNICA</t>
  </si>
  <si>
    <t>EVALUACIÓN JURÍDICA</t>
  </si>
  <si>
    <t>EVALUACIÓN FINANCIERA</t>
  </si>
  <si>
    <t>INTEGRANTE 1</t>
  </si>
  <si>
    <t>INTEGRANTE 2</t>
  </si>
  <si>
    <t>INTEGRANTE 3</t>
  </si>
  <si>
    <t>INTEGRANTE 4</t>
  </si>
  <si>
    <t>INTEGRANTE 5</t>
  </si>
  <si>
    <t>CANTIDAD DE INTEGRANTES</t>
  </si>
  <si>
    <t>SUMATORIA 
%PARTICIPACIÓN</t>
  </si>
  <si>
    <t>TOTAL INTEGRANTES</t>
  </si>
  <si>
    <t>BOGOTÁ D.C</t>
  </si>
  <si>
    <t>PRESUPUESTO OFICIAL EN PESOS</t>
  </si>
  <si>
    <t>PRESUPUESTO OFICIAL SMMLV</t>
  </si>
  <si>
    <t>REGISTRO UNICO DE PROPONENTES</t>
  </si>
  <si>
    <t>¿RUP vigente y en firme antes del cierre del proceso?</t>
  </si>
  <si>
    <t>¿El contrato se encuentra clasificado en alguno de los anteriores códigos?</t>
  </si>
  <si>
    <t>DATOS DEL CONTRATO</t>
  </si>
  <si>
    <t>INTEGRANTE</t>
  </si>
  <si>
    <t>% PARTICIPACIÓN</t>
  </si>
  <si>
    <t>TOTAL</t>
  </si>
  <si>
    <t>¿APORTA MÍNIMO EL 5% DE EXPERIENCIA?</t>
  </si>
  <si>
    <t>EXPERIENCIA TOTAL APORTADA</t>
  </si>
  <si>
    <t>VALOR DEL PROCESO EN PESOS</t>
  </si>
  <si>
    <t>VALOR DEL PROCESO EN SMMLV</t>
  </si>
  <si>
    <t>Fecha de Evaluación</t>
  </si>
  <si>
    <t>VALOR MINIMO A CERTIFICAR</t>
  </si>
  <si>
    <t>TOTAL CONTRATOS VÁLIDOS</t>
  </si>
  <si>
    <t>CONCEPTO</t>
  </si>
  <si>
    <t>OBSERVACIONES</t>
  </si>
  <si>
    <t>¿AL MENOS UNO APORTA EL 50% DE EXPERIENCIA?</t>
  </si>
  <si>
    <t>Valor final contrato en pesos</t>
  </si>
  <si>
    <t>NO</t>
  </si>
  <si>
    <t>ACREDITACIÓN DE EXPERIENCIA FIGURA ASOCIATIVA</t>
  </si>
  <si>
    <t>SI</t>
  </si>
  <si>
    <t>CONCEPTO POR CONTRATO</t>
  </si>
  <si>
    <t>No.</t>
  </si>
  <si>
    <t>%</t>
  </si>
  <si>
    <t>VALOR TOTAL CONTRATOS CODIGO 72</t>
  </si>
  <si>
    <t>CANTIDAD DE SOCIOS Y PROFESIONALES DE LA ARQUITECTURA, INGENIERÍA Y GEOLOGÍA VINCULADOS</t>
  </si>
  <si>
    <t>SALDO DE CONTRATOS EN EJECUCIÓN</t>
  </si>
  <si>
    <t>K RESIDUAL</t>
  </si>
  <si>
    <t>K RESIDUAL ACREDITADO</t>
  </si>
  <si>
    <t>K RESIDUAL REQUERIDO</t>
  </si>
  <si>
    <t>DATOS GENERALES</t>
  </si>
  <si>
    <t>MEJOR INGRESO OPERACIONAL DE LOS ULTIMOS 5 AÑOS</t>
  </si>
  <si>
    <t>PUNTAJE
EXPERIENCIA (E)</t>
  </si>
  <si>
    <t>INDICE DE LIQUIDEZ</t>
  </si>
  <si>
    <t>CAPACIDAD FINANCIERA (CF)</t>
  </si>
  <si>
    <t>CAPACIDAD TECNICA (CT)</t>
  </si>
  <si>
    <t>PLAZO DEL CONTRATO (MESES)</t>
  </si>
  <si>
    <t>ANTICIPO</t>
  </si>
  <si>
    <t>Fecha de Cierre</t>
  </si>
  <si>
    <t>ESTADO DE RESULTADOS</t>
  </si>
  <si>
    <t>INFORME DE AUDITORIA</t>
  </si>
  <si>
    <t>BALANCE GENERAL Y CERTIFICACION DE ESTADOS FINANCIEROS</t>
  </si>
  <si>
    <t xml:space="preserve">TARJETA PROFESIONAL Y CERTIFICADO DE ANTECEDENTES DEL CONTADOR, REVISOR FISCAL Y AUDITOR </t>
  </si>
  <si>
    <t>FORMATO 4 - CAPACIDAD FINANCIERA Y ORGANIZACIONAL PARA EXTRANJEROS</t>
  </si>
  <si>
    <t>FORMATO 5 - CAPACIDAD RESIDUAL EN EL SEGMENTO 72</t>
  </si>
  <si>
    <t>FORMATO 5 - CAPACIDAD TECNICA</t>
  </si>
  <si>
    <t>FORMATO 5 - SALDO DE CONTRATOS EN EJECUCIÓN</t>
  </si>
  <si>
    <t>RUP VIGENTE Y EN FIRME</t>
  </si>
  <si>
    <t>K RESIDUAL DOCUMENTOS</t>
  </si>
  <si>
    <t>CONCEPTO
FINAL K RESIDUAL</t>
  </si>
  <si>
    <t>¿APORTA POR LO MENOS EL 40% DE EXPERIENCIA?</t>
  </si>
  <si>
    <t>PUNTAJE VINCULACIÓN DE PERSONAS CON DISCAPACIDAD</t>
  </si>
  <si>
    <t>¿APORTA CERTIFICADO DE DISCAPACIDAD VIGENTE?</t>
  </si>
  <si>
    <t>VINCULACIÓN DE PERSONAS CON DISCAPACIDAD</t>
  </si>
  <si>
    <t>REPORTADO</t>
  </si>
  <si>
    <t>NO REPORTADO</t>
  </si>
  <si>
    <t>APOYO A LA INDUSTRIA NACIONAL</t>
  </si>
  <si>
    <t>CEDULA DE CIUDADANIA Ó VISA DE RESIDENCIA Ó CERTIFICADO DE EXISTENCIA Y REPRESENTACION LEGAL</t>
  </si>
  <si>
    <t>PUNTAJE POR APOYO A LA INDUSTRIA NACIONAL</t>
  </si>
  <si>
    <t>PUNTAJE APOYO A LA INDUSTRIA NACIONAL</t>
  </si>
  <si>
    <t>REQUISITOS HABILITANTES</t>
  </si>
  <si>
    <t>PUNTAJE TOTAL</t>
  </si>
  <si>
    <t>ORDEN DE ELEGIBILIDAD</t>
  </si>
  <si>
    <t>PUNTAJE TOTAL VINCULACIÓN DE PERSONAS CON DISCAPACIDAD</t>
  </si>
  <si>
    <t>MESES</t>
  </si>
  <si>
    <t>PLAZO</t>
  </si>
  <si>
    <t>INTEGRANTE 1 DEL CONTRATO APORTADO</t>
  </si>
  <si>
    <t>INTEGRANTE 2 DEL CONTRATO APORTADO</t>
  </si>
  <si>
    <t>INTEGRANTE 3 DEL CONTRATO APORTADO</t>
  </si>
  <si>
    <t>Valor final del contrato en SMMLV reportado en el RUP</t>
  </si>
  <si>
    <t>Porcentaje de Participación INTEGRANTE 1</t>
  </si>
  <si>
    <t>Valor final según porcentaje de participación INTEGRANTE 1 en SMMLV</t>
  </si>
  <si>
    <t>Porcentaje de Participación INTEGRANTE 2</t>
  </si>
  <si>
    <t>Valor final según porcentaje de participación INTEGRANTE 2 en SMMLV</t>
  </si>
  <si>
    <t>Porcentaje de Participación INTEGRANTE 3</t>
  </si>
  <si>
    <t>Valor final según porcentaje de participación INTEGRANTE 3 en SMMLV</t>
  </si>
  <si>
    <t>Valor final según porcentaje de participación INTEGRANTE 1 EN PESOS</t>
  </si>
  <si>
    <t>Valor final según porcentaje de participación INTEGRANTE 2 EN PESOS</t>
  </si>
  <si>
    <t>Valor final según porcentaje de participación INTEGRANTE 3 EN PESOS</t>
  </si>
  <si>
    <t>VALOR TOTAL A ACREDITAR (SMMLV)</t>
  </si>
  <si>
    <t>VALOR TOTAL ACREDITADO (SMMLV)</t>
  </si>
  <si>
    <t>EXPERIENCIA QUE APORTA (SLMMV)</t>
  </si>
  <si>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Se debe aportar el informe del revisor fiscal 
- Se deben aportar los documentos del revisor fiscal (TP y certificado de antecedentes)
- Debe corregir el Formato 5 - Saldo de contratos en ejecución, toda vez que la fecha de cierre reportada en el formato no coincide con la fecha del cierre del proceso de selección.</t>
    </r>
  </si>
  <si>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xml:space="preserve">- Se debe aportar el informe del revisor fiscal 
- Se deben aportar los documentos del revisor fiscal (TP y certificado de antecedentes)
</t>
    </r>
  </si>
  <si>
    <t>El contador Neil Constantino Zarate identificado con C.C. 79.055.708 no aporta un certificado de antecedentes de contador vigente, ya que el certificado que se adjunta a la oferta tiene fecha de expedición del 9 de agosto 2021 y estos certificados solamente tienen tres (3) meses de vigencia. Por lo tanto, el certificado aportado por el contador Neil Constantino Zarate, no está vigente a la fecha de la presentación de las ofertas cuya fecha de cierre fue el 26 de noviembre de 2021.
Lo anterior, se hace necesario indicar para dar cumplimiento a lo establecido en el pliego de condiciones y los demás documentos contractuales de la licitación pública FDLK-LP-12-2021.</t>
  </si>
  <si>
    <t>Los proponentes que conforman la UNION TEMPORAL KENNEDY VEHICULAR, NO aportan el informe de auditoría de los estados financieros debidamente suscrito por un revisor fiscal o un contador independiente.
Por otro lado, los dos proponentes que conforman al oferente UNION TEMPORAL KENNEDY VEHICULAR NO aportan la tarjeta profesional de los contadores que firman los documentos presentados en la propuesta, ni tampoco el certificado de antecedentes profesionales vigente de los contadores (certificado de la junta de contadores).
Lo anterior, se hace necesario indicar para dar cumplimiento a lo establecido en el pliego de condiciones y los demás documentos contractuales de la licitación pública FDLK-LP-12-2021.</t>
  </si>
  <si>
    <t>activo corriemte</t>
  </si>
  <si>
    <t>pasivo corriente</t>
  </si>
  <si>
    <t xml:space="preserve">El CIVIL CONSTRUCTOR SAS, no presenta  el informe de auditoria correspondiente. </t>
  </si>
  <si>
    <t>Los integrantes del proponenete no presentan los formatos 5, ni los documentos solicitados en el numeral 3,10, motivo por el cual es imposible calcular el K residual.</t>
  </si>
  <si>
    <t>PLAZO:</t>
  </si>
  <si>
    <t>INFORMACIÓN GENERAL DE LOS PROPONENTES GRUPO 1</t>
  </si>
  <si>
    <t>METODO</t>
  </si>
  <si>
    <t>TRM</t>
  </si>
  <si>
    <t>Me</t>
  </si>
  <si>
    <t>MG</t>
  </si>
  <si>
    <t>Promedio</t>
  </si>
  <si>
    <t>Vme</t>
  </si>
  <si>
    <t>Mas cercano</t>
  </si>
  <si>
    <t>DECIMAL</t>
  </si>
  <si>
    <t>PUNTAJE MAX</t>
  </si>
  <si>
    <t>N°</t>
  </si>
  <si>
    <t>OFERENTE</t>
  </si>
  <si>
    <t>DIFERENCIA MEDIA GEOMETRICA</t>
  </si>
  <si>
    <t>MEDIANA CON VALOR ABSOLUTO PUNTAJE</t>
  </si>
  <si>
    <t>MEDIA GEOMETRICA PUNTAJE</t>
  </si>
  <si>
    <t>PRESUPUESTO</t>
  </si>
  <si>
    <t>Servicios de mantenimiento y reparación de instalaciones</t>
  </si>
  <si>
    <t>Servicios de mantenimiento y reparación de infraestructura</t>
  </si>
  <si>
    <t xml:space="preserve">Máximo 5, 6 o 7 contratos </t>
  </si>
  <si>
    <t>Fecha de iniciación del contrato. (dd/mm/aaaa)</t>
  </si>
  <si>
    <t>CONCEPTO FINAL</t>
  </si>
  <si>
    <t>MIPYME</t>
  </si>
  <si>
    <t>EMPRENDIMIENTO 
MUJER</t>
  </si>
  <si>
    <t>PUNTAJE</t>
  </si>
  <si>
    <t>EMPRENDIMIENTOS Y EMPRESAS DE MUJERES</t>
  </si>
  <si>
    <t>FORMATO 13 – ACREDITACION DE EMPRENDIMIENTOS Y EMPRESAS DE MUJERES</t>
  </si>
  <si>
    <t>COPIA DE DOCUMENTO DE IDENTIDAD</t>
  </si>
  <si>
    <t>COPIA DE CONTRATO O CERTIFICACION LABORAL CON FUNCIONES</t>
  </si>
  <si>
    <t xml:space="preserve">CERTIFICADO DE APORTES AL SISTEMA DE SEGURIDAD SOCIAL DEL ULTIMO AÑO </t>
  </si>
  <si>
    <t>PUNTAJE EMPRENDIMIENTOS Y EMPRESAS DE MUJERES</t>
  </si>
  <si>
    <t>PUNTAJE TOTAL EMPRENDIMIENTOS Y EMPRESAS DE MUJERES</t>
  </si>
  <si>
    <t>MIPYME DOMICILIADA EN COLOMBIA</t>
  </si>
  <si>
    <t>¿RUP VIGENTE Y EN FIRME?</t>
  </si>
  <si>
    <t>PUNTAJE MIPYME DOMICILIADA EN COLOMBIA</t>
  </si>
  <si>
    <t>¿ACREDITA CONDICIÓN MIPYME EN EL RUP?</t>
  </si>
  <si>
    <t>PUNTAJE TOTAL MIPYME DOMICILIADA EN COLOMBIA</t>
  </si>
  <si>
    <t>CONCURSO DE MERITOS ABIERTO</t>
  </si>
  <si>
    <t>DOCUMENTACIÓN PERSONAL</t>
  </si>
  <si>
    <t>REQUISITO</t>
  </si>
  <si>
    <t>CONCEPTO DOCUMENTACION PERSONAL</t>
  </si>
  <si>
    <t>EQUIPOS DE TRABAJO (Personal Clave evaluable)</t>
  </si>
  <si>
    <t>TOTAL PUNTAJE EQUIPOS DE TRABAJO</t>
  </si>
  <si>
    <t>FORMATO 7A - PROMOCION DE SERVICIOS NACIONALES O CON TRATO NACIONAL</t>
  </si>
  <si>
    <t>OFERTA ECONOMICA</t>
  </si>
  <si>
    <t>PUNTAJE EXPERIENCIA DEL PROPONENTE</t>
  </si>
  <si>
    <t>PUNTAJE EQUIPO DE TRABAJO</t>
  </si>
  <si>
    <t>PUNTAJE VINCULACION DE PERSONAS CON DISCAPACIDAD</t>
  </si>
  <si>
    <t>Maximo Valor</t>
  </si>
  <si>
    <t>Media A. Alta</t>
  </si>
  <si>
    <t>VALOR PROMEDIO DE EXPERIENCIA (SLMMV)</t>
  </si>
  <si>
    <t>MEDIA ARITMETICA ALTA PUNTAJE</t>
  </si>
  <si>
    <t>VALOR TOTAL ACREDITADO POR CONTRATO</t>
  </si>
  <si>
    <t>FORMATO 6 - VINCULACION DE PERSONAS CON DISCAPACIDAD</t>
  </si>
  <si>
    <t>Control de calidad</t>
  </si>
  <si>
    <t>Servicios de Consultoría de negocios y administración corporativa</t>
  </si>
  <si>
    <t>DE 1 HASTA 4, 5 ó 6</t>
  </si>
  <si>
    <t>CONSULTORES DONOVAN SAS</t>
  </si>
  <si>
    <t>ARQUITECTURA URBANA LTDA</t>
  </si>
  <si>
    <t>PROYECTISTAS ASOCIADOS SAS</t>
  </si>
  <si>
    <t>VALOR PROMEDIO DE CONTRATOS VALIDOS</t>
  </si>
  <si>
    <t>D. Estar relacionados en el Formato 3 – Experiencia. Los Proponentes Plurales deben indicar qué integrante aporta cada uno de los contratos señalados en el Formato 3 – Experiencia. Este documento debe presentarlo el Proponente Plural y no sus integrantes.
El Formato 3 -Experiencia deberá aportarse diligenciado en formato Excel.</t>
  </si>
  <si>
    <t xml:space="preserve">E. Los contratos acreditados deben haber terminado antes de la fecha de cierre del presente Proceso de Contratación. </t>
  </si>
  <si>
    <t xml:space="preserve">10,1,6 PARA SUBCONTRATOS
Para acreditar la experiencia de subcontratos, cuyo contrato principal fue suscrito con particulares, se aplicarán las disposiciones establecidas en el numeral anterior.  
Para acreditar la experiencia de contratos derivados de contratos suscritos con Entidades Estatales el Proponente deberá aportar los documentos que se enlistan a continuación:
A. Certificación del subcontrato. Certificación expedida con posterioridad a la fecha de terminación del subcontrato, la cual deberá estar suscrita por el representante legal del contratista del contrato principal, del Concesionario, o del EPC o Consorcio Constructor. Así mismo, debe contener la información requerida en el Pliego de Condiciones para efectos de la acreditación de la experiencia.
B. Certificación expedida por la Entidad Estatal del contrato principal del cual se derivó el subcontrato. Esta certificación debe contener la información básica del contrato principal y la siguiente:
I. Alcance de las actividades de consultoría en el contrato principal. 
II.  Información en la cual se evidencie que la figura de la subcontratación es permitida en el marco del contrato principal. En caso de que no requiera autorización para subcontratar, el Proponente podrá aportar con su propuesta alguno de los siguientes documentos que den cuenta de esa circunstancia: i) copia del contrato o ii) certificación emitida por la Entidad Estatal, donde acredite que para subcontratar no se requería autorización. 
La información solicitada en el literal B únicamente se exige en relación con el contrato principal suscrito con la Entidad Estatal.
</t>
  </si>
  <si>
    <t xml:space="preserve">10.1.4 ACREDITACIÓN DE LA EXPERIENCIA REQUERIDA
Los Proponentes acreditarán para cada uno de los contratos aportados la siguiente información, mediante alguno de los documentos señalados en la sección 10.1.5 del Pliego de Condiciones: 
I. Contratante.
II. Objeto del contrato.
III. Principales actividades ejecutadas.
IV. Las longitudes, volúmenes, dimensiones, tipologías y demás condiciones de experiencia establecidas en la “Matriz 1 – Experiencia” a la cual se realizó la consultoría, si aplica. 
V. La fecha de iniciación de la ejecución del contrato. 
VI. La fecha de terminación de la ejecución del contrato.
VII. Nombre y cargo de la persona que expide la certificación.
VIII. El porcentaje de participación del integrante del contratista plural, el cual corresponderá con el registrado en el RUP, o en alguno de los documentos válidos para la acreditación de experiencia en caso de que el integrante no esté obligado a tener RUP. 
IX. Valor total ejecutado. Tratándose de personas obligadas a tener RUP el valor ejecutado o facturado se tomará del valor registrado en el RUP. 
</t>
  </si>
  <si>
    <t>FORMATO 9 - EXPERIENCIA ADICIONAL DEL PERSONAL CLAVE EVALUABLE</t>
  </si>
  <si>
    <t>REPORTE REGISTRO NACIONAL DE OBRAS CIVILES</t>
  </si>
  <si>
    <t>DESCUENTO PUNTAJE</t>
  </si>
  <si>
    <t>DESCUENTO OBRAS INCONCLUSAS</t>
  </si>
  <si>
    <t>VELNEC S.A.</t>
  </si>
  <si>
    <t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t>
  </si>
  <si>
    <t xml:space="preserve"> FDLK-CMA-003-2024</t>
  </si>
  <si>
    <r>
      <rPr>
        <sz val="11"/>
        <rFont val="Calibri"/>
        <family val="2"/>
        <scheme val="minor"/>
      </rPr>
      <t xml:space="preserve">PROYECTOS QUE CORRESPONDAN O HAYAN CONTENIDO UNA O ALGUNAS DE LAS SIGUIENTES ACTIVIDADES:
 </t>
    </r>
    <r>
      <rPr>
        <b/>
        <sz val="11"/>
        <rFont val="Calibri"/>
        <family val="2"/>
        <scheme val="minor"/>
      </rPr>
      <t xml:space="preserve">
- INTERVENTORÍA A CONSTRUCCIÓN Y/O RECONSTRUCCIÓN Y/O AMPLIACIÓN Y/O TERMINACIÓN Y/O REHABILITACIÓN Y/O MEJORAMIENTO Y/O MANTENIMIENTO Y/O ADECUACIÓN DE PARQUES
- INTERVENTORÍA A CONSTRUCCIÓN Y/O RECONSTRUCCIÓN Y/O AMPLIACIÓN Y/O TERMINACIÓN Y/O REHABILITACIÓN Y/O MEJORAMIENTO Y/O MANTENIMIENTO Y/O ADECUACIÓN DE ESPACIO PÚBLICO
Nota 1: </t>
    </r>
    <r>
      <rPr>
        <sz val="11"/>
        <rFont val="Calibri"/>
        <family val="2"/>
        <scheme val="minor"/>
      </rPr>
      <t xml:space="preserve">Para el caso de experiencia de ESPACIO PÚBLICO se excluyen de estos las vías destinadas al tránsito vehicular, así como la INTERVENTORÍA A conservación y/o preservación de playas marítimas. </t>
    </r>
    <r>
      <rPr>
        <b/>
        <sz val="11"/>
        <rFont val="Calibri"/>
        <family val="2"/>
        <scheme val="minor"/>
      </rPr>
      <t xml:space="preserve">
Nota 2: </t>
    </r>
    <r>
      <rPr>
        <sz val="11"/>
        <rFont val="Calibri"/>
        <family val="2"/>
        <scheme val="minor"/>
      </rPr>
      <t xml:space="preserve">En el caso en el cual el proceso de selección contemple actividades de dotación de mobiliario, la experiencia válida aportada deberá acreditar en por lo menos uno (1) de los contratos actividades de INTERVENTORÍA A suministro e instalación de mobiliario. </t>
    </r>
  </si>
  <si>
    <t>F. Para los contratos que sean aportados por personas jurídicas que no cuentan con más de tres (3) años de constituidas y pretendan acreditar la experiencia de sus socios, accionistas o constituyentes, en los términos establecidos en el numeral 2.5 del artículo 2.2.1.1.1.5.2. del Decreto 1082 de 2015, además del Registro Único de Proponentes (RUP), deben adjuntar un documento suscrito por el representante legal y el revisor fiscal o contador público (según corresponda) donde se indique la conformación de la persona jurídica. La Entidad tendrá en cuenta la experiencia de los accionistas, socios o constituyentes de las sociedades con menos de tres (3) años de constituidas. Pasado este tiempo, la sociedad conservará esta experiencia, tal y como haya quedado registrada en el RUP.</t>
  </si>
  <si>
    <t>SI NO APORTA ¿TIENE COMO MAXIMO EL 10% DE PARTICIPACIÓN?</t>
  </si>
  <si>
    <t>10.1.5 DOCUMENTOS VÁLIDOS PARA LA ACREDITACIÓN DE LA EXPERIENCIA REQUERIDA
A. Acta de liquidación y/o recibo final del contrato de interventoría.
B. Acta de liquidación y/o recibo final del Contrato de Obra al cual se le realizó la interventoría, en la cual se puede verificar las actividades ejecutadas y el alcance de las mismas. 
C. Acta de entrega, terminación, final o de recibo definitivo; en los cuales se pueda verificar la participación del Proponente como Interventor. 
D. Certificación de experiencia. Expedida con posterioridad a la fecha de terminación del contrato en la que conste la información de la interventoría a la obra contratada debidamente suscrita por quien esté en capacidad u obligación de hacerlo en la Entidad contratante.
E. Acta de Inicio o la orden de inicio. La misma solo será válida para efectos de acreditar la fecha de inicio.
F. Los contratos que hayan sido objeto de cesión deberán encontrarse debidamente inscritos y clasificados en el Registro Único de Proponentes (RUP) o en uno o alguno de los documentos considerados como válidos para la acreditación de experiencia del cesionario, según aplique. La experiencia se admitirá para el cesionario y no se reconocerá experiencia alguna al cedente.</t>
  </si>
  <si>
    <t>Para efectos de acreditación de experiencia con particulares, el Proponente deberá aportar, además, la certificación de facturación expedida con posterioridad a la fecha de terminación del contrato emitida por el revisor fiscal o contador público del Proponente que demuestre la experiencia, según
corresponda, con la copia de la tarjeta profesional y el certificado de antecedente disciplinarios vigente, emitido por la Junta Central de Contadores, o los documentos equivalentes que hagan sus veces en el país donde se expide el documento del profesional.</t>
  </si>
  <si>
    <r>
      <t xml:space="preserve">EXPERIENCIA ESPECIFICA: </t>
    </r>
    <r>
      <rPr>
        <sz val="11"/>
        <rFont val="Calibri"/>
        <family val="2"/>
        <scheme val="minor"/>
      </rPr>
      <t>Con la sumatoria de hasta máximo dos (2) de los contratos válidos aportados como experiencia general debe corresponder mínimo al (70%) del presupuesto oficial del presente proceso de selección.</t>
    </r>
  </si>
  <si>
    <t xml:space="preserve"> EXP. ESPECIFICA SOLICITADA
(SMMLV)</t>
  </si>
  <si>
    <t xml:space="preserve"> EXP. ESPECIFICA ACREDITADA 2 CONTRATOS
(SMMLV)</t>
  </si>
  <si>
    <r>
      <t xml:space="preserve">3.9.2 EXIGENCIAS MÍNIMAS DE EXPERIENCIA Y FORMACIÓN ACADÉMICA DEL EQUIPO DE TRABAJO (Personal Clave Evaluable)
</t>
    </r>
    <r>
      <rPr>
        <sz val="11"/>
        <color theme="1"/>
        <rFont val="Calibri"/>
        <family val="2"/>
        <scheme val="minor"/>
      </rPr>
      <t xml:space="preserve">Durante el desarrollo del Proceso de Contratación NO se evaluarán los soportes de los perfiles requeridos, por lo que no se solicitarán como parte de los documentos que conforman la propuesta. En tal sentido, el Proponente deberá cumplir las siguientes reglas:
I. Aportar y diligenciar en forma clara, completa, correcta y legible el “Formato 8 - Aceptación y cumplimiento de la formación académica y la experiencia del personal clave evaluable”, de acuerdo con los requisitos y condiciones que allí se indican y demás señaladas en el Pliego de Condiciones y sus documentos anexos.
II. l “Formato 8 – Aceptación y cumplimiento de la formación académica y la experiencia del personal clave evaluable” debe suscribirlo el Proponente persona natural, representante legal de la persona jurídica o representante del Proponente Plural. Para los fines de este numeral se entiende por Personal Clave Evaluable los siguientes perfiles:
</t>
    </r>
    <r>
      <rPr>
        <b/>
        <sz val="11"/>
        <color theme="1"/>
        <rFont val="Calibri"/>
        <family val="2"/>
        <scheme val="minor"/>
      </rPr>
      <t>i. Un (1) Director de Interventoría
ii. Un (1) Residente de Interventoría.  
iii. Un (1) Especialista en Geotecnia.</t>
    </r>
  </si>
  <si>
    <t>SOLIUN INGENIERIA SAS</t>
  </si>
  <si>
    <t>ABDO JOSÉ SALGADO AYOLA</t>
  </si>
  <si>
    <t>PRODEINCOL S.A.S.</t>
  </si>
  <si>
    <t>CONSORCIO INTERVEP KM</t>
  </si>
  <si>
    <t>KALPA INGENIERIA SAS SOCIEDAD DE BENEFICIO E INTERES COLECTIVO - BIC</t>
  </si>
  <si>
    <t xml:space="preserve"> MEDINA &amp; RIVERA INGENIEROS ASOCIADOS SAS</t>
  </si>
  <si>
    <t>CONSULTORES DEL OCCIDENTE SAS</t>
  </si>
  <si>
    <t>JESAK SAS</t>
  </si>
  <si>
    <t xml:space="preserve">R&amp;M CONSTRUCCIONES E INTERVENTORIAS SAS </t>
  </si>
  <si>
    <t>CONSORCIO INTERVENTORÍA DSG</t>
  </si>
  <si>
    <t>SESAC S.A.</t>
  </si>
  <si>
    <t>DEIGMA S.A.S.</t>
  </si>
  <si>
    <t>GESSI ALVERA S.A.S.</t>
  </si>
  <si>
    <t>INGENIEROS CONSTRUCTORES Y ASESORES SAS</t>
  </si>
  <si>
    <t>CONSORCIO INTERVENTOR ANFAO</t>
  </si>
  <si>
    <t xml:space="preserve">GRUPO FAO SAS </t>
  </si>
  <si>
    <t>ANDINA DE CONSULTORÍA Y CONSTRUCCIONES SAS</t>
  </si>
  <si>
    <t>GRUPO METRO COLOMBIA SAS</t>
  </si>
  <si>
    <t>CONSORCIO INTERPROYECTOS CAREN</t>
  </si>
  <si>
    <t>COMPAÑÍA DE INTERVENTORIAS  Y CONSULTORIAS DE LA COSTA S.A.S.</t>
  </si>
  <si>
    <t>AREN PROYECTOS &amp; CONSULTORIAS S.A.S.</t>
  </si>
  <si>
    <t>CONSORCIO INTER PARQUES IYC 2024</t>
  </si>
  <si>
    <t>INTERVENTORIA Y CONSTRUCIVILES SAS</t>
  </si>
  <si>
    <t xml:space="preserve">2L PROYECTOS S.A.S. BIC </t>
  </si>
  <si>
    <t>CONSORCIO-INTER-P-KENEDY</t>
  </si>
  <si>
    <t>ENVIRONMENTAL AND GEOMECHANICAL SOLUTIONS EGS SAS</t>
  </si>
  <si>
    <t>JAPG INGENIERIA SAS</t>
  </si>
  <si>
    <t>CONSORCIO INTERPARQUES BOGOTÁ</t>
  </si>
  <si>
    <t>CITPRO CONSULTORES S.A.S. ZOMAC</t>
  </si>
  <si>
    <t xml:space="preserve">HG INGENIERIA Y DESARROLLO S.A.S </t>
  </si>
  <si>
    <t xml:space="preserve">CONSORCIO PARQUES VECINALES 2025 </t>
  </si>
  <si>
    <t xml:space="preserve">RAZING SAS </t>
  </si>
  <si>
    <t>SUMMA PROYECTOS E INGENIERIA SOCIEDAD POR ACCIONES SIMPLIFICADA</t>
  </si>
  <si>
    <t>DF CONSULTORIA SAS</t>
  </si>
  <si>
    <t>CONSORCIO COMODORO</t>
  </si>
  <si>
    <t xml:space="preserve">ARQUITECTURA Y URBANISMO SXXI SAS </t>
  </si>
  <si>
    <t xml:space="preserve">J. FELIPE ARDILA V. &amp; CIA SAS </t>
  </si>
  <si>
    <t xml:space="preserve">INGEPLAN.CO SAS BIC </t>
  </si>
  <si>
    <t>CONSORCIO PRO_CARING</t>
  </si>
  <si>
    <t xml:space="preserve">CARING S.A.S </t>
  </si>
  <si>
    <t xml:space="preserve">PROYECTOS E INTERVENTORÍAS S.A.S </t>
  </si>
  <si>
    <t xml:space="preserve"> SOLUCIONES PARA LA INGENIERÍA S.A.S.</t>
  </si>
  <si>
    <t>CONSORCIO ARALEP 003</t>
  </si>
  <si>
    <t>ARA INGENIERIA S.A.S.</t>
  </si>
  <si>
    <t>LEP INGENIEROS S.A.S.</t>
  </si>
  <si>
    <t>PRAN CONSTRUCCIONES S.A.S.</t>
  </si>
  <si>
    <t>CONSORCIO PROYECTOS 2024</t>
  </si>
  <si>
    <t>FUNDACION CAMINO VERDE ONG SOCIAL CULTURAL Y AMBIENTAL CON SIGLA FUNDCAVE</t>
  </si>
  <si>
    <t>AC2R INGENIERIA Y PROYECTOS S.A.S</t>
  </si>
  <si>
    <t>CONSORCIO KENNEDY JINT 3</t>
  </si>
  <si>
    <t>JPS INGENIERIA S.A.S.</t>
  </si>
  <si>
    <t>INTING S.A.S.</t>
  </si>
  <si>
    <t>CABA INTERVENTORÍA SAS</t>
  </si>
  <si>
    <t>MIRS LATINOAMERICA S.A.S</t>
  </si>
  <si>
    <t>CONSORCIO MULTIPARK KENNEDY</t>
  </si>
  <si>
    <t>GRUPO CONSULTOR KAPITAL S.A.S.</t>
  </si>
  <si>
    <t xml:space="preserve">PROCIVING S.A.S. </t>
  </si>
  <si>
    <t xml:space="preserve">INCOSS INGENIERIA CONSULTORIA SERVICIOS Y SUMINISTROS S.A.S. </t>
  </si>
  <si>
    <t>CONSORCIO PRO-TEV 20</t>
  </si>
  <si>
    <t xml:space="preserve">CONSTRUCTORA TEATINO VARGAS – CONSTRUTEV SAS </t>
  </si>
  <si>
    <t>LOGIA 3 ASOCIADOS S.A.S – BIC</t>
  </si>
  <si>
    <t xml:space="preserve">CONSORCIO AL PARK 003 </t>
  </si>
  <si>
    <t xml:space="preserve">INCOPLAN IN SAS </t>
  </si>
  <si>
    <t>GRUPO ESPECIALIZADO EN DESARROLLO DE INFRAESTRUCTURA S.A.S.</t>
  </si>
  <si>
    <t>CONSORCIO INT PARQUES KENNEDY 2024</t>
  </si>
  <si>
    <t xml:space="preserve"> EMPRESA DE SERVICIOS PUBLICOS SINERGIA E.S.P S.A.S</t>
  </si>
  <si>
    <t xml:space="preserve"> JOSE WILMER CHILITO RIVADENEIRA</t>
  </si>
  <si>
    <t>CONSORCIO INTERKENNEDY EYD</t>
  </si>
  <si>
    <t>EIS CONSTRUCTORES SAS</t>
  </si>
  <si>
    <t xml:space="preserve">DAM SOLUCIONES E INGENIERIA SAS </t>
  </si>
  <si>
    <t>CONSORCIO INTER KENNEDY PARQUES</t>
  </si>
  <si>
    <t xml:space="preserve">GNG SERVICIOS DE INGENIERÍA S.A.S. </t>
  </si>
  <si>
    <t xml:space="preserve">JMELO INGENIERIA DE PROYECTOS SAS </t>
  </si>
  <si>
    <t>JCB CONSULTORIA S.A.S</t>
  </si>
  <si>
    <t>PUNTAJE EXPERIENCIA ADICIONAL DEL PERSONAL CLAVE EVALUABLE</t>
  </si>
  <si>
    <t>PUNTAJE FORMACION ACADEMICA ADICIONAL DEL PERSONAL CLAVE EVALUABLE</t>
  </si>
  <si>
    <t>FORMATO 12 - FACTOR DE SOSTENIBILIDAD</t>
  </si>
  <si>
    <t>PUNAJTE FACTOR DE SOSTENIBILIDAD</t>
  </si>
  <si>
    <t>PUNTAJE FACTOR DE SOSTENIBILIDAD</t>
  </si>
  <si>
    <t>REALIZAR  LA  INTERVENTORÍA  TÉCNICA,  ADMINISTRATIVA,  FINANCIERA,  LEGAL,  SOCIAL  Y AMBIENTAL  AL CONTRATO  DE OBRA  PÚBLICA  CUYO OBJETO  ES "REALIZAR  EL DISEÑO,  LA CONSTRUCCIÓN  Y EL MANTENIMIENTO  DE LOS PARQUES  VECINALES  Y DE BOLSILLO  POR El SISTEMA  DE PRECIOS UNITARIOS FUOS, SIN FORMULA DE REAJUSTE POR MONTO AGOTABLE EN LA LOCALIDAD DE CIUDAD BOLÍVAR (COP 190·2016)"</t>
  </si>
  <si>
    <t>ALCALDIA LOCAL DE CIUDAD BOLIVAR</t>
  </si>
  <si>
    <t>CIN No. 211 DE 2016</t>
  </si>
  <si>
    <t>UNION TEMPORAL INTERCITY</t>
  </si>
  <si>
    <t>RECHAZADO</t>
  </si>
  <si>
    <t>REALIZAR LA INTERVENTORÍA TÉCNICA ADMINISTRATIVA FINANCIERA, JURÍDICA, SOCIAL, AMBIENTAL Y SST AL CONTRATO DE OBRA PÚBLICA QUE TENDRÁ POR OBJETO: CONTRATAR A PRECIOS FIJOS Y A MONTO AGOTABLE LA COMPLEMENTACIÓN Y/O ACTUALIZACÓN Y/O AJUSTES DE DSEÑOS Y CONSTRUCCÓN DEL ESPACIO PÚBLICO DE LA LOCALIDAD DE CIUDAD BOLÍVAR, EN BOGOTÁ D.C.</t>
  </si>
  <si>
    <t>CONTRATAR LA INTERVENTORÍA TÉCNICA, ADMINISTRATIVA LEGAL, FINANCIERA, SOCIAL, AMBIENTAL Y SISO PARA LOS CONTRATOS DE OBRA PÚBLICA QUE SE SUSCRIBAN PARA
LA CONSTRUCCÓN E NTERVENCIÓN DE LOS PARQUES VECINALES Y/O DE BOLSILLO PRIORIZADOS EN LA LOCALIDAD</t>
  </si>
  <si>
    <t>ALCALDIA LOCAL DE TUNJUELITO</t>
  </si>
  <si>
    <t>SAIN ESPINOSA MURCIA</t>
  </si>
  <si>
    <t>CONTRATO 1: El ACTA DE RECIBO FINAL DE INTERVENTORÍA no cuenta con todas las firmas. Por este motivo no es posible verificar lo establecido en la NOTA 1: Para el caso de experiencia en ESPACIO PÚBLIBO se escluyen de estos las vías destinadas al tránsito vehicular.</t>
  </si>
  <si>
    <t>CONSORCIO INTERPARQUES TUNJUELITO</t>
  </si>
  <si>
    <t>REALIZAR LA INTERVENTORÍA TÉCNICA ADMINISTRATIVA LEGAL, FINANCERA, SOCIAL, AMBIENTAL Y SISO AL CONTRATO DE OBRA PÚBLICA RESULTANTE DEL PROCESO DE LA LICITACIÓN PÚBLICA NO. FDLT-LP-003-2019, CUYO OBJETO ES: “CONTRATAR A PRECIOS UNITARIOS FIJOS SIN FÓRMULA DE AJUSTE Y A MONTO AGOTABLE LAS OBRAS NECESARIAS PARA LA CONSTRUCCIÓN DE LOS DIFERENTES PARQUES VECINALES Y DE BOLSLLO DE LA LOCALIDAD DE TUNJUELITO</t>
  </si>
  <si>
    <t>148-2019</t>
  </si>
  <si>
    <t>196-2017</t>
  </si>
  <si>
    <t>151-2017</t>
  </si>
  <si>
    <t>CONTRATO 3: No es posible verificar la fecha de terminación del contrato</t>
  </si>
  <si>
    <t>CONTRATO 1: Se valida unicamente la certificación entregada. Con respecto al acta de recibo final, la misma no es válida por no contar con todas las firmas de las partes.
CONTRATO 3: No se aportan ninguno de los documentos solicitados</t>
  </si>
  <si>
    <t>CONTRATO 1: El ACTA DE RECIBO FINAL DE INTERVENTORÍA no cuenta con todas las firmas. Por este motivo no es posible verificar lo establecido en la NOTA 1: Para el caso de experiencia en ESPACIO PÚBLIBO se escluyen de estos las vías destinadas al tránsito vehicular.
CONTRATO 3: No se aporta ninguno de los documentos válidos para acreditar las condiciones de este numeral.</t>
  </si>
  <si>
    <t>NO SE OTORGA EL PUNTAJE POR FACTOR DE SOSTENIBILIDAD CONSIDERANDO QUE NO SE DILIGENCIÓ EL FORMATO 12 REQUERIDO POR LA ENTIDAD</t>
  </si>
  <si>
    <t>REALIZAR LA INTERVENTORÍA TÉCNICA ADMINISTRATIVA, FINANCIERA, Y JURÍDICA PARA LAS OBRAS DE CONSTRUCCIÓN  ADECUACIÓN DEL PARQUE 
METROPOLITANO TERCER MILENIO.</t>
  </si>
  <si>
    <t>IDRD</t>
  </si>
  <si>
    <t>044 DE 2009</t>
  </si>
  <si>
    <t>BM-250-2004</t>
  </si>
  <si>
    <t>1275-09</t>
  </si>
  <si>
    <t>4600076260 DE 2018</t>
  </si>
  <si>
    <t>INTERVENTORÍA TÉCNICA, ADMINISTRATIVA, FINANCIERA, LEGAL, SOCIAL Y AMBIENTAL PARA LA IMPLANTACIÓN Y CONSTRUCCIÓN DE OBRAS DE ESPACIO PÚBLICO PARA EL PROYECTO CÓDIGO 412 DEL ACUERDO 180 DE 2005 DE VALORIZACIÓN, EN BOGOTA D.C.</t>
  </si>
  <si>
    <t>INTERVENTORÍA TÉCNICA, ADMINISTRATIVA, FINANCIERA, SOCIAL Y AMBIENTAL PARA LA CONSTRUCCIÓN, REHABILITACIÓN Y CONSERVACIÓN DE VÍAS PARA RUTAS ALIMENTADORAS DEL SISTEMA TRANSMILENIO ZONA 4, GRUPO 1 EN BOGOTÁ D.C.</t>
  </si>
  <si>
    <t>INTERVENTORÍA TÉCNICA, ADMINISTRATIVA Y FINANCIERA PARA LAS OBRAS DE ADECUACIÓN, CONSTRUCCIÓN Y DOTACIÓN DE PARQUES EN EL MUNICIPIO DE BARRANCABERMEJA.</t>
  </si>
  <si>
    <t>INTERVENTORÍA AL MEJORAMIENTO DE LA MOVILIDAD PEATONAL EN LAS TRANSVERSALES INFERIOR (CARRERA 32-34) Y SUPERIOR (DIAGONAL 25 - CARRERA 25-25B) INTERVINIENDOSE LA SECCIONAL VIAL.</t>
  </si>
  <si>
    <t>IDU</t>
  </si>
  <si>
    <t>ALCALDIA DE BARRANCABERMEJA</t>
  </si>
  <si>
    <t>ALCALDIA DE MEDELLIN</t>
  </si>
  <si>
    <t>En relación a la Nota 1: Para el caso de experiencia de ESPACIO PÚBLICO se excluyen de estos las vías destinadas al tránsito vehicular, por lo anterior el contrato BM-250-2004 no cumple</t>
  </si>
  <si>
    <t>405 DE 2019</t>
  </si>
  <si>
    <t>420 DE 2019</t>
  </si>
  <si>
    <t>INTERVENTORIA TECNICA, ADMINISTRATIVA, LEGAL, FINANCIERA, SOCIAL, AMBIENTAL Y SST AL
CONTRATO DE OBRA PUBLICA CUYO OBJETO ES REALIZAR EL MANTENIMIENTO Y ADECUACION
DE LOS PARQUES VECINALES Y/O DE BOLSILLOS POR EL SISTEMA DE PRECIOS UNITARIOS
SIN FORMULA DE REAJUSTE A MONTO AGOTABLE DE LA LOCALIDAD DE CIUDAD BOLIVAR</t>
  </si>
  <si>
    <t>INTERVENTORIA TECNICA, ADMINISTRAIVA, LEGAL, FINANCIERA, CONTABLE, SEGURIDAD Y
SALUD EN EL TRABAJO, SOCIAL Y AMBIENTAL PARA EL CONTRATO DERIVADO DEL PROCESO
DE LICITACION FDLS-LP-006-2019 PARA EL MANTENIMIENTO DE PARQUES</t>
  </si>
  <si>
    <t>27 DE ENERO DE 2020</t>
  </si>
  <si>
    <t>3 DE SEPTIEMBRE DE 2020</t>
  </si>
  <si>
    <t>19 DE DICIEMBRE DE 2021</t>
  </si>
  <si>
    <t>1 DE NOVIEMBRE DE 2021</t>
  </si>
  <si>
    <t>FONDO DE DESARROLLO LOCAL  DE CIUDAD BOLIVAR</t>
  </si>
  <si>
    <t>FONDO DE DESARROLLO LOCAL  DE SUBA</t>
  </si>
  <si>
    <t>2277-2016</t>
  </si>
  <si>
    <t>EDU-0250-2016</t>
  </si>
  <si>
    <t>INTERVENTORIA PARA EL MEJORAMIENTO Y ADECUACION DE ESCENARIOS DEPORTIVOS DE LA VILLA OLIMPICA DEL MUNICIPIO DE BUCARAMANGA, SEPARTAMENTO DE SANTANDER.</t>
  </si>
  <si>
    <t>INTERVENTORÍA TÉCNICA, ADMINISTRATIVA, AMBIENTAL Y FINANCIERA PARA LA CONSTRUCCIÓN DEL MALECÓN, CORREDOR VERDE Y AVENIDA DEL RÍO EN LA RIBERA DEL RÍO MAGDALENA DESDE SIAPE HASTA LA ISLA DE LA LOMA EN EL DISTRITO DE BARRANQUILLA</t>
  </si>
  <si>
    <t>GOBERNACION DE SANTANDER</t>
  </si>
  <si>
    <t>EMORESA DE DESARROLLO URBANO DE BARRANQUILLA</t>
  </si>
  <si>
    <t>CONSORCIO VILLA OLIMPICA</t>
  </si>
  <si>
    <t>COSORCIO MALECON SIAPE</t>
  </si>
  <si>
    <t>4151.0.26.1.920.215</t>
  </si>
  <si>
    <t>625 DE 2019</t>
  </si>
  <si>
    <t>2734-2021</t>
  </si>
  <si>
    <t>INTERVENTORÍA TÉCNICA, AMBIENTAL, ADMINISTRATIVA Y FINANCIERA PARA LA CONSTRUCCIÓN DEL TRAMO 2 DEL COMPONENTE 1 DEL DENOMINADO PROYECTO CORREDOR VERDE (CORREDOR AMBIENTAL Y PAISAJÍSTICO DE LA CARRERA 8 ENTRE LAS CALLES 44 Y 70), PARA EL DESARROLLO DE UN EJE ESTRUCTURANTE DE ESPACIO PÚBLICO PEATONAL (PARQUE LINEAL) Y DE CICLO RUTAS</t>
  </si>
  <si>
    <t>INTERVENTORIA TECNICA ADMINISTRATIVA Y FINANCIERA PARA LA OBRA QUE TIENE COMO OBJETO: "CONSTRUCCIÓN DE ESPACIO PÚBLICO EN ÁREAS DE MEJORAMIENTO INTEGRAL EN LOS TERRITORIOS PRIORIZADOS POR LA SECRETARÍA DISTRITAL DEL HABITAT, DE ACUERDO CON LOS ESTUDIOS Y DISEÑOS (ENTREGADOS POR LA SECRETARIA DISTRITAL DEL HABITAT) RECIBIDOS POR LA CAJA DE LA VIVIENDA POPULAR EN EL MARCO DEL CONVENIO INTERADMINISTRATIVO NO. 618 DE 29 DE AGOSTO DE 2018.</t>
  </si>
  <si>
    <t>REALIZAR LA INTERVENTORÍA TÉCNICA, ADMINISTRATIVA, CONTABLE, FINANCIERA, SOCIAL, AMBIENTAL, SST Y JURÍDICA A LAS OBRAS DE CONSTRUCCIÓN DEL PARQUE ZONAL OLAYA HERRERA, CÓD IDRD NO. 18-207, LOCALIDAD DE RAFAEL URIBE URIBE</t>
  </si>
  <si>
    <t>ALCLADIA DE SANTIAGO DE CALI</t>
  </si>
  <si>
    <t>CAJA DE VIVIENDA POPULAR</t>
  </si>
  <si>
    <t>INSTITUTO DISTRITAL DE RECREACION Y DEPORTE</t>
  </si>
  <si>
    <t>MEDINA Y RIVERA INGENIEROS ASOCIADOS</t>
  </si>
  <si>
    <t>CONSORCIO M&amp;A 001</t>
  </si>
  <si>
    <t>CONSORCIO MEDKA08 IDRD</t>
  </si>
  <si>
    <t>PAF-EUC-I-091-2022</t>
  </si>
  <si>
    <t>393 DE 2019</t>
  </si>
  <si>
    <t>INTERVENTORÍA INTEGRAL (ADMINISTRATIVA, FINANCIERA, CONTABLE, AMBIENTAL, SOCIAL, JURÍDICA Y TÉCNICA) A LA EJECUCIÓN DE ESTUDIOS, DISEÑOS, CONSTRUCCIÓN Y PUESTA EN FUNCIONAMIENTO DE UN SACUDETE RECREO DEPORTIVO UBICADO EN LA URBANIZACIÓN VILLA AIDETH EN EL MUNICIPIO DE ASTREA, URBANIZACIÓN SARA LUCÍA EN EL MUNICIPIO DE CURUMANÍ Y LA URBANIZACIÓN ALTOS DEL PROGRESO EN EL MUNICIPIO DE SAN ALBERTO DEPARTAMENTO DEL CESAR</t>
  </si>
  <si>
    <t>INTERVENTORIA TECNICA ADMINISTRATIVA,FINANCIERA Y AMBIENTAL PARA LA CONSTRUCCION PRIMERA ETAPA ALAMEDA CARRERA 4</t>
  </si>
  <si>
    <t>FINDETER</t>
  </si>
  <si>
    <t>ALCALDIA DE TOCANCIPA</t>
  </si>
  <si>
    <t>CONSORCIO SACUDETE CESAR</t>
  </si>
  <si>
    <t>UNION TEMPORAL ALAMEDAS</t>
  </si>
  <si>
    <t>586 DE 2019</t>
  </si>
  <si>
    <t>109 DE 2015</t>
  </si>
  <si>
    <t>SECRETARIA DISTRITAL DEL HABITAT</t>
  </si>
  <si>
    <t>ALCALDIA LOCAL LA CANDELARIA</t>
  </si>
  <si>
    <t xml:space="preserve">SE  VERIFICA LA EXISTENCIA DE ACTIVIDADES DE INTERVENTORIA A MOBILIARIO EN EL CONTRATO 586 DE 2019 </t>
  </si>
  <si>
    <t>66 DE 2012</t>
  </si>
  <si>
    <t>2986-2017</t>
  </si>
  <si>
    <t>060 DE 2011</t>
  </si>
  <si>
    <t>12.02-2013</t>
  </si>
  <si>
    <t xml:space="preserve">IDU
</t>
  </si>
  <si>
    <t>VLADIMIR POLO PAZ</t>
  </si>
  <si>
    <t>CONSORCIO CIVILE VP</t>
  </si>
  <si>
    <t>141 DE 2001</t>
  </si>
  <si>
    <t>2956 DE 2017</t>
  </si>
  <si>
    <t>COSORCIO R&amp;M CONSTRUCCIONES E INTERVENTORIAS LTDA Y OTRO</t>
  </si>
  <si>
    <t>1283 DE 2014</t>
  </si>
  <si>
    <t>246-2004</t>
  </si>
  <si>
    <t>INTERVENTORRIA TECNICA, ADMINISTRATIVA, FINANCIERA, LEGAL, SOCIAL, AMBIENTAL Y SISO A LAS ACTIVIDADES DE DIAGNOSTICO, Y OBRA DE MANTENIMIENTO, MEJORAMIENTO, ADECUACIÓN Y REHABILITACIÓN A LA RED DE CICLORUTAS Y ESPACIO PÚBLICO ASOCIADO EN BOGOTÁ D.C. ETAPA 1-2014, GRUPO 1</t>
  </si>
  <si>
    <t>INSTITUTO DE DESARROLLO URBANO IDU</t>
  </si>
  <si>
    <t>CONSORCIO DEISAC</t>
  </si>
  <si>
    <t>CONSORCIO IDS</t>
  </si>
  <si>
    <t>172 de 2019</t>
  </si>
  <si>
    <t>1453 de 2021</t>
  </si>
  <si>
    <t>2709 de 2021</t>
  </si>
  <si>
    <t>INSTITUTO
MUNICIPAL PARA
EL DEPORTE Y LA
RECREACIÓN DE
IBAGUÉ "IMDRI"</t>
  </si>
  <si>
    <t>ALCALDIA
MUNICIPAL DE
IBAGUE</t>
  </si>
  <si>
    <t>INGENIEROS CONSTRUCTORES
Y ASESORES SAS</t>
  </si>
  <si>
    <t>CONSORCIO INTERDEPORTIVO BMX</t>
  </si>
  <si>
    <t>IDU-046-2009</t>
  </si>
  <si>
    <t>IDU-1322-2014</t>
  </si>
  <si>
    <t xml:space="preserve"> INTERVENTORÍATÉCNICA, ADMINISTRATIVA, FINANCIERA, LEGAL, AMBIENTAL Y SOCIAL PARA LA IMPLANTACIÓN Y CONSTRUCCIÓN DE LOS ANDENES Y CICLORRUTA DE LA AV.CALLEJAS (AC127) DESDE LA AV. ALBERTO LLERAS CAMARGO (AK7) HASTA LA AV. SANTA BÁRBARA (AK19) AMBOS COSTADOS EN BOGOTÁ D.C.</t>
  </si>
  <si>
    <t>INTERVENTORÍA TÉCNICA, ADMINISTRATIVA, LEGAL, FINANCIERA, SOCIAL, AMBIENTAL Y S&amp;SO PARA LA EJECUCIÓN DE DIAGNOSTICO, OBRAS DE MANTENIMIENTO, MEJORAMIENTO, ADECUACIÓN Y REHABILITACIÓN DE ESPACIO PUBLICO EN BOGOTÁ D.C., ETAPA1-2014-GRUPO 1 ZONA NORTE (ZONA 1 USAQUEN Y CHAPINERO, ZONA 2 - ENGATIVA, ZONA 3 - SUBA,ZONA
 4-FONTIBONY PUENTEARANDA, ZONA 8 BARRIOS UNIDOS Y TEUSAQUILLO).</t>
  </si>
  <si>
    <t>INSTITUTO DE DESARROLLO URBANO - IDU</t>
  </si>
  <si>
    <t>CONSORCIO CINCO</t>
  </si>
  <si>
    <t>CONSORCIO METRO URBANO</t>
  </si>
  <si>
    <t>316-2009</t>
  </si>
  <si>
    <t>1478-2014</t>
  </si>
  <si>
    <t>IDU-110-2000</t>
  </si>
  <si>
    <t>IDU-UEL-18-003-2002</t>
  </si>
  <si>
    <t>INTERVENTORIA TECNICA PARA LA CONSTRUCCION DEL BLOQUE DE AULAS, ANDENES DE CIRCULACION, ZONA DE PARQUEO Y CERRAMIENTO DE LA CANCHA CUBIERTA DE LA INSTITUCION EDUCATIVA EL CUSIANA, CONSTRUCCION DEL PARQUE SECTOR REUBICACION DEL CENTRO POBLADO DE PASO CUSIANA DEL MUNICIPIO DE TAURAMENA.</t>
  </si>
  <si>
    <t>INTERVENTORÍA TÉCNICA, ADMINISTRATIVA, LEGAL, FINANCIERA, SOCIAL, AMBIENTAL Y S&amp;SO PARA ADELANTAR LOS ESTUDIOS Y DISEÑOS Y LA CONSTRUCCIÓN, OPERACIÓN, CONSERVACIÓN DE LAS REDES AMBIENTALES PEATONALES SEGURAS, RAPS KENNEDY, EN LA CIUDAD DE BOGOTÁ D.C., GRUPO NO. 3.</t>
  </si>
  <si>
    <t>INTERVENTORIA TECNICA, ADMINISTRATIVA Y FINANCIERA A PRECIO GLOBAL FIJO, PARA LA CONSTRUCCION DEL CANAL TINTAL III Y ALAMEDA FRANJA SECA, EN LA LOCALIDAD DE BOSA EN BOGOTA D.C.</t>
  </si>
  <si>
    <t>INTERVENTORIA TECNICA, ADMINISTRATIVA , FINANCIERA Y AMBIENTAL PARA EL ESTUDIO, DISEÑO Y CONSTRUCCION DE OBRAS DE ESPACIO PUBLICO DE LA LOCALIDAD DE RAFAEL URIBE URIBE EN BOGOTA D.C.</t>
  </si>
  <si>
    <t>MUNICIPIO DE TAURAMENA</t>
  </si>
  <si>
    <t>UNION TEMPORAL TAURAMENA 015</t>
  </si>
  <si>
    <t>UNION TEMPORAL FONAR</t>
  </si>
  <si>
    <t>056 DE 1998</t>
  </si>
  <si>
    <t>305 DE 1999</t>
  </si>
  <si>
    <t>CIN-171-2014</t>
  </si>
  <si>
    <t>115 DEL 4 DE DICIEMBRE DE 2000</t>
  </si>
  <si>
    <t xml:space="preserve">
2928 de 2022</t>
  </si>
  <si>
    <t>INTERVENTORÍA TÉCNICA Y ADMINISTRATIVA DE LA CONSTRUCCIÓN Y READECUACIÓN DE PARQUES DE BARRIO UBICADOS EN LAS DIFERENTES LOCALIDADES DEL DISTRITO CAPITAL, DE CONFORMIDAD CON LOS REQUISIROS Y FUNCIONES INDICADAS EN LOS TÉRMINOS DE REFERENCIA DEL CONCURSO PÚBLICO NO. 034 DE 1998 Y BAJO LAS CONDICIONES ESTIPULADAS EN ESTE CONTRATO, QUE HACEN PARTE DE LA INVITACIÓN A CONTRATAR DEL INSTITUTO</t>
  </si>
  <si>
    <t>INTERVENTORÍA TÉCNICA Y ADMINISTRATIVA PARA LAS OBRAS CONTEMPLADAS  BAJO LA LICITACIÓN PÚBLICA NO. 20 DE 1998, CUYO OBJETO ES EL SUMINISTRO POR EL SISTEMA DE PRECIOS UNITARIOS FIJOS, SIN FORMULA DE REAJUSTE DE JUEGOS INFANTILES PARA DOS ZONAS UBICADAS EN EL PARQUE CENTRAL SIMÓN BOLÍVAR EN LA LOCALIDAD DE TEUSAQUILLO DEL DISTRITO CAPITAL; ASÍ COMO LA INSTALACIÓN DE DICHOS JUEGOS Y LA CONSTRUCCIÓN DE LAS OBRAS CIVILES PARA LA ADECUACIÓN DE LAS ZONAS DONDE SERÁN UBICADOS, POR EL SISTEMA DE PRECIOS UNITARIOS FIJOS Y CON FÓRMULA DE REAJUSTE, LA CUAL FUE ADJUDICADA A LA UNIÓN TEMPORAL JUEGOS RECREATIVOS SEGÚN CONTRATO 268/99</t>
  </si>
  <si>
    <t>INTERVENTORÍA TÉCNICA, ADMINISTRATIVA Y FINANCIERA AL CONTRATO N° COP-170-2014, CUYO OBJETO ES REALIZAR POR EL SISTEMA DE PRECIOS UNITARIOS FIJOS SIN FORMULA DE REAJUSTE LA CONSTRUCCIÓN DE LAS OBRAS DE RECUPERACIÓN INTEGRAL EN LOS SECTORES DE LAS QUEBRADAS HONDA, LIMAS Y ZAJÓN DE LA ESTRELLA DE LA LOCALIDAD DE CIUDAD BOLÍVAR DE LA CIUDAD DE BOGOTÁ D.C.</t>
  </si>
  <si>
    <t>INTERVENTORÍA DEL CONTRATO PARA LA CONSTRUCCIÓN DEL PARQUE MIRADOR DE LOS NEVADOS EN LA ANTIGUA CANTERA DE SUBA EN BOGOTÁ D.C.</t>
  </si>
  <si>
    <t xml:space="preserve">REALIZAR  LA  INTERVENTORÍA  TÉCNICA,  ADMINISTRATIVA,  AMBIENTAL CONTABLE/FINANCIERA Y JURÍDICA DEL CONTRATO RESULTANTE DE LA LICITACIÓN PÚBLICA CUYO OBJETO ES: CONTRATAR MEDIANTE EL SISTEMA DE PRECIOS UNITARIOS Y  A  MONTO  AGOTABLE  EL  MANTENIMIENTO,  MEJORAMIENTO,  ADECUACIÓN, REPARACIÓN Y RECUPERACIÓN DE LA INFRAESTRUCTURA DE LOS PARQUES DE LA RED DE PROXIMIDAD QUE INTEGRAN EL SISTEMA DISTRITAL DE PARQUES.”   GRUPO 2
</t>
  </si>
  <si>
    <t>BOGOTÁ DISTRITO CAPITAL -ALCALDIA LOCAL CIUDAD BOLÍVAR</t>
  </si>
  <si>
    <t>DAMA</t>
  </si>
  <si>
    <t>Instituto Distrital para la Recreación y el Deporte -IDRD</t>
  </si>
  <si>
    <t>GERMAN BAZZANI PRADERE</t>
  </si>
  <si>
    <t>CONSORCIO DISPARK</t>
  </si>
  <si>
    <t>894,15</t>
  </si>
  <si>
    <t>516-2014</t>
  </si>
  <si>
    <t>1373-2018</t>
  </si>
  <si>
    <t>ICCU 161-2023</t>
  </si>
  <si>
    <t>INTERVENTORÍA TÉCNICA, ADMINISTRATIVA, FINANCIERA Y AMBIENTAL PARA LA CONSTRUCCIÓN, ADECUACIÓN Y MANTENIMIENTO EN LAS INSTITUCIONES EDUCATIVAS: INSTITUCIÓN EDUCATIVA DEPARTAMENTAL MIGUEL ANTONIO CARO, INSTITUCIÓN EDUCATIVA DEPARTAMENTAL EL BICENTENARIO, INSTITUCIÓN EDUCATIVA DEPARTAMENTAL FUNZA Y INSTITUCIÓN EDUCATIVA TÉCNICO AGROPECUARIO SAN RAMÓN; CONSTRUCCIÓN, RECUPERACIÓN Y REFORZAMIENTO ESTRUCTURAL DE LA NUEVA CASA DE LA JUVENTUD, OFICINA DE LA MUJER Y OFICINA DE DESARROLLO SOCIAL FUNZA - CUNDINAMARCA; CONSTRUCCIÓN, MANTENIMIENTO, ADECUACIÓN, RECUPERACIÓN Y REFORZAMIENTO ESTRUCTURAL DE LA CASA DEL ADULTO MAYOR; CONSTRUCCIÓN DEL CENTRO ACUÁTICO MUNICIPAL; CONSTRUCCIÓN DEL CISS DEL MUNICIPIO DE FUNZA; CONSTRUCCIÓN, MANTENIMIENTO, ADECUACIÓN DEL PARQUE PRINCIPAL "ERNESTO ESGUERRA" DEL MUNICIPIO DE FUNZA; CONSTRUCCIÓN NUEVO COLEGIO SAN JOSÉ SECTOR DE SIETE TROJES EN EL MUNICIPIO DE FUNZA y CONSTRUCCIÓN PARQUE DE LAS ARTES DEL MUNICIPIO DE FUNZA, CUNDINAMARCA EN CUMPLIMIENTO AL PLAN DE DESARROLLO FUNZA AVANZA CON GARANTÍA DE CIUDAD 2012-2015.</t>
  </si>
  <si>
    <t xml:space="preserve">INTERVENTORÍA TÉCNICA, ADMINISTRATIVA, FINANCIERA Y AMBIENTAL AL CONTRATO CUYO OBJETO CORRESPONDE A CONSTRUCCION DE SENDEROS PEATONALES Y OBRAS DE URBANISMO COMPLEMENTARIAS EN LA ZONA PARALELA AL RIO BOGOTA DESDE LAS COMPUERTAS DE ALICACHIN HASTA PUENTE LA VIRGEN EN LA JURISDICCIÓN CAR </t>
  </si>
  <si>
    <t>INTERVENTORÍA TÉCNICA, ADMINISTRATIVA, FINANCIERA, AMBIENTAL Y LEGAL A LA "CONSTRUCCIÓN DEL PARQUE RECREODEPORTIVO SIMÓN VERA EN EL MUNICIPIO DE GUADUAS, DEL DEPARTAMENTO DE CUNDINAMARCA.</t>
  </si>
  <si>
    <t>MUNICIPIO DE FUNZA, CUNDINAMARCA</t>
  </si>
  <si>
    <t>CORPORACIÓN AUTONOMA REGIONAL DE CUNDINAMARCA - CAR</t>
  </si>
  <si>
    <t>INSTITUTO DE INFRAESTRUCTURA Y CONCESIONES DE CUNDINAMARCA ICCU</t>
  </si>
  <si>
    <t>CONSORCIO CYG</t>
  </si>
  <si>
    <t>CONSORCIO SENDEROS RIO BOGOTÁ</t>
  </si>
  <si>
    <t>CONSORCIO INTER 1</t>
  </si>
  <si>
    <t>1287 DE 2017</t>
  </si>
  <si>
    <t>CM_11_2019</t>
  </si>
  <si>
    <t>INTERVENTORÍA TÉCNICA, ADMINISTRATIVA, LEGAL, FINANCIERA, SOCIAL, AMBIENTAL Y DE
SEGURIDAD Y SALUD EN EL TRABAJO PARA LA EJECUCIÓN A MONTO AGOTABLE DE LAS
OBRAS DE MANTENIMIENTO, ADECUACIÓN Y REHABILITACIÓN DE ESPACIO PÚBLICO EN
BOGOTÁ D.C., GRUPO 2</t>
  </si>
  <si>
    <t>REALIZAR LA INTERVENTORÍA TÉCNICA ADMINISTRATIVA, FINANCIERA ,AMBIENTAL AL
CONTRATO DE OBRA CUYO OBJETO ES LA CONSTRUCCIÓN DEL PARQUE LINEAL DEL
MUNICIPIO DE VILLAPINZÓN (CUNDINAMARCA) EN ZONA PARALELA AL RIO BOGOTÁ EN LA
JURISDICCIÓN CAR</t>
  </si>
  <si>
    <t>INSTITUTO DE DESARROLLO URBANO</t>
  </si>
  <si>
    <t>CORPORACION AUTONOMA REGIONAL DE CUNDINAMARCA CAR</t>
  </si>
  <si>
    <t>SOLUCIONS PARA LA INGENIERIA S.A.S</t>
  </si>
  <si>
    <t>SOLUCIONES PARA LA INGENEIRIA S.A.S</t>
  </si>
  <si>
    <t>0178-2018</t>
  </si>
  <si>
    <t>INTERVENTORIA A LA CONSTRUCCION DE
PROTECCION DE LA MARGEN DERECHA DEL RIO
MAGDALENA Y PRIMERA ETAPA PARQUE
LINEAL CABECERA MUNICIPAL LA GLORIA,
CESAR</t>
  </si>
  <si>
    <t>CORPORACION AUTONOMA REGIONAL DEL RIO GRANDE
DE LA MAGDALENA</t>
  </si>
  <si>
    <t>CONSORCIO ALFA</t>
  </si>
  <si>
    <t>146 y 65</t>
  </si>
  <si>
    <t>07-2016</t>
  </si>
  <si>
    <t>43-001/2022</t>
  </si>
  <si>
    <t>INTERVENTORIA INTEGRAL (TECNICA,ADMINISTRATIVA,FINANCIERA,AMBIENTAL,LEGAL,JURIDICA,SST,ETC) A LAS OBRAS DE REHABILITACION  Y MEJORAMIENTO DE LOS PARQUES UBICADOS EN LOS CONDOMINIOS APOSENTOS PH, CONDOMINIO RESIDENCIAL LA TOSCANA, PIONONO CONDOMINIO CLUB, CONJUNTO RESIDENCIAL ROSALES RESERVADO, UBICADOS EN SOPO, CUNIDINAMARCA.</t>
  </si>
  <si>
    <t xml:space="preserve">INTERVENTORIA INTEGRAL PARA EL SEGUIMIENTO TECNICO,FINANCIERO, ADMINISTRATIVO,CONTABLE, Y JURIDICO AL CONTRATO QUE TIENE POR OBJETO "REALIZAR LAS ADECUACIONES DE LAS OFICINAS, LA ADQUISICION, E INSTALACION DEL MOBILIARIO Y LA ADQUISICION E INSTALACION DEL MOBILIARIO  Y LA ADQUISICION Y PUESTA EN FUNCIONAMIENTO DE LOS EQUIPOS TECNOLOGICOS EN LA SEDE CENTRAL DEL DEPARTAMENTO NACIONAL DE PLANEACION  - DNP EN LA CIUDAD DE BOGOTA D.C BAJO LA MODALIDAD DE PRECIOS UNITARIOS FIJOS SIN FORMULA DE REAJUSTE </t>
  </si>
  <si>
    <t>INCIPAL SAS</t>
  </si>
  <si>
    <t>FIDUCIARIA SCOTIABANK COLPATRIA SA -
PATRIMONIO AUTONOMO FC - PAD DEPARTAMENTO NACIONAL DE PLANEACION</t>
  </si>
  <si>
    <t>PRAN CONSTRUCCIONES SAS</t>
  </si>
  <si>
    <t>RAN CONSTRUCCIONES SAS</t>
  </si>
  <si>
    <t>3474-2018</t>
  </si>
  <si>
    <t xml:space="preserve">INTERVENTORIA TECNICA, ADMINISTRATIVA Y FINANCIERA DEL CONTRATO RESULTANTE DE LA LICITACION PUBLICA CUYO OBJETO ES CONTRATAR POR EL SISTEMA DE PRECIOS UNITARIOS FIJOS, EL MANTENIMIENTO, ADECUACION Y RECUPERACION DE CERRAMIENTOS Y MALLAS CONTRA IMPACTO DE LOS CAMPOS DEPORTIVOS Y DE LOS PARQUES DEL SISTEMA DISTRITAL DE PARQUES. </t>
  </si>
  <si>
    <t>CONSORCIO CERRAMIENTO SDP</t>
  </si>
  <si>
    <t>375-2007</t>
  </si>
  <si>
    <t>INTERVENTORÍA PARA LA CONSTRUCCIÓN DE INFRAESTRUCTURA Y OBRAS COMPLEMENTARIAS EN LA CENTRALIDAD NUEVO OCCIDENTE Y PASEO URBANO CORRESPONDIENTE</t>
  </si>
  <si>
    <t xml:space="preserve">EMPRESA DE DESARROLLO URBANO MUNICIPIO DE MEDELLIN </t>
  </si>
  <si>
    <t>UNION TEMPORAL INGENIERIA IJH 2012</t>
  </si>
  <si>
    <t>3695-2019</t>
  </si>
  <si>
    <t>3840-2018</t>
  </si>
  <si>
    <t>029-2006</t>
  </si>
  <si>
    <t>REALIZAR LA INTERVENTORÍA TÉCNICA,ADMINISTRATIVA, FINANCIERA, SOCIAL, SISO, AMBIENTAL Y JURÍDICA A LA CONSTRUCCIÓN DEL CENTRO DEPORTIVO RECREATIVO Y CULTURAL CEFE LAS COMETAS UBICADO EN LA LOCALIDAD DE SUBA EN LA CIUDAD DE BOGOTÁ D.C.</t>
  </si>
  <si>
    <t>REALIZAR LA INTERVENTORÍA TÉCNICA,ADMINISTRATIVA FINANCIERA Y JURIDICA DE LA CONSTRUCCIÓN DEL CENTRO RECREATIVO, DEPORTIVO Y CULTURAL EN EL PARQUE FONTANAR</t>
  </si>
  <si>
    <t>REALIZAR POR EL SSITEMA DE PRECIOS GLOBAL FIJO LA INTERVENTORIA AL CONTRATO DE OBRA PUBLICA CUYO OBJETO ES " REALIZAR POR EL SISTEMA DE PRECIOS UNITARIOS FIJOS, SIN FORMULA DE REJUSTE LA CONSTRUCCION, ADECUACION Y MEJORAMIENTO DE PARQUES DE LA LOCALIDAD DE SAN CRISTOBAL DEL DISTRITO CAPITAL</t>
  </si>
  <si>
    <t>CONSORCIO INGENIERIA CA SUBA</t>
  </si>
  <si>
    <t>CONSORCIO INTERVENTORES PARQUES FT</t>
  </si>
  <si>
    <t>CONSORCIO CONSULTORES 2007</t>
  </si>
  <si>
    <t>4600092629 DE 2021</t>
  </si>
  <si>
    <t>325 de 2019</t>
  </si>
  <si>
    <t>INTERVENTORÍA A LA CONSTRUCCIÓN, MEJORAMIENTO Y MANTENIMIENTO PARQUE LLERAS Y OBRAS COMPLEMENTARIAS EN EL ESPACIO PÚBLICO</t>
  </si>
  <si>
    <t>REALIZAR LA INTERVENTORÍA TÉCNICA, ADMINISTRATIVA, LEGAL, FINANCIERA, CONTABLE, SEGURIDAD Y SALUD EN EL TRABAJO, SOCIAL, Y AMBIENTAL PARA EL CONTRATODE OBRA QUE TIENE POR OBJETO “EJECUTAR A MONTO AGOTABLE POR EL SISTEMA DE PRECIOS UNITARIOS EL DIAGNÓSTICO, INTERVENCIÓN Y MANTENIMIENTO INTEGRAL Y PREVENTIVO DE LOS PARQUES PRIORIZADOS DE ESCALAS VECINALES Y DE BOLSILLO DE LA LOCALIDAD DE KENNEDY</t>
  </si>
  <si>
    <t>DISTRITO ESPECIAL DE CIENCIA TECNOLOGIA E INNOVACION DE MEDELLIN</t>
  </si>
  <si>
    <t>BOGOTA DISTRITO CAPITAL - FONDO DE DESARROLLO
LOCAL DE KENNEDY</t>
  </si>
  <si>
    <t>MIRS LATINOAMERICA S A S - EN REORGANIZACIÓN</t>
  </si>
  <si>
    <t>CONSORCIO PARQUES KENNEDY</t>
  </si>
  <si>
    <t>n/a</t>
  </si>
  <si>
    <t>286 de 2019</t>
  </si>
  <si>
    <t>155 de 2016</t>
  </si>
  <si>
    <t>REALIZAR LA INTERVENTORIA TÉCNICA, ADMINISTRATIVA, JURIDICA, SOCIAL, AMBIENTAL Y FINANCIERA DEL CONTRATO DE OBRA PÚBLICA DERIVADO DEL PROCESO FDLRUU-LP-236-2018 cuyo objeto es: “REALIZAR LA CONSTRUCCIÓN, MANTENIMIENTO, ADECUACIÓN Y RECUPERACIÓN DE LOS PARQUES VECINALES Y DE BOLSILLO POR EL SISTEMA DE PRECIOS UNITARIOS FIJOS, A MONTO AGOTABLE DE LA LOCALIDAD RAFAEL URIBE URIBE</t>
  </si>
  <si>
    <t xml:space="preserve"> REALIZAR LA INTERVENTORIA TECNICA, ADMINISTRATIVA, LEGAL, CONTABLE, FINANCIERA, SOCIAL, AMBIENTAL Y DE SEGURIDAD Y SALUD EN  EL TRABAJO AL CONTRATO DE OBRA PUBLICA No. FDLB-LP-013-2016 "CONTRATAR EL SISTEMA DE PRECIOS UNITARIOS FIJOS SIN FORMULA DE REAJUSTE Y A MONTO AGOTABLE, LAS OBRAS NECESARIAS PARA LA CONSTRUCCIÓN, ADECUACIÓN, MANTENIMIENTO Y/O DOTACIÓN DE MOBILIARIO DE LOS DIFERENTES PARQUES VECINALES Y DE BOLSILLO DE LA LOCALIDAD DE BOSA. </t>
  </si>
  <si>
    <t>ALCALDIA LOCAL DE RAFAEL URIBE URIBE - FONDO DE DESARROLLO LOCAL RAFAEL URIBE URIBE</t>
  </si>
  <si>
    <t>FONDO DE DESARROLLO LOCAL DE BOSA</t>
  </si>
  <si>
    <t>CONSORCIO PROKD</t>
  </si>
  <si>
    <t>CONSORCIO TECHOVITA</t>
  </si>
  <si>
    <t>10
43</t>
  </si>
  <si>
    <t>002 DE 2015</t>
  </si>
  <si>
    <t>INTERVENTORÍA TÉCNICA, ADMINISTRATIVA, FINANCIERA Y AMBIENTAL AL CONTRATO DE OBRA PÚBLICA RESULTANTE DE LA LICITACIÓN PUBLICA NO. 001 DE 2015, QUE TIENE POR OBJETO: CONSTRUCCIÓN DE LA FASE II DE LA VILLA OLÍMPICA DEL MUNICIPIO DE GACHANCIPÁ - CUNDINAMARCA</t>
  </si>
  <si>
    <t>MUNICIPIO DE GACHANCIPA</t>
  </si>
  <si>
    <t>OASIS/INT/015/2019</t>
  </si>
  <si>
    <t>CSO-INT-014-2014</t>
  </si>
  <si>
    <t>AMASCO/INT06/2016</t>
  </si>
  <si>
    <t>3474 DE 2018</t>
  </si>
  <si>
    <t>INTERVENTORIA TECNICA, ADMINISTRATIVA, LEGAL, FINANCIERA, SOCIAL, AMBIENTAL Y SEGURIDAD EN EL TRABAJO Y CALIDAD PARA LA CONSTRUCCION DE PARQUES Y SUMINISTRO E INSTALACION DE MOBILIARIO URBANO EN LA CIUDAD DE YOAPL- CASANARE</t>
  </si>
  <si>
    <t>INTERVENTORIA, TECNICA, ADMININSTRATIVA, LEGAL, FINANCIERA, SOCIAL, AMBIENTAL Y SEGURIDAD EN EL TRABAJO Y CALIDAD PARA LA CONSTRUCCION DE PARQUES EN LA CIUDAD DE YOPAL- CASANARE</t>
  </si>
  <si>
    <t>INTERVENTORIA TECNICA, ADMINISTRATIVA, FINANCIERA, CONTABLE, AMBIENTAL Y JURIDICA PARA LA REPARACION Y MANTENIMIENTO DE 8 PARQUES EN EL AREA URBANA DEL MUNICIPIO DE YOPAL CASANARE</t>
  </si>
  <si>
    <t xml:space="preserve">CONTRATAR LA INTERVENTORIA TECNICA, ADMINISTRATIVA Y FINANCIERA DEL CONTRATO RESULTANTE DE LA LICITACION PUBLICA CUYO OBJETO ES: CONTRATAR POR EL SISTEMA DE PRECIOS UNITARIOS FIJOS, EL MANTENIMIENTO, ADECUACION Y RECUPERACION DE CERRAMIENTOS Y MALLAS CONTRA IMPACTO DE LOS CAMPOS DEPORTIVOS Y DE LOS PARQUES DEL SISTEMA DISTRITAL DE PARQUES </t>
  </si>
  <si>
    <t>OASIS INGENIERIA SAS</t>
  </si>
  <si>
    <t>CONSTRUCTORA SABANA DEL ORIENTE SAS</t>
  </si>
  <si>
    <t>DIMASCO SAS</t>
  </si>
  <si>
    <t xml:space="preserve">INSTITUTO DISTRITAL DE RECREACIÓN Y DEPORTE </t>
  </si>
  <si>
    <t xml:space="preserve">LOGIA 3 ASOCIADOS S.A.S </t>
  </si>
  <si>
    <t>CONSORCIO CERRAMIENTOS SDP</t>
  </si>
  <si>
    <t>2931 DE 2017</t>
  </si>
  <si>
    <t>320-365-366-367-435-436</t>
  </si>
  <si>
    <t>41510102611917 DEL 2018</t>
  </si>
  <si>
    <t>2794</t>
  </si>
  <si>
    <t xml:space="preserve">Contratar la interventoría técnica, administrativa y financiera del contrato resultante de la licitación pública cuyo objeto es: “contratar mediante el sistema de precios unitarios fijos, el mantenimiento de la infraestructura física de los parques que conforman el sistema distrital de parques”. </t>
  </si>
  <si>
    <t>Interventoría técnica, administrativa, financiera  de las siguientes obras:  1. mantenimiento,  consolidación y acondicionamiento del parque centenario del centro histórico de la ciudad de Cartagena. 2. Mantenimiento, consolidación y acondicionamiento en la plaza de la aduana del centro histórico de la ciudad de Cartagena. 3. Mantenimiento, cerramiento e iluminación de la pista de velocidad peraltada y cancha múltiple en el parque centenario del centro histórico de la ciudad de cartagena.4. mantenimiento, consolidación y acondicionamiento de  las  plazoletas  telecom,  antiguas  empresas  publicas  (olímpica)  y  conexiones  entre  las  plazas,  (calle panamá,  callejo  de  las  casetas  de  coca  cola  y  de  los  patacones)  del  centro  histórico  de  la  ciudad  de Cartagena.</t>
  </si>
  <si>
    <t>Interventoría integral al contrato de construcción de cicloinfraestructura en Santiago de Cali</t>
  </si>
  <si>
    <t>Interventoría técnica, administrativa, financiera y jurídica para los estudios y diseños técnicos y la construcción de  la  pista  de  patinaje  del  parque  metropolitano  el  recreo  código  07-  260,  con  cargo  al  proyecto  1082 construcción y adecuación de parques y equipamentos para todos.</t>
  </si>
  <si>
    <t>Instituto Distrital De Recreación Y Deporte</t>
  </si>
  <si>
    <t>Alcaldia mayor de cartagena</t>
  </si>
  <si>
    <t>Alcaldia de Cali Secretaria de Infraestructura Municipal</t>
  </si>
  <si>
    <t>CONSORCIO PARQUES 2017 - INCOPLAN SA</t>
  </si>
  <si>
    <t xml:space="preserve">CONSORIO CARINSA INCOPLAN II - INCOPLAN SA </t>
  </si>
  <si>
    <t>CONSORCIO CORREDOR VERDE IG 2017 - INGENIERIA CONSLTORÍA Y PLANEACIÓN SA</t>
  </si>
  <si>
    <t>INCOPLAN SA</t>
  </si>
  <si>
    <t>FDLSC-
INTV-3672022</t>
  </si>
  <si>
    <t>286-2019</t>
  </si>
  <si>
    <t>2927-2022</t>
  </si>
  <si>
    <t>REALIZAR LA
INTERVENTORIA TECNICA,
ADMINISTRATIVA, FINANCIERA, JURIDICA, SOCIAL,
AMBIENTAL Y SST AL CONTRATO QUE TIENE COMO
OBJETO CONTRATAR A PRECIOS UNITARIOS, LAS
OBRAS DE CONSTRUCCIÓN DE PARQUES
VECINALES Y/O BOLSILLO DE LA LOCALIDAD DE
SAN CRISTOBAL EN LA CIUDAD DE BOGOTÁ D.C,
DE CONFORMIDAD CON LOS ESTUDIOS Y DISEÑOS
ARQUITECTONICOS Y DE INGENERIA PRODUCTO
DEL CONTRATO 278 DE 2018</t>
  </si>
  <si>
    <t>REALIZAR LA
INTERVENTORIA TÉCNICA,
ADMINISTRATIVA, JURIDICA, SOCIAL, AMBIENTAL Y
FINANCIERA DEL CONTRATO DE OBRA PÚBLICA
DERIVADO DEL PROCESO FDLRUU-LP-236-2018 cuyo
objeto es:
“REALIZAR LA CONSTRUCCIÓN,
MANTENIMIENTO, ADECUACIÓN Y RECUPERACIÓN
DE LOS PARQUES VECINALES Y DE BOLSILLO POR
EL SISTEMA DE PRECIOS UNITARIOS FIJOS, A
MONTO AGOTABLE DE LA LOCALIDAD RAFAEL
URIBE URIBE</t>
  </si>
  <si>
    <t>REALIZAR LA
INTERVENTORÍA TÉCNICA,
ADMINISTRATIVA,
AMBIENTAL
CONTABLE/FINANCIERA Y
JURÍDICA DEL
CONTRATO RESULTANTE DE LA LICITACIÓN
PÚBLICA CUYO OBJETO ES: CONTRATAR
MEDIANTE EL SISTEMA DE PRECIOS UNITARIOS Y
A MONTO AGOTABLE EL MANTENIMIENTO,
MEJORAMIENTO, ADECUACIÓN, REPARACIÓN Y
RECUPERACIÓN DE LA INFRAESTRUCTURA DE LOS
PARQUES DE LA RED DE PROXIMIDAD QUE
INTEGRAN EL SISTEMA DISTRITAL DE PARQUES”
Grupo No. 1</t>
  </si>
  <si>
    <t>FONDO DE 
DESARROLLO
LOCAL DE SAN
CRISTÓBAL</t>
  </si>
  <si>
    <t>ALCALDIA
LOCAL DE
RAFAEL URIBE
URIBE</t>
  </si>
  <si>
    <t>CONSORCIO PARQUES SC</t>
  </si>
  <si>
    <t xml:space="preserve"> CONSORCIO PROKD</t>
  </si>
  <si>
    <t>CONSORCIO INTERPARQUES G1</t>
  </si>
  <si>
    <t>7 y 56</t>
  </si>
  <si>
    <t>39-03-03-2023</t>
  </si>
  <si>
    <t>109 DE 2017</t>
  </si>
  <si>
    <t>INTERVENTORÍA A LA ADECUACIÓN DE LA 
INFRAESTRUCTURA DE PARQUES Y ESCENARIOS 
DEPORTIVOS EN EL MUNICIPIO DE BUCARAMANGA,
SANTANDER. LOTE 1</t>
  </si>
  <si>
    <t>REALIZAR LA INTERVENTORIA TECNICA, 
ADMINISTRATIVA, FINANCIERA, SOCIAL AMBIENTAL Y
SISO DE LOS CONTRATOS CELEBRADOS PARA LA
EJECUCION DE OBRAS DE REHABILITACION Y/O
RECONSTRUCCION Y/O MANTENIMIENTO Y/O
SUMINISTRO DEL ESPACIO PUBLICO Y MOVILIDAD DE
LA LOCALIDAD DE CANDELARIA.</t>
  </si>
  <si>
    <t>ALCALDIA
MUNICIPAL
BUCARAMANGA</t>
  </si>
  <si>
    <t>FONDO DE 
DESARROLLO
LOCAL LA
CANDELARIA</t>
  </si>
  <si>
    <t>CONSORCIO VIAS CANDELARIA 2017</t>
  </si>
  <si>
    <t>0387 de 2015</t>
  </si>
  <si>
    <t>Interventoría Técnica, Administrativa
y Financiera para la construcción del
Parque de las Aguas en el Distrito de
Santa Marta, Magdalena, Caribe</t>
  </si>
  <si>
    <t>INTERVENTORIA TECNICA, 
ADMINISTRATIVA, FINANCIERA, 
JURIDICA Y AMBIENTAL PARA LA
CONSTRUCCION DE PARQUES
INFANTILES COMO ESPACIOS
LUDICOS ABIERTOS PARA LA
NIÑEZ DEL MUNICIPIO DE LA
CALERA - CUNDINAMARCA</t>
  </si>
  <si>
    <t>DISTRITO  
TURISTICO 
CULTURAL E 
HISTORICO DE
SANTA MARTA</t>
  </si>
  <si>
    <t>MUNICIPIO DE LA
CALERA
CUNDINAMARCA</t>
  </si>
  <si>
    <t>JUAN CARLOS BELALCAZAR BENITEZ</t>
  </si>
  <si>
    <t>CONSORCIO CIVILTEK JCB</t>
  </si>
  <si>
    <t xml:space="preserve">CONTRATO 2: NO SE CONSIDERA VALIDA LA EXPERIENCIA TODA VEZ QUE NO DA CUMPLIMIENTO A LO ESTABLECIDO EN LA NOTA 1: Para el caso de experiencia de ESPACIO PÚBLICO se excluyen de estos las vías destinadas al tránsito vehicular, así como la INTERVENTORÍA A conservación y/o preservación de playas marítimas. </t>
  </si>
  <si>
    <t>REALIZAR LA INTERVENTORIA TECNICA, JURIDICA, SOCIAL, ADMINISTRATIVA Y FINANCIERA A LA CONSTRUCCION DE LAS OBRAS DE MEJORAMIENTO DE ESPACIO PUBLICO EN EL NODO COMERCIAL DEL TERRITORIO CON OPORTUNIDAD CERROS NORORIENTALES</t>
  </si>
  <si>
    <t>INTERVENTORIA TECNICA, ADMINISTRATIVA, FINANCIERA Y AMBIENTAL, AL CONTRATO QUE RESULTE DEL PROCESO LICITATORIO N FDLC-LP 024 DE 2015 CUYO OBJETO ES" EL DISEÑO Y EJECUCION DE OBRAS PARA LA CONSTRUCCION, ADECUACION Y MANTENIMIENTO DE PARQUES Y ANDENES DE LA LOCALIDAD DE CANDELARIA EN BOGOTA D.C</t>
  </si>
  <si>
    <t>INTERVENTORIA TECNICA, ADMINISTRATIVA, FINANCIERA. LEGAL, AMBIENTAL Y SOCIAL PARA LA EJECUCION A MONTO AGOTABLE,  DE OBRAS DE MANTENIMIENTO, MEJORAMIENTO Y ADECUACIÓN DE ESPACIO PÚBLICO A NIVEL METROPOLITANO EN BOGOTA D.C., FASE 2-2012</t>
  </si>
  <si>
    <t>Contratar la Interventoria técnica, administrativa y financiera del contrato resultante de la licitación pública cuyo objeto es: "Contratar a precios unitarios fijos, la recuperación y
mantenimiento de las superficies, pisos duros de los parques de escala Zonales, Metropolitanos y Regional debidamente certificados y georeferenciados por el IDRD y
el DADEP y que componen el Sistema Distrital de Parques</t>
  </si>
  <si>
    <t>INTERVENTORÍA TÉCNICA, ADMINISTRATIVA, FINANCIERA, LEGAL, SOCIAL Y AMBIENTAL PARA LA CONSTRUCCION DE VIAS LOCALES Y ESPACIO PUBLICO EN LAS LOCALIDADES DE USME, RAFAEL URIBE URIBE, CIUDAD BOLIVAR Y SAN CRISTOBAL, EN BOGOTA D.C. EN EL MARCO DEL CONVENIO DE COOPERACION INTERNACIONAL ENTRE EL GOBIERNO ALEMAN A TRAVES DEL KFW Y EL DISTRITO CAPITAL
DE BOGOTA PROGRAMA SUR DE CONVIVENCIA – FASE
II.</t>
  </si>
  <si>
    <t>INTERVENTORIA TECNICA, ADMINISTRATIVA, FINANCIERA Y AMBIENTAL PARA LA CONSTRUCCION DE LA ALAMEDA FLORIDAJUAN AMARILLO</t>
  </si>
  <si>
    <t>CONTRATAR LA INTERVENTORIA TECNICA, ADMINISTRATIVAY FINANCIERA DEL CONTRATO RESULTANTE DE LA LICITACION PUBLICA CUYO OBJETO ES CONTRATAR MEDIANTE EL SISTEMADE PRECIOS UNITARIOS FIJOS, EL SUMINISTRO E INSTALACIONDE MOBILIARIO URBANO, ASI COMO EL MANTENIMIENTO DE LANFRAESTRUCTURA FISICA DE LOS PARQUES VECINALES Y DEBOLSILLO QUE CONFORMAN EL SISTEMA DISTRITAL DE PARQUES. PARA EL GRUPO 1</t>
  </si>
  <si>
    <t>INTERVENTORÍA PARA LA CONSTRUCCIÓN, REHABILITACIÓN Y MANTENIMIENTO DE ACCESOS A BARRIOS Y PAVIMENTOS LOCALES - PROGRAMA PAVIMENTOS LOCALES, GRUPO 3: LOCALIDADES DE ANTONIO NARIÑO, BARRIOS UNIDOS, CANDELARIA, MARTIRES, RAFAEL URIBE URIBE, SANTAFE, TEUSAQUILLO Y TUNJUELITO EN BOGOTA D.C</t>
  </si>
  <si>
    <t>INTERVENTORÍA TÉCNICA, ADMINISTRATIVA, FINANCIERA, SOCIAL, AMBIENTAL, Y DE SEGURIDAD Y SALUD EN EL TRABAJO PARA LA CONSTRUCCIÓN DEL UBRBANISMO EN EL PARQUE DEPORTIVO DE LA CIUDAD DE IBAGUÉ</t>
  </si>
  <si>
    <t>INTERVENTORÍA TECNICA, ADMINISTRATIVA, FINANCIERA Y AMBIENTAL, Y JURIDICA AL PROYECTO DE CONSTRUCCIÓN Y ADECUACIÓN DEL COMPELJO DE RAQUETAS EN EL PARQUE DEPORTIVO EN EL MUNICIPIO DE IBAGUE DEPARTAMENTO DEL TOLIMA</t>
  </si>
  <si>
    <t xml:space="preserve">INTERVENTORIA TÉCNICA, ADMINISTRATIVA, FINANCIERA, AMBIENTAL Y JURIDICA AL PROYECTO DE CONSTRUCCIÓN Y ADECUACIÓN DEL COMPLEJO DEPORTIVO DE BMX EN EL PARQUE DEPORTIVO EN EL </t>
  </si>
  <si>
    <t>CONTRATO 2: No es posible verificar que el ESPACIO PUBLICO no corresponda a vias de uso vehicular según lo establecido en la NOTA 1.</t>
  </si>
  <si>
    <t xml:space="preserve">CONTRATO 3: NO SE CONSIDERA VALIDA LA EXPERIENCIA TODA VEZ QUE NO DA CUMPLIMIENTO A LO ESTABLECIDO EN LA NOTA 1: Para el caso de experiencia de ESPACIO PÚBLICO se excluyen de estos las vías destinadas al tránsito vehicular, así como la INTERVENTORÍA A conservación y/o preservación de playas marítimas. </t>
  </si>
  <si>
    <t>CONTRATO 2: El objeto ni el alcance comple con lo solicitado por el pliego de condiciones definitivo</t>
  </si>
  <si>
    <t>374-2019</t>
  </si>
  <si>
    <t>NO SE OTORGA EL PUNRAJE POR VINCULACIÓN DE PERSONAS CON DISCAPACIDAD TODA VEZ QUE NO SE APORTARON LOS DOCUMENTOS EXIGIDOS EN EL PLIEGO DE CONDICIONES</t>
  </si>
  <si>
    <t>NO SE OTORGA EL PUNTAJE POR VINCULACIÓN DE PERSONAS CON DISCAPACIDAD, DADO QUE EL OFERENTE DENTRO DE LOS DOCUMENTOS DE SU PROPUESTA NO APORTA EL FORMATO 6.</t>
  </si>
  <si>
    <t>• Empredimiento mujeres y empresas mujeres : No se presenta "COPIA DE CONTRATO O CERTIFICACION LABORAL CON FUNCIONES" y " CERTIFICADO DE APORTES AL SISTEMA DE SEGURIDAD SOCIAL DEL ULTIMO AÑO ". POR LO ANTERIOR NO SE OTORGA PUNTAJE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</si>
</sst>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164" formatCode="_-[$$-240A]\ * #,##0.00_-;\-[$$-240A]\ * #,##0.00_-;_-[$$-240A]\ * &quot;-&quot;??_-;_-@_-"/>
    <numFmt numFmtId="165" formatCode="[$$-240A]#,##0.00;[Red]\([$$-240A]#,##0.00\)"/>
    <numFmt numFmtId="166" formatCode="#,##0;[Red]#,##0"/>
    <numFmt numFmtId="167" formatCode="_-&quot;$&quot;\ * #,##0.00_-;\-&quot;$&quot;\ * #,##0.00_-;_-&quot;$&quot;\ * &quot;-&quot;_-;_-@_-"/>
    <numFmt numFmtId="168" formatCode="0.00000"/>
    <numFmt numFmtId="169" formatCode="&quot;$&quot;\ #,##0"/>
    <numFmt numFmtId="170" formatCode="&quot;$&quot;#,##0"/>
    <numFmt numFmtId="171" formatCode="[$-240A]d&quot; de &quot;mmmm&quot; de &quot;yyyy;@"/>
    <numFmt numFmtId="172" formatCode="&quot;$&quot;#,##0.00"/>
    <numFmt numFmtId="173" formatCode="&quot;$&quot;\ #,##0.00"/>
    <numFmt numFmtId="174" formatCode="[$$-240A]\ #,##0.00000;[Red][$$-240A]\ #,##0.00000"/>
    <numFmt numFmtId="175" formatCode="0.0000000"/>
    <numFmt numFmtId="176" formatCode="0.000"/>
    <numFmt numFmtId="177" formatCode="dd/mm/yyyy;@"/>
  </numFmts>
  <fonts count="37"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0"/>
      <name val="Arial"/>
      <family val="2"/>
    </font>
    <font>
      <b/>
      <sz val="11"/>
      <name val="Calibri"/>
      <family val="2"/>
      <scheme val="minor"/>
    </font>
    <font>
      <sz val="11"/>
      <color theme="1"/>
      <name val="Calibri"/>
      <family val="2"/>
    </font>
    <font>
      <b/>
      <sz val="10"/>
      <name val="Calibri"/>
      <family val="2"/>
      <scheme val="minor"/>
    </font>
    <font>
      <b/>
      <sz val="10"/>
      <color theme="1"/>
      <name val="Calibri"/>
      <family val="2"/>
      <scheme val="minor"/>
    </font>
    <font>
      <sz val="10"/>
      <color theme="1"/>
      <name val="Calibri"/>
      <family val="2"/>
      <scheme val="minor"/>
    </font>
    <font>
      <sz val="11"/>
      <name val="Calibri"/>
      <family val="2"/>
      <scheme val="minor"/>
    </font>
    <font>
      <b/>
      <sz val="10"/>
      <color theme="0"/>
      <name val="Calibri"/>
      <family val="2"/>
      <scheme val="minor"/>
    </font>
    <font>
      <b/>
      <sz val="9"/>
      <color indexed="81"/>
      <name val="Tahoma"/>
      <family val="2"/>
    </font>
    <font>
      <sz val="9"/>
      <color indexed="81"/>
      <name val="Tahoma"/>
      <family val="2"/>
    </font>
    <font>
      <i/>
      <sz val="10"/>
      <name val="Arial"/>
      <family val="2"/>
    </font>
    <font>
      <sz val="18"/>
      <color theme="1"/>
      <name val="Calibri"/>
      <family val="2"/>
      <scheme val="minor"/>
    </font>
    <font>
      <sz val="8"/>
      <name val="Calibri"/>
      <family val="2"/>
      <scheme val="minor"/>
    </font>
    <font>
      <b/>
      <sz val="11"/>
      <color theme="0"/>
      <name val="Calibri"/>
      <family val="2"/>
      <scheme val="minor"/>
    </font>
    <font>
      <b/>
      <u/>
      <sz val="22"/>
      <name val="Calibri"/>
      <family val="2"/>
      <scheme val="minor"/>
    </font>
    <font>
      <sz val="18"/>
      <name val="Calibri"/>
      <family val="2"/>
      <scheme val="minor"/>
    </font>
    <font>
      <b/>
      <sz val="12"/>
      <color theme="0"/>
      <name val="Calibri"/>
      <family val="2"/>
      <scheme val="minor"/>
    </font>
    <font>
      <b/>
      <sz val="14"/>
      <color theme="0"/>
      <name val="Calibri"/>
      <family val="2"/>
      <scheme val="minor"/>
    </font>
    <font>
      <b/>
      <sz val="36"/>
      <color rgb="FF006100"/>
      <name val="Calibri"/>
      <family val="2"/>
      <scheme val="minor"/>
    </font>
    <font>
      <b/>
      <sz val="10"/>
      <name val="Arial"/>
      <family val="2"/>
    </font>
    <font>
      <b/>
      <sz val="10"/>
      <color theme="0"/>
      <name val="Arial"/>
      <family val="2"/>
      <charset val="1"/>
    </font>
    <font>
      <sz val="14"/>
      <color theme="1"/>
      <name val="Calibri"/>
      <family val="2"/>
      <scheme val="minor"/>
    </font>
    <font>
      <b/>
      <sz val="14"/>
      <name val="Calibri"/>
      <family val="2"/>
      <scheme val="minor"/>
    </font>
    <font>
      <b/>
      <sz val="16"/>
      <color theme="0"/>
      <name val="Calibri"/>
      <family val="2"/>
      <scheme val="minor"/>
    </font>
    <font>
      <sz val="16"/>
      <color theme="1"/>
      <name val="Calibri"/>
      <family val="2"/>
      <scheme val="minor"/>
    </font>
    <font>
      <i/>
      <sz val="11"/>
      <color theme="1"/>
      <name val="Calibri"/>
      <family val="2"/>
      <scheme val="minor"/>
    </font>
    <font>
      <b/>
      <sz val="24"/>
      <color theme="0"/>
      <name val="Calibri"/>
      <family val="2"/>
      <scheme val="minor"/>
    </font>
    <font>
      <b/>
      <sz val="20"/>
      <color theme="1"/>
      <name val="Calibri"/>
      <family val="2"/>
      <scheme val="minor"/>
    </font>
    <font>
      <b/>
      <sz val="18"/>
      <color theme="0"/>
      <name val="Calibri"/>
      <family val="2"/>
      <scheme val="minor"/>
    </font>
    <font>
      <sz val="9"/>
      <name val="Arial"/>
      <family val="2"/>
    </font>
    <font>
      <b/>
      <sz val="12"/>
      <color theme="1"/>
      <name val="Calibri"/>
      <family val="2"/>
      <scheme val="minor"/>
    </font>
    <font>
      <sz val="12"/>
      <color theme="1"/>
      <name val="Calibri"/>
      <family val="2"/>
      <scheme val="minor"/>
    </font>
    <font>
      <b/>
      <sz val="36"/>
      <name val="Calibri"/>
      <family val="2"/>
      <scheme val="minor"/>
    </font>
  </fonts>
  <fills count="10">
    <fill>
      <patternFill patternType="none"/>
    </fill>
    <fill>
      <patternFill patternType="gray125"/>
    </fill>
    <fill>
      <patternFill patternType="solid">
        <fgColor rgb="FFC6EFCE"/>
      </patternFill>
    </fill>
    <fill>
      <patternFill patternType="solid">
        <fgColor theme="9" tint="0.39997558519241921"/>
        <bgColor indexed="64"/>
      </patternFill>
    </fill>
    <fill>
      <patternFill patternType="solid">
        <fgColor indexed="26"/>
        <bgColor indexed="9"/>
      </patternFill>
    </fill>
    <fill>
      <patternFill patternType="solid">
        <fgColor rgb="FFFFFF99"/>
        <bgColor indexed="64"/>
      </patternFill>
    </fill>
    <fill>
      <patternFill patternType="solid">
        <fgColor rgb="FF0070C0"/>
        <bgColor indexed="64"/>
      </patternFill>
    </fill>
    <fill>
      <patternFill patternType="solid">
        <fgColor rgb="FF00B050"/>
        <bgColor indexed="64"/>
      </patternFill>
    </fill>
    <fill>
      <patternFill patternType="solid">
        <fgColor rgb="FFFF0000"/>
        <bgColor indexed="64"/>
      </patternFill>
    </fill>
    <fill>
      <patternFill patternType="solid">
        <fgColor rgb="FFFFFF00"/>
        <bgColor indexed="64"/>
      </patternFill>
    </fill>
  </fills>
  <borders count="5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diagonal/>
    </border>
    <border>
      <left style="thin">
        <color indexed="64"/>
      </left>
      <right/>
      <top/>
      <bottom style="thin">
        <color indexed="64"/>
      </bottom>
      <diagonal/>
    </border>
    <border>
      <left/>
      <right style="thin">
        <color auto="1"/>
      </right>
      <top/>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auto="1"/>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style="thin">
        <color auto="1"/>
      </top>
      <bottom/>
      <diagonal/>
    </border>
    <border>
      <left style="thin">
        <color auto="1"/>
      </left>
      <right style="medium">
        <color indexed="64"/>
      </right>
      <top/>
      <bottom style="thin">
        <color auto="1"/>
      </bottom>
      <diagonal/>
    </border>
    <border>
      <left style="thin">
        <color auto="1"/>
      </left>
      <right style="medium">
        <color indexed="64"/>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thin">
        <color auto="1"/>
      </top>
      <bottom/>
      <diagonal/>
    </border>
    <border>
      <left/>
      <right/>
      <top style="thin">
        <color auto="1"/>
      </top>
      <bottom/>
      <diagonal/>
    </border>
    <border>
      <left style="thin">
        <color auto="1"/>
      </left>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indexed="64"/>
      </left>
      <right/>
      <top style="medium">
        <color indexed="64"/>
      </top>
      <bottom style="medium">
        <color indexed="64"/>
      </bottom>
      <diagonal/>
    </border>
    <border>
      <left style="thin">
        <color auto="1"/>
      </left>
      <right/>
      <top style="thin">
        <color auto="1"/>
      </top>
      <bottom style="medium">
        <color indexed="64"/>
      </bottom>
      <diagonal/>
    </border>
    <border>
      <left style="medium">
        <color indexed="64"/>
      </left>
      <right/>
      <top style="medium">
        <color indexed="64"/>
      </top>
      <bottom/>
      <diagonal/>
    </border>
    <border>
      <left/>
      <right style="medium">
        <color indexed="64"/>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42" fontId="1" fillId="0" borderId="0" applyFont="0" applyFill="0" applyBorder="0" applyAlignment="0" applyProtection="0"/>
    <xf numFmtId="0" fontId="2" fillId="2" borderId="0" applyNumberFormat="0" applyBorder="0" applyAlignment="0" applyProtection="0"/>
    <xf numFmtId="0" fontId="6" fillId="0" borderId="0"/>
    <xf numFmtId="9" fontId="1" fillId="0" borderId="0" applyFont="0" applyFill="0" applyBorder="0" applyAlignment="0" applyProtection="0"/>
  </cellStyleXfs>
  <cellXfs count="465">
    <xf numFmtId="0" fontId="0" fillId="0" borderId="0" xfId="0"/>
    <xf numFmtId="0" fontId="4" fillId="4" borderId="0" xfId="0" applyFont="1" applyFill="1" applyAlignment="1">
      <alignment horizontal="center"/>
    </xf>
    <xf numFmtId="0" fontId="7" fillId="0" borderId="13" xfId="3" applyFont="1" applyBorder="1" applyAlignment="1">
      <alignment horizontal="left" vertical="center" wrapText="1"/>
    </xf>
    <xf numFmtId="0" fontId="0" fillId="0" borderId="0" xfId="0" applyAlignment="1">
      <alignment wrapText="1"/>
    </xf>
    <xf numFmtId="0" fontId="10" fillId="0" borderId="0" xfId="0" applyFont="1"/>
    <xf numFmtId="166" fontId="5" fillId="0" borderId="0" xfId="0" applyNumberFormat="1" applyFont="1"/>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165" fontId="4" fillId="0" borderId="0" xfId="0" applyNumberFormat="1" applyFont="1" applyAlignment="1">
      <alignment horizontal="center"/>
    </xf>
    <xf numFmtId="165" fontId="10" fillId="0" borderId="0" xfId="0" applyNumberFormat="1" applyFont="1"/>
    <xf numFmtId="0" fontId="14"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3" fillId="0" borderId="13" xfId="0" applyFont="1" applyBorder="1" applyAlignment="1">
      <alignment horizont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center" vertical="center" wrapText="1"/>
    </xf>
    <xf numFmtId="0" fontId="0" fillId="0" borderId="1" xfId="0" applyBorder="1" applyAlignment="1">
      <alignment horizontal="left" vertical="center"/>
    </xf>
    <xf numFmtId="0" fontId="3" fillId="0" borderId="1" xfId="0" applyFont="1" applyBorder="1" applyAlignment="1">
      <alignment horizontal="center" vertical="center" wrapText="1"/>
    </xf>
    <xf numFmtId="167" fontId="5" fillId="0" borderId="1" xfId="1" applyNumberFormat="1" applyFont="1" applyBorder="1" applyAlignment="1">
      <alignment vertical="center" wrapText="1"/>
    </xf>
    <xf numFmtId="0" fontId="8" fillId="0" borderId="0" xfId="0" applyFont="1" applyAlignment="1">
      <alignment horizontal="center" vertical="center"/>
    </xf>
    <xf numFmtId="0" fontId="8" fillId="0" borderId="0" xfId="0" applyFont="1" applyAlignment="1">
      <alignment horizontal="left" vertical="center"/>
    </xf>
    <xf numFmtId="0" fontId="3" fillId="0" borderId="0" xfId="0" applyFont="1" applyAlignment="1">
      <alignment horizontal="center" vertical="center" wrapText="1"/>
    </xf>
    <xf numFmtId="0" fontId="4" fillId="0" borderId="0" xfId="0" applyFont="1" applyAlignment="1">
      <alignment horizontal="center"/>
    </xf>
    <xf numFmtId="0" fontId="9" fillId="0" borderId="0" xfId="0" applyFont="1"/>
    <xf numFmtId="168" fontId="9" fillId="0" borderId="0" xfId="0" applyNumberFormat="1" applyFont="1"/>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3" fillId="0" borderId="1" xfId="0" applyFont="1" applyBorder="1" applyAlignment="1">
      <alignment horizontal="center" vertical="center"/>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2" fontId="0" fillId="0" borderId="0" xfId="0" applyNumberFormat="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center" vertical="center"/>
    </xf>
    <xf numFmtId="2" fontId="0" fillId="0" borderId="1" xfId="0" applyNumberFormat="1" applyBorder="1" applyAlignment="1">
      <alignment horizontal="center" vertical="center" wrapText="1"/>
    </xf>
    <xf numFmtId="9" fontId="0" fillId="0" borderId="1" xfId="4" applyFont="1" applyBorder="1" applyAlignment="1">
      <alignment horizontal="center" vertical="center" wrapText="1"/>
    </xf>
    <xf numFmtId="9" fontId="0" fillId="0" borderId="0" xfId="4" applyFont="1" applyAlignment="1">
      <alignment horizontal="center" vertical="center" wrapText="1"/>
    </xf>
    <xf numFmtId="0" fontId="0" fillId="5" borderId="1" xfId="0" applyFill="1" applyBorder="1" applyAlignment="1">
      <alignment horizontal="center" vertical="center" wrapText="1"/>
    </xf>
    <xf numFmtId="170" fontId="0" fillId="5" borderId="1" xfId="1" applyNumberFormat="1" applyFont="1" applyFill="1" applyBorder="1" applyAlignment="1">
      <alignment horizontal="center" vertical="center" wrapText="1"/>
    </xf>
    <xf numFmtId="14" fontId="0" fillId="0" borderId="7" xfId="0" applyNumberFormat="1" applyBorder="1"/>
    <xf numFmtId="14" fontId="0" fillId="0" borderId="14" xfId="0" applyNumberFormat="1" applyBorder="1"/>
    <xf numFmtId="0" fontId="17" fillId="6" borderId="2" xfId="0" applyFont="1" applyFill="1" applyBorder="1" applyAlignment="1">
      <alignment horizontal="center" vertical="center" wrapText="1"/>
    </xf>
    <xf numFmtId="0" fontId="0" fillId="0" borderId="11" xfId="0" applyBorder="1" applyAlignment="1">
      <alignment horizontal="center" vertical="center" wrapText="1"/>
    </xf>
    <xf numFmtId="9" fontId="0" fillId="0" borderId="11" xfId="4" applyFont="1" applyBorder="1" applyAlignment="1">
      <alignment horizontal="center" vertical="center" wrapText="1"/>
    </xf>
    <xf numFmtId="170" fontId="0" fillId="5" borderId="11" xfId="1" applyNumberFormat="1" applyFont="1" applyFill="1" applyBorder="1" applyAlignment="1">
      <alignment horizontal="center" vertical="center" wrapText="1"/>
    </xf>
    <xf numFmtId="0" fontId="0" fillId="5" borderId="11" xfId="0" applyFill="1" applyBorder="1" applyAlignment="1">
      <alignment horizontal="center" vertical="center" wrapText="1"/>
    </xf>
    <xf numFmtId="2" fontId="0" fillId="0" borderId="11" xfId="0" applyNumberFormat="1" applyBorder="1" applyAlignment="1">
      <alignment horizontal="center" vertical="center" wrapText="1"/>
    </xf>
    <xf numFmtId="0" fontId="0" fillId="0" borderId="16" xfId="0" applyBorder="1" applyAlignment="1">
      <alignment horizontal="center" vertical="center" wrapText="1"/>
    </xf>
    <xf numFmtId="9" fontId="0" fillId="0" borderId="16" xfId="4" applyFont="1" applyBorder="1" applyAlignment="1">
      <alignment horizontal="center" vertical="center" wrapText="1"/>
    </xf>
    <xf numFmtId="170" fontId="0" fillId="5" borderId="16" xfId="1" applyNumberFormat="1" applyFont="1" applyFill="1" applyBorder="1" applyAlignment="1">
      <alignment horizontal="center" vertical="center" wrapText="1"/>
    </xf>
    <xf numFmtId="0" fontId="0" fillId="5" borderId="16" xfId="0" applyFill="1" applyBorder="1" applyAlignment="1">
      <alignment horizontal="center" vertical="center" wrapText="1"/>
    </xf>
    <xf numFmtId="2" fontId="0" fillId="0" borderId="16" xfId="0" applyNumberFormat="1" applyBorder="1" applyAlignment="1">
      <alignment horizontal="center" vertical="center" wrapText="1"/>
    </xf>
    <xf numFmtId="0" fontId="0" fillId="5" borderId="11" xfId="4" applyNumberFormat="1" applyFont="1" applyFill="1" applyBorder="1" applyAlignment="1">
      <alignment horizontal="center" vertical="center" wrapText="1"/>
    </xf>
    <xf numFmtId="0" fontId="0" fillId="5" borderId="1" xfId="4" applyNumberFormat="1" applyFont="1" applyFill="1" applyBorder="1" applyAlignment="1">
      <alignment horizontal="center" vertical="center" wrapText="1"/>
    </xf>
    <xf numFmtId="0" fontId="0" fillId="5" borderId="16" xfId="4" applyNumberFormat="1" applyFont="1" applyFill="1" applyBorder="1" applyAlignment="1">
      <alignment horizontal="center" vertical="center" wrapText="1"/>
    </xf>
    <xf numFmtId="0" fontId="0" fillId="0" borderId="0" xfId="4" applyNumberFormat="1" applyFont="1" applyAlignment="1">
      <alignment horizontal="center" vertical="center" wrapText="1"/>
    </xf>
    <xf numFmtId="170" fontId="0" fillId="0" borderId="11" xfId="0" applyNumberFormat="1" applyBorder="1" applyAlignment="1">
      <alignment horizontal="center" vertical="center" wrapText="1"/>
    </xf>
    <xf numFmtId="170" fontId="0" fillId="0" borderId="1" xfId="1" applyNumberFormat="1" applyFont="1" applyBorder="1" applyAlignment="1">
      <alignment horizontal="center" vertical="center" wrapText="1"/>
    </xf>
    <xf numFmtId="169" fontId="7" fillId="3" borderId="1" xfId="1" applyNumberFormat="1" applyFont="1" applyFill="1" applyBorder="1" applyAlignment="1">
      <alignment vertical="center" wrapText="1"/>
    </xf>
    <xf numFmtId="2" fontId="7" fillId="3" borderId="1" xfId="1" applyNumberFormat="1" applyFont="1" applyFill="1" applyBorder="1" applyAlignment="1">
      <alignment vertical="center" wrapText="1"/>
    </xf>
    <xf numFmtId="1" fontId="7" fillId="3" borderId="1" xfId="1" applyNumberFormat="1" applyFont="1" applyFill="1" applyBorder="1" applyAlignment="1">
      <alignment horizontal="center" vertical="center" wrapText="1"/>
    </xf>
    <xf numFmtId="9" fontId="7" fillId="3" borderId="1" xfId="4" applyFont="1" applyFill="1"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xf numFmtId="0" fontId="0" fillId="0" borderId="0" xfId="4" applyNumberFormat="1" applyFont="1" applyFill="1" applyAlignment="1">
      <alignment horizontal="center" vertical="center" wrapText="1"/>
    </xf>
    <xf numFmtId="0" fontId="3" fillId="0" borderId="8" xfId="0" applyFont="1" applyBorder="1" applyAlignment="1">
      <alignment horizontal="center" vertical="center" wrapText="1"/>
    </xf>
    <xf numFmtId="2" fontId="0" fillId="0" borderId="0" xfId="0" applyNumberFormat="1" applyAlignment="1">
      <alignment vertical="center"/>
    </xf>
    <xf numFmtId="0" fontId="17" fillId="6" borderId="1" xfId="0" applyFont="1" applyFill="1" applyBorder="1" applyAlignment="1">
      <alignment horizontal="center" vertical="center" wrapText="1"/>
    </xf>
    <xf numFmtId="14" fontId="3" fillId="0" borderId="1" xfId="0" applyNumberFormat="1" applyFont="1" applyBorder="1" applyAlignment="1">
      <alignment horizontal="center"/>
    </xf>
    <xf numFmtId="14" fontId="0" fillId="0" borderId="9" xfId="0" applyNumberFormat="1" applyBorder="1" applyAlignment="1">
      <alignment horizontal="center"/>
    </xf>
    <xf numFmtId="0" fontId="17" fillId="6" borderId="1" xfId="0" applyFont="1" applyFill="1" applyBorder="1" applyAlignment="1">
      <alignment horizontal="center" vertical="center"/>
    </xf>
    <xf numFmtId="0" fontId="17" fillId="6" borderId="1" xfId="0" applyFont="1" applyFill="1" applyBorder="1"/>
    <xf numFmtId="165" fontId="23" fillId="0" borderId="1" xfId="0" applyNumberFormat="1" applyFont="1" applyBorder="1" applyAlignment="1">
      <alignment horizontal="center"/>
    </xf>
    <xf numFmtId="165" fontId="5" fillId="0" borderId="1" xfId="0" applyNumberFormat="1" applyFont="1" applyBorder="1"/>
    <xf numFmtId="0" fontId="24" fillId="6" borderId="26" xfId="0" applyFont="1" applyFill="1" applyBorder="1" applyAlignment="1">
      <alignment horizontal="center" vertical="center" wrapText="1"/>
    </xf>
    <xf numFmtId="0" fontId="24" fillId="6" borderId="35" xfId="0" applyFont="1" applyFill="1" applyBorder="1" applyAlignment="1">
      <alignment horizontal="center" vertical="center" wrapText="1"/>
    </xf>
    <xf numFmtId="0" fontId="4" fillId="0" borderId="28" xfId="0" applyFont="1" applyBorder="1" applyAlignment="1">
      <alignment horizontal="center"/>
    </xf>
    <xf numFmtId="165" fontId="4" fillId="0" borderId="40" xfId="0" applyNumberFormat="1" applyFont="1" applyBorder="1" applyAlignment="1">
      <alignment horizontal="center"/>
    </xf>
    <xf numFmtId="0" fontId="4" fillId="0" borderId="13" xfId="0" applyFont="1" applyBorder="1" applyAlignment="1">
      <alignment horizontal="center"/>
    </xf>
    <xf numFmtId="165" fontId="4" fillId="0" borderId="31" xfId="0" applyNumberFormat="1" applyFont="1" applyBorder="1" applyAlignment="1">
      <alignment horizontal="center"/>
    </xf>
    <xf numFmtId="0" fontId="4" fillId="0" borderId="15" xfId="0" applyFont="1" applyBorder="1" applyAlignment="1">
      <alignment horizontal="center"/>
    </xf>
    <xf numFmtId="165" fontId="4" fillId="0" borderId="17" xfId="0" applyNumberFormat="1" applyFont="1" applyBorder="1" applyAlignment="1">
      <alignment horizontal="center"/>
    </xf>
    <xf numFmtId="0" fontId="17" fillId="6" borderId="26" xfId="0" applyFont="1" applyFill="1" applyBorder="1" applyAlignment="1">
      <alignment horizontal="center" vertical="center"/>
    </xf>
    <xf numFmtId="0" fontId="14" fillId="0" borderId="10" xfId="0" applyFont="1" applyBorder="1" applyAlignment="1">
      <alignment horizontal="center" vertical="center" wrapText="1"/>
    </xf>
    <xf numFmtId="171" fontId="0" fillId="5" borderId="1" xfId="0" applyNumberFormat="1" applyFill="1" applyBorder="1" applyAlignment="1">
      <alignment horizontal="center"/>
    </xf>
    <xf numFmtId="0" fontId="0" fillId="0" borderId="1" xfId="0" applyBorder="1"/>
    <xf numFmtId="171" fontId="0" fillId="5" borderId="1" xfId="0" applyNumberFormat="1" applyFill="1" applyBorder="1" applyAlignment="1" applyProtection="1">
      <alignment horizontal="center"/>
      <protection locked="0"/>
    </xf>
    <xf numFmtId="0" fontId="3" fillId="5" borderId="1" xfId="0"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protection locked="0"/>
    </xf>
    <xf numFmtId="2" fontId="3" fillId="5" borderId="1" xfId="0" applyNumberFormat="1" applyFont="1" applyFill="1" applyBorder="1" applyAlignment="1" applyProtection="1">
      <alignment horizontal="center" vertical="center" wrapText="1"/>
      <protection locked="0"/>
    </xf>
    <xf numFmtId="10" fontId="5" fillId="5" borderId="1" xfId="0" applyNumberFormat="1" applyFont="1" applyFill="1" applyBorder="1" applyAlignment="1" applyProtection="1">
      <alignment horizontal="center" vertical="center" wrapText="1"/>
      <protection locked="0"/>
    </xf>
    <xf numFmtId="14" fontId="5" fillId="5" borderId="1" xfId="0" applyNumberFormat="1" applyFont="1"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protection locked="0"/>
    </xf>
    <xf numFmtId="0" fontId="3" fillId="5" borderId="1" xfId="0" applyFont="1" applyFill="1" applyBorder="1" applyAlignment="1" applyProtection="1">
      <alignment horizontal="center" vertical="center"/>
      <protection locked="0"/>
    </xf>
    <xf numFmtId="0" fontId="27" fillId="6" borderId="1" xfId="0" applyFont="1" applyFill="1" applyBorder="1" applyAlignment="1">
      <alignment horizontal="center" vertical="center" wrapText="1"/>
    </xf>
    <xf numFmtId="171" fontId="0" fillId="0" borderId="1" xfId="0" applyNumberFormat="1" applyBorder="1" applyAlignment="1">
      <alignment horizontal="center"/>
    </xf>
    <xf numFmtId="0" fontId="5" fillId="0" borderId="1" xfId="0" applyFont="1" applyBorder="1" applyAlignment="1">
      <alignment horizontal="left" vertical="center" wrapText="1"/>
    </xf>
    <xf numFmtId="10"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70" fontId="3" fillId="0" borderId="1" xfId="1" applyNumberFormat="1" applyFont="1" applyFill="1" applyBorder="1" applyAlignment="1">
      <alignment horizontal="center" vertical="center" wrapText="1"/>
    </xf>
    <xf numFmtId="4" fontId="5" fillId="0" borderId="1" xfId="0" applyNumberFormat="1" applyFont="1" applyBorder="1" applyAlignment="1">
      <alignment horizontal="center" vertical="center"/>
    </xf>
    <xf numFmtId="170" fontId="5" fillId="0" borderId="1" xfId="0" applyNumberFormat="1" applyFont="1" applyBorder="1" applyAlignment="1">
      <alignment horizontal="center" vertical="center"/>
    </xf>
    <xf numFmtId="0" fontId="28" fillId="5" borderId="1" xfId="0" applyFont="1" applyFill="1" applyBorder="1" applyAlignment="1" applyProtection="1">
      <alignment horizontal="center" vertical="center"/>
      <protection locked="0"/>
    </xf>
    <xf numFmtId="0" fontId="0" fillId="5" borderId="11" xfId="4" applyNumberFormat="1" applyFont="1" applyFill="1" applyBorder="1" applyAlignment="1" applyProtection="1">
      <alignment horizontal="center" vertical="center" wrapText="1"/>
      <protection locked="0"/>
    </xf>
    <xf numFmtId="170" fontId="0" fillId="5" borderId="11" xfId="1" applyNumberFormat="1" applyFont="1" applyFill="1" applyBorder="1" applyAlignment="1" applyProtection="1">
      <alignment horizontal="center" vertical="center" wrapText="1"/>
      <protection locked="0"/>
    </xf>
    <xf numFmtId="0" fontId="0" fillId="5" borderId="11" xfId="0" applyFill="1" applyBorder="1" applyAlignment="1" applyProtection="1">
      <alignment horizontal="center" vertical="center" wrapText="1"/>
      <protection locked="0"/>
    </xf>
    <xf numFmtId="2" fontId="0" fillId="5" borderId="11" xfId="0" applyNumberFormat="1" applyFill="1" applyBorder="1" applyAlignment="1" applyProtection="1">
      <alignment horizontal="center" vertical="center" wrapText="1"/>
      <protection locked="0"/>
    </xf>
    <xf numFmtId="170" fontId="0" fillId="5" borderId="11" xfId="0" applyNumberFormat="1" applyFill="1" applyBorder="1" applyAlignment="1" applyProtection="1">
      <alignment horizontal="center" vertical="center" wrapText="1"/>
      <protection locked="0"/>
    </xf>
    <xf numFmtId="0" fontId="0" fillId="5" borderId="1" xfId="4" applyNumberFormat="1" applyFont="1" applyFill="1" applyBorder="1" applyAlignment="1" applyProtection="1">
      <alignment horizontal="center" vertical="center" wrapText="1"/>
      <protection locked="0"/>
    </xf>
    <xf numFmtId="170" fontId="0" fillId="5" borderId="1" xfId="1" applyNumberFormat="1" applyFont="1"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2" fontId="0" fillId="5" borderId="1" xfId="0" applyNumberFormat="1" applyFill="1" applyBorder="1" applyAlignment="1" applyProtection="1">
      <alignment horizontal="center" vertical="center" wrapText="1"/>
      <protection locked="0"/>
    </xf>
    <xf numFmtId="0" fontId="0" fillId="5" borderId="16" xfId="4" applyNumberFormat="1" applyFont="1" applyFill="1" applyBorder="1" applyAlignment="1" applyProtection="1">
      <alignment horizontal="center" vertical="center" wrapText="1"/>
      <protection locked="0"/>
    </xf>
    <xf numFmtId="169" fontId="7" fillId="0" borderId="1" xfId="1" applyNumberFormat="1" applyFont="1" applyFill="1" applyBorder="1" applyAlignment="1">
      <alignment vertical="center" wrapText="1"/>
    </xf>
    <xf numFmtId="1"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vertical="center" wrapText="1"/>
    </xf>
    <xf numFmtId="9" fontId="7" fillId="0" borderId="1" xfId="4" applyFont="1" applyFill="1" applyBorder="1" applyAlignment="1">
      <alignment horizontal="center" vertical="center" wrapText="1"/>
    </xf>
    <xf numFmtId="4" fontId="0" fillId="0" borderId="11" xfId="4" applyNumberFormat="1" applyFont="1" applyFill="1" applyBorder="1" applyAlignment="1">
      <alignment horizontal="center" vertical="center" wrapText="1"/>
    </xf>
    <xf numFmtId="0" fontId="0" fillId="0" borderId="11" xfId="4" applyNumberFormat="1" applyFont="1" applyFill="1" applyBorder="1" applyAlignment="1">
      <alignment horizontal="center" vertical="center" wrapText="1"/>
    </xf>
    <xf numFmtId="2" fontId="0" fillId="0" borderId="1" xfId="4" applyNumberFormat="1" applyFont="1" applyFill="1" applyBorder="1" applyAlignment="1">
      <alignment horizontal="center" vertical="center" wrapText="1"/>
    </xf>
    <xf numFmtId="0" fontId="0" fillId="0" borderId="1" xfId="4" applyNumberFormat="1" applyFont="1" applyFill="1" applyBorder="1" applyAlignment="1">
      <alignment horizontal="center" vertical="center" wrapText="1"/>
    </xf>
    <xf numFmtId="2" fontId="0" fillId="0" borderId="16" xfId="4" applyNumberFormat="1" applyFont="1" applyFill="1" applyBorder="1" applyAlignment="1">
      <alignment horizontal="center" vertical="center" wrapText="1"/>
    </xf>
    <xf numFmtId="0" fontId="0" fillId="0" borderId="16" xfId="4" applyNumberFormat="1" applyFont="1" applyFill="1" applyBorder="1" applyAlignment="1">
      <alignment horizontal="center" vertical="center" wrapText="1"/>
    </xf>
    <xf numFmtId="172" fontId="0" fillId="5" borderId="1" xfId="1" applyNumberFormat="1" applyFont="1" applyFill="1" applyBorder="1" applyAlignment="1">
      <alignment horizontal="center" vertical="center" wrapText="1"/>
    </xf>
    <xf numFmtId="172" fontId="0" fillId="5" borderId="11" xfId="1" applyNumberFormat="1" applyFont="1" applyFill="1" applyBorder="1" applyAlignment="1">
      <alignment horizontal="center" vertical="center" wrapText="1"/>
    </xf>
    <xf numFmtId="2" fontId="0" fillId="5" borderId="1" xfId="4" applyNumberFormat="1" applyFont="1" applyFill="1" applyBorder="1" applyAlignment="1">
      <alignment horizontal="center" vertical="center" wrapText="1"/>
    </xf>
    <xf numFmtId="172" fontId="0" fillId="0" borderId="0" xfId="1" applyNumberFormat="1" applyFont="1" applyFill="1" applyBorder="1" applyAlignment="1">
      <alignment horizontal="center" vertical="center" wrapText="1"/>
    </xf>
    <xf numFmtId="10" fontId="28" fillId="5" borderId="1" xfId="0" applyNumberFormat="1" applyFont="1" applyFill="1" applyBorder="1" applyAlignment="1" applyProtection="1">
      <alignment horizontal="center" vertical="center"/>
      <protection locked="0"/>
    </xf>
    <xf numFmtId="9" fontId="28" fillId="5" borderId="1" xfId="4" applyFont="1" applyFill="1" applyBorder="1" applyAlignment="1" applyProtection="1">
      <alignment horizontal="center" vertical="center"/>
      <protection locked="0"/>
    </xf>
    <xf numFmtId="0" fontId="28" fillId="5" borderId="1" xfId="0" applyFont="1" applyFill="1" applyBorder="1" applyAlignment="1">
      <alignment horizontal="center" vertical="center"/>
    </xf>
    <xf numFmtId="9" fontId="28" fillId="5" borderId="1" xfId="4" applyFont="1" applyFill="1" applyBorder="1" applyAlignment="1">
      <alignment horizontal="center" vertical="center"/>
    </xf>
    <xf numFmtId="0" fontId="28" fillId="0" borderId="1" xfId="0" applyFont="1" applyBorder="1" applyAlignment="1">
      <alignment horizontal="center" vertical="center"/>
    </xf>
    <xf numFmtId="9" fontId="28" fillId="0" borderId="1" xfId="0" applyNumberFormat="1" applyFont="1" applyBorder="1" applyAlignment="1">
      <alignment horizontal="center" vertical="center"/>
    </xf>
    <xf numFmtId="0" fontId="9" fillId="0" borderId="0" xfId="0" applyFont="1" applyAlignment="1">
      <alignment horizontal="center" vertical="center"/>
    </xf>
    <xf numFmtId="0" fontId="28" fillId="5" borderId="1" xfId="0" applyFont="1" applyFill="1" applyBorder="1" applyAlignment="1" applyProtection="1">
      <alignment horizontal="center" vertical="center" wrapText="1"/>
      <protection locked="0"/>
    </xf>
    <xf numFmtId="0" fontId="0" fillId="0" borderId="0" xfId="0" applyAlignment="1">
      <alignment vertical="center"/>
    </xf>
    <xf numFmtId="0" fontId="17" fillId="6" borderId="32" xfId="0" applyFont="1" applyFill="1" applyBorder="1" applyAlignment="1">
      <alignment horizontal="center" vertical="center" wrapText="1"/>
    </xf>
    <xf numFmtId="1" fontId="19" fillId="0" borderId="1" xfId="2" applyNumberFormat="1" applyFont="1" applyFill="1" applyBorder="1" applyAlignment="1">
      <alignment horizontal="center" vertical="center" wrapText="1"/>
    </xf>
    <xf numFmtId="0" fontId="4" fillId="0" borderId="32" xfId="0" applyFont="1" applyBorder="1" applyAlignment="1">
      <alignment horizontal="center"/>
    </xf>
    <xf numFmtId="165" fontId="4" fillId="0" borderId="46" xfId="0" applyNumberFormat="1" applyFont="1" applyBorder="1" applyAlignment="1">
      <alignment horizontal="center"/>
    </xf>
    <xf numFmtId="0" fontId="18" fillId="0" borderId="1" xfId="3" applyFont="1" applyBorder="1" applyAlignment="1" applyProtection="1">
      <alignment horizontal="center" vertical="center" wrapText="1"/>
      <protection locked="0"/>
    </xf>
    <xf numFmtId="0" fontId="11" fillId="6" borderId="16" xfId="0" applyFont="1" applyFill="1" applyBorder="1" applyAlignment="1">
      <alignment horizontal="center" vertical="center" wrapText="1"/>
    </xf>
    <xf numFmtId="0" fontId="0" fillId="5" borderId="16" xfId="0" applyFill="1" applyBorder="1" applyAlignment="1" applyProtection="1">
      <alignment horizontal="center" vertical="center" wrapText="1"/>
      <protection locked="0"/>
    </xf>
    <xf numFmtId="9" fontId="0" fillId="0" borderId="1" xfId="0" applyNumberFormat="1" applyBorder="1" applyAlignment="1">
      <alignment horizontal="center" vertical="center"/>
    </xf>
    <xf numFmtId="0" fontId="5" fillId="0" borderId="1" xfId="0" applyFont="1" applyBorder="1"/>
    <xf numFmtId="174" fontId="10" fillId="0" borderId="0" xfId="0" applyNumberFormat="1" applyFont="1"/>
    <xf numFmtId="0" fontId="17" fillId="7" borderId="1" xfId="0" applyFont="1" applyFill="1" applyBorder="1" applyAlignment="1">
      <alignment horizontal="center" vertical="center" wrapText="1"/>
    </xf>
    <xf numFmtId="167" fontId="0" fillId="0" borderId="1" xfId="1" applyNumberFormat="1" applyFont="1" applyBorder="1" applyAlignment="1"/>
    <xf numFmtId="167" fontId="0" fillId="0" borderId="1" xfId="1" applyNumberFormat="1" applyFont="1" applyBorder="1"/>
    <xf numFmtId="167" fontId="0" fillId="0" borderId="1" xfId="0" applyNumberFormat="1" applyBorder="1"/>
    <xf numFmtId="2" fontId="0" fillId="5" borderId="1" xfId="0" applyNumberFormat="1" applyFill="1" applyBorder="1" applyAlignment="1" applyProtection="1">
      <alignment horizontal="center" vertical="center"/>
      <protection locked="0"/>
    </xf>
    <xf numFmtId="42" fontId="0" fillId="0" borderId="1" xfId="1" applyFont="1" applyBorder="1"/>
    <xf numFmtId="0" fontId="33" fillId="0" borderId="1" xfId="0" applyFont="1" applyBorder="1" applyAlignment="1">
      <alignment horizontal="center"/>
    </xf>
    <xf numFmtId="0" fontId="0" fillId="5" borderId="7"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5" fillId="0" borderId="1" xfId="0" applyFont="1" applyBorder="1" applyAlignment="1">
      <alignment vertical="center" wrapText="1"/>
    </xf>
    <xf numFmtId="0" fontId="34" fillId="0" borderId="1" xfId="0" applyFont="1" applyBorder="1" applyAlignment="1">
      <alignment horizontal="center" vertical="center"/>
    </xf>
    <xf numFmtId="9" fontId="35" fillId="0" borderId="1" xfId="0" applyNumberFormat="1" applyFont="1" applyBorder="1" applyAlignment="1">
      <alignment horizontal="center" vertical="center"/>
    </xf>
    <xf numFmtId="2" fontId="35" fillId="0" borderId="1" xfId="0" applyNumberFormat="1" applyFont="1" applyBorder="1" applyAlignment="1">
      <alignment horizontal="center" vertical="center"/>
    </xf>
    <xf numFmtId="0" fontId="11" fillId="6" borderId="52" xfId="0" applyFont="1" applyFill="1" applyBorder="1" applyAlignment="1">
      <alignment horizontal="center" vertical="center" wrapText="1"/>
    </xf>
    <xf numFmtId="0" fontId="0" fillId="0" borderId="49" xfId="0" applyBorder="1" applyAlignment="1">
      <alignment horizontal="center" vertical="center" wrapText="1"/>
    </xf>
    <xf numFmtId="0" fontId="0" fillId="0" borderId="9" xfId="0" applyBorder="1" applyAlignment="1">
      <alignment horizontal="center" vertical="center" wrapText="1"/>
    </xf>
    <xf numFmtId="0" fontId="0" fillId="0" borderId="52" xfId="0" applyBorder="1" applyAlignment="1">
      <alignment horizontal="center" vertical="center" wrapText="1"/>
    </xf>
    <xf numFmtId="0" fontId="0" fillId="5" borderId="9" xfId="0" applyFill="1" applyBorder="1" applyAlignment="1" applyProtection="1">
      <alignment horizontal="center"/>
      <protection locked="0"/>
    </xf>
    <xf numFmtId="1" fontId="15" fillId="0" borderId="1" xfId="0" applyNumberFormat="1" applyFont="1" applyBorder="1" applyAlignment="1">
      <alignment horizontal="center" vertical="center"/>
    </xf>
    <xf numFmtId="2" fontId="19" fillId="0" borderId="1" xfId="2" applyNumberFormat="1" applyFont="1" applyFill="1" applyBorder="1" applyAlignment="1">
      <alignment horizontal="center" vertical="center" wrapText="1"/>
    </xf>
    <xf numFmtId="0" fontId="17" fillId="6" borderId="33" xfId="0" applyFont="1" applyFill="1" applyBorder="1" applyAlignment="1">
      <alignment horizontal="center" vertical="center" wrapText="1"/>
    </xf>
    <xf numFmtId="0" fontId="3" fillId="0" borderId="16" xfId="0" applyFont="1" applyBorder="1" applyAlignment="1">
      <alignment horizontal="center" vertical="center" wrapText="1"/>
    </xf>
    <xf numFmtId="0" fontId="17" fillId="6" borderId="11" xfId="0" applyFont="1" applyFill="1" applyBorder="1" applyAlignment="1">
      <alignment horizontal="center" vertical="center"/>
    </xf>
    <xf numFmtId="0" fontId="17" fillId="6" borderId="12" xfId="0" applyFont="1" applyFill="1" applyBorder="1" applyAlignment="1">
      <alignment horizontal="center" vertical="center"/>
    </xf>
    <xf numFmtId="0" fontId="0" fillId="5" borderId="31" xfId="0" applyFill="1" applyBorder="1" applyAlignment="1" applyProtection="1">
      <alignment horizontal="center" vertical="center"/>
      <protection locked="0"/>
    </xf>
    <xf numFmtId="0" fontId="0" fillId="5" borderId="17" xfId="0" applyFill="1" applyBorder="1" applyAlignment="1" applyProtection="1">
      <alignment horizontal="center" vertical="center"/>
      <protection locked="0"/>
    </xf>
    <xf numFmtId="0" fontId="0" fillId="0" borderId="1" xfId="0" applyBorder="1" applyAlignment="1" applyProtection="1">
      <alignment vertical="center" wrapText="1"/>
      <protection locked="0"/>
    </xf>
    <xf numFmtId="0" fontId="33" fillId="0" borderId="1" xfId="0" applyFont="1" applyBorder="1" applyAlignment="1">
      <alignment horizontal="left" vertical="center"/>
    </xf>
    <xf numFmtId="42" fontId="0" fillId="0" borderId="1" xfId="1" applyFont="1" applyBorder="1" applyAlignment="1">
      <alignment horizontal="center" vertical="center"/>
    </xf>
    <xf numFmtId="2" fontId="0" fillId="0" borderId="1" xfId="1" applyNumberFormat="1" applyFont="1" applyBorder="1" applyAlignment="1">
      <alignment horizontal="center"/>
    </xf>
    <xf numFmtId="176" fontId="0" fillId="0" borderId="0" xfId="0" applyNumberFormat="1"/>
    <xf numFmtId="42" fontId="0" fillId="0" borderId="0" xfId="1" applyFont="1"/>
    <xf numFmtId="175" fontId="0" fillId="0" borderId="0" xfId="0" applyNumberFormat="1"/>
    <xf numFmtId="1" fontId="0" fillId="0" borderId="0" xfId="0" applyNumberFormat="1"/>
    <xf numFmtId="168" fontId="0" fillId="0" borderId="1" xfId="0" applyNumberFormat="1" applyBorder="1" applyAlignment="1">
      <alignment horizontal="center" vertical="center"/>
    </xf>
    <xf numFmtId="168" fontId="0" fillId="0" borderId="1" xfId="0" applyNumberFormat="1" applyBorder="1" applyAlignment="1">
      <alignment horizontal="center" vertical="center" wrapText="1"/>
    </xf>
    <xf numFmtId="168" fontId="3" fillId="0" borderId="1" xfId="0" applyNumberFormat="1" applyFont="1" applyBorder="1" applyAlignment="1">
      <alignment horizontal="center" vertical="center" wrapText="1"/>
    </xf>
    <xf numFmtId="176" fontId="3" fillId="5" borderId="1" xfId="0" applyNumberFormat="1" applyFont="1" applyFill="1" applyBorder="1" applyAlignment="1" applyProtection="1">
      <alignment horizontal="center" vertical="center" wrapText="1"/>
      <protection locked="0"/>
    </xf>
    <xf numFmtId="0" fontId="17" fillId="6" borderId="28" xfId="0" applyFont="1" applyFill="1" applyBorder="1" applyAlignment="1">
      <alignment horizontal="center" vertical="center" wrapText="1"/>
    </xf>
    <xf numFmtId="0" fontId="5" fillId="0" borderId="4" xfId="0" applyFont="1" applyBorder="1" applyAlignment="1">
      <alignment horizontal="center" vertical="center" wrapText="1"/>
    </xf>
    <xf numFmtId="0" fontId="3" fillId="0" borderId="19" xfId="0" applyFont="1" applyBorder="1" applyAlignment="1">
      <alignment horizontal="center" vertical="center"/>
    </xf>
    <xf numFmtId="0" fontId="3" fillId="6" borderId="19" xfId="0" applyFont="1" applyFill="1" applyBorder="1" applyAlignment="1">
      <alignment horizontal="center" vertical="center"/>
    </xf>
    <xf numFmtId="170" fontId="0" fillId="5" borderId="11" xfId="1" applyNumberFormat="1" applyFont="1" applyFill="1" applyBorder="1" applyAlignment="1" applyProtection="1">
      <alignment vertical="center" wrapText="1"/>
      <protection locked="0"/>
    </xf>
    <xf numFmtId="170" fontId="0" fillId="5" borderId="1" xfId="1" applyNumberFormat="1" applyFont="1" applyFill="1" applyBorder="1" applyAlignment="1" applyProtection="1">
      <alignment vertical="center" wrapText="1"/>
      <protection locked="0"/>
    </xf>
    <xf numFmtId="170" fontId="0" fillId="5" borderId="16" xfId="1" applyNumberFormat="1" applyFont="1" applyFill="1" applyBorder="1" applyAlignment="1" applyProtection="1">
      <alignment vertical="center" wrapText="1"/>
      <protection locked="0"/>
    </xf>
    <xf numFmtId="0" fontId="11" fillId="7" borderId="24" xfId="0" applyFont="1" applyFill="1" applyBorder="1" applyAlignment="1">
      <alignment horizontal="center" vertical="center" wrapText="1"/>
    </xf>
    <xf numFmtId="0" fontId="17" fillId="0" borderId="1" xfId="0" applyFont="1" applyBorder="1" applyAlignment="1">
      <alignment vertical="center" wrapText="1"/>
    </xf>
    <xf numFmtId="0" fontId="0" fillId="5" borderId="42" xfId="0" applyFill="1" applyBorder="1" applyAlignment="1" applyProtection="1">
      <alignment horizontal="center" vertical="center" wrapText="1"/>
      <protection locked="0"/>
    </xf>
    <xf numFmtId="0" fontId="0" fillId="5" borderId="4" xfId="0" applyFill="1" applyBorder="1" applyAlignment="1" applyProtection="1">
      <alignment horizontal="center" vertical="center" wrapText="1"/>
      <protection locked="0"/>
    </xf>
    <xf numFmtId="0" fontId="0" fillId="8" borderId="1" xfId="0" applyFill="1" applyBorder="1" applyAlignment="1" applyProtection="1">
      <alignment horizontal="center" vertical="center" wrapText="1"/>
      <protection locked="0"/>
    </xf>
    <xf numFmtId="0" fontId="10" fillId="5" borderId="11" xfId="0" applyFont="1" applyFill="1" applyBorder="1" applyAlignment="1" applyProtection="1">
      <alignment horizontal="center" vertical="center" wrapText="1"/>
      <protection locked="0"/>
    </xf>
    <xf numFmtId="177" fontId="5" fillId="5" borderId="1" xfId="0" applyNumberFormat="1" applyFont="1" applyFill="1" applyBorder="1" applyAlignment="1" applyProtection="1">
      <alignment horizontal="center" vertical="center" wrapText="1"/>
      <protection locked="0"/>
    </xf>
    <xf numFmtId="49" fontId="3" fillId="9" borderId="1" xfId="0" applyNumberFormat="1" applyFont="1" applyFill="1" applyBorder="1" applyAlignment="1" applyProtection="1">
      <alignment horizontal="center" vertical="center" wrapText="1"/>
      <protection locked="0"/>
    </xf>
    <xf numFmtId="0" fontId="0" fillId="5" borderId="31" xfId="0"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wrapText="1"/>
      <protection locked="0"/>
    </xf>
    <xf numFmtId="0" fontId="33" fillId="8" borderId="1" xfId="0" applyFont="1" applyFill="1" applyBorder="1" applyAlignment="1">
      <alignment horizontal="center"/>
    </xf>
    <xf numFmtId="0" fontId="33" fillId="8" borderId="1" xfId="0" applyFont="1" applyFill="1" applyBorder="1" applyAlignment="1">
      <alignment horizontal="left" vertical="center"/>
    </xf>
    <xf numFmtId="42" fontId="0" fillId="8" borderId="1" xfId="1" applyFont="1" applyFill="1" applyBorder="1" applyAlignment="1">
      <alignment horizontal="center" vertical="center"/>
    </xf>
    <xf numFmtId="2" fontId="0" fillId="8" borderId="1" xfId="1" applyNumberFormat="1" applyFont="1" applyFill="1" applyBorder="1" applyAlignment="1">
      <alignment horizontal="center"/>
    </xf>
    <xf numFmtId="0" fontId="0" fillId="8" borderId="1" xfId="0" applyFill="1" applyBorder="1" applyAlignment="1">
      <alignment horizontal="center" vertical="center"/>
    </xf>
    <xf numFmtId="0" fontId="0" fillId="8" borderId="1" xfId="0" applyFill="1" applyBorder="1" applyAlignment="1">
      <alignment horizontal="left" vertical="center"/>
    </xf>
    <xf numFmtId="0" fontId="3" fillId="8" borderId="1" xfId="0" applyFont="1" applyFill="1" applyBorder="1" applyAlignment="1">
      <alignment horizontal="center" vertical="center" wrapText="1"/>
    </xf>
    <xf numFmtId="168" fontId="0" fillId="8" borderId="1" xfId="0" applyNumberFormat="1" applyFill="1" applyBorder="1" applyAlignment="1">
      <alignment horizontal="center" vertical="center"/>
    </xf>
    <xf numFmtId="168" fontId="0" fillId="8" borderId="1" xfId="0" applyNumberFormat="1" applyFill="1" applyBorder="1" applyAlignment="1">
      <alignment horizontal="center" vertical="center" wrapText="1"/>
    </xf>
    <xf numFmtId="168" fontId="3" fillId="8" borderId="1" xfId="0" applyNumberFormat="1" applyFont="1" applyFill="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center" vertical="center"/>
    </xf>
    <xf numFmtId="0" fontId="14" fillId="0" borderId="40" xfId="0" applyFont="1" applyBorder="1" applyAlignment="1">
      <alignment horizontal="center" vertical="center"/>
    </xf>
    <xf numFmtId="0" fontId="17" fillId="6" borderId="9" xfId="0" applyFont="1" applyFill="1" applyBorder="1" applyAlignment="1">
      <alignment horizontal="center" vertical="center"/>
    </xf>
    <xf numFmtId="0" fontId="17" fillId="6" borderId="8" xfId="0" applyFont="1" applyFill="1" applyBorder="1" applyAlignment="1">
      <alignment horizontal="center" vertical="center"/>
    </xf>
    <xf numFmtId="2" fontId="5" fillId="0" borderId="9" xfId="0" applyNumberFormat="1" applyFont="1" applyBorder="1" applyAlignment="1">
      <alignment horizontal="center"/>
    </xf>
    <xf numFmtId="2" fontId="5" fillId="0" borderId="8" xfId="0" applyNumberFormat="1" applyFont="1" applyBorder="1" applyAlignment="1">
      <alignment horizontal="center"/>
    </xf>
    <xf numFmtId="42" fontId="17" fillId="6" borderId="18" xfId="1" applyFont="1" applyFill="1" applyBorder="1" applyAlignment="1">
      <alignment horizontal="center" vertical="center"/>
    </xf>
    <xf numFmtId="42" fontId="17" fillId="6" borderId="39" xfId="1" applyFont="1" applyFill="1" applyBorder="1" applyAlignment="1">
      <alignment horizontal="center" vertical="center"/>
    </xf>
    <xf numFmtId="42" fontId="17" fillId="6" borderId="19" xfId="1" applyFont="1" applyFill="1" applyBorder="1" applyAlignment="1">
      <alignment horizontal="center" vertical="center"/>
    </xf>
    <xf numFmtId="42" fontId="17" fillId="6" borderId="3" xfId="1" applyFont="1" applyFill="1" applyBorder="1" applyAlignment="1">
      <alignment horizontal="center" vertical="center"/>
    </xf>
    <xf numFmtId="0" fontId="5" fillId="0" borderId="18" xfId="0" applyFont="1" applyBorder="1" applyAlignment="1">
      <alignment horizontal="center" vertical="center"/>
    </xf>
    <xf numFmtId="0" fontId="5" fillId="0" borderId="39" xfId="0" applyFont="1" applyBorder="1" applyAlignment="1">
      <alignment horizontal="center" vertical="center"/>
    </xf>
    <xf numFmtId="0" fontId="5" fillId="0" borderId="19"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164" fontId="5" fillId="0" borderId="1" xfId="1" applyNumberFormat="1" applyFont="1" applyFill="1" applyBorder="1" applyAlignment="1">
      <alignment horizontal="center" vertical="center"/>
    </xf>
    <xf numFmtId="0" fontId="17" fillId="6" borderId="18" xfId="0" applyFont="1" applyFill="1" applyBorder="1" applyAlignment="1">
      <alignment horizontal="center" vertical="center"/>
    </xf>
    <xf numFmtId="0" fontId="17" fillId="6" borderId="19" xfId="0" applyFont="1" applyFill="1" applyBorder="1" applyAlignment="1">
      <alignment horizontal="center" vertical="center"/>
    </xf>
    <xf numFmtId="0" fontId="14" fillId="0" borderId="1"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7" fillId="6" borderId="1" xfId="0" applyFont="1" applyFill="1" applyBorder="1" applyAlignment="1">
      <alignment horizontal="center" vertical="center" wrapText="1"/>
    </xf>
    <xf numFmtId="0" fontId="10" fillId="0" borderId="5" xfId="0" applyFont="1" applyBorder="1" applyAlignment="1">
      <alignment horizontal="center" wrapText="1"/>
    </xf>
    <xf numFmtId="0" fontId="17" fillId="6" borderId="6" xfId="0" applyFont="1" applyFill="1" applyBorder="1" applyAlignment="1">
      <alignment horizontal="center" vertical="center" wrapText="1"/>
    </xf>
    <xf numFmtId="0" fontId="5" fillId="0" borderId="1" xfId="0" applyFont="1" applyBorder="1" applyAlignment="1">
      <alignment horizontal="justify" vertical="center" wrapText="1"/>
    </xf>
    <xf numFmtId="0" fontId="17" fillId="6" borderId="8" xfId="0" applyFont="1" applyFill="1" applyBorder="1" applyAlignment="1">
      <alignment horizontal="center" wrapText="1"/>
    </xf>
    <xf numFmtId="0" fontId="17" fillId="6" borderId="1" xfId="0" applyFont="1" applyFill="1" applyBorder="1" applyAlignment="1">
      <alignment horizontal="center" wrapText="1"/>
    </xf>
    <xf numFmtId="0" fontId="17" fillId="6" borderId="27" xfId="0" applyFont="1" applyFill="1" applyBorder="1" applyAlignment="1">
      <alignment horizontal="center" vertical="center"/>
    </xf>
    <xf numFmtId="0" fontId="17" fillId="6" borderId="35" xfId="0" applyFont="1" applyFill="1" applyBorder="1" applyAlignment="1">
      <alignment horizontal="center" vertical="center"/>
    </xf>
    <xf numFmtId="0" fontId="5" fillId="0" borderId="7" xfId="0" applyFont="1" applyBorder="1" applyAlignment="1">
      <alignment horizontal="center"/>
    </xf>
    <xf numFmtId="0" fontId="14" fillId="0" borderId="1" xfId="0" applyFont="1" applyBorder="1" applyAlignment="1">
      <alignment horizontal="center" vertical="center"/>
    </xf>
    <xf numFmtId="0" fontId="14" fillId="0" borderId="31" xfId="0" applyFont="1" applyBorder="1" applyAlignment="1">
      <alignment horizontal="center" vertical="center"/>
    </xf>
    <xf numFmtId="42" fontId="17" fillId="6" borderId="1" xfId="1" applyFont="1" applyFill="1" applyBorder="1" applyAlignment="1">
      <alignment horizontal="center"/>
    </xf>
    <xf numFmtId="0" fontId="5" fillId="0" borderId="9" xfId="0" applyFont="1" applyBorder="1" applyAlignment="1">
      <alignment horizontal="center"/>
    </xf>
    <xf numFmtId="0" fontId="5" fillId="0" borderId="8" xfId="0" applyFont="1" applyBorder="1" applyAlignment="1">
      <alignment horizontal="center"/>
    </xf>
    <xf numFmtId="0" fontId="21" fillId="6" borderId="48" xfId="0" applyFont="1" applyFill="1" applyBorder="1" applyAlignment="1">
      <alignment horizontal="center" vertical="center" wrapText="1"/>
    </xf>
    <xf numFmtId="0" fontId="21" fillId="6" borderId="0" xfId="0" applyFont="1" applyFill="1" applyAlignment="1">
      <alignment horizontal="center" vertical="center" wrapText="1"/>
    </xf>
    <xf numFmtId="0" fontId="26" fillId="0" borderId="48" xfId="0" applyFont="1" applyBorder="1" applyAlignment="1">
      <alignment horizontal="center" vertical="center" wrapText="1"/>
    </xf>
    <xf numFmtId="0" fontId="26" fillId="0" borderId="0" xfId="0" applyFont="1" applyAlignment="1">
      <alignment horizontal="center" vertical="center" wrapText="1"/>
    </xf>
    <xf numFmtId="0" fontId="26" fillId="0" borderId="4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1" xfId="0" applyFont="1" applyBorder="1" applyAlignment="1">
      <alignment horizontal="center"/>
    </xf>
    <xf numFmtId="0" fontId="21" fillId="6" borderId="1" xfId="0" applyFont="1" applyFill="1" applyBorder="1" applyAlignment="1">
      <alignment horizontal="center" vertical="center" wrapText="1"/>
    </xf>
    <xf numFmtId="0" fontId="21" fillId="6" borderId="48" xfId="0" applyFont="1" applyFill="1" applyBorder="1" applyAlignment="1">
      <alignment horizontal="center" wrapText="1"/>
    </xf>
    <xf numFmtId="0" fontId="21" fillId="6" borderId="0" xfId="0" applyFont="1" applyFill="1" applyAlignment="1">
      <alignment horizontal="center" wrapText="1"/>
    </xf>
    <xf numFmtId="0" fontId="27" fillId="6" borderId="1" xfId="0" applyFont="1" applyFill="1" applyBorder="1" applyAlignment="1">
      <alignment horizontal="center"/>
    </xf>
    <xf numFmtId="0" fontId="21" fillId="6" borderId="18" xfId="0" applyFont="1" applyFill="1" applyBorder="1" applyAlignment="1">
      <alignment horizontal="center" vertical="center"/>
    </xf>
    <xf numFmtId="0" fontId="21" fillId="6" borderId="39" xfId="0" applyFont="1" applyFill="1" applyBorder="1" applyAlignment="1">
      <alignment horizontal="center" vertical="center"/>
    </xf>
    <xf numFmtId="0" fontId="21" fillId="6" borderId="19" xfId="0" applyFont="1" applyFill="1" applyBorder="1" applyAlignment="1">
      <alignment horizontal="center" vertical="center"/>
    </xf>
    <xf numFmtId="0" fontId="21" fillId="6" borderId="3" xfId="0" applyFont="1" applyFill="1" applyBorder="1" applyAlignment="1">
      <alignment horizontal="center" vertical="center"/>
    </xf>
    <xf numFmtId="0" fontId="21" fillId="6" borderId="1" xfId="0" applyFont="1" applyFill="1" applyBorder="1" applyAlignment="1">
      <alignment horizontal="center"/>
    </xf>
    <xf numFmtId="0" fontId="26" fillId="0" borderId="1" xfId="0" applyFont="1" applyBorder="1" applyAlignment="1">
      <alignment horizontal="center"/>
    </xf>
    <xf numFmtId="42" fontId="21" fillId="6" borderId="2" xfId="1" applyFont="1" applyFill="1" applyBorder="1" applyAlignment="1">
      <alignment horizontal="center"/>
    </xf>
    <xf numFmtId="0" fontId="26" fillId="0" borderId="48" xfId="0" applyFont="1" applyBorder="1" applyAlignment="1">
      <alignment horizontal="center"/>
    </xf>
    <xf numFmtId="0" fontId="26" fillId="0" borderId="0" xfId="0" applyFont="1" applyAlignment="1">
      <alignment horizontal="center"/>
    </xf>
    <xf numFmtId="0" fontId="26" fillId="0" borderId="39" xfId="0" applyFont="1" applyBorder="1" applyAlignment="1">
      <alignment horizontal="center" vertical="center" wrapText="1"/>
    </xf>
    <xf numFmtId="0" fontId="26" fillId="0" borderId="3" xfId="0" applyFont="1" applyBorder="1" applyAlignment="1">
      <alignment horizontal="center" vertical="center" wrapText="1"/>
    </xf>
    <xf numFmtId="42" fontId="21" fillId="6" borderId="1" xfId="1" applyFont="1" applyFill="1" applyBorder="1" applyAlignment="1">
      <alignment horizontal="center" vertical="center"/>
    </xf>
    <xf numFmtId="0" fontId="35" fillId="5" borderId="9" xfId="0" applyFont="1" applyFill="1" applyBorder="1" applyAlignment="1" applyProtection="1">
      <alignment horizontal="center" vertical="center" wrapText="1"/>
      <protection locked="0"/>
    </xf>
    <xf numFmtId="0" fontId="35" fillId="5" borderId="8" xfId="0" applyFont="1" applyFill="1" applyBorder="1" applyAlignment="1" applyProtection="1">
      <alignment horizontal="center" vertical="center" wrapText="1"/>
      <protection locked="0"/>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0" fillId="5" borderId="9" xfId="0" applyFill="1" applyBorder="1" applyAlignment="1" applyProtection="1">
      <alignment horizontal="center" vertical="top" wrapText="1"/>
      <protection locked="0"/>
    </xf>
    <xf numFmtId="0" fontId="0" fillId="5" borderId="8" xfId="0" applyFill="1" applyBorder="1" applyAlignment="1" applyProtection="1">
      <alignment horizontal="center" vertical="top"/>
      <protection locked="0"/>
    </xf>
    <xf numFmtId="0" fontId="17" fillId="6" borderId="53" xfId="0" applyFont="1" applyFill="1" applyBorder="1" applyAlignment="1">
      <alignment horizontal="center" vertical="center"/>
    </xf>
    <xf numFmtId="0" fontId="17" fillId="6" borderId="37" xfId="0" applyFont="1" applyFill="1" applyBorder="1" applyAlignment="1">
      <alignment horizontal="center" vertical="center"/>
    </xf>
    <xf numFmtId="0" fontId="17" fillId="6" borderId="38" xfId="0" applyFont="1" applyFill="1" applyBorder="1" applyAlignment="1">
      <alignment horizontal="center" vertical="center"/>
    </xf>
    <xf numFmtId="0" fontId="17" fillId="6" borderId="10" xfId="0" applyFont="1" applyFill="1" applyBorder="1" applyAlignment="1">
      <alignment horizontal="center" vertical="center"/>
    </xf>
    <xf numFmtId="0" fontId="17" fillId="6" borderId="11" xfId="0" applyFont="1" applyFill="1" applyBorder="1" applyAlignment="1">
      <alignment horizontal="center" vertical="center"/>
    </xf>
    <xf numFmtId="0" fontId="36" fillId="0" borderId="1" xfId="0" applyFont="1" applyBorder="1" applyAlignment="1">
      <alignment horizontal="center" vertical="center" wrapText="1"/>
    </xf>
    <xf numFmtId="0" fontId="5" fillId="0" borderId="36" xfId="0" applyFont="1" applyBorder="1" applyAlignment="1">
      <alignment horizontal="justify" vertical="center" wrapText="1"/>
    </xf>
    <xf numFmtId="0" fontId="5" fillId="0" borderId="39" xfId="0" applyFont="1" applyBorder="1" applyAlignment="1">
      <alignment horizontal="justify" vertical="center" wrapText="1"/>
    </xf>
    <xf numFmtId="0" fontId="5" fillId="0" borderId="1" xfId="0" applyFont="1" applyBorder="1" applyAlignment="1">
      <alignment horizontal="justify" vertical="top" wrapText="1"/>
    </xf>
    <xf numFmtId="0" fontId="5" fillId="0" borderId="34" xfId="0" applyFont="1" applyBorder="1" applyAlignment="1">
      <alignment horizontal="justify" vertical="center" wrapText="1"/>
    </xf>
    <xf numFmtId="0" fontId="5" fillId="0" borderId="20" xfId="0" applyFont="1" applyBorder="1" applyAlignment="1">
      <alignment horizontal="justify" vertical="center" wrapText="1"/>
    </xf>
    <xf numFmtId="0" fontId="5" fillId="0" borderId="25" xfId="0" applyFont="1" applyBorder="1" applyAlignment="1">
      <alignment horizontal="justify" vertical="top" wrapText="1"/>
    </xf>
    <xf numFmtId="0" fontId="5" fillId="0" borderId="8" xfId="0" applyFont="1" applyBorder="1" applyAlignment="1">
      <alignment horizontal="justify" vertical="top" wrapText="1"/>
    </xf>
    <xf numFmtId="0" fontId="0" fillId="5" borderId="9"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0" fillId="5" borderId="9"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wrapText="1"/>
      <protection locked="0"/>
    </xf>
    <xf numFmtId="0" fontId="17" fillId="6" borderId="25" xfId="0" applyFont="1" applyFill="1" applyBorder="1" applyAlignment="1">
      <alignment horizontal="center" vertical="center"/>
    </xf>
    <xf numFmtId="0" fontId="17" fillId="6" borderId="7" xfId="0" applyFont="1" applyFill="1" applyBorder="1" applyAlignment="1">
      <alignment horizontal="center" vertical="center"/>
    </xf>
    <xf numFmtId="0" fontId="11" fillId="6" borderId="25"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0" fillId="0" borderId="2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30" fillId="6" borderId="55" xfId="0" applyFont="1" applyFill="1" applyBorder="1" applyAlignment="1">
      <alignment horizontal="center" vertical="center"/>
    </xf>
    <xf numFmtId="0" fontId="30" fillId="6" borderId="56" xfId="0" applyFont="1" applyFill="1" applyBorder="1" applyAlignment="1">
      <alignment horizontal="center" vertical="center"/>
    </xf>
    <xf numFmtId="0" fontId="30" fillId="6" borderId="57" xfId="0" applyFont="1" applyFill="1" applyBorder="1" applyAlignment="1">
      <alignment horizontal="center" vertical="center"/>
    </xf>
    <xf numFmtId="0" fontId="20" fillId="6" borderId="1" xfId="0" applyFont="1" applyFill="1" applyBorder="1" applyAlignment="1">
      <alignment horizontal="center" vertical="center" wrapText="1"/>
    </xf>
    <xf numFmtId="0" fontId="17" fillId="6" borderId="32" xfId="0" applyFont="1" applyFill="1" applyBorder="1" applyAlignment="1">
      <alignment horizontal="center" vertical="center"/>
    </xf>
    <xf numFmtId="0" fontId="17" fillId="6" borderId="33" xfId="0" applyFont="1" applyFill="1" applyBorder="1" applyAlignment="1">
      <alignment horizontal="center" vertical="center"/>
    </xf>
    <xf numFmtId="0" fontId="17" fillId="6" borderId="28" xfId="0" applyFont="1" applyFill="1" applyBorder="1" applyAlignment="1">
      <alignment horizontal="center" vertical="center"/>
    </xf>
    <xf numFmtId="0" fontId="17" fillId="6" borderId="32" xfId="0" applyFont="1" applyFill="1" applyBorder="1" applyAlignment="1">
      <alignment horizontal="center" vertical="center" wrapText="1"/>
    </xf>
    <xf numFmtId="0" fontId="17" fillId="6" borderId="33" xfId="0" applyFont="1" applyFill="1" applyBorder="1" applyAlignment="1">
      <alignment horizontal="center" vertical="center" wrapText="1"/>
    </xf>
    <xf numFmtId="0" fontId="17" fillId="6" borderId="28" xfId="0" applyFont="1" applyFill="1" applyBorder="1" applyAlignment="1">
      <alignment horizontal="center" vertical="center" wrapText="1"/>
    </xf>
    <xf numFmtId="0" fontId="17" fillId="6" borderId="6" xfId="0" applyFont="1" applyFill="1" applyBorder="1" applyAlignment="1">
      <alignment horizontal="center" vertical="center"/>
    </xf>
    <xf numFmtId="0" fontId="17" fillId="6" borderId="54" xfId="0" applyFont="1" applyFill="1" applyBorder="1" applyAlignment="1">
      <alignment horizontal="center" vertical="center"/>
    </xf>
    <xf numFmtId="0" fontId="21" fillId="6" borderId="23" xfId="0" applyFont="1" applyFill="1" applyBorder="1" applyAlignment="1">
      <alignment horizontal="center"/>
    </xf>
    <xf numFmtId="0" fontId="21" fillId="6" borderId="24" xfId="0" applyFont="1" applyFill="1" applyBorder="1" applyAlignment="1">
      <alignment horizontal="center"/>
    </xf>
    <xf numFmtId="0" fontId="21" fillId="6" borderId="30" xfId="0" applyFont="1" applyFill="1" applyBorder="1" applyAlignment="1">
      <alignment horizontal="center"/>
    </xf>
    <xf numFmtId="0" fontId="0" fillId="0" borderId="25"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21" fillId="6" borderId="25" xfId="0" applyFont="1" applyFill="1" applyBorder="1" applyAlignment="1">
      <alignment horizontal="center"/>
    </xf>
    <xf numFmtId="0" fontId="21" fillId="6" borderId="7" xfId="0" applyFont="1" applyFill="1" applyBorder="1" applyAlignment="1">
      <alignment horizontal="center"/>
    </xf>
    <xf numFmtId="0" fontId="21" fillId="6" borderId="14" xfId="0" applyFont="1" applyFill="1" applyBorder="1" applyAlignment="1">
      <alignment horizontal="center"/>
    </xf>
    <xf numFmtId="0" fontId="17" fillId="6" borderId="25" xfId="0" applyFont="1" applyFill="1" applyBorder="1" applyAlignment="1">
      <alignment horizontal="center"/>
    </xf>
    <xf numFmtId="0" fontId="17" fillId="6" borderId="7" xfId="0" applyFont="1" applyFill="1" applyBorder="1" applyAlignment="1">
      <alignment horizontal="center"/>
    </xf>
    <xf numFmtId="0" fontId="17" fillId="6" borderId="9" xfId="0" applyFont="1" applyFill="1" applyBorder="1" applyAlignment="1">
      <alignment horizontal="center"/>
    </xf>
    <xf numFmtId="0" fontId="17" fillId="6" borderId="8" xfId="0" applyFont="1" applyFill="1" applyBorder="1" applyAlignment="1">
      <alignment horizontal="center"/>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169" fontId="5" fillId="0" borderId="9" xfId="1" applyNumberFormat="1" applyFont="1" applyFill="1" applyBorder="1" applyAlignment="1">
      <alignment horizontal="left" vertical="center" wrapText="1"/>
    </xf>
    <xf numFmtId="169" fontId="5" fillId="0" borderId="7" xfId="1" applyNumberFormat="1" applyFont="1" applyFill="1" applyBorder="1" applyAlignment="1">
      <alignment horizontal="left" vertical="center" wrapText="1"/>
    </xf>
    <xf numFmtId="172" fontId="5" fillId="0" borderId="9" xfId="1" applyNumberFormat="1" applyFont="1" applyFill="1" applyBorder="1" applyAlignment="1">
      <alignment horizontal="left" vertical="center" wrapText="1"/>
    </xf>
    <xf numFmtId="2" fontId="5" fillId="0" borderId="7" xfId="1" applyNumberFormat="1" applyFont="1" applyFill="1" applyBorder="1" applyAlignment="1">
      <alignment horizontal="left" vertical="center" wrapText="1"/>
    </xf>
    <xf numFmtId="0" fontId="18" fillId="0" borderId="1" xfId="3" applyFont="1" applyBorder="1" applyAlignment="1" applyProtection="1">
      <alignment horizontal="center" vertical="center" wrapText="1"/>
      <protection locked="0"/>
    </xf>
    <xf numFmtId="0" fontId="5" fillId="0" borderId="25" xfId="3" applyFont="1" applyBorder="1" applyAlignment="1">
      <alignment horizontal="center" vertical="center" wrapText="1"/>
    </xf>
    <xf numFmtId="0" fontId="5" fillId="0" borderId="7" xfId="3" applyFont="1" applyBorder="1" applyAlignment="1">
      <alignment horizontal="center" vertical="center" wrapText="1"/>
    </xf>
    <xf numFmtId="0" fontId="5" fillId="0" borderId="14" xfId="3" applyFont="1" applyBorder="1" applyAlignment="1">
      <alignment horizontal="center" vertical="center" wrapText="1"/>
    </xf>
    <xf numFmtId="0" fontId="22" fillId="2" borderId="1" xfId="2" applyFont="1" applyBorder="1" applyAlignment="1">
      <alignment horizontal="center" vertical="center" wrapText="1"/>
    </xf>
    <xf numFmtId="0" fontId="3" fillId="0" borderId="1" xfId="0" applyFont="1" applyBorder="1" applyAlignment="1">
      <alignment horizontal="center"/>
    </xf>
    <xf numFmtId="14" fontId="3" fillId="0" borderId="1" xfId="0" applyNumberFormat="1" applyFont="1" applyBorder="1" applyAlignment="1">
      <alignment horizontal="center"/>
    </xf>
    <xf numFmtId="0" fontId="7" fillId="0" borderId="1" xfId="3" applyFont="1" applyBorder="1" applyAlignment="1">
      <alignment horizontal="center" vertical="center" wrapText="1"/>
    </xf>
    <xf numFmtId="2" fontId="7" fillId="3" borderId="1" xfId="1" applyNumberFormat="1" applyFont="1" applyFill="1"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xf>
    <xf numFmtId="169" fontId="7" fillId="3" borderId="1" xfId="1" applyNumberFormat="1" applyFont="1" applyFill="1" applyBorder="1" applyAlignment="1">
      <alignment horizontal="center" vertical="center" wrapText="1"/>
    </xf>
    <xf numFmtId="0" fontId="17" fillId="6" borderId="1" xfId="0" applyFont="1" applyFill="1" applyBorder="1" applyAlignment="1">
      <alignment horizontal="center"/>
    </xf>
    <xf numFmtId="0" fontId="7" fillId="3" borderId="1" xfId="0" applyFont="1" applyFill="1" applyBorder="1" applyAlignment="1">
      <alignment horizontal="center" vertical="center" wrapText="1"/>
    </xf>
    <xf numFmtId="0" fontId="0" fillId="0" borderId="43" xfId="0" applyBorder="1" applyAlignment="1" applyProtection="1">
      <alignment horizontal="justify" vertical="center" wrapText="1"/>
      <protection locked="0"/>
    </xf>
    <xf numFmtId="0" fontId="0" fillId="0" borderId="41" xfId="0" applyBorder="1" applyAlignment="1" applyProtection="1">
      <alignment horizontal="justify" vertical="center" wrapText="1"/>
      <protection locked="0"/>
    </xf>
    <xf numFmtId="0" fontId="0" fillId="0" borderId="45" xfId="0" applyBorder="1" applyAlignment="1" applyProtection="1">
      <alignment horizontal="justify" vertical="center" wrapText="1"/>
      <protection locked="0"/>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16" xfId="0" applyBorder="1" applyAlignment="1">
      <alignment horizontal="center" vertical="center" wrapText="1"/>
    </xf>
    <xf numFmtId="170" fontId="0" fillId="0" borderId="11" xfId="0" applyNumberFormat="1" applyBorder="1" applyAlignment="1">
      <alignment horizontal="center" vertical="center" wrapText="1"/>
    </xf>
    <xf numFmtId="42" fontId="0" fillId="0" borderId="11" xfId="1" applyFont="1" applyBorder="1" applyAlignment="1">
      <alignment horizontal="center" vertical="center" wrapText="1"/>
    </xf>
    <xf numFmtId="42" fontId="0" fillId="0" borderId="1" xfId="1" applyFont="1" applyBorder="1" applyAlignment="1">
      <alignment horizontal="center" vertical="center" wrapText="1"/>
    </xf>
    <xf numFmtId="42" fontId="0" fillId="0" borderId="16" xfId="1" applyFont="1" applyBorder="1" applyAlignment="1">
      <alignment horizontal="center" vertical="center" wrapText="1"/>
    </xf>
    <xf numFmtId="0" fontId="3"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6" xfId="0" applyFont="1" applyBorder="1" applyAlignment="1">
      <alignment horizontal="center" vertical="center" wrapText="1"/>
    </xf>
    <xf numFmtId="0" fontId="0" fillId="0" borderId="43" xfId="0" quotePrefix="1" applyBorder="1" applyAlignment="1" applyProtection="1">
      <alignment horizontal="justify" vertical="center" wrapText="1"/>
      <protection locked="0"/>
    </xf>
    <xf numFmtId="170" fontId="0" fillId="0" borderId="42" xfId="0" applyNumberFormat="1" applyBorder="1" applyAlignment="1">
      <alignment horizontal="center" vertical="center" wrapText="1"/>
    </xf>
    <xf numFmtId="0" fontId="0" fillId="0" borderId="5" xfId="0" applyBorder="1" applyAlignment="1">
      <alignment horizontal="center" vertical="center" wrapText="1"/>
    </xf>
    <xf numFmtId="0" fontId="0" fillId="0" borderId="44" xfId="0" applyBorder="1" applyAlignment="1">
      <alignment horizontal="center" vertical="center" wrapText="1"/>
    </xf>
    <xf numFmtId="42" fontId="0" fillId="0" borderId="42" xfId="1" applyFont="1" applyBorder="1" applyAlignment="1">
      <alignment horizontal="center" vertical="center" wrapText="1"/>
    </xf>
    <xf numFmtId="42" fontId="0" fillId="0" borderId="5" xfId="1" applyFont="1" applyBorder="1" applyAlignment="1">
      <alignment horizontal="center" vertical="center" wrapText="1"/>
    </xf>
    <xf numFmtId="42" fontId="0" fillId="0" borderId="44" xfId="1"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4" xfId="0" applyFont="1" applyBorder="1" applyAlignment="1">
      <alignment horizontal="center" vertical="center" wrapText="1"/>
    </xf>
    <xf numFmtId="169"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horizontal="center" vertical="center" wrapText="1"/>
    </xf>
    <xf numFmtId="14" fontId="0" fillId="0" borderId="9" xfId="0" applyNumberFormat="1" applyBorder="1" applyAlignment="1">
      <alignment horizontal="center"/>
    </xf>
    <xf numFmtId="14" fontId="0" fillId="0" borderId="7" xfId="0" applyNumberFormat="1" applyBorder="1" applyAlignment="1">
      <alignment horizontal="center"/>
    </xf>
    <xf numFmtId="14" fontId="0" fillId="0" borderId="8" xfId="0" applyNumberFormat="1" applyBorder="1" applyAlignment="1">
      <alignment horizontal="center"/>
    </xf>
    <xf numFmtId="0" fontId="7" fillId="0" borderId="1" xfId="0" applyFont="1" applyBorder="1" applyAlignment="1">
      <alignment horizontal="center" vertical="center" wrapText="1"/>
    </xf>
    <xf numFmtId="2" fontId="5" fillId="0" borderId="9" xfId="1" applyNumberFormat="1" applyFont="1" applyFill="1" applyBorder="1" applyAlignment="1">
      <alignment horizontal="left" vertical="center" wrapText="1"/>
    </xf>
    <xf numFmtId="0" fontId="0" fillId="5" borderId="9" xfId="0" applyFill="1" applyBorder="1" applyAlignment="1" applyProtection="1">
      <alignment horizontal="center" wrapText="1"/>
      <protection locked="0"/>
    </xf>
    <xf numFmtId="0" fontId="0" fillId="5" borderId="8" xfId="0" applyFill="1" applyBorder="1" applyAlignment="1" applyProtection="1">
      <alignment horizontal="center" wrapText="1"/>
      <protection locked="0"/>
    </xf>
    <xf numFmtId="0" fontId="0" fillId="5" borderId="8" xfId="0" applyFill="1" applyBorder="1" applyAlignment="1" applyProtection="1">
      <alignment horizontal="center" vertical="center"/>
      <protection locked="0"/>
    </xf>
    <xf numFmtId="0" fontId="0" fillId="5" borderId="8" xfId="0" applyFill="1" applyBorder="1" applyAlignment="1" applyProtection="1">
      <alignment horizontal="center" vertical="top" wrapText="1"/>
      <protection locked="0"/>
    </xf>
    <xf numFmtId="0" fontId="0" fillId="5" borderId="9" xfId="0" applyFill="1" applyBorder="1" applyAlignment="1" applyProtection="1">
      <alignment horizontal="center" vertical="center"/>
      <protection locked="0"/>
    </xf>
    <xf numFmtId="0" fontId="0" fillId="0" borderId="1" xfId="0" applyBorder="1" applyAlignment="1">
      <alignment horizontal="center" vertical="center"/>
    </xf>
    <xf numFmtId="0" fontId="0" fillId="0" borderId="7" xfId="0" applyBorder="1" applyAlignment="1">
      <alignment horizontal="center" vertical="center"/>
    </xf>
    <xf numFmtId="0" fontId="17" fillId="6" borderId="1" xfId="0" applyFont="1" applyFill="1" applyBorder="1" applyAlignment="1">
      <alignment horizontal="center" vertical="center"/>
    </xf>
    <xf numFmtId="1" fontId="3" fillId="0" borderId="1" xfId="0" applyNumberFormat="1" applyFont="1" applyBorder="1" applyAlignment="1">
      <alignment horizontal="center" vertical="center" wrapText="1"/>
    </xf>
    <xf numFmtId="167" fontId="5" fillId="0" borderId="1" xfId="1" applyNumberFormat="1" applyFont="1" applyBorder="1" applyAlignment="1">
      <alignment horizontal="center" vertical="center" wrapText="1"/>
    </xf>
    <xf numFmtId="0" fontId="0" fillId="0" borderId="1" xfId="0" applyBorder="1" applyAlignment="1">
      <alignment horizontal="center"/>
    </xf>
    <xf numFmtId="0" fontId="0" fillId="0" borderId="12" xfId="0" applyBorder="1" applyAlignment="1" applyProtection="1">
      <alignment horizontal="center" vertical="center" wrapText="1"/>
      <protection locked="0"/>
    </xf>
    <xf numFmtId="0" fontId="0" fillId="0" borderId="31"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170" fontId="0" fillId="5" borderId="11" xfId="1" applyNumberFormat="1" applyFont="1" applyFill="1" applyBorder="1" applyAlignment="1" applyProtection="1">
      <alignment horizontal="center" vertical="center" wrapText="1"/>
      <protection locked="0"/>
    </xf>
    <xf numFmtId="170" fontId="0" fillId="5" borderId="1" xfId="1" applyNumberFormat="1" applyFont="1" applyFill="1" applyBorder="1" applyAlignment="1" applyProtection="1">
      <alignment horizontal="center" vertical="center" wrapText="1"/>
      <protection locked="0"/>
    </xf>
    <xf numFmtId="170" fontId="0" fillId="5" borderId="16" xfId="1" applyNumberFormat="1" applyFont="1" applyFill="1" applyBorder="1" applyAlignment="1" applyProtection="1">
      <alignment horizontal="center" vertical="center" wrapText="1"/>
      <protection locked="0"/>
    </xf>
    <xf numFmtId="0" fontId="0" fillId="0" borderId="12" xfId="0" applyBorder="1" applyAlignment="1" applyProtection="1">
      <alignment horizontal="left" vertical="center" wrapText="1"/>
      <protection locked="0"/>
    </xf>
    <xf numFmtId="0" fontId="0" fillId="0" borderId="31" xfId="0" applyBorder="1" applyAlignment="1" applyProtection="1">
      <alignment horizontal="left" vertical="center" wrapText="1"/>
      <protection locked="0"/>
    </xf>
    <xf numFmtId="0" fontId="0" fillId="0" borderId="17" xfId="0" applyBorder="1" applyAlignment="1" applyProtection="1">
      <alignment horizontal="left" vertical="center" wrapText="1"/>
      <protection locked="0"/>
    </xf>
    <xf numFmtId="2" fontId="0" fillId="0" borderId="42" xfId="0" applyNumberFormat="1" applyBorder="1" applyAlignment="1">
      <alignment horizontal="center" vertical="center" wrapText="1"/>
    </xf>
    <xf numFmtId="2" fontId="0" fillId="0" borderId="5" xfId="0" applyNumberFormat="1" applyBorder="1" applyAlignment="1">
      <alignment horizontal="center" vertical="center" wrapText="1"/>
    </xf>
    <xf numFmtId="2" fontId="0" fillId="0" borderId="44" xfId="0" applyNumberFormat="1" applyBorder="1" applyAlignment="1">
      <alignment horizontal="center" vertical="center" wrapText="1"/>
    </xf>
    <xf numFmtId="2" fontId="0" fillId="0" borderId="11" xfId="0" applyNumberFormat="1" applyBorder="1" applyAlignment="1">
      <alignment horizontal="center" vertical="center" wrapText="1"/>
    </xf>
    <xf numFmtId="2" fontId="0" fillId="0" borderId="1" xfId="0" applyNumberFormat="1" applyBorder="1" applyAlignment="1">
      <alignment horizontal="center" vertical="center" wrapText="1"/>
    </xf>
    <xf numFmtId="2" fontId="0" fillId="0" borderId="16" xfId="0" applyNumberFormat="1" applyBorder="1" applyAlignment="1">
      <alignment horizontal="center" vertical="center" wrapText="1"/>
    </xf>
    <xf numFmtId="0" fontId="0" fillId="0" borderId="42" xfId="0" applyBorder="1" applyAlignment="1">
      <alignment horizontal="center" vertical="center" wrapText="1"/>
    </xf>
    <xf numFmtId="0" fontId="0" fillId="8" borderId="12" xfId="0" applyFill="1" applyBorder="1" applyAlignment="1" applyProtection="1">
      <alignment horizontal="center" vertical="center" wrapText="1"/>
      <protection locked="0"/>
    </xf>
    <xf numFmtId="0" fontId="0" fillId="8" borderId="31" xfId="0" applyFill="1" applyBorder="1" applyAlignment="1" applyProtection="1">
      <alignment horizontal="center" vertical="center" wrapText="1"/>
      <protection locked="0"/>
    </xf>
    <xf numFmtId="0" fontId="0" fillId="8" borderId="17" xfId="0" applyFill="1" applyBorder="1" applyAlignment="1" applyProtection="1">
      <alignment horizontal="center" vertical="center" wrapText="1"/>
      <protection locked="0"/>
    </xf>
    <xf numFmtId="169" fontId="7" fillId="0" borderId="9" xfId="1" applyNumberFormat="1" applyFont="1" applyFill="1" applyBorder="1" applyAlignment="1">
      <alignment horizontal="center" vertical="center" wrapText="1"/>
    </xf>
    <xf numFmtId="169" fontId="7" fillId="0" borderId="8" xfId="1" applyNumberFormat="1" applyFont="1" applyFill="1" applyBorder="1" applyAlignment="1">
      <alignment horizontal="center" vertical="center" wrapText="1"/>
    </xf>
    <xf numFmtId="2" fontId="7" fillId="0" borderId="9" xfId="1" applyNumberFormat="1" applyFont="1" applyFill="1" applyBorder="1" applyAlignment="1">
      <alignment horizontal="center" vertical="center" wrapText="1"/>
    </xf>
    <xf numFmtId="2" fontId="7" fillId="0" borderId="8" xfId="1" applyNumberFormat="1" applyFont="1" applyFill="1" applyBorder="1" applyAlignment="1">
      <alignment horizontal="center" vertical="center" wrapText="1"/>
    </xf>
    <xf numFmtId="0" fontId="0" fillId="8" borderId="10" xfId="0" applyFill="1" applyBorder="1" applyAlignment="1">
      <alignment horizontal="center" vertical="center" wrapText="1"/>
    </xf>
    <xf numFmtId="0" fontId="0" fillId="8" borderId="13" xfId="0" applyFill="1" applyBorder="1" applyAlignment="1">
      <alignment horizontal="center" vertical="center" wrapText="1"/>
    </xf>
    <xf numFmtId="0" fontId="0" fillId="8" borderId="15" xfId="0" applyFill="1" applyBorder="1" applyAlignment="1">
      <alignment horizontal="center" vertical="center" wrapText="1"/>
    </xf>
    <xf numFmtId="0" fontId="0" fillId="8" borderId="11" xfId="0" applyFill="1" applyBorder="1" applyAlignment="1">
      <alignment horizontal="center" vertical="center" wrapText="1"/>
    </xf>
    <xf numFmtId="0" fontId="0" fillId="8" borderId="1" xfId="0" applyFill="1" applyBorder="1" applyAlignment="1">
      <alignment horizontal="center" vertical="center" wrapText="1"/>
    </xf>
    <xf numFmtId="0" fontId="0" fillId="8" borderId="16" xfId="0" applyFill="1" applyBorder="1" applyAlignment="1">
      <alignment horizontal="center" vertical="center" wrapText="1"/>
    </xf>
    <xf numFmtId="170" fontId="10" fillId="5" borderId="11" xfId="1" applyNumberFormat="1" applyFont="1" applyFill="1" applyBorder="1" applyAlignment="1" applyProtection="1">
      <alignment horizontal="center" vertical="center" wrapText="1"/>
      <protection locked="0"/>
    </xf>
    <xf numFmtId="170" fontId="10" fillId="5" borderId="1" xfId="1" applyNumberFormat="1" applyFont="1" applyFill="1" applyBorder="1" applyAlignment="1" applyProtection="1">
      <alignment horizontal="center" vertical="center" wrapText="1"/>
      <protection locked="0"/>
    </xf>
    <xf numFmtId="170" fontId="10" fillId="5" borderId="16" xfId="1" applyNumberFormat="1" applyFont="1" applyFill="1" applyBorder="1" applyAlignment="1" applyProtection="1">
      <alignment horizontal="center" vertical="center" wrapText="1"/>
      <protection locked="0"/>
    </xf>
    <xf numFmtId="0" fontId="11" fillId="7" borderId="49" xfId="0" applyFont="1" applyFill="1" applyBorder="1" applyAlignment="1">
      <alignment horizontal="center" vertical="center" wrapText="1"/>
    </xf>
    <xf numFmtId="0" fontId="11" fillId="7" borderId="24" xfId="0" applyFont="1" applyFill="1" applyBorder="1" applyAlignment="1">
      <alignment horizontal="center" vertical="center" wrapText="1"/>
    </xf>
    <xf numFmtId="0" fontId="11" fillId="7" borderId="50"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5" xfId="0"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17" xfId="0" applyFont="1" applyFill="1" applyBorder="1" applyAlignment="1">
      <alignment horizontal="center" vertical="center" wrapText="1"/>
    </xf>
    <xf numFmtId="1" fontId="7" fillId="0" borderId="1" xfId="1" applyNumberFormat="1" applyFont="1" applyFill="1" applyBorder="1" applyAlignment="1">
      <alignment horizontal="center" vertical="center" wrapText="1"/>
    </xf>
    <xf numFmtId="9" fontId="7" fillId="0" borderId="1" xfId="4" applyFont="1" applyFill="1" applyBorder="1" applyAlignment="1">
      <alignment horizontal="center" vertical="center" wrapText="1"/>
    </xf>
    <xf numFmtId="0" fontId="30" fillId="6" borderId="26" xfId="0" applyFont="1" applyFill="1" applyBorder="1" applyAlignment="1">
      <alignment horizontal="center" vertical="center"/>
    </xf>
    <xf numFmtId="0" fontId="30" fillId="6" borderId="27" xfId="0" applyFont="1" applyFill="1" applyBorder="1" applyAlignment="1">
      <alignment horizontal="center" vertical="center"/>
    </xf>
    <xf numFmtId="0" fontId="30" fillId="6" borderId="51" xfId="0" applyFont="1" applyFill="1" applyBorder="1" applyAlignment="1">
      <alignment horizontal="center" vertical="center"/>
    </xf>
    <xf numFmtId="0" fontId="30" fillId="6" borderId="35" xfId="0" applyFont="1" applyFill="1" applyBorder="1" applyAlignment="1">
      <alignment horizontal="center" vertical="center"/>
    </xf>
    <xf numFmtId="173" fontId="7" fillId="0" borderId="1" xfId="1" applyNumberFormat="1" applyFont="1" applyFill="1" applyBorder="1" applyAlignment="1">
      <alignment horizontal="center" vertical="center" wrapText="1"/>
    </xf>
    <xf numFmtId="0" fontId="11" fillId="7" borderId="11" xfId="0" applyFont="1" applyFill="1" applyBorder="1" applyAlignment="1">
      <alignment horizontal="center" vertical="center" wrapText="1"/>
    </xf>
    <xf numFmtId="9" fontId="11" fillId="7" borderId="11" xfId="4" applyFont="1" applyFill="1" applyBorder="1" applyAlignment="1">
      <alignment horizontal="center" vertical="center" wrapText="1"/>
    </xf>
    <xf numFmtId="0" fontId="0" fillId="0" borderId="12" xfId="0" quotePrefix="1" applyBorder="1" applyAlignment="1" applyProtection="1">
      <alignment horizontal="center" vertical="center" wrapText="1"/>
      <protection locked="0"/>
    </xf>
    <xf numFmtId="0" fontId="0" fillId="0" borderId="12" xfId="0" applyBorder="1" applyAlignment="1" applyProtection="1">
      <alignment horizontal="center" vertical="top" wrapText="1"/>
      <protection locked="0"/>
    </xf>
    <xf numFmtId="0" fontId="0" fillId="0" borderId="31" xfId="0" applyBorder="1" applyAlignment="1" applyProtection="1">
      <alignment horizontal="center" vertical="top" wrapText="1"/>
      <protection locked="0"/>
    </xf>
    <xf numFmtId="0" fontId="0" fillId="0" borderId="17" xfId="0" applyBorder="1" applyAlignment="1" applyProtection="1">
      <alignment horizontal="center" vertical="top" wrapText="1"/>
      <protection locked="0"/>
    </xf>
    <xf numFmtId="0" fontId="0" fillId="0" borderId="9" xfId="0" applyBorder="1" applyAlignment="1">
      <alignment horizontal="center" vertical="center"/>
    </xf>
    <xf numFmtId="0" fontId="0" fillId="0" borderId="8" xfId="0" applyBorder="1" applyAlignment="1">
      <alignment horizontal="center" vertical="center"/>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1" fontId="3" fillId="0" borderId="9"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8" xfId="0" applyNumberFormat="1" applyFont="1" applyBorder="1" applyAlignment="1">
      <alignment horizontal="center" vertical="center" wrapText="1"/>
    </xf>
    <xf numFmtId="168" fontId="0" fillId="8" borderId="1" xfId="0" applyNumberFormat="1" applyFill="1" applyBorder="1" applyAlignment="1">
      <alignment horizontal="center"/>
    </xf>
    <xf numFmtId="168" fontId="0" fillId="0" borderId="1" xfId="0" applyNumberFormat="1" applyBorder="1" applyAlignment="1">
      <alignment horizontal="center"/>
    </xf>
    <xf numFmtId="0" fontId="31" fillId="0" borderId="1" xfId="0" applyFont="1" applyBorder="1" applyAlignment="1">
      <alignment horizontal="center" vertical="center"/>
    </xf>
    <xf numFmtId="1" fontId="32" fillId="7" borderId="1" xfId="0" applyNumberFormat="1" applyFont="1" applyFill="1" applyBorder="1" applyAlignment="1">
      <alignment horizontal="center" vertical="center"/>
    </xf>
  </cellXfs>
  <cellStyles count="5">
    <cellStyle name="Bueno" xfId="2" builtinId="26"/>
    <cellStyle name="Moneda [0]" xfId="1" builtinId="7"/>
    <cellStyle name="Normal" xfId="0" builtinId="0"/>
    <cellStyle name="Normal 2" xfId="3" xr:uid="{00000000-0005-0000-0000-000003000000}"/>
    <cellStyle name="Porcentaje" xfId="4" builtinId="5"/>
  </cellStyles>
  <dxfs count="2188">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font>
      <fill>
        <patternFill>
          <bgColor theme="8" tint="0.59996337778862885"/>
        </patternFill>
      </fill>
    </dxf>
    <dxf>
      <font>
        <color rgb="FF9C0006"/>
      </font>
      <fill>
        <patternFill>
          <bgColor rgb="FFFFC7CE"/>
        </patternFill>
      </fill>
    </dxf>
    <dxf>
      <font>
        <b/>
        <i val="0"/>
      </font>
      <fill>
        <patternFill>
          <bgColor theme="8"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ill>
        <patternFill>
          <bgColor rgb="FFFFFF99"/>
        </patternFill>
      </fill>
    </dxf>
    <dxf>
      <fill>
        <patternFill>
          <bgColor theme="0" tint="-0.14996795556505021"/>
        </patternFill>
      </fill>
    </dxf>
    <dxf>
      <font>
        <color rgb="FF9C0006"/>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ill>
        <patternFill>
          <bgColor rgb="FFFFFF99"/>
        </patternFill>
      </fill>
    </dxf>
    <dxf>
      <font>
        <color rgb="FF00B050"/>
      </font>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ont>
        <color rgb="FF9C0006"/>
      </font>
    </dxf>
    <dxf>
      <font>
        <color rgb="FF00B050"/>
      </font>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ont>
        <color rgb="FF9C0006"/>
      </font>
    </dxf>
    <dxf>
      <fill>
        <patternFill>
          <bgColor rgb="FFFFFF99"/>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00B050"/>
      </font>
    </dxf>
    <dxf>
      <font>
        <color rgb="FF9C0006"/>
      </font>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ill>
        <patternFill>
          <bgColor theme="0" tint="-0.14996795556505021"/>
        </patternFill>
      </fill>
    </dxf>
    <dxf>
      <fill>
        <patternFill>
          <bgColor rgb="FFFFFF99"/>
        </patternFill>
      </fill>
    </dxf>
    <dxf>
      <font>
        <color rgb="FF9C0006"/>
      </font>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ill>
        <patternFill>
          <bgColor rgb="FFFFFF99"/>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00B050"/>
      </font>
    </dxf>
    <dxf>
      <font>
        <color rgb="FF9C0006"/>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ont>
        <color theme="9" tint="-0.499984740745262"/>
      </font>
      <fill>
        <patternFill>
          <bgColor theme="9"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9C0006"/>
      </font>
    </dxf>
    <dxf>
      <font>
        <color rgb="FF00B050"/>
      </font>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ont>
        <color rgb="FF00B050"/>
      </font>
    </dxf>
    <dxf>
      <font>
        <color rgb="FF9C0006"/>
      </font>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00B050"/>
      </font>
    </dxf>
    <dxf>
      <font>
        <color rgb="FF9C0006"/>
      </font>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ill>
        <patternFill>
          <bgColor theme="0" tint="-0.14996795556505021"/>
        </patternFill>
      </fill>
    </dxf>
    <dxf>
      <font>
        <color rgb="FF9C0006"/>
      </font>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theme="9" tint="-0.499984740745262"/>
      </font>
      <fill>
        <patternFill>
          <bgColor theme="9" tint="0.39994506668294322"/>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ill>
        <patternFill>
          <bgColor rgb="FFFFFF99"/>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patternType="none">
          <bgColor auto="1"/>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xdr:row>
      <xdr:rowOff>285750</xdr:rowOff>
    </xdr:from>
    <xdr:to>
      <xdr:col>0</xdr:col>
      <xdr:colOff>2133600</xdr:colOff>
      <xdr:row>1</xdr:row>
      <xdr:rowOff>1159636</xdr:rowOff>
    </xdr:to>
    <xdr:pic>
      <xdr:nvPicPr>
        <xdr:cNvPr id="2" name="Imagen 2">
          <a:extLst>
            <a:ext uri="{FF2B5EF4-FFF2-40B4-BE49-F238E27FC236}">
              <a16:creationId xmlns:a16="http://schemas.microsoft.com/office/drawing/2014/main" id="{E97B8CF1-896F-4A53-BA39-5CB5AE4755BA}"/>
            </a:ext>
          </a:extLst>
        </xdr:cNvPr>
        <xdr:cNvPicPr>
          <a:picLocks noChangeAspect="1"/>
        </xdr:cNvPicPr>
      </xdr:nvPicPr>
      <xdr:blipFill rotWithShape="1">
        <a:blip xmlns:r="http://schemas.openxmlformats.org/officeDocument/2006/relationships" r:embed="rId1"/>
        <a:srcRect l="23542" t="48182" r="56132" b="38879"/>
        <a:stretch/>
      </xdr:blipFill>
      <xdr:spPr>
        <a:xfrm>
          <a:off x="800100" y="933450"/>
          <a:ext cx="2095500" cy="8761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367391</xdr:colOff>
      <xdr:row>1</xdr:row>
      <xdr:rowOff>176894</xdr:rowOff>
    </xdr:from>
    <xdr:to>
      <xdr:col>1</xdr:col>
      <xdr:colOff>2800894</xdr:colOff>
      <xdr:row>2</xdr:row>
      <xdr:rowOff>135340</xdr:rowOff>
    </xdr:to>
    <xdr:pic>
      <xdr:nvPicPr>
        <xdr:cNvPr id="2" name="Imagen 1">
          <a:extLst>
            <a:ext uri="{FF2B5EF4-FFF2-40B4-BE49-F238E27FC236}">
              <a16:creationId xmlns:a16="http://schemas.microsoft.com/office/drawing/2014/main" id="{7284BD5A-4410-4238-8161-7971124EA18C}"/>
            </a:ext>
          </a:extLst>
        </xdr:cNvPr>
        <xdr:cNvPicPr>
          <a:picLocks noChangeAspect="1"/>
        </xdr:cNvPicPr>
      </xdr:nvPicPr>
      <xdr:blipFill rotWithShape="1">
        <a:blip xmlns:r="http://schemas.openxmlformats.org/officeDocument/2006/relationships" r:embed="rId1"/>
        <a:srcRect l="23542" t="48182" r="56132" b="38879"/>
        <a:stretch/>
      </xdr:blipFill>
      <xdr:spPr>
        <a:xfrm>
          <a:off x="367391" y="367394"/>
          <a:ext cx="2803073" cy="9033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224220</xdr:colOff>
      <xdr:row>3</xdr:row>
      <xdr:rowOff>202425</xdr:rowOff>
    </xdr:from>
    <xdr:to>
      <xdr:col>1</xdr:col>
      <xdr:colOff>2760395</xdr:colOff>
      <xdr:row>4</xdr:row>
      <xdr:rowOff>364782</xdr:rowOff>
    </xdr:to>
    <xdr:pic>
      <xdr:nvPicPr>
        <xdr:cNvPr id="2" name="Imagen 1">
          <a:extLst>
            <a:ext uri="{FF2B5EF4-FFF2-40B4-BE49-F238E27FC236}">
              <a16:creationId xmlns:a16="http://schemas.microsoft.com/office/drawing/2014/main" id="{31F28FEB-64C8-463B-B6DF-67CF64E1C5EE}"/>
            </a:ext>
          </a:extLst>
        </xdr:cNvPr>
        <xdr:cNvPicPr>
          <a:picLocks noChangeAspect="1"/>
        </xdr:cNvPicPr>
      </xdr:nvPicPr>
      <xdr:blipFill rotWithShape="1">
        <a:blip xmlns:r="http://schemas.openxmlformats.org/officeDocument/2006/relationships" r:embed="rId1"/>
        <a:srcRect l="24137" t="48182" r="56472" b="38879"/>
        <a:stretch/>
      </xdr:blipFill>
      <xdr:spPr>
        <a:xfrm>
          <a:off x="224220" y="814746"/>
          <a:ext cx="2965616" cy="10936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478220</xdr:colOff>
      <xdr:row>3</xdr:row>
      <xdr:rowOff>265925</xdr:rowOff>
    </xdr:from>
    <xdr:to>
      <xdr:col>1</xdr:col>
      <xdr:colOff>2949625</xdr:colOff>
      <xdr:row>4</xdr:row>
      <xdr:rowOff>420662</xdr:rowOff>
    </xdr:to>
    <xdr:pic>
      <xdr:nvPicPr>
        <xdr:cNvPr id="4" name="Imagen 3">
          <a:extLst>
            <a:ext uri="{FF2B5EF4-FFF2-40B4-BE49-F238E27FC236}">
              <a16:creationId xmlns:a16="http://schemas.microsoft.com/office/drawing/2014/main" id="{969FBE42-6E7F-4924-9B62-F763F8BEC20C}"/>
            </a:ext>
          </a:extLst>
        </xdr:cNvPr>
        <xdr:cNvPicPr>
          <a:picLocks noChangeAspect="1"/>
        </xdr:cNvPicPr>
      </xdr:nvPicPr>
      <xdr:blipFill rotWithShape="1">
        <a:blip xmlns:r="http://schemas.openxmlformats.org/officeDocument/2006/relationships" r:embed="rId1"/>
        <a:srcRect l="24137" t="48182" r="56472" b="38879"/>
        <a:stretch/>
      </xdr:blipFill>
      <xdr:spPr>
        <a:xfrm>
          <a:off x="478220" y="885050"/>
          <a:ext cx="2959720" cy="10913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367392</xdr:colOff>
      <xdr:row>5</xdr:row>
      <xdr:rowOff>381000</xdr:rowOff>
    </xdr:from>
    <xdr:to>
      <xdr:col>20</xdr:col>
      <xdr:colOff>520877</xdr:colOff>
      <xdr:row>12</xdr:row>
      <xdr:rowOff>47844</xdr:rowOff>
    </xdr:to>
    <xdr:pic>
      <xdr:nvPicPr>
        <xdr:cNvPr id="2" name="Imagen 1">
          <a:extLst>
            <a:ext uri="{FF2B5EF4-FFF2-40B4-BE49-F238E27FC236}">
              <a16:creationId xmlns:a16="http://schemas.microsoft.com/office/drawing/2014/main" id="{1D72622B-8A28-4C56-AB2D-441BFBA9CD5F}"/>
            </a:ext>
          </a:extLst>
        </xdr:cNvPr>
        <xdr:cNvPicPr>
          <a:picLocks noChangeAspect="1"/>
        </xdr:cNvPicPr>
      </xdr:nvPicPr>
      <xdr:blipFill>
        <a:blip xmlns:r="http://schemas.openxmlformats.org/officeDocument/2006/relationships" r:embed="rId1"/>
        <a:stretch>
          <a:fillRect/>
        </a:stretch>
      </xdr:blipFill>
      <xdr:spPr>
        <a:xfrm>
          <a:off x="13988142" y="1945821"/>
          <a:ext cx="7773485" cy="157184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34.xml"/><Relationship Id="rId2" Type="http://schemas.openxmlformats.org/officeDocument/2006/relationships/vmlDrawing" Target="../drawings/vmlDrawing34.v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35.xml"/><Relationship Id="rId2" Type="http://schemas.openxmlformats.org/officeDocument/2006/relationships/vmlDrawing" Target="../drawings/vmlDrawing35.v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36.vml"/><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7.vml"/><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0"/>
  <sheetViews>
    <sheetView view="pageBreakPreview" zoomScale="85" zoomScaleNormal="100" zoomScaleSheetLayoutView="85" workbookViewId="0">
      <pane ySplit="6" topLeftCell="A7" activePane="bottomLeft" state="frozenSplit"/>
      <selection pane="bottomLeft" activeCell="B9" sqref="B9"/>
    </sheetView>
    <sheetView tabSelected="1" workbookViewId="1">
      <selection activeCell="F9" sqref="F9"/>
    </sheetView>
  </sheetViews>
  <sheetFormatPr baseColWidth="10" defaultColWidth="11.42578125" defaultRowHeight="15" x14ac:dyDescent="0.25"/>
  <cols>
    <col min="1" max="1" width="32.5703125" style="4" customWidth="1"/>
    <col min="2" max="2" width="18.140625" style="4" customWidth="1"/>
    <col min="3" max="3" width="11.85546875" style="4" customWidth="1"/>
    <col min="4" max="4" width="17.85546875" style="4" customWidth="1"/>
    <col min="5" max="6" width="11.42578125" style="4"/>
    <col min="7" max="7" width="13.85546875" style="4" customWidth="1"/>
    <col min="8" max="8" width="12.85546875" style="4" customWidth="1"/>
    <col min="9" max="9" width="17.42578125" style="4" customWidth="1"/>
    <col min="10" max="16384" width="11.42578125" style="4"/>
  </cols>
  <sheetData>
    <row r="1" spans="1:9" x14ac:dyDescent="0.25">
      <c r="A1" s="239" t="s">
        <v>0</v>
      </c>
      <c r="B1" s="239"/>
      <c r="C1" s="239"/>
      <c r="D1" s="239"/>
      <c r="E1" s="239"/>
      <c r="F1" s="239"/>
      <c r="G1" s="239"/>
      <c r="H1" s="239"/>
      <c r="I1" s="239"/>
    </row>
    <row r="2" spans="1:9" ht="133.5" customHeight="1" x14ac:dyDescent="0.25">
      <c r="A2" s="240"/>
      <c r="B2" s="241" t="s">
        <v>1</v>
      </c>
      <c r="C2" s="241"/>
      <c r="D2" s="242" t="s">
        <v>215</v>
      </c>
      <c r="E2" s="242"/>
      <c r="F2" s="242"/>
      <c r="G2" s="242"/>
      <c r="H2" s="242"/>
      <c r="I2" s="242"/>
    </row>
    <row r="3" spans="1:9" x14ac:dyDescent="0.25">
      <c r="A3" s="240"/>
      <c r="B3" s="243" t="s">
        <v>2</v>
      </c>
      <c r="C3" s="244"/>
      <c r="D3" s="244"/>
      <c r="E3" s="244"/>
      <c r="F3" s="244"/>
      <c r="G3" s="244"/>
      <c r="H3" s="244"/>
      <c r="I3" s="244"/>
    </row>
    <row r="4" spans="1:9" ht="15.75" customHeight="1" x14ac:dyDescent="0.25">
      <c r="A4" s="72" t="s">
        <v>3</v>
      </c>
      <c r="B4" s="247" t="s">
        <v>182</v>
      </c>
      <c r="C4" s="247"/>
      <c r="D4" s="247"/>
      <c r="E4" s="250" t="s">
        <v>4</v>
      </c>
      <c r="F4" s="250"/>
      <c r="G4" s="251" t="s">
        <v>216</v>
      </c>
      <c r="H4" s="247"/>
      <c r="I4" s="252"/>
    </row>
    <row r="5" spans="1:9" x14ac:dyDescent="0.25">
      <c r="A5" s="233" t="s">
        <v>5</v>
      </c>
      <c r="B5" s="159" t="s">
        <v>161</v>
      </c>
      <c r="C5" s="232">
        <v>526819451</v>
      </c>
      <c r="D5" s="232"/>
      <c r="E5" s="222" t="s">
        <v>145</v>
      </c>
      <c r="F5" s="223"/>
      <c r="G5" s="226">
        <v>7</v>
      </c>
      <c r="H5" s="227"/>
      <c r="I5" s="230" t="s">
        <v>119</v>
      </c>
    </row>
    <row r="6" spans="1:9" x14ac:dyDescent="0.25">
      <c r="A6" s="234"/>
      <c r="B6" s="148"/>
      <c r="C6" s="232"/>
      <c r="D6" s="232"/>
      <c r="E6" s="224"/>
      <c r="F6" s="225"/>
      <c r="G6" s="228"/>
      <c r="H6" s="229"/>
      <c r="I6" s="231"/>
    </row>
    <row r="8" spans="1:9" x14ac:dyDescent="0.25">
      <c r="A8" s="68" t="s">
        <v>53</v>
      </c>
      <c r="B8" s="71" t="s">
        <v>6</v>
      </c>
      <c r="C8" s="218" t="s">
        <v>54</v>
      </c>
      <c r="D8" s="219"/>
    </row>
    <row r="9" spans="1:9" x14ac:dyDescent="0.25">
      <c r="A9" s="73">
        <f>C5</f>
        <v>526819451</v>
      </c>
      <c r="B9" s="74">
        <v>1300000</v>
      </c>
      <c r="C9" s="220">
        <f>A9/B9</f>
        <v>405.24573153846154</v>
      </c>
      <c r="D9" s="221"/>
    </row>
    <row r="10" spans="1:9" x14ac:dyDescent="0.25">
      <c r="A10" s="73"/>
      <c r="B10" s="74"/>
      <c r="C10" s="220"/>
      <c r="D10" s="221"/>
    </row>
    <row r="11" spans="1:9" ht="15.75" thickBot="1" x14ac:dyDescent="0.3">
      <c r="A11" s="8"/>
      <c r="B11" s="9"/>
      <c r="C11" s="5"/>
    </row>
    <row r="12" spans="1:9" ht="15.75" thickBot="1" x14ac:dyDescent="0.3">
      <c r="A12" s="75" t="s">
        <v>7</v>
      </c>
      <c r="B12" s="76" t="s">
        <v>8</v>
      </c>
      <c r="C12" s="5"/>
    </row>
    <row r="13" spans="1:9" x14ac:dyDescent="0.25">
      <c r="A13" s="77">
        <v>1984</v>
      </c>
      <c r="B13" s="78">
        <v>11298</v>
      </c>
      <c r="C13" s="5"/>
    </row>
    <row r="14" spans="1:9" x14ac:dyDescent="0.25">
      <c r="A14" s="77">
        <v>1990</v>
      </c>
      <c r="B14" s="78">
        <v>41025</v>
      </c>
      <c r="C14" s="5"/>
    </row>
    <row r="15" spans="1:9" x14ac:dyDescent="0.25">
      <c r="A15" s="77">
        <v>1995</v>
      </c>
      <c r="B15" s="78">
        <v>118934</v>
      </c>
      <c r="C15" s="5"/>
    </row>
    <row r="16" spans="1:9" x14ac:dyDescent="0.25">
      <c r="A16" s="79">
        <v>1996</v>
      </c>
      <c r="B16" s="80">
        <v>142125</v>
      </c>
      <c r="C16" s="5"/>
      <c r="D16" s="149"/>
    </row>
    <row r="17" spans="1:9" x14ac:dyDescent="0.25">
      <c r="A17" s="79">
        <v>1997</v>
      </c>
      <c r="B17" s="80">
        <v>172005</v>
      </c>
      <c r="C17" s="5"/>
    </row>
    <row r="18" spans="1:9" x14ac:dyDescent="0.25">
      <c r="A18" s="79">
        <v>1998</v>
      </c>
      <c r="B18" s="80">
        <v>203826</v>
      </c>
      <c r="C18" s="5"/>
    </row>
    <row r="19" spans="1:9" x14ac:dyDescent="0.25">
      <c r="A19" s="79">
        <v>1999</v>
      </c>
      <c r="B19" s="80">
        <v>236460</v>
      </c>
      <c r="C19" s="5"/>
    </row>
    <row r="20" spans="1:9" ht="15.75" thickBot="1" x14ac:dyDescent="0.3">
      <c r="A20" s="79">
        <v>2000</v>
      </c>
      <c r="B20" s="80">
        <v>260100</v>
      </c>
    </row>
    <row r="21" spans="1:9" ht="15.75" thickBot="1" x14ac:dyDescent="0.3">
      <c r="A21" s="79">
        <v>2001</v>
      </c>
      <c r="B21" s="80">
        <v>286000</v>
      </c>
      <c r="D21" s="83" t="s">
        <v>9</v>
      </c>
      <c r="E21" s="245" t="s">
        <v>10</v>
      </c>
      <c r="F21" s="245"/>
      <c r="G21" s="245"/>
      <c r="H21" s="245"/>
      <c r="I21" s="246"/>
    </row>
    <row r="22" spans="1:9" ht="15" customHeight="1" x14ac:dyDescent="0.25">
      <c r="A22" s="79">
        <v>2002</v>
      </c>
      <c r="B22" s="80">
        <v>309000</v>
      </c>
      <c r="D22" s="84">
        <v>81141500</v>
      </c>
      <c r="E22" s="215" t="s">
        <v>199</v>
      </c>
      <c r="F22" s="216"/>
      <c r="G22" s="216"/>
      <c r="H22" s="216"/>
      <c r="I22" s="217"/>
    </row>
    <row r="23" spans="1:9" ht="15" customHeight="1" x14ac:dyDescent="0.25">
      <c r="A23" s="79">
        <v>2003</v>
      </c>
      <c r="B23" s="80">
        <v>332000</v>
      </c>
      <c r="D23" s="6">
        <v>80101500</v>
      </c>
      <c r="E23" s="215" t="s">
        <v>200</v>
      </c>
      <c r="F23" s="216"/>
      <c r="G23" s="216"/>
      <c r="H23" s="216"/>
      <c r="I23" s="217"/>
    </row>
    <row r="24" spans="1:9" ht="15" customHeight="1" x14ac:dyDescent="0.25">
      <c r="A24" s="79">
        <v>2004</v>
      </c>
      <c r="B24" s="80">
        <v>358000</v>
      </c>
      <c r="D24" s="6">
        <v>80101600</v>
      </c>
      <c r="E24" s="215" t="s">
        <v>163</v>
      </c>
      <c r="F24" s="216"/>
      <c r="G24" s="216"/>
      <c r="H24" s="216"/>
      <c r="I24" s="217"/>
    </row>
    <row r="25" spans="1:9" ht="15" customHeight="1" x14ac:dyDescent="0.25">
      <c r="A25" s="79">
        <v>2005</v>
      </c>
      <c r="B25" s="80">
        <v>381500</v>
      </c>
      <c r="D25" s="6">
        <v>81101500</v>
      </c>
      <c r="E25" s="248" t="s">
        <v>162</v>
      </c>
      <c r="F25" s="248"/>
      <c r="G25" s="248"/>
      <c r="H25" s="248"/>
      <c r="I25" s="249"/>
    </row>
    <row r="26" spans="1:9" ht="15" customHeight="1" x14ac:dyDescent="0.25">
      <c r="A26" s="79">
        <v>2006</v>
      </c>
      <c r="B26" s="80">
        <v>408000</v>
      </c>
      <c r="D26" s="6"/>
      <c r="E26" s="248"/>
      <c r="F26" s="248"/>
      <c r="G26" s="248"/>
      <c r="H26" s="248"/>
      <c r="I26" s="249"/>
    </row>
    <row r="27" spans="1:9" ht="15" customHeight="1" x14ac:dyDescent="0.25">
      <c r="A27" s="79">
        <v>2007</v>
      </c>
      <c r="B27" s="80">
        <v>433700</v>
      </c>
      <c r="D27" s="6"/>
      <c r="E27" s="235"/>
      <c r="F27" s="235"/>
      <c r="G27" s="235"/>
      <c r="H27" s="235"/>
      <c r="I27" s="236"/>
    </row>
    <row r="28" spans="1:9" ht="15" customHeight="1" thickBot="1" x14ac:dyDescent="0.3">
      <c r="A28" s="79">
        <v>2008</v>
      </c>
      <c r="B28" s="80">
        <v>461500</v>
      </c>
      <c r="D28" s="7"/>
      <c r="E28" s="237"/>
      <c r="F28" s="237"/>
      <c r="G28" s="237"/>
      <c r="H28" s="237"/>
      <c r="I28" s="238"/>
    </row>
    <row r="29" spans="1:9" x14ac:dyDescent="0.25">
      <c r="A29" s="79">
        <v>2009</v>
      </c>
      <c r="B29" s="80">
        <v>496900</v>
      </c>
    </row>
    <row r="30" spans="1:9" x14ac:dyDescent="0.25">
      <c r="A30" s="79">
        <v>2010</v>
      </c>
      <c r="B30" s="80">
        <v>515000</v>
      </c>
      <c r="D30" s="10"/>
      <c r="E30" s="11"/>
      <c r="F30" s="11"/>
      <c r="G30" s="11"/>
      <c r="H30" s="11"/>
      <c r="I30" s="11"/>
    </row>
    <row r="31" spans="1:9" x14ac:dyDescent="0.25">
      <c r="A31" s="79">
        <v>2011</v>
      </c>
      <c r="B31" s="80">
        <v>535600</v>
      </c>
      <c r="D31" s="10"/>
      <c r="E31" s="12"/>
      <c r="F31" s="12"/>
      <c r="G31" s="12"/>
      <c r="H31" s="12"/>
      <c r="I31" s="12"/>
    </row>
    <row r="32" spans="1:9" x14ac:dyDescent="0.25">
      <c r="A32" s="79">
        <v>2012</v>
      </c>
      <c r="B32" s="80">
        <v>566700</v>
      </c>
      <c r="D32" s="10"/>
      <c r="E32" s="12"/>
      <c r="F32" s="12"/>
      <c r="G32" s="12"/>
      <c r="H32" s="12"/>
      <c r="I32" s="12"/>
    </row>
    <row r="33" spans="1:9" x14ac:dyDescent="0.25">
      <c r="A33" s="79">
        <v>2013</v>
      </c>
      <c r="B33" s="80">
        <v>589500</v>
      </c>
      <c r="D33" s="10"/>
      <c r="E33" s="11"/>
      <c r="F33" s="11"/>
      <c r="G33" s="11"/>
      <c r="H33" s="11"/>
      <c r="I33" s="11"/>
    </row>
    <row r="34" spans="1:9" x14ac:dyDescent="0.25">
      <c r="A34" s="79">
        <v>2014</v>
      </c>
      <c r="B34" s="80">
        <v>616000</v>
      </c>
      <c r="D34" s="10"/>
      <c r="E34" s="11"/>
      <c r="F34" s="11"/>
      <c r="G34" s="11"/>
      <c r="H34" s="11"/>
      <c r="I34" s="11"/>
    </row>
    <row r="35" spans="1:9" x14ac:dyDescent="0.25">
      <c r="A35" s="79">
        <v>2015</v>
      </c>
      <c r="B35" s="80">
        <v>644350</v>
      </c>
    </row>
    <row r="36" spans="1:9" x14ac:dyDescent="0.25">
      <c r="A36" s="79">
        <v>2016</v>
      </c>
      <c r="B36" s="80">
        <v>689455</v>
      </c>
    </row>
    <row r="37" spans="1:9" x14ac:dyDescent="0.25">
      <c r="A37" s="79">
        <v>2017</v>
      </c>
      <c r="B37" s="80">
        <v>737717</v>
      </c>
    </row>
    <row r="38" spans="1:9" x14ac:dyDescent="0.25">
      <c r="A38" s="79">
        <v>2018</v>
      </c>
      <c r="B38" s="80">
        <v>781242</v>
      </c>
    </row>
    <row r="39" spans="1:9" x14ac:dyDescent="0.25">
      <c r="A39" s="79">
        <v>2019</v>
      </c>
      <c r="B39" s="80">
        <v>828116</v>
      </c>
    </row>
    <row r="40" spans="1:9" x14ac:dyDescent="0.25">
      <c r="A40" s="79">
        <v>2020</v>
      </c>
      <c r="B40" s="80">
        <v>877803</v>
      </c>
    </row>
    <row r="41" spans="1:9" x14ac:dyDescent="0.25">
      <c r="A41" s="142">
        <v>2021</v>
      </c>
      <c r="B41" s="143">
        <v>908526</v>
      </c>
    </row>
    <row r="42" spans="1:9" x14ac:dyDescent="0.25">
      <c r="A42" s="142">
        <v>2022</v>
      </c>
      <c r="B42" s="143">
        <v>1000000</v>
      </c>
    </row>
    <row r="43" spans="1:9" ht="15.75" thickBot="1" x14ac:dyDescent="0.3">
      <c r="A43" s="81">
        <v>2023</v>
      </c>
      <c r="B43" s="82">
        <v>1160000</v>
      </c>
    </row>
    <row r="44" spans="1:9" x14ac:dyDescent="0.25">
      <c r="A44" s="23"/>
      <c r="B44" s="8"/>
    </row>
    <row r="45" spans="1:9" x14ac:dyDescent="0.25">
      <c r="A45" s="4" t="s">
        <v>11</v>
      </c>
      <c r="C45" s="4" t="s">
        <v>75</v>
      </c>
    </row>
    <row r="46" spans="1:9" x14ac:dyDescent="0.25">
      <c r="A46" s="4" t="s">
        <v>12</v>
      </c>
      <c r="C46" s="4" t="s">
        <v>73</v>
      </c>
    </row>
    <row r="47" spans="1:9" x14ac:dyDescent="0.25">
      <c r="A47" s="4" t="s">
        <v>13</v>
      </c>
      <c r="C47" s="4" t="s">
        <v>13</v>
      </c>
    </row>
    <row r="48" spans="1:9" x14ac:dyDescent="0.25">
      <c r="A48" s="1"/>
    </row>
    <row r="50" spans="1:3" x14ac:dyDescent="0.25">
      <c r="A50" s="4" t="s">
        <v>14</v>
      </c>
      <c r="C50" s="4" t="s">
        <v>109</v>
      </c>
    </row>
    <row r="51" spans="1:3" x14ac:dyDescent="0.25">
      <c r="A51" s="4" t="s">
        <v>15</v>
      </c>
      <c r="C51" s="4" t="s">
        <v>110</v>
      </c>
    </row>
    <row r="52" spans="1:3" x14ac:dyDescent="0.25">
      <c r="A52" s="4" t="s">
        <v>13</v>
      </c>
    </row>
    <row r="54" spans="1:3" x14ac:dyDescent="0.25">
      <c r="A54" s="21" t="s">
        <v>16</v>
      </c>
    </row>
    <row r="55" spans="1:3" x14ac:dyDescent="0.25">
      <c r="A55" s="21" t="s">
        <v>17</v>
      </c>
    </row>
    <row r="56" spans="1:3" x14ac:dyDescent="0.25">
      <c r="A56" s="21" t="s">
        <v>18</v>
      </c>
    </row>
    <row r="57" spans="1:3" x14ac:dyDescent="0.25">
      <c r="A57" s="21" t="s">
        <v>19</v>
      </c>
    </row>
    <row r="58" spans="1:3" x14ac:dyDescent="0.25">
      <c r="A58" s="21" t="s">
        <v>20</v>
      </c>
    </row>
    <row r="59" spans="1:3" x14ac:dyDescent="0.25">
      <c r="A59" s="21" t="s">
        <v>21</v>
      </c>
    </row>
    <row r="60" spans="1:3" x14ac:dyDescent="0.25">
      <c r="A60" s="20"/>
    </row>
  </sheetData>
  <mergeCells count="25">
    <mergeCell ref="A5:A6"/>
    <mergeCell ref="E27:I27"/>
    <mergeCell ref="E28:I28"/>
    <mergeCell ref="A1:I1"/>
    <mergeCell ref="A2:A3"/>
    <mergeCell ref="B2:C2"/>
    <mergeCell ref="D2:I2"/>
    <mergeCell ref="B3:I3"/>
    <mergeCell ref="E21:I21"/>
    <mergeCell ref="B4:D4"/>
    <mergeCell ref="E25:I25"/>
    <mergeCell ref="E26:I26"/>
    <mergeCell ref="E4:F4"/>
    <mergeCell ref="G4:I4"/>
    <mergeCell ref="E22:I22"/>
    <mergeCell ref="E23:I23"/>
    <mergeCell ref="E24:I24"/>
    <mergeCell ref="C8:D8"/>
    <mergeCell ref="C9:D9"/>
    <mergeCell ref="E5:F6"/>
    <mergeCell ref="G5:H6"/>
    <mergeCell ref="I5:I6"/>
    <mergeCell ref="C5:D5"/>
    <mergeCell ref="C6:D6"/>
    <mergeCell ref="C10:D10"/>
  </mergeCells>
  <pageMargins left="0.7" right="0.7" top="0.75" bottom="0.75" header="0.3" footer="0.3"/>
  <pageSetup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6"/>
  <sheetViews>
    <sheetView view="pageBreakPreview" zoomScale="55" zoomScaleNormal="70" zoomScaleSheetLayoutView="55" workbookViewId="0">
      <pane ySplit="9" topLeftCell="A16" activePane="bottomLeft" state="frozen"/>
      <selection pane="bottomLeft" activeCell="H26" sqref="H26"/>
    </sheetView>
    <sheetView topLeftCell="A8" workbookViewId="1">
      <selection sqref="A1:P1"/>
    </sheetView>
  </sheetViews>
  <sheetFormatPr baseColWidth="10" defaultColWidth="11.42578125" defaultRowHeight="12.75" x14ac:dyDescent="0.2"/>
  <cols>
    <col min="1" max="1" width="5.7109375" style="24" customWidth="1"/>
    <col min="2" max="2" width="48.28515625" style="24" customWidth="1"/>
    <col min="3" max="3" width="53.5703125" style="24" customWidth="1"/>
    <col min="4" max="4" width="23.28515625" style="24" customWidth="1"/>
    <col min="5" max="5" width="51.5703125" style="24" customWidth="1"/>
    <col min="6" max="6" width="23.140625" style="24" customWidth="1"/>
    <col min="7" max="7" width="39.5703125" style="24" bestFit="1" customWidth="1"/>
    <col min="8" max="8" width="22.7109375" style="24" customWidth="1"/>
    <col min="9" max="9" width="28.42578125" style="24" customWidth="1"/>
    <col min="10" max="10" width="20.85546875" style="24" customWidth="1"/>
    <col min="11" max="11" width="23.140625" style="24" customWidth="1"/>
    <col min="12" max="12" width="14.7109375" style="24" customWidth="1"/>
    <col min="13" max="13" width="20.28515625" style="24" customWidth="1"/>
    <col min="14" max="14" width="23.5703125" style="24" customWidth="1"/>
    <col min="15" max="15" width="21.140625" style="24" customWidth="1"/>
    <col min="16" max="16" width="16.7109375" style="24" customWidth="1"/>
    <col min="17" max="16384" width="11.42578125" style="24"/>
  </cols>
  <sheetData>
    <row r="1" spans="1:16" ht="15" customHeight="1" x14ac:dyDescent="0.2">
      <c r="A1" s="253" t="s">
        <v>0</v>
      </c>
      <c r="B1" s="254"/>
      <c r="C1" s="254"/>
      <c r="D1" s="254"/>
      <c r="E1" s="254"/>
      <c r="F1" s="254"/>
      <c r="G1" s="254"/>
      <c r="H1" s="254"/>
      <c r="I1" s="254"/>
      <c r="J1" s="254"/>
      <c r="K1" s="254"/>
      <c r="L1" s="254"/>
      <c r="M1" s="254"/>
      <c r="N1" s="254"/>
      <c r="O1" s="254"/>
      <c r="P1" s="254"/>
    </row>
    <row r="2" spans="1:16" ht="75" customHeight="1" x14ac:dyDescent="0.2">
      <c r="A2" s="259"/>
      <c r="B2" s="259"/>
      <c r="C2" s="260" t="s">
        <v>1</v>
      </c>
      <c r="D2" s="260"/>
      <c r="E2" s="255"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F2" s="256"/>
      <c r="G2" s="256"/>
      <c r="H2" s="256"/>
      <c r="I2" s="256"/>
      <c r="J2" s="256"/>
      <c r="K2" s="256"/>
      <c r="L2" s="256"/>
      <c r="M2" s="256"/>
      <c r="N2" s="256"/>
      <c r="O2" s="256"/>
      <c r="P2" s="256"/>
    </row>
    <row r="3" spans="1:16" ht="18.75" x14ac:dyDescent="0.3">
      <c r="A3" s="259"/>
      <c r="B3" s="259"/>
      <c r="C3" s="261" t="s">
        <v>2</v>
      </c>
      <c r="D3" s="262"/>
      <c r="E3" s="262"/>
      <c r="F3" s="262"/>
      <c r="G3" s="262"/>
      <c r="H3" s="262"/>
      <c r="I3" s="262"/>
      <c r="J3" s="262"/>
      <c r="K3" s="262"/>
      <c r="L3" s="262"/>
      <c r="M3" s="262"/>
      <c r="N3" s="262"/>
      <c r="O3" s="262"/>
    </row>
    <row r="4" spans="1:16" ht="18.75" x14ac:dyDescent="0.3">
      <c r="A4" s="268" t="s">
        <v>3</v>
      </c>
      <c r="B4" s="268"/>
      <c r="C4" s="269" t="str">
        <f>+'DATOS INICIALES'!B4</f>
        <v>CONCURSO DE MERITOS ABIERTO</v>
      </c>
      <c r="D4" s="269"/>
      <c r="E4" s="269"/>
      <c r="F4" s="270" t="s">
        <v>4</v>
      </c>
      <c r="G4" s="270"/>
      <c r="H4" s="271" t="str">
        <f>+'DATOS INICIALES'!G4</f>
        <v xml:space="preserve"> FDLK-CMA-003-2024</v>
      </c>
      <c r="I4" s="272"/>
      <c r="J4" s="272"/>
      <c r="K4" s="272"/>
      <c r="L4" s="272"/>
      <c r="M4" s="272"/>
      <c r="N4" s="272"/>
      <c r="O4" s="272"/>
    </row>
    <row r="5" spans="1:16" ht="18.75" customHeight="1" x14ac:dyDescent="0.2">
      <c r="A5" s="264" t="s">
        <v>5</v>
      </c>
      <c r="B5" s="265"/>
      <c r="C5" s="159" t="str">
        <f>+'DATOS INICIALES'!B5</f>
        <v>PRESUPUESTO</v>
      </c>
      <c r="D5" s="232">
        <f>+'DATOS INICIALES'!C5</f>
        <v>526819451</v>
      </c>
      <c r="E5" s="232"/>
      <c r="F5" s="275" t="s">
        <v>120</v>
      </c>
      <c r="G5" s="275"/>
      <c r="H5" s="275"/>
      <c r="I5" s="275"/>
      <c r="J5" s="275"/>
      <c r="K5" s="275"/>
      <c r="L5" s="275"/>
      <c r="M5" s="275"/>
      <c r="N5" s="257">
        <f>+'DATOS INICIALES'!G5</f>
        <v>7</v>
      </c>
      <c r="O5" s="273" t="str">
        <f>+'DATOS INICIALES'!I5</f>
        <v>MESES</v>
      </c>
    </row>
    <row r="6" spans="1:16" ht="18.75" customHeight="1" x14ac:dyDescent="0.25">
      <c r="A6" s="266"/>
      <c r="B6" s="267"/>
      <c r="C6" s="148"/>
      <c r="D6" s="232"/>
      <c r="E6" s="232"/>
      <c r="F6" s="275"/>
      <c r="G6" s="275"/>
      <c r="H6" s="275"/>
      <c r="I6" s="275"/>
      <c r="J6" s="275"/>
      <c r="K6" s="275"/>
      <c r="L6" s="275"/>
      <c r="M6" s="275"/>
      <c r="N6" s="258"/>
      <c r="O6" s="274"/>
    </row>
    <row r="7" spans="1:16" x14ac:dyDescent="0.2">
      <c r="D7" s="25"/>
    </row>
    <row r="8" spans="1:16" ht="21" x14ac:dyDescent="0.35">
      <c r="A8" s="263" t="s">
        <v>146</v>
      </c>
      <c r="B8" s="263"/>
      <c r="C8" s="263"/>
      <c r="D8" s="263"/>
      <c r="E8" s="263"/>
      <c r="F8" s="263"/>
      <c r="G8" s="263"/>
      <c r="H8" s="263"/>
      <c r="I8" s="263"/>
      <c r="J8" s="263"/>
      <c r="K8" s="263"/>
      <c r="L8" s="263"/>
      <c r="M8" s="263"/>
      <c r="N8" s="263"/>
    </row>
    <row r="9" spans="1:16" ht="63" x14ac:dyDescent="0.2">
      <c r="A9" s="96" t="s">
        <v>77</v>
      </c>
      <c r="B9" s="96" t="s">
        <v>27</v>
      </c>
      <c r="C9" s="96" t="s">
        <v>44</v>
      </c>
      <c r="D9" s="96" t="s">
        <v>28</v>
      </c>
      <c r="E9" s="96" t="s">
        <v>45</v>
      </c>
      <c r="F9" s="96" t="s">
        <v>28</v>
      </c>
      <c r="G9" s="96" t="s">
        <v>46</v>
      </c>
      <c r="H9" s="96" t="s">
        <v>28</v>
      </c>
      <c r="I9" s="96" t="s">
        <v>47</v>
      </c>
      <c r="J9" s="96" t="s">
        <v>28</v>
      </c>
      <c r="K9" s="96" t="s">
        <v>48</v>
      </c>
      <c r="L9" s="96" t="s">
        <v>28</v>
      </c>
      <c r="M9" s="96" t="s">
        <v>51</v>
      </c>
      <c r="N9" s="96" t="s">
        <v>50</v>
      </c>
    </row>
    <row r="10" spans="1:16" s="137" customFormat="1" ht="51.75" customHeight="1" x14ac:dyDescent="0.25">
      <c r="A10" s="106">
        <v>1</v>
      </c>
      <c r="B10" s="138" t="s">
        <v>226</v>
      </c>
      <c r="C10" s="138" t="s">
        <v>226</v>
      </c>
      <c r="D10" s="131">
        <v>1</v>
      </c>
      <c r="E10" s="138"/>
      <c r="F10" s="132"/>
      <c r="G10" s="133"/>
      <c r="H10" s="134"/>
      <c r="I10" s="133"/>
      <c r="J10" s="134"/>
      <c r="K10" s="133"/>
      <c r="L10" s="134"/>
      <c r="M10" s="135">
        <f>+COUNTIF(C10:L10,"*")</f>
        <v>1</v>
      </c>
      <c r="N10" s="136">
        <f>+SUM(D10,F10,H10,J10,L10)</f>
        <v>1</v>
      </c>
    </row>
    <row r="11" spans="1:16" s="137" customFormat="1" ht="40.5" customHeight="1" x14ac:dyDescent="0.25">
      <c r="A11" s="106">
        <v>2</v>
      </c>
      <c r="B11" s="138" t="s">
        <v>214</v>
      </c>
      <c r="C11" s="138" t="s">
        <v>214</v>
      </c>
      <c r="D11" s="131">
        <v>1</v>
      </c>
      <c r="E11" s="138"/>
      <c r="F11" s="132"/>
      <c r="G11" s="133"/>
      <c r="H11" s="134"/>
      <c r="I11" s="133"/>
      <c r="J11" s="134"/>
      <c r="K11" s="133"/>
      <c r="L11" s="134"/>
      <c r="M11" s="135">
        <f t="shared" ref="M11:M27" si="0">+COUNTIF(C11:L11,"*")</f>
        <v>1</v>
      </c>
      <c r="N11" s="136">
        <f t="shared" ref="N11:N27" si="1">+SUM(D11,F11,H11,J11,L11)</f>
        <v>1</v>
      </c>
    </row>
    <row r="12" spans="1:16" s="137" customFormat="1" ht="40.5" customHeight="1" x14ac:dyDescent="0.25">
      <c r="A12" s="106">
        <v>3</v>
      </c>
      <c r="B12" s="138" t="s">
        <v>203</v>
      </c>
      <c r="C12" s="138" t="s">
        <v>203</v>
      </c>
      <c r="D12" s="131">
        <v>1</v>
      </c>
      <c r="E12" s="138"/>
      <c r="F12" s="132"/>
      <c r="G12" s="133"/>
      <c r="H12" s="134"/>
      <c r="I12" s="133"/>
      <c r="J12" s="134"/>
      <c r="K12" s="133"/>
      <c r="L12" s="134"/>
      <c r="M12" s="135">
        <f t="shared" si="0"/>
        <v>1</v>
      </c>
      <c r="N12" s="136">
        <f t="shared" si="1"/>
        <v>1</v>
      </c>
    </row>
    <row r="13" spans="1:16" s="137" customFormat="1" ht="46.5" customHeight="1" x14ac:dyDescent="0.25">
      <c r="A13" s="106">
        <v>4</v>
      </c>
      <c r="B13" s="138" t="s">
        <v>227</v>
      </c>
      <c r="C13" s="138" t="s">
        <v>227</v>
      </c>
      <c r="D13" s="131">
        <v>1</v>
      </c>
      <c r="E13" s="138"/>
      <c r="F13" s="132"/>
      <c r="G13" s="133"/>
      <c r="H13" s="134"/>
      <c r="I13" s="133"/>
      <c r="J13" s="134"/>
      <c r="K13" s="133"/>
      <c r="L13" s="134"/>
      <c r="M13" s="135">
        <f t="shared" si="0"/>
        <v>1</v>
      </c>
      <c r="N13" s="136">
        <f t="shared" si="1"/>
        <v>1</v>
      </c>
    </row>
    <row r="14" spans="1:16" s="137" customFormat="1" ht="40.5" customHeight="1" x14ac:dyDescent="0.25">
      <c r="A14" s="106">
        <v>5</v>
      </c>
      <c r="B14" s="138" t="s">
        <v>228</v>
      </c>
      <c r="C14" s="138" t="s">
        <v>228</v>
      </c>
      <c r="D14" s="131">
        <v>1</v>
      </c>
      <c r="E14" s="138"/>
      <c r="F14" s="132"/>
      <c r="G14" s="133"/>
      <c r="H14" s="134"/>
      <c r="I14" s="133"/>
      <c r="J14" s="134"/>
      <c r="K14" s="133"/>
      <c r="L14" s="134"/>
      <c r="M14" s="135">
        <f t="shared" si="0"/>
        <v>1</v>
      </c>
      <c r="N14" s="136">
        <f t="shared" si="1"/>
        <v>1</v>
      </c>
    </row>
    <row r="15" spans="1:16" s="137" customFormat="1" ht="40.5" customHeight="1" x14ac:dyDescent="0.25">
      <c r="A15" s="106">
        <v>6</v>
      </c>
      <c r="B15" s="138" t="s">
        <v>229</v>
      </c>
      <c r="C15" s="138" t="s">
        <v>230</v>
      </c>
      <c r="D15" s="131">
        <v>0.99</v>
      </c>
      <c r="E15" s="138" t="s">
        <v>231</v>
      </c>
      <c r="F15" s="132">
        <v>0.01</v>
      </c>
      <c r="G15" s="133"/>
      <c r="H15" s="134"/>
      <c r="I15" s="133"/>
      <c r="J15" s="134"/>
      <c r="K15" s="133"/>
      <c r="L15" s="134"/>
      <c r="M15" s="135">
        <f t="shared" si="0"/>
        <v>2</v>
      </c>
      <c r="N15" s="136">
        <f t="shared" si="1"/>
        <v>1</v>
      </c>
    </row>
    <row r="16" spans="1:16" s="137" customFormat="1" ht="54.75" customHeight="1" x14ac:dyDescent="0.25">
      <c r="A16" s="106">
        <v>7</v>
      </c>
      <c r="B16" s="138" t="s">
        <v>232</v>
      </c>
      <c r="C16" s="138" t="s">
        <v>232</v>
      </c>
      <c r="D16" s="131">
        <v>1</v>
      </c>
      <c r="E16" s="138"/>
      <c r="F16" s="132"/>
      <c r="G16" s="133"/>
      <c r="H16" s="134"/>
      <c r="I16" s="133"/>
      <c r="J16" s="134"/>
      <c r="K16" s="133"/>
      <c r="L16" s="134"/>
      <c r="M16" s="135">
        <f t="shared" si="0"/>
        <v>1</v>
      </c>
      <c r="N16" s="136">
        <f t="shared" si="1"/>
        <v>1</v>
      </c>
    </row>
    <row r="17" spans="1:14" s="137" customFormat="1" ht="54.75" customHeight="1" x14ac:dyDescent="0.25">
      <c r="A17" s="106">
        <v>8</v>
      </c>
      <c r="B17" s="138" t="s">
        <v>202</v>
      </c>
      <c r="C17" s="138" t="s">
        <v>202</v>
      </c>
      <c r="D17" s="131">
        <v>1</v>
      </c>
      <c r="E17" s="138"/>
      <c r="F17" s="132"/>
      <c r="G17" s="133"/>
      <c r="H17" s="134"/>
      <c r="I17" s="133"/>
      <c r="J17" s="134"/>
      <c r="K17" s="133"/>
      <c r="L17" s="134"/>
      <c r="M17" s="135">
        <f t="shared" si="0"/>
        <v>1</v>
      </c>
      <c r="N17" s="136">
        <f t="shared" si="1"/>
        <v>1</v>
      </c>
    </row>
    <row r="18" spans="1:14" s="137" customFormat="1" ht="40.5" customHeight="1" x14ac:dyDescent="0.25">
      <c r="A18" s="106">
        <v>9</v>
      </c>
      <c r="B18" s="138" t="s">
        <v>233</v>
      </c>
      <c r="C18" s="138" t="s">
        <v>233</v>
      </c>
      <c r="D18" s="131">
        <v>1</v>
      </c>
      <c r="E18" s="138"/>
      <c r="F18" s="132"/>
      <c r="G18" s="133"/>
      <c r="H18" s="134"/>
      <c r="I18" s="133"/>
      <c r="J18" s="134"/>
      <c r="K18" s="133"/>
      <c r="L18" s="134"/>
      <c r="M18" s="135">
        <f t="shared" si="0"/>
        <v>1</v>
      </c>
      <c r="N18" s="136">
        <f t="shared" si="1"/>
        <v>1</v>
      </c>
    </row>
    <row r="19" spans="1:14" s="137" customFormat="1" ht="40.5" customHeight="1" x14ac:dyDescent="0.25">
      <c r="A19" s="106">
        <v>10</v>
      </c>
      <c r="B19" s="138" t="s">
        <v>234</v>
      </c>
      <c r="C19" s="138" t="s">
        <v>234</v>
      </c>
      <c r="D19" s="131">
        <v>1</v>
      </c>
      <c r="E19" s="138"/>
      <c r="F19" s="132"/>
      <c r="G19" s="133"/>
      <c r="H19" s="134"/>
      <c r="I19" s="133"/>
      <c r="J19" s="134"/>
      <c r="K19" s="133"/>
      <c r="L19" s="134"/>
      <c r="M19" s="135">
        <f t="shared" si="0"/>
        <v>1</v>
      </c>
      <c r="N19" s="136">
        <f t="shared" si="1"/>
        <v>1</v>
      </c>
    </row>
    <row r="20" spans="1:14" s="137" customFormat="1" ht="40.5" customHeight="1" x14ac:dyDescent="0.25">
      <c r="A20" s="106">
        <v>11</v>
      </c>
      <c r="B20" s="138" t="s">
        <v>235</v>
      </c>
      <c r="C20" s="138" t="s">
        <v>236</v>
      </c>
      <c r="D20" s="131">
        <v>0.7</v>
      </c>
      <c r="E20" s="138" t="s">
        <v>237</v>
      </c>
      <c r="F20" s="132">
        <v>0.2</v>
      </c>
      <c r="G20" s="133" t="s">
        <v>238</v>
      </c>
      <c r="H20" s="134">
        <v>0.1</v>
      </c>
      <c r="I20" s="133"/>
      <c r="J20" s="134"/>
      <c r="K20" s="133"/>
      <c r="L20" s="134"/>
      <c r="M20" s="135">
        <f t="shared" si="0"/>
        <v>3</v>
      </c>
      <c r="N20" s="136">
        <f t="shared" si="1"/>
        <v>0.99999999999999989</v>
      </c>
    </row>
    <row r="21" spans="1:14" s="137" customFormat="1" ht="40.5" customHeight="1" x14ac:dyDescent="0.25">
      <c r="A21" s="106">
        <v>12</v>
      </c>
      <c r="B21" s="138" t="s">
        <v>239</v>
      </c>
      <c r="C21" s="138" t="s">
        <v>239</v>
      </c>
      <c r="D21" s="131">
        <v>1</v>
      </c>
      <c r="E21" s="138"/>
      <c r="F21" s="132"/>
      <c r="G21" s="133"/>
      <c r="H21" s="134"/>
      <c r="I21" s="133"/>
      <c r="J21" s="134"/>
      <c r="K21" s="133"/>
      <c r="L21" s="134"/>
      <c r="M21" s="135">
        <f t="shared" si="0"/>
        <v>1</v>
      </c>
      <c r="N21" s="136">
        <f t="shared" si="1"/>
        <v>1</v>
      </c>
    </row>
    <row r="22" spans="1:14" s="137" customFormat="1" ht="40.5" customHeight="1" x14ac:dyDescent="0.25">
      <c r="A22" s="106">
        <v>13</v>
      </c>
      <c r="B22" s="138" t="s">
        <v>240</v>
      </c>
      <c r="C22" s="138" t="s">
        <v>241</v>
      </c>
      <c r="D22" s="131">
        <v>0.9</v>
      </c>
      <c r="E22" s="138" t="s">
        <v>242</v>
      </c>
      <c r="F22" s="132">
        <v>0.1</v>
      </c>
      <c r="G22" s="133"/>
      <c r="H22" s="134"/>
      <c r="I22" s="133"/>
      <c r="J22" s="134"/>
      <c r="K22" s="133"/>
      <c r="L22" s="134"/>
      <c r="M22" s="135">
        <f t="shared" si="0"/>
        <v>2</v>
      </c>
      <c r="N22" s="136">
        <f t="shared" si="1"/>
        <v>1</v>
      </c>
    </row>
    <row r="23" spans="1:14" s="137" customFormat="1" ht="40.5" customHeight="1" x14ac:dyDescent="0.25">
      <c r="A23" s="106">
        <v>14</v>
      </c>
      <c r="B23" s="138" t="s">
        <v>243</v>
      </c>
      <c r="C23" s="138" t="s">
        <v>243</v>
      </c>
      <c r="D23" s="131">
        <v>1</v>
      </c>
      <c r="E23" s="138"/>
      <c r="F23" s="132"/>
      <c r="G23" s="133"/>
      <c r="H23" s="134"/>
      <c r="I23" s="133"/>
      <c r="J23" s="134"/>
      <c r="K23" s="133"/>
      <c r="L23" s="134"/>
      <c r="M23" s="135">
        <f t="shared" si="0"/>
        <v>1</v>
      </c>
      <c r="N23" s="136">
        <f t="shared" si="1"/>
        <v>1</v>
      </c>
    </row>
    <row r="24" spans="1:14" s="137" customFormat="1" ht="40.5" customHeight="1" x14ac:dyDescent="0.25">
      <c r="A24" s="106">
        <v>15</v>
      </c>
      <c r="B24" s="138" t="s">
        <v>244</v>
      </c>
      <c r="C24" s="138" t="s">
        <v>245</v>
      </c>
      <c r="D24" s="131">
        <v>0.25</v>
      </c>
      <c r="E24" s="138" t="s">
        <v>246</v>
      </c>
      <c r="F24" s="132">
        <v>0.75</v>
      </c>
      <c r="G24" s="133"/>
      <c r="H24" s="134"/>
      <c r="I24" s="133"/>
      <c r="J24" s="134"/>
      <c r="K24" s="133"/>
      <c r="L24" s="134"/>
      <c r="M24" s="135">
        <f t="shared" si="0"/>
        <v>2</v>
      </c>
      <c r="N24" s="136">
        <f t="shared" si="1"/>
        <v>1</v>
      </c>
    </row>
    <row r="25" spans="1:14" s="137" customFormat="1" ht="40.5" customHeight="1" x14ac:dyDescent="0.25">
      <c r="A25" s="106">
        <v>16</v>
      </c>
      <c r="B25" s="138" t="s">
        <v>247</v>
      </c>
      <c r="C25" s="138" t="s">
        <v>248</v>
      </c>
      <c r="D25" s="131">
        <v>0.5</v>
      </c>
      <c r="E25" s="138" t="s">
        <v>249</v>
      </c>
      <c r="F25" s="132">
        <v>0.5</v>
      </c>
      <c r="G25" s="133"/>
      <c r="H25" s="134"/>
      <c r="I25" s="133"/>
      <c r="J25" s="134"/>
      <c r="K25" s="133"/>
      <c r="L25" s="134"/>
      <c r="M25" s="135">
        <f t="shared" si="0"/>
        <v>2</v>
      </c>
      <c r="N25" s="136">
        <f t="shared" si="1"/>
        <v>1</v>
      </c>
    </row>
    <row r="26" spans="1:14" s="137" customFormat="1" ht="54.75" customHeight="1" x14ac:dyDescent="0.25">
      <c r="A26" s="106">
        <v>17</v>
      </c>
      <c r="B26" s="138" t="s">
        <v>250</v>
      </c>
      <c r="C26" s="138" t="s">
        <v>251</v>
      </c>
      <c r="D26" s="131">
        <v>0.9</v>
      </c>
      <c r="E26" s="138" t="s">
        <v>252</v>
      </c>
      <c r="F26" s="132">
        <v>0.1</v>
      </c>
      <c r="G26" s="133"/>
      <c r="H26" s="134"/>
      <c r="I26" s="133"/>
      <c r="J26" s="134"/>
      <c r="K26" s="133"/>
      <c r="L26" s="134"/>
      <c r="M26" s="135">
        <f t="shared" si="0"/>
        <v>2</v>
      </c>
      <c r="N26" s="136">
        <f t="shared" si="1"/>
        <v>1</v>
      </c>
    </row>
    <row r="27" spans="1:14" s="137" customFormat="1" ht="54.75" customHeight="1" x14ac:dyDescent="0.25">
      <c r="A27" s="106">
        <v>18</v>
      </c>
      <c r="B27" s="138" t="s">
        <v>253</v>
      </c>
      <c r="C27" s="138" t="s">
        <v>254</v>
      </c>
      <c r="D27" s="131">
        <v>0.3</v>
      </c>
      <c r="E27" s="138" t="s">
        <v>255</v>
      </c>
      <c r="F27" s="132">
        <v>0.7</v>
      </c>
      <c r="G27" s="133"/>
      <c r="H27" s="134"/>
      <c r="I27" s="133"/>
      <c r="J27" s="134"/>
      <c r="K27" s="133"/>
      <c r="L27" s="134"/>
      <c r="M27" s="135">
        <f t="shared" si="0"/>
        <v>2</v>
      </c>
      <c r="N27" s="136">
        <f t="shared" si="1"/>
        <v>1</v>
      </c>
    </row>
    <row r="28" spans="1:14" s="137" customFormat="1" ht="54.75" customHeight="1" x14ac:dyDescent="0.25">
      <c r="A28" s="106">
        <v>19</v>
      </c>
      <c r="B28" s="138" t="s">
        <v>256</v>
      </c>
      <c r="C28" s="138" t="s">
        <v>257</v>
      </c>
      <c r="D28" s="131">
        <v>0.1</v>
      </c>
      <c r="E28" s="138" t="s">
        <v>258</v>
      </c>
      <c r="F28" s="132">
        <v>0.9</v>
      </c>
      <c r="G28" s="133"/>
      <c r="H28" s="134"/>
      <c r="I28" s="133"/>
      <c r="J28" s="134"/>
      <c r="K28" s="133"/>
      <c r="L28" s="134"/>
      <c r="M28" s="135">
        <f t="shared" ref="M28:M46" si="2">+COUNTIF(C28:L28,"*")</f>
        <v>2</v>
      </c>
      <c r="N28" s="136">
        <f t="shared" ref="N28:N46" si="3">+SUM(D28,F28,H28,J28,L28)</f>
        <v>1</v>
      </c>
    </row>
    <row r="29" spans="1:14" s="137" customFormat="1" ht="54.75" customHeight="1" x14ac:dyDescent="0.25">
      <c r="A29" s="106">
        <v>20</v>
      </c>
      <c r="B29" s="138" t="s">
        <v>259</v>
      </c>
      <c r="C29" s="138" t="s">
        <v>259</v>
      </c>
      <c r="D29" s="131">
        <v>1</v>
      </c>
      <c r="E29" s="138"/>
      <c r="F29" s="132"/>
      <c r="G29" s="133"/>
      <c r="H29" s="134"/>
      <c r="I29" s="133"/>
      <c r="J29" s="134"/>
      <c r="K29" s="133"/>
      <c r="L29" s="134"/>
      <c r="M29" s="135">
        <f t="shared" si="2"/>
        <v>1</v>
      </c>
      <c r="N29" s="136">
        <f t="shared" si="3"/>
        <v>1</v>
      </c>
    </row>
    <row r="30" spans="1:14" s="137" customFormat="1" ht="54.75" customHeight="1" x14ac:dyDescent="0.25">
      <c r="A30" s="106">
        <v>21</v>
      </c>
      <c r="B30" s="138" t="s">
        <v>260</v>
      </c>
      <c r="C30" s="138" t="s">
        <v>261</v>
      </c>
      <c r="D30" s="131">
        <v>0.34</v>
      </c>
      <c r="E30" s="138" t="s">
        <v>262</v>
      </c>
      <c r="F30" s="132">
        <v>0.33</v>
      </c>
      <c r="G30" s="133" t="s">
        <v>263</v>
      </c>
      <c r="H30" s="134">
        <v>0.33</v>
      </c>
      <c r="I30" s="133"/>
      <c r="J30" s="134"/>
      <c r="K30" s="133"/>
      <c r="L30" s="134"/>
      <c r="M30" s="135">
        <f t="shared" si="2"/>
        <v>3</v>
      </c>
      <c r="N30" s="136">
        <f t="shared" si="3"/>
        <v>1</v>
      </c>
    </row>
    <row r="31" spans="1:14" s="137" customFormat="1" ht="54.75" customHeight="1" x14ac:dyDescent="0.25">
      <c r="A31" s="106">
        <v>22</v>
      </c>
      <c r="B31" s="138" t="s">
        <v>264</v>
      </c>
      <c r="C31" s="138" t="s">
        <v>265</v>
      </c>
      <c r="D31" s="131">
        <v>0.5</v>
      </c>
      <c r="E31" s="138" t="s">
        <v>266</v>
      </c>
      <c r="F31" s="132">
        <v>0.5</v>
      </c>
      <c r="G31" s="133"/>
      <c r="H31" s="134"/>
      <c r="I31" s="133"/>
      <c r="J31" s="134"/>
      <c r="K31" s="133"/>
      <c r="L31" s="134"/>
      <c r="M31" s="135">
        <f t="shared" si="2"/>
        <v>2</v>
      </c>
      <c r="N31" s="136">
        <f t="shared" si="3"/>
        <v>1</v>
      </c>
    </row>
    <row r="32" spans="1:14" s="137" customFormat="1" ht="54.75" customHeight="1" x14ac:dyDescent="0.25">
      <c r="A32" s="106">
        <v>23</v>
      </c>
      <c r="B32" s="138" t="s">
        <v>267</v>
      </c>
      <c r="C32" s="138" t="s">
        <v>267</v>
      </c>
      <c r="D32" s="131">
        <v>1</v>
      </c>
      <c r="E32" s="138"/>
      <c r="F32" s="132"/>
      <c r="G32" s="133"/>
      <c r="H32" s="134"/>
      <c r="I32" s="133"/>
      <c r="J32" s="134"/>
      <c r="K32" s="133"/>
      <c r="L32" s="134"/>
      <c r="M32" s="135">
        <f t="shared" si="2"/>
        <v>1</v>
      </c>
      <c r="N32" s="136">
        <f t="shared" si="3"/>
        <v>1</v>
      </c>
    </row>
    <row r="33" spans="1:14" s="137" customFormat="1" ht="54.75" customHeight="1" x14ac:dyDescent="0.25">
      <c r="A33" s="106">
        <v>24</v>
      </c>
      <c r="B33" s="138" t="s">
        <v>268</v>
      </c>
      <c r="C33" s="138" t="s">
        <v>269</v>
      </c>
      <c r="D33" s="131">
        <v>0.51</v>
      </c>
      <c r="E33" s="138" t="s">
        <v>270</v>
      </c>
      <c r="F33" s="132">
        <v>0.49</v>
      </c>
      <c r="G33" s="133"/>
      <c r="H33" s="134"/>
      <c r="I33" s="133"/>
      <c r="J33" s="134"/>
      <c r="K33" s="133"/>
      <c r="L33" s="134"/>
      <c r="M33" s="135">
        <f t="shared" si="2"/>
        <v>2</v>
      </c>
      <c r="N33" s="136">
        <f t="shared" si="3"/>
        <v>1</v>
      </c>
    </row>
    <row r="34" spans="1:14" s="137" customFormat="1" ht="54.75" customHeight="1" x14ac:dyDescent="0.25">
      <c r="A34" s="106">
        <v>25</v>
      </c>
      <c r="B34" s="138" t="s">
        <v>271</v>
      </c>
      <c r="C34" s="138" t="s">
        <v>271</v>
      </c>
      <c r="D34" s="131">
        <v>1</v>
      </c>
      <c r="E34" s="138"/>
      <c r="F34" s="132"/>
      <c r="G34" s="133"/>
      <c r="H34" s="134"/>
      <c r="I34" s="133"/>
      <c r="J34" s="134"/>
      <c r="K34" s="133"/>
      <c r="L34" s="134"/>
      <c r="M34" s="135">
        <f t="shared" si="2"/>
        <v>1</v>
      </c>
      <c r="N34" s="136">
        <f t="shared" si="3"/>
        <v>1</v>
      </c>
    </row>
    <row r="35" spans="1:14" s="137" customFormat="1" ht="54.75" customHeight="1" x14ac:dyDescent="0.25">
      <c r="A35" s="106">
        <v>26</v>
      </c>
      <c r="B35" s="138" t="s">
        <v>272</v>
      </c>
      <c r="C35" s="138" t="s">
        <v>273</v>
      </c>
      <c r="D35" s="131">
        <v>0.1</v>
      </c>
      <c r="E35" s="138" t="s">
        <v>274</v>
      </c>
      <c r="F35" s="132">
        <v>0.9</v>
      </c>
      <c r="G35" s="133"/>
      <c r="H35" s="134"/>
      <c r="I35" s="133"/>
      <c r="J35" s="134"/>
      <c r="K35" s="133"/>
      <c r="L35" s="134"/>
      <c r="M35" s="135">
        <f t="shared" si="2"/>
        <v>2</v>
      </c>
      <c r="N35" s="136">
        <f t="shared" si="3"/>
        <v>1</v>
      </c>
    </row>
    <row r="36" spans="1:14" s="137" customFormat="1" ht="54.75" customHeight="1" x14ac:dyDescent="0.25">
      <c r="A36" s="106">
        <v>27</v>
      </c>
      <c r="B36" s="138" t="s">
        <v>275</v>
      </c>
      <c r="C36" s="138" t="s">
        <v>276</v>
      </c>
      <c r="D36" s="131">
        <v>0.9</v>
      </c>
      <c r="E36" s="138" t="s">
        <v>277</v>
      </c>
      <c r="F36" s="132">
        <v>0.1</v>
      </c>
      <c r="G36" s="133"/>
      <c r="H36" s="134"/>
      <c r="I36" s="133"/>
      <c r="J36" s="134"/>
      <c r="K36" s="133"/>
      <c r="L36" s="134"/>
      <c r="M36" s="135">
        <f t="shared" si="2"/>
        <v>2</v>
      </c>
      <c r="N36" s="136">
        <f t="shared" si="3"/>
        <v>1</v>
      </c>
    </row>
    <row r="37" spans="1:14" s="137" customFormat="1" ht="54.75" customHeight="1" x14ac:dyDescent="0.25">
      <c r="A37" s="106">
        <v>28</v>
      </c>
      <c r="B37" s="138" t="s">
        <v>278</v>
      </c>
      <c r="C37" s="138" t="s">
        <v>278</v>
      </c>
      <c r="D37" s="131">
        <v>1</v>
      </c>
      <c r="E37" s="138"/>
      <c r="F37" s="132"/>
      <c r="G37" s="133"/>
      <c r="H37" s="134"/>
      <c r="I37" s="133"/>
      <c r="J37" s="134"/>
      <c r="K37" s="133"/>
      <c r="L37" s="134"/>
      <c r="M37" s="135"/>
      <c r="N37" s="136"/>
    </row>
    <row r="38" spans="1:14" s="137" customFormat="1" ht="54.75" customHeight="1" x14ac:dyDescent="0.25">
      <c r="A38" s="106">
        <v>29</v>
      </c>
      <c r="B38" s="138" t="s">
        <v>279</v>
      </c>
      <c r="C38" s="138" t="s">
        <v>279</v>
      </c>
      <c r="D38" s="131">
        <v>1</v>
      </c>
      <c r="E38" s="138"/>
      <c r="F38" s="132"/>
      <c r="G38" s="133"/>
      <c r="H38" s="134"/>
      <c r="I38" s="133"/>
      <c r="J38" s="134"/>
      <c r="K38" s="133"/>
      <c r="L38" s="134"/>
      <c r="M38" s="135"/>
      <c r="N38" s="136"/>
    </row>
    <row r="39" spans="1:14" s="137" customFormat="1" ht="54.75" customHeight="1" x14ac:dyDescent="0.25">
      <c r="A39" s="106">
        <v>30</v>
      </c>
      <c r="B39" s="138" t="s">
        <v>280</v>
      </c>
      <c r="C39" s="138" t="s">
        <v>281</v>
      </c>
      <c r="D39" s="131">
        <v>0.45</v>
      </c>
      <c r="E39" s="138" t="s">
        <v>282</v>
      </c>
      <c r="F39" s="132">
        <v>0.45</v>
      </c>
      <c r="G39" s="133" t="s">
        <v>283</v>
      </c>
      <c r="H39" s="134">
        <v>0.1</v>
      </c>
      <c r="I39" s="133"/>
      <c r="J39" s="134"/>
      <c r="K39" s="133"/>
      <c r="L39" s="134"/>
      <c r="M39" s="135"/>
      <c r="N39" s="136"/>
    </row>
    <row r="40" spans="1:14" s="137" customFormat="1" ht="54.75" customHeight="1" x14ac:dyDescent="0.25">
      <c r="A40" s="106">
        <v>31</v>
      </c>
      <c r="B40" s="138" t="s">
        <v>284</v>
      </c>
      <c r="C40" s="138" t="s">
        <v>204</v>
      </c>
      <c r="D40" s="131">
        <v>0.91</v>
      </c>
      <c r="E40" s="138" t="s">
        <v>285</v>
      </c>
      <c r="F40" s="132">
        <v>0.09</v>
      </c>
      <c r="G40" s="133"/>
      <c r="H40" s="134"/>
      <c r="I40" s="133"/>
      <c r="J40" s="134"/>
      <c r="K40" s="133"/>
      <c r="L40" s="134"/>
      <c r="M40" s="135"/>
      <c r="N40" s="136"/>
    </row>
    <row r="41" spans="1:14" s="137" customFormat="1" ht="54.75" customHeight="1" x14ac:dyDescent="0.25">
      <c r="A41" s="106">
        <v>32</v>
      </c>
      <c r="B41" s="138" t="s">
        <v>286</v>
      </c>
      <c r="C41" s="138" t="s">
        <v>286</v>
      </c>
      <c r="D41" s="131">
        <v>1</v>
      </c>
      <c r="E41" s="138"/>
      <c r="F41" s="132"/>
      <c r="G41" s="133"/>
      <c r="H41" s="134"/>
      <c r="I41" s="133"/>
      <c r="J41" s="134"/>
      <c r="K41" s="133"/>
      <c r="L41" s="134"/>
      <c r="M41" s="135"/>
      <c r="N41" s="136"/>
    </row>
    <row r="42" spans="1:14" s="137" customFormat="1" ht="54.75" customHeight="1" x14ac:dyDescent="0.25">
      <c r="A42" s="106">
        <v>33</v>
      </c>
      <c r="B42" s="138" t="s">
        <v>287</v>
      </c>
      <c r="C42" s="138" t="s">
        <v>288</v>
      </c>
      <c r="D42" s="131">
        <v>0.6</v>
      </c>
      <c r="E42" s="138" t="s">
        <v>289</v>
      </c>
      <c r="F42" s="132">
        <v>0.4</v>
      </c>
      <c r="G42" s="133"/>
      <c r="H42" s="134"/>
      <c r="I42" s="133"/>
      <c r="J42" s="134"/>
      <c r="K42" s="133"/>
      <c r="L42" s="134"/>
      <c r="M42" s="135"/>
      <c r="N42" s="136"/>
    </row>
    <row r="43" spans="1:14" s="137" customFormat="1" ht="54.75" customHeight="1" x14ac:dyDescent="0.25">
      <c r="A43" s="106">
        <v>34</v>
      </c>
      <c r="B43" s="138" t="s">
        <v>290</v>
      </c>
      <c r="C43" s="138" t="s">
        <v>291</v>
      </c>
      <c r="D43" s="131">
        <v>0.5</v>
      </c>
      <c r="E43" s="138" t="s">
        <v>292</v>
      </c>
      <c r="F43" s="132">
        <v>0.5</v>
      </c>
      <c r="G43" s="133"/>
      <c r="H43" s="134"/>
      <c r="I43" s="133"/>
      <c r="J43" s="134"/>
      <c r="K43" s="133"/>
      <c r="L43" s="134"/>
      <c r="M43" s="135"/>
      <c r="N43" s="136"/>
    </row>
    <row r="44" spans="1:14" s="137" customFormat="1" ht="54.75" customHeight="1" x14ac:dyDescent="0.25">
      <c r="A44" s="106">
        <v>35</v>
      </c>
      <c r="B44" s="138" t="s">
        <v>293</v>
      </c>
      <c r="C44" s="138" t="s">
        <v>294</v>
      </c>
      <c r="D44" s="131">
        <v>0.5</v>
      </c>
      <c r="E44" s="138" t="s">
        <v>295</v>
      </c>
      <c r="F44" s="132">
        <v>0.5</v>
      </c>
      <c r="G44" s="133"/>
      <c r="H44" s="134"/>
      <c r="I44" s="133"/>
      <c r="J44" s="134"/>
      <c r="K44" s="133"/>
      <c r="L44" s="134"/>
      <c r="M44" s="135"/>
      <c r="N44" s="136"/>
    </row>
    <row r="45" spans="1:14" s="137" customFormat="1" ht="54.75" customHeight="1" x14ac:dyDescent="0.25">
      <c r="A45" s="106">
        <v>36</v>
      </c>
      <c r="B45" s="138" t="s">
        <v>296</v>
      </c>
      <c r="C45" s="138" t="s">
        <v>297</v>
      </c>
      <c r="D45" s="131">
        <v>0.6</v>
      </c>
      <c r="E45" s="138" t="s">
        <v>298</v>
      </c>
      <c r="F45" s="132">
        <v>0.4</v>
      </c>
      <c r="G45" s="133"/>
      <c r="H45" s="134"/>
      <c r="I45" s="133"/>
      <c r="J45" s="134"/>
      <c r="K45" s="133"/>
      <c r="L45" s="134"/>
      <c r="M45" s="135"/>
      <c r="N45" s="136"/>
    </row>
    <row r="46" spans="1:14" s="137" customFormat="1" ht="54.75" customHeight="1" x14ac:dyDescent="0.25">
      <c r="A46" s="106">
        <v>37</v>
      </c>
      <c r="B46" s="138" t="s">
        <v>299</v>
      </c>
      <c r="C46" s="138" t="s">
        <v>299</v>
      </c>
      <c r="D46" s="131">
        <v>1</v>
      </c>
      <c r="E46" s="138"/>
      <c r="F46" s="132"/>
      <c r="G46" s="133"/>
      <c r="H46" s="134"/>
      <c r="I46" s="133"/>
      <c r="J46" s="134"/>
      <c r="K46" s="133"/>
      <c r="L46" s="134"/>
      <c r="M46" s="135">
        <f t="shared" si="2"/>
        <v>1</v>
      </c>
      <c r="N46" s="136">
        <f t="shared" si="3"/>
        <v>1</v>
      </c>
    </row>
  </sheetData>
  <mergeCells count="16">
    <mergeCell ref="A8:N8"/>
    <mergeCell ref="A5:B6"/>
    <mergeCell ref="D5:E5"/>
    <mergeCell ref="D6:E6"/>
    <mergeCell ref="A4:B4"/>
    <mergeCell ref="C4:E4"/>
    <mergeCell ref="F4:G4"/>
    <mergeCell ref="H4:O4"/>
    <mergeCell ref="O5:O6"/>
    <mergeCell ref="F5:M6"/>
    <mergeCell ref="A1:P1"/>
    <mergeCell ref="E2:P2"/>
    <mergeCell ref="N5:N6"/>
    <mergeCell ref="A2:B3"/>
    <mergeCell ref="C2:D2"/>
    <mergeCell ref="C3:O3"/>
  </mergeCells>
  <phoneticPr fontId="16" type="noConversion"/>
  <conditionalFormatting sqref="N10:N46">
    <cfRule type="cellIs" dxfId="2187" priority="13" operator="equal">
      <formula>0</formula>
    </cfRule>
    <cfRule type="cellIs" dxfId="2186" priority="14" operator="lessThan">
      <formula>1</formula>
    </cfRule>
    <cfRule type="cellIs" dxfId="2185" priority="15" operator="greaterThan">
      <formula>1</formula>
    </cfRule>
    <cfRule type="cellIs" dxfId="2184" priority="16" operator="equal">
      <formula>1</formula>
    </cfRule>
  </conditionalFormatting>
  <pageMargins left="0.7" right="0.7" top="0.75" bottom="0.75" header="0.3" footer="0.3"/>
  <pageSetup scale="27"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74"/>
  <sheetViews>
    <sheetView view="pageBreakPreview" zoomScale="40" zoomScaleNormal="55" zoomScaleSheetLayoutView="40" workbookViewId="0">
      <pane ySplit="11" topLeftCell="A42" activePane="bottomLeft" state="frozenSplit"/>
      <selection activeCell="G67" sqref="G67"/>
      <selection pane="bottomLeft" activeCell="D28" sqref="D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40">
        <f>C9/'DATOS INICIALES'!B9</f>
        <v>405.24573153846154</v>
      </c>
      <c r="D10" s="341"/>
      <c r="E10" s="341"/>
      <c r="F10" s="341"/>
      <c r="G10" s="341"/>
      <c r="H10" s="341"/>
      <c r="I10" s="341"/>
      <c r="J10" s="160"/>
      <c r="K10" s="161"/>
      <c r="L10" s="162"/>
    </row>
    <row r="11" spans="1:12" ht="59.25" customHeight="1" x14ac:dyDescent="0.25">
      <c r="A11" s="14">
        <v>1</v>
      </c>
      <c r="B11" s="2" t="s">
        <v>24</v>
      </c>
      <c r="C11" s="342" t="str">
        <f>VLOOKUP(A11,PROPONENTES!A10:B46,2,FALSE)</f>
        <v>SOLIUN INGENIERIA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666.91</v>
      </c>
      <c r="L14" s="18" t="str">
        <f>IF(K14&gt;=J14,"CUMPLE","NO CUMPLE")</f>
        <v>CUMPLE</v>
      </c>
    </row>
    <row r="15" spans="1:12" ht="66.75" customHeight="1" x14ac:dyDescent="0.25">
      <c r="B15" s="314"/>
      <c r="C15" s="98" t="str">
        <f>IF(VLOOKUP(C11,PROPONENTES!B10:N46,2,FALSE)=0,"",VLOOKUP(C11,PROPONENTES!B10:N46,2,FALSE))</f>
        <v>SOLIUN INGENIERIA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666.91</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666.91</v>
      </c>
      <c r="J16" s="169">
        <f>+L8*0.7</f>
        <v>283.67201207692307</v>
      </c>
      <c r="K16" s="18" t="str">
        <f>IF(I16&gt;=J16,"CUMPLE","NO CUMPLE")</f>
        <v>CUMPLE</v>
      </c>
      <c r="L16" s="305">
        <f>AVERAGEIF(D68:J68,"CUMPLE",D46:J46)</f>
        <v>666.91</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666.91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226</v>
      </c>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c r="E27" s="89"/>
      <c r="F27" s="89"/>
      <c r="G27" s="89"/>
      <c r="H27" s="89"/>
      <c r="I27" s="89"/>
      <c r="J27" s="89"/>
      <c r="K27" s="297"/>
      <c r="L27" s="298"/>
    </row>
    <row r="28" spans="2:14" ht="156.75" customHeight="1" x14ac:dyDescent="0.25">
      <c r="B28" s="319"/>
      <c r="C28" s="27" t="s">
        <v>36</v>
      </c>
      <c r="D28" s="89" t="s">
        <v>324</v>
      </c>
      <c r="E28" s="89"/>
      <c r="F28" s="89"/>
      <c r="G28" s="89"/>
      <c r="H28" s="89"/>
      <c r="I28" s="89"/>
      <c r="J28" s="89"/>
      <c r="K28" s="297"/>
      <c r="L28" s="298"/>
    </row>
    <row r="29" spans="2:14" ht="52.5" customHeight="1" x14ac:dyDescent="0.25">
      <c r="B29" s="319"/>
      <c r="C29" s="27" t="s">
        <v>165</v>
      </c>
      <c r="D29" s="93">
        <v>43441</v>
      </c>
      <c r="E29" s="93"/>
      <c r="F29" s="93"/>
      <c r="G29" s="93"/>
      <c r="H29" s="93"/>
      <c r="I29" s="93"/>
      <c r="J29" s="93"/>
      <c r="K29" s="297"/>
      <c r="L29" s="298"/>
    </row>
    <row r="30" spans="2:14" ht="54.75" customHeight="1" x14ac:dyDescent="0.25">
      <c r="B30" s="319"/>
      <c r="C30" s="27" t="s">
        <v>40</v>
      </c>
      <c r="D30" s="93">
        <v>43790</v>
      </c>
      <c r="E30" s="93"/>
      <c r="F30" s="93"/>
      <c r="G30" s="93"/>
      <c r="H30" s="93"/>
      <c r="I30" s="93"/>
      <c r="J30" s="93"/>
      <c r="K30" s="297"/>
      <c r="L30" s="298"/>
    </row>
    <row r="31" spans="2:14" ht="41.25" customHeight="1" x14ac:dyDescent="0.25">
      <c r="B31" s="319"/>
      <c r="C31" s="27" t="s">
        <v>37</v>
      </c>
      <c r="D31" s="90">
        <v>2019</v>
      </c>
      <c r="E31" s="90"/>
      <c r="F31" s="90"/>
      <c r="G31" s="90"/>
      <c r="H31" s="90"/>
      <c r="I31" s="90"/>
      <c r="J31" s="90"/>
      <c r="K31" s="297"/>
      <c r="L31" s="298"/>
    </row>
    <row r="32" spans="2:14" ht="63" customHeight="1" x14ac:dyDescent="0.25">
      <c r="B32" s="319"/>
      <c r="C32" s="27" t="s">
        <v>38</v>
      </c>
      <c r="D32" s="89" t="s">
        <v>325</v>
      </c>
      <c r="E32" s="89"/>
      <c r="F32" s="89"/>
      <c r="G32" s="89"/>
      <c r="H32" s="89"/>
      <c r="I32" s="89"/>
      <c r="J32" s="89"/>
      <c r="K32" s="297"/>
      <c r="L32" s="298"/>
    </row>
    <row r="33" spans="2:12" ht="46.5" customHeight="1" x14ac:dyDescent="0.25">
      <c r="B33" s="319"/>
      <c r="C33" s="27" t="s">
        <v>39</v>
      </c>
      <c r="D33" s="89" t="s">
        <v>226</v>
      </c>
      <c r="E33" s="89"/>
      <c r="F33" s="89"/>
      <c r="G33" s="89"/>
      <c r="H33" s="89"/>
      <c r="I33" s="89"/>
      <c r="J33" s="89"/>
      <c r="K33" s="297"/>
      <c r="L33" s="298"/>
    </row>
    <row r="34" spans="2:12" ht="27.75" customHeight="1" x14ac:dyDescent="0.25">
      <c r="B34" s="319"/>
      <c r="C34" s="28" t="s">
        <v>33</v>
      </c>
      <c r="D34" s="94">
        <v>29</v>
      </c>
      <c r="E34" s="94"/>
      <c r="F34" s="94"/>
      <c r="G34" s="95"/>
      <c r="H34" s="95"/>
      <c r="I34" s="95"/>
      <c r="J34" s="95"/>
      <c r="K34" s="297"/>
      <c r="L34" s="298"/>
    </row>
    <row r="35" spans="2:12" ht="102.75" customHeight="1" x14ac:dyDescent="0.25">
      <c r="B35" s="319"/>
      <c r="C35" s="27" t="s">
        <v>124</v>
      </c>
      <c r="D35" s="91">
        <v>1333.82</v>
      </c>
      <c r="E35" s="187"/>
      <c r="F35" s="91"/>
      <c r="G35" s="91"/>
      <c r="H35" s="91"/>
      <c r="I35" s="91"/>
      <c r="J35" s="91"/>
      <c r="K35" s="299"/>
      <c r="L35" s="300"/>
    </row>
    <row r="36" spans="2:12" ht="48" customHeight="1" x14ac:dyDescent="0.25">
      <c r="B36" s="319"/>
      <c r="C36" s="27" t="s">
        <v>72</v>
      </c>
      <c r="D36" s="103">
        <f>IFERROR(D35*VLOOKUP(D31,'DATOS INICIALES'!$A$12:$B$43,2,0),"0")</f>
        <v>1104557683.1199999</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0.5</v>
      </c>
      <c r="E37" s="92"/>
      <c r="F37" s="92"/>
      <c r="G37" s="92"/>
      <c r="H37" s="92"/>
      <c r="I37" s="92"/>
      <c r="J37" s="92"/>
      <c r="K37" s="297"/>
      <c r="L37" s="298"/>
    </row>
    <row r="38" spans="2:12" ht="48.75" customHeight="1" x14ac:dyDescent="0.25">
      <c r="B38" s="319"/>
      <c r="C38" s="27" t="s">
        <v>131</v>
      </c>
      <c r="D38" s="103">
        <f t="shared" ref="D38:J38" si="0">IF(D24="","0",D37*D36)</f>
        <v>552278841.55999994</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666.91</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666.91</v>
      </c>
      <c r="E46" s="104">
        <f t="shared" ref="E46:G46" si="6">+E39+E42+E45</f>
        <v>0</v>
      </c>
      <c r="F46" s="104">
        <f t="shared" si="6"/>
        <v>0</v>
      </c>
      <c r="G46" s="104">
        <f t="shared" si="6"/>
        <v>0</v>
      </c>
      <c r="H46" s="104">
        <f>+H39+H42+H45</f>
        <v>0</v>
      </c>
      <c r="I46" s="104">
        <f t="shared" ref="I46" si="7">+I39+I42+I45</f>
        <v>0</v>
      </c>
      <c r="J46" s="104">
        <f t="shared" ref="J46" si="8">+J39+J42+J45</f>
        <v>0</v>
      </c>
      <c r="K46" s="167"/>
      <c r="L46" s="158"/>
    </row>
    <row r="47" spans="2:12" ht="39.75" customHeight="1" x14ac:dyDescent="0.25">
      <c r="B47" s="140" t="s">
        <v>55</v>
      </c>
      <c r="C47" s="30" t="s">
        <v>56</v>
      </c>
      <c r="D47" s="88" t="s">
        <v>14</v>
      </c>
      <c r="E47" s="88"/>
      <c r="F47" s="88"/>
      <c r="G47" s="88"/>
      <c r="H47" s="88"/>
      <c r="I47" s="88"/>
      <c r="J47" s="88"/>
      <c r="K47" s="297"/>
      <c r="L47" s="298"/>
    </row>
    <row r="48" spans="2:12" ht="24.75" customHeight="1" x14ac:dyDescent="0.25">
      <c r="B48" s="315" t="s">
        <v>34</v>
      </c>
      <c r="C48" s="29">
        <f>+'DATOS INICIALES'!D22</f>
        <v>81141500</v>
      </c>
      <c r="D48" s="94" t="s">
        <v>75</v>
      </c>
      <c r="E48" s="94"/>
      <c r="F48" s="94"/>
      <c r="G48" s="94"/>
      <c r="H48" s="94"/>
      <c r="I48" s="94"/>
      <c r="J48" s="95"/>
      <c r="K48" s="297"/>
      <c r="L48" s="298"/>
    </row>
    <row r="49" spans="2:12" ht="24.75" customHeight="1" x14ac:dyDescent="0.25">
      <c r="B49" s="316"/>
      <c r="C49" s="29">
        <f>+'DATOS INICIALES'!D23</f>
        <v>80101500</v>
      </c>
      <c r="D49" s="94" t="s">
        <v>75</v>
      </c>
      <c r="E49" s="94"/>
      <c r="F49" s="94"/>
      <c r="G49" s="94"/>
      <c r="H49" s="94"/>
      <c r="I49" s="94"/>
      <c r="J49" s="95"/>
      <c r="K49" s="297"/>
      <c r="L49" s="298"/>
    </row>
    <row r="50" spans="2:12" ht="24.75" customHeight="1" x14ac:dyDescent="0.25">
      <c r="B50" s="316"/>
      <c r="C50" s="29">
        <f>+'DATOS INICIALES'!D24</f>
        <v>80101600</v>
      </c>
      <c r="D50" s="94" t="s">
        <v>75</v>
      </c>
      <c r="E50" s="94"/>
      <c r="F50" s="94"/>
      <c r="G50" s="94"/>
      <c r="H50" s="94"/>
      <c r="I50" s="94"/>
      <c r="J50" s="95"/>
      <c r="K50" s="297"/>
      <c r="L50" s="298"/>
    </row>
    <row r="51" spans="2:12" ht="24.75" customHeight="1" x14ac:dyDescent="0.25">
      <c r="B51" s="316"/>
      <c r="C51" s="29">
        <f>+'DATOS INICIALES'!D25</f>
        <v>81101500</v>
      </c>
      <c r="D51" s="94" t="s">
        <v>75</v>
      </c>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9">IF(D24="","N/A",IF(D48="SI","CUMPLE",IF(D49="SI","CUMPLE",IF(D50="SI","CUMPLE",IF(D51="SI","CUMPLE",IF(D52="SI","CUMPLE",IF(D53="SI","CUMPLE",IF(D54="SI","CUMPLE","NO CUMPLE"))))))))</f>
        <v>CUMPLE</v>
      </c>
      <c r="E55" s="18" t="str">
        <f t="shared" si="9"/>
        <v>N/A</v>
      </c>
      <c r="F55" s="18" t="str">
        <f t="shared" si="9"/>
        <v>N/A</v>
      </c>
      <c r="G55" s="18" t="str">
        <f t="shared" si="9"/>
        <v>N/A</v>
      </c>
      <c r="H55" s="18" t="str">
        <f t="shared" si="9"/>
        <v>N/A</v>
      </c>
      <c r="I55" s="18" t="str">
        <f t="shared" si="9"/>
        <v>N/A</v>
      </c>
      <c r="J55" s="18" t="str">
        <f t="shared" si="9"/>
        <v>N/A</v>
      </c>
      <c r="K55" s="297"/>
      <c r="L55" s="298"/>
    </row>
    <row r="56" spans="2:12" ht="295.5" customHeight="1" x14ac:dyDescent="0.25">
      <c r="B56" s="295" t="s">
        <v>217</v>
      </c>
      <c r="C56" s="296"/>
      <c r="D56" s="88" t="s">
        <v>14</v>
      </c>
      <c r="E56" s="88"/>
      <c r="F56" s="88"/>
      <c r="G56" s="88"/>
      <c r="H56" s="88"/>
      <c r="I56" s="88"/>
      <c r="J56" s="88"/>
      <c r="K56" s="282"/>
      <c r="L56" s="283"/>
    </row>
    <row r="57" spans="2:12" ht="57.75" hidden="1" customHeight="1" x14ac:dyDescent="0.25">
      <c r="B57" s="295"/>
      <c r="C57" s="296"/>
      <c r="D57" s="88" t="s">
        <v>14</v>
      </c>
      <c r="E57" s="88"/>
      <c r="F57" s="88"/>
      <c r="G57" s="88"/>
      <c r="H57" s="88"/>
      <c r="I57" s="88"/>
      <c r="J57" s="88"/>
      <c r="K57" s="282"/>
      <c r="L57" s="283"/>
    </row>
    <row r="58" spans="2:12" ht="51.75" hidden="1" customHeight="1" x14ac:dyDescent="0.25">
      <c r="B58" s="295"/>
      <c r="C58" s="296"/>
      <c r="D58" s="88" t="s">
        <v>14</v>
      </c>
      <c r="E58" s="88"/>
      <c r="F58" s="88"/>
      <c r="G58" s="88"/>
      <c r="H58" s="88"/>
      <c r="I58" s="88"/>
      <c r="J58" s="88"/>
      <c r="K58" s="282"/>
      <c r="L58" s="283"/>
    </row>
    <row r="59" spans="2:12" ht="97.5" hidden="1" customHeight="1" x14ac:dyDescent="0.25">
      <c r="B59" s="295"/>
      <c r="C59" s="296"/>
      <c r="D59" s="88" t="s">
        <v>14</v>
      </c>
      <c r="E59" s="88"/>
      <c r="F59" s="88"/>
      <c r="G59" s="88"/>
      <c r="H59" s="88"/>
      <c r="I59" s="88"/>
      <c r="J59" s="88"/>
      <c r="K59" s="282"/>
      <c r="L59" s="283"/>
    </row>
    <row r="60" spans="2:12" ht="77.25" hidden="1" customHeight="1" x14ac:dyDescent="0.25">
      <c r="B60" s="295"/>
      <c r="C60" s="296"/>
      <c r="D60" s="88" t="s">
        <v>14</v>
      </c>
      <c r="E60" s="88"/>
      <c r="F60" s="88"/>
      <c r="G60" s="88"/>
      <c r="H60" s="88"/>
      <c r="I60" s="88"/>
      <c r="J60" s="88"/>
      <c r="K60" s="282"/>
      <c r="L60" s="283"/>
    </row>
    <row r="61" spans="2:12" ht="99.75" customHeight="1" x14ac:dyDescent="0.25">
      <c r="B61" s="290" t="s">
        <v>206</v>
      </c>
      <c r="C61" s="291"/>
      <c r="D61" s="88" t="s">
        <v>14</v>
      </c>
      <c r="E61" s="88"/>
      <c r="F61" s="88"/>
      <c r="G61" s="88"/>
      <c r="H61" s="88"/>
      <c r="I61" s="88"/>
      <c r="J61" s="88"/>
      <c r="K61" s="297"/>
      <c r="L61" s="298"/>
    </row>
    <row r="62" spans="2:12" ht="45" customHeight="1" x14ac:dyDescent="0.25">
      <c r="B62" s="290" t="s">
        <v>207</v>
      </c>
      <c r="C62" s="291"/>
      <c r="D62" s="88" t="s">
        <v>14</v>
      </c>
      <c r="E62" s="88"/>
      <c r="F62" s="88"/>
      <c r="G62" s="88"/>
      <c r="H62" s="88"/>
      <c r="I62" s="88"/>
      <c r="J62" s="88"/>
      <c r="K62" s="297"/>
      <c r="L62" s="298"/>
    </row>
    <row r="63" spans="2:12" ht="181.5" customHeight="1" x14ac:dyDescent="0.25">
      <c r="B63" s="290" t="s">
        <v>218</v>
      </c>
      <c r="C63" s="291"/>
      <c r="D63" s="88" t="s">
        <v>13</v>
      </c>
      <c r="E63" s="88"/>
      <c r="F63" s="88"/>
      <c r="G63" s="88"/>
      <c r="H63" s="88"/>
      <c r="I63" s="88"/>
      <c r="J63" s="88"/>
      <c r="K63" s="297"/>
      <c r="L63" s="298"/>
    </row>
    <row r="64" spans="2:12" ht="336" customHeight="1" x14ac:dyDescent="0.25">
      <c r="B64" s="242" t="s">
        <v>220</v>
      </c>
      <c r="C64" s="242"/>
      <c r="D64" s="88" t="s">
        <v>14</v>
      </c>
      <c r="E64" s="88"/>
      <c r="F64" s="88"/>
      <c r="G64" s="88"/>
      <c r="H64" s="88"/>
      <c r="I64" s="88"/>
      <c r="J64" s="88"/>
      <c r="K64" s="299"/>
      <c r="L64" s="300"/>
    </row>
    <row r="65" spans="2:12" ht="143.25" customHeight="1" x14ac:dyDescent="0.25">
      <c r="B65" s="293" t="s">
        <v>221</v>
      </c>
      <c r="C65" s="294"/>
      <c r="D65" s="88" t="s">
        <v>13</v>
      </c>
      <c r="E65" s="88"/>
      <c r="F65" s="88"/>
      <c r="G65" s="88"/>
      <c r="H65" s="88"/>
      <c r="I65" s="88"/>
      <c r="J65" s="88"/>
      <c r="K65" s="297"/>
      <c r="L65" s="298"/>
    </row>
    <row r="66" spans="2:12" ht="408.75" customHeight="1" x14ac:dyDescent="0.25">
      <c r="B66" s="292" t="s">
        <v>208</v>
      </c>
      <c r="C66" s="292"/>
      <c r="D66" s="88" t="s">
        <v>13</v>
      </c>
      <c r="E66" s="88"/>
      <c r="F66" s="88"/>
      <c r="G66" s="88"/>
      <c r="H66" s="88"/>
      <c r="I66" s="88"/>
      <c r="J66" s="88"/>
      <c r="K66" s="297"/>
      <c r="L66" s="298"/>
    </row>
    <row r="67" spans="2:12" ht="312.75" customHeight="1" x14ac:dyDescent="0.25">
      <c r="B67" s="242" t="s">
        <v>209</v>
      </c>
      <c r="C67" s="242"/>
      <c r="D67" s="88" t="s">
        <v>14</v>
      </c>
      <c r="E67" s="88"/>
      <c r="F67" s="88"/>
      <c r="G67" s="88"/>
      <c r="H67" s="88"/>
      <c r="I67" s="88"/>
      <c r="J67" s="88"/>
      <c r="K67" s="297"/>
      <c r="L67" s="298"/>
    </row>
    <row r="68" spans="2:12" ht="70.5" customHeight="1" x14ac:dyDescent="0.25">
      <c r="B68" s="289" t="s">
        <v>76</v>
      </c>
      <c r="C68" s="289"/>
      <c r="D68" s="18" t="str">
        <f t="shared" ref="D68:J68" si="10">IF(D24="","N/A",IF(AND(D47="CUMPLE",D55="CUMPLE",D56="CUMPLE",D61="CUMPLE",D62="CUMPLE",OR(D63="CUMPLE",D63="N/A"),D64="CUMPLE",OR(D65="CUMPLE",D65="N/A"),D67="CUMPLE",OR(D66="CUMPLE",D66="N/A")),"CUMPLE","NO CUMPLE"))</f>
        <v>CUMPLE</v>
      </c>
      <c r="E68" s="18" t="str">
        <f t="shared" si="10"/>
        <v>N/A</v>
      </c>
      <c r="F68" s="18" t="str">
        <f t="shared" si="10"/>
        <v>N/A</v>
      </c>
      <c r="G68" s="18" t="str">
        <f t="shared" si="10"/>
        <v>N/A</v>
      </c>
      <c r="H68" s="18" t="str">
        <f t="shared" si="10"/>
        <v>N/A</v>
      </c>
      <c r="I68" s="18" t="str">
        <f t="shared" si="10"/>
        <v>N/A</v>
      </c>
      <c r="J68" s="18" t="str">
        <f t="shared" si="10"/>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C8:I8"/>
    <mergeCell ref="C9:I9"/>
    <mergeCell ref="C10:I10"/>
    <mergeCell ref="C11:G11"/>
    <mergeCell ref="B12:L12"/>
    <mergeCell ref="I11:L11"/>
    <mergeCell ref="B2:L2"/>
    <mergeCell ref="B3:L3"/>
    <mergeCell ref="B4:L4"/>
    <mergeCell ref="B5:L5"/>
    <mergeCell ref="B7:I7"/>
    <mergeCell ref="J7:L7"/>
    <mergeCell ref="B58:C58"/>
    <mergeCell ref="B59:C59"/>
    <mergeCell ref="B57:C57"/>
    <mergeCell ref="K23:L23"/>
    <mergeCell ref="K24:L24"/>
    <mergeCell ref="K25:L25"/>
    <mergeCell ref="K26:L26"/>
    <mergeCell ref="K27:L27"/>
    <mergeCell ref="K31:L31"/>
    <mergeCell ref="K32:L32"/>
    <mergeCell ref="K33:L33"/>
    <mergeCell ref="K51:L51"/>
    <mergeCell ref="K52:L52"/>
    <mergeCell ref="K34:L34"/>
    <mergeCell ref="K44:L44"/>
    <mergeCell ref="K35:L35"/>
    <mergeCell ref="B48:B55"/>
    <mergeCell ref="B56:C56"/>
    <mergeCell ref="B26:C26"/>
    <mergeCell ref="B27:B45"/>
    <mergeCell ref="K28:L28"/>
    <mergeCell ref="K40:L40"/>
    <mergeCell ref="K41:L41"/>
    <mergeCell ref="K42:L42"/>
    <mergeCell ref="K43:L43"/>
    <mergeCell ref="K45:L45"/>
    <mergeCell ref="K36:L36"/>
    <mergeCell ref="K37:L37"/>
    <mergeCell ref="K38:L38"/>
    <mergeCell ref="K39:L39"/>
    <mergeCell ref="K47:L47"/>
    <mergeCell ref="K48:L48"/>
    <mergeCell ref="K29:L29"/>
    <mergeCell ref="K30:L30"/>
    <mergeCell ref="B13:H13"/>
    <mergeCell ref="B25:C25"/>
    <mergeCell ref="B24:C24"/>
    <mergeCell ref="L16:L19"/>
    <mergeCell ref="B21:L21"/>
    <mergeCell ref="B22:L22"/>
    <mergeCell ref="B14:B19"/>
    <mergeCell ref="K49:L49"/>
    <mergeCell ref="K50:L50"/>
    <mergeCell ref="K65:L65"/>
    <mergeCell ref="K66:L66"/>
    <mergeCell ref="K67:L67"/>
    <mergeCell ref="K61:L61"/>
    <mergeCell ref="K62:L62"/>
    <mergeCell ref="K63:L63"/>
    <mergeCell ref="K64:L64"/>
    <mergeCell ref="K53:L53"/>
    <mergeCell ref="K54:L54"/>
    <mergeCell ref="K55:L55"/>
    <mergeCell ref="K56:L56"/>
    <mergeCell ref="K57:L57"/>
    <mergeCell ref="K58:L58"/>
    <mergeCell ref="K59:L59"/>
    <mergeCell ref="B69:C69"/>
    <mergeCell ref="K69:L69"/>
    <mergeCell ref="B73:C73"/>
    <mergeCell ref="B74:C74"/>
    <mergeCell ref="K60:L60"/>
    <mergeCell ref="B71:E71"/>
    <mergeCell ref="B72:C72"/>
    <mergeCell ref="B67:C67"/>
    <mergeCell ref="B68:C68"/>
    <mergeCell ref="B63:C63"/>
    <mergeCell ref="B62:C62"/>
    <mergeCell ref="B66:C66"/>
    <mergeCell ref="B64:C64"/>
    <mergeCell ref="B65:C65"/>
    <mergeCell ref="B61:C61"/>
    <mergeCell ref="B60:C60"/>
  </mergeCells>
  <conditionalFormatting sqref="D73">
    <cfRule type="containsBlanks" dxfId="2183" priority="14">
      <formula>LEN(TRIM(D73))=0</formula>
    </cfRule>
    <cfRule type="notContainsErrors" dxfId="2182" priority="15">
      <formula>NOT(ISERROR(D73))</formula>
    </cfRule>
    <cfRule type="cellIs" dxfId="2181" priority="16" operator="equal">
      <formula>"NO CUMPLE"</formula>
    </cfRule>
    <cfRule type="cellIs" dxfId="2180" priority="17" operator="equal">
      <formula>"CUMPLE"</formula>
    </cfRule>
  </conditionalFormatting>
  <conditionalFormatting sqref="D74">
    <cfRule type="cellIs" dxfId="2179" priority="18" operator="equal">
      <formula>"N/A"</formula>
    </cfRule>
    <cfRule type="cellIs" dxfId="2178" priority="19" operator="equal">
      <formula>"CUMPLE"</formula>
    </cfRule>
    <cfRule type="cellIs" dxfId="2177" priority="21" operator="equal">
      <formula>"""CUMPLE"""</formula>
    </cfRule>
    <cfRule type="cellIs" dxfId="2176" priority="20" operator="equal">
      <formula>"NO CUMPLE"</formula>
    </cfRule>
  </conditionalFormatting>
  <conditionalFormatting sqref="D25:J35">
    <cfRule type="notContainsErrors" dxfId="2175" priority="85">
      <formula>NOT(ISERROR(D25))</formula>
    </cfRule>
    <cfRule type="containsBlanks" dxfId="2174" priority="84">
      <formula>LEN(TRIM(D25))=0</formula>
    </cfRule>
  </conditionalFormatting>
  <conditionalFormatting sqref="D34:J34 D24:K24 D37:J37 D40:J40 D43:J43 K68:L68">
    <cfRule type="containsBlanks" dxfId="2173" priority="88">
      <formula>LEN(TRIM(D24))=0</formula>
    </cfRule>
  </conditionalFormatting>
  <conditionalFormatting sqref="D47:J54">
    <cfRule type="cellIs" dxfId="2172" priority="2" operator="equal">
      <formula>"CUMPLE"</formula>
    </cfRule>
    <cfRule type="containsBlanks" dxfId="2171" priority="3">
      <formula>LEN(TRIM(D47))=0</formula>
    </cfRule>
    <cfRule type="notContainsErrors" dxfId="2170" priority="4">
      <formula>NOT(ISERROR(D47))</formula>
    </cfRule>
    <cfRule type="cellIs" dxfId="2169" priority="1" operator="equal">
      <formula>"NO CUMPLE"</formula>
    </cfRule>
  </conditionalFormatting>
  <conditionalFormatting sqref="D55:J55">
    <cfRule type="cellIs" dxfId="2168" priority="107" operator="equal">
      <formula>"N/A"</formula>
    </cfRule>
    <cfRule type="cellIs" dxfId="2167" priority="126" operator="equal">
      <formula>"CUMPLE"</formula>
    </cfRule>
    <cfRule type="cellIs" dxfId="2166" priority="127" operator="equal">
      <formula>"NO CUMPLE"</formula>
    </cfRule>
    <cfRule type="cellIs" dxfId="2165" priority="128" operator="equal">
      <formula>"""CUMPLE"""</formula>
    </cfRule>
  </conditionalFormatting>
  <conditionalFormatting sqref="D56:J67">
    <cfRule type="notContainsErrors" dxfId="2164" priority="27">
      <formula>NOT(ISERROR(D56))</formula>
    </cfRule>
    <cfRule type="cellIs" dxfId="2163" priority="24" operator="equal">
      <formula>"NO CUMPLE"</formula>
    </cfRule>
    <cfRule type="cellIs" dxfId="2162" priority="25" operator="equal">
      <formula>"CUMPLE"</formula>
    </cfRule>
    <cfRule type="containsBlanks" dxfId="2161" priority="26">
      <formula>LEN(TRIM(D56))=0</formula>
    </cfRule>
  </conditionalFormatting>
  <conditionalFormatting sqref="D68:J68">
    <cfRule type="cellIs" dxfId="2160" priority="103" operator="equal">
      <formula>"N/A"</formula>
    </cfRule>
    <cfRule type="cellIs" dxfId="2159" priority="104" operator="equal">
      <formula>"CUMPLE"</formula>
    </cfRule>
    <cfRule type="cellIs" dxfId="2158" priority="105" operator="equal">
      <formula>"NO CUMPLE"</formula>
    </cfRule>
    <cfRule type="cellIs" dxfId="2157" priority="106" operator="equal">
      <formula>"""CUMPLE"""</formula>
    </cfRule>
  </conditionalFormatting>
  <conditionalFormatting sqref="D69:J69">
    <cfRule type="cellIs" dxfId="2156" priority="8" operator="equal">
      <formula>"NO CUMPLE"</formula>
    </cfRule>
    <cfRule type="cellIs" dxfId="2155" priority="9" operator="equal">
      <formula>"CUMPLE"</formula>
    </cfRule>
  </conditionalFormatting>
  <conditionalFormatting sqref="D24:K24 D34:J34 D37:J37 D40:J40 D43:J43 K68:L68">
    <cfRule type="notContainsErrors" dxfId="2154" priority="89">
      <formula>NOT(ISERROR(D24))</formula>
    </cfRule>
  </conditionalFormatting>
  <conditionalFormatting sqref="D61:K67">
    <cfRule type="containsBlanks" dxfId="2153" priority="62">
      <formula>LEN(TRIM(D61))=0</formula>
    </cfRule>
    <cfRule type="notContainsErrors" dxfId="2152" priority="63">
      <formula>NOT(ISERROR(D61))</formula>
    </cfRule>
  </conditionalFormatting>
  <conditionalFormatting sqref="D69:K69">
    <cfRule type="notContainsErrors" dxfId="2151" priority="11">
      <formula>NOT(ISERROR(D69))</formula>
    </cfRule>
    <cfRule type="containsBlanks" dxfId="2150" priority="10">
      <formula>LEN(TRIM(D69))=0</formula>
    </cfRule>
  </conditionalFormatting>
  <conditionalFormatting sqref="E73:E74">
    <cfRule type="containsBlanks" dxfId="2149" priority="12">
      <formula>LEN(TRIM(E73))=0</formula>
    </cfRule>
    <cfRule type="notContainsErrors" dxfId="2148" priority="13">
      <formula>NOT(ISERROR(E73))</formula>
    </cfRule>
  </conditionalFormatting>
  <conditionalFormatting sqref="F20:H20">
    <cfRule type="cellIs" dxfId="2147" priority="143" operator="equal">
      <formula>"CUMPLE"</formula>
    </cfRule>
    <cfRule type="cellIs" dxfId="2146" priority="144" operator="equal">
      <formula>"NO CUMPLE"</formula>
    </cfRule>
    <cfRule type="cellIs" dxfId="2145" priority="145" operator="equal">
      <formula>"""CUMPLE"""</formula>
    </cfRule>
  </conditionalFormatting>
  <conditionalFormatting sqref="I11">
    <cfRule type="containsText" dxfId="2144" priority="168" operator="containsText" text="INHABILITADO">
      <formula>NOT(ISERROR(SEARCH("INHABILITADO",I11)))</formula>
    </cfRule>
    <cfRule type="containsText" dxfId="2143" priority="169" operator="containsText" text="HABILITADO">
      <formula>NOT(ISERROR(SEARCH("HABILITADO",I11)))</formula>
    </cfRule>
    <cfRule type="containsText" dxfId="2142" priority="170" operator="containsText" text="HABILITADO">
      <formula>NOT(ISERROR(SEARCH("HABILITADO",I11)))</formula>
    </cfRule>
    <cfRule type="containsText" dxfId="2141" priority="183" operator="containsText" text="NO CUMPLE">
      <formula>NOT(ISERROR(SEARCH("NO CUMPLE",I11)))</formula>
    </cfRule>
  </conditionalFormatting>
  <conditionalFormatting sqref="J20">
    <cfRule type="cellIs" dxfId="2140" priority="76" operator="equal">
      <formula>"NO"</formula>
    </cfRule>
    <cfRule type="cellIs" dxfId="2139" priority="77" operator="equal">
      <formula>"SI"</formula>
    </cfRule>
  </conditionalFormatting>
  <conditionalFormatting sqref="K16">
    <cfRule type="cellIs" dxfId="2138" priority="5" operator="equal">
      <formula>"CUMPLE"</formula>
    </cfRule>
    <cfRule type="cellIs" dxfId="2137" priority="7" operator="equal">
      <formula>"""CUMPLE"""</formula>
    </cfRule>
    <cfRule type="cellIs" dxfId="2136" priority="6" operator="equal">
      <formula>"NO CUMPLE"</formula>
    </cfRule>
  </conditionalFormatting>
  <conditionalFormatting sqref="K25:K60">
    <cfRule type="notContainsErrors" dxfId="2135" priority="23">
      <formula>NOT(ISERROR(K25))</formula>
    </cfRule>
    <cfRule type="containsBlanks" dxfId="2134" priority="22">
      <formula>LEN(TRIM(K25))=0</formula>
    </cfRule>
  </conditionalFormatting>
  <conditionalFormatting sqref="L14">
    <cfRule type="cellIs" dxfId="2133" priority="140" operator="equal">
      <formula>"CUMPLE"</formula>
    </cfRule>
    <cfRule type="cellIs" dxfId="2132" priority="141" operator="equal">
      <formula>"NO CUMPLE"</formula>
    </cfRule>
    <cfRule type="cellIs" dxfId="2131" priority="142" operator="equal">
      <formula>"""CUMPLE"""</formula>
    </cfRule>
  </conditionalFormatting>
  <conditionalFormatting sqref="L20">
    <cfRule type="cellIs" dxfId="2130" priority="72" operator="equal">
      <formula>"NO"</formula>
    </cfRule>
    <cfRule type="cellIs" dxfId="2129" priority="73" operator="equal">
      <formula>"SI"</formula>
    </cfRule>
  </conditionalFormatting>
  <dataValidations count="4">
    <dataValidation type="list" allowBlank="1" showInputMessage="1" showErrorMessage="1" sqref="D24:J26" xr:uid="{00000000-0002-0000-0200-000000000000}">
      <formula1>$C$15:$C$19</formula1>
    </dataValidation>
    <dataValidation type="list" allowBlank="1" showInputMessage="1" showErrorMessage="1" sqref="L61:L69" xr:uid="{00000000-0002-0000-0200-000001000000}">
      <formula1>"0,1,2,3,4,5,6"</formula1>
    </dataValidation>
    <dataValidation type="list" allowBlank="1" showInputMessage="1" showErrorMessage="1" sqref="D73" xr:uid="{00000000-0002-0000-0200-000002000000}">
      <formula1>$A$50:$A$52</formula1>
    </dataValidation>
    <dataValidation type="list" allowBlank="1" showInputMessage="1" showErrorMessage="1" sqref="J48:J53" xr:uid="{00000000-0002-0000-0200-000006000000}">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200-000007000000}">
          <x14:formula1>
            <xm:f>'DATOS INICIALES'!$A$13:$A$43</xm:f>
          </x14:formula1>
          <xm:sqref>D31:I31</xm:sqref>
        </x14:dataValidation>
        <x14:dataValidation type="list" allowBlank="1" showInputMessage="1" showErrorMessage="1" xr:uid="{00000000-0002-0000-0200-000008000000}">
          <x14:formula1>
            <xm:f>'DATOS INICIALES'!$D$22:$D$26</xm:f>
          </x14:formula1>
          <xm:sqref>M48:M55</xm:sqref>
        </x14:dataValidation>
        <x14:dataValidation type="list" allowBlank="1" showInputMessage="1" showErrorMessage="1" xr:uid="{00000000-0002-0000-0200-000009000000}">
          <x14:formula1>
            <xm:f>'DATOS INICIALES'!$A$54:$A$59</xm:f>
          </x14:formula1>
          <xm:sqref>D23:I23</xm:sqref>
        </x14:dataValidation>
        <x14:dataValidation type="list" allowBlank="1" showInputMessage="1" showErrorMessage="1" xr:uid="{4779777A-7C5A-4C0C-93DA-093DD133081F}">
          <x14:formula1>
            <xm:f>'DATOS INICIALES'!$A$50:$A$52</xm:f>
          </x14:formula1>
          <xm:sqref>D56:J67</xm:sqref>
        </x14:dataValidation>
        <x14:dataValidation type="list" allowBlank="1" showInputMessage="1" showErrorMessage="1" xr:uid="{00000000-0002-0000-0200-00000B000000}">
          <x14:formula1>
            <xm:f>'DATOS INICIALES'!$C$45:$C$46</xm:f>
          </x14:formula1>
          <xm:sqref>D48:I54</xm:sqref>
        </x14:dataValidation>
        <x14:dataValidation type="list" allowBlank="1" showInputMessage="1" showErrorMessage="1" xr:uid="{A77C9C7D-D01A-4AEA-B8FD-A2376C15146F}">
          <x14:formula1>
            <xm:f>'DATOS INICIALES'!$A$50:$A$51</xm:f>
          </x14:formula1>
          <xm:sqref>D69:J69 D47:J47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7"/>
  <sheetViews>
    <sheetView zoomScale="55" zoomScaleNormal="55" workbookViewId="0">
      <pane ySplit="12" topLeftCell="A31" activePane="bottomLeft" state="frozen"/>
      <selection activeCell="E20" sqref="E20"/>
      <selection pane="bottomLeft" activeCell="H18" sqref="H18"/>
    </sheetView>
    <sheetView workbookViewId="1"/>
  </sheetViews>
  <sheetFormatPr baseColWidth="10" defaultColWidth="11.42578125" defaultRowHeight="15" x14ac:dyDescent="0.25"/>
  <cols>
    <col min="1" max="1" width="4.140625" style="16" customWidth="1"/>
    <col min="2" max="2" width="26.85546875" style="16" customWidth="1"/>
    <col min="3" max="3" width="26.7109375" style="16" customWidth="1"/>
    <col min="4" max="4" width="7.85546875" style="37" customWidth="1"/>
    <col min="5" max="5" width="12" style="65" customWidth="1"/>
    <col min="6" max="6" width="29.85546875" style="16" customWidth="1"/>
    <col min="7" max="7" width="26.28515625" style="16" customWidth="1"/>
    <col min="8" max="8" width="26.42578125" style="16" customWidth="1"/>
    <col min="9" max="9" width="23.42578125" style="16" customWidth="1"/>
    <col min="10" max="10" width="24.7109375" style="16" customWidth="1"/>
    <col min="11" max="11" width="20.28515625" style="16" customWidth="1"/>
    <col min="12" max="12" width="16.42578125" style="16" customWidth="1"/>
    <col min="13" max="13" width="16.42578125" style="16" bestFit="1" customWidth="1"/>
    <col min="14" max="14" width="16.42578125" style="16" customWidth="1"/>
    <col min="15" max="15" width="18.7109375" style="16" customWidth="1"/>
    <col min="16" max="16" width="16.28515625" style="16" customWidth="1"/>
    <col min="17" max="17" width="16.42578125" style="16" customWidth="1"/>
    <col min="18" max="18" width="48.5703125" style="16" customWidth="1"/>
    <col min="19" max="16384" width="11.42578125" style="16"/>
  </cols>
  <sheetData>
    <row r="1" spans="1:18" x14ac:dyDescent="0.25">
      <c r="A1" s="26"/>
      <c r="B1" s="86"/>
      <c r="C1" s="86"/>
      <c r="D1" s="86"/>
      <c r="E1" s="86"/>
      <c r="F1" s="86"/>
      <c r="G1" s="86"/>
      <c r="H1" s="86"/>
      <c r="I1" s="86"/>
      <c r="J1" s="86"/>
      <c r="K1" s="86"/>
      <c r="L1" s="86"/>
      <c r="M1" s="86"/>
      <c r="N1" s="86"/>
      <c r="O1" s="86"/>
      <c r="P1" s="86"/>
      <c r="Q1" s="26"/>
      <c r="R1" s="26"/>
    </row>
    <row r="2" spans="1:18" ht="18.75" x14ac:dyDescent="0.3">
      <c r="A2" s="268" t="s">
        <v>22</v>
      </c>
      <c r="B2" s="268"/>
      <c r="C2" s="268"/>
      <c r="D2" s="268"/>
      <c r="E2" s="268"/>
      <c r="F2" s="268"/>
      <c r="G2" s="268"/>
      <c r="H2" s="268"/>
      <c r="I2" s="268"/>
      <c r="J2" s="268"/>
      <c r="K2" s="268"/>
      <c r="L2" s="268"/>
      <c r="M2" s="268"/>
      <c r="N2" s="268"/>
      <c r="O2" s="268"/>
      <c r="P2" s="268"/>
      <c r="Q2" s="268"/>
      <c r="R2" s="268"/>
    </row>
    <row r="3" spans="1:18" x14ac:dyDescent="0.25">
      <c r="A3" s="351"/>
      <c r="B3" s="351"/>
      <c r="C3" s="351"/>
      <c r="D3" s="351"/>
      <c r="E3" s="351"/>
      <c r="F3" s="351"/>
      <c r="G3" s="351"/>
      <c r="H3" s="351"/>
      <c r="I3" s="351"/>
      <c r="J3" s="351"/>
      <c r="K3" s="351"/>
      <c r="L3" s="351"/>
      <c r="M3" s="351"/>
      <c r="N3" s="351"/>
      <c r="O3" s="351"/>
      <c r="P3" s="351"/>
      <c r="Q3" s="351"/>
      <c r="R3" s="351"/>
    </row>
    <row r="4" spans="1:18" ht="18.75" x14ac:dyDescent="0.3">
      <c r="A4" s="268" t="str">
        <f>'DATOS INICIALES'!G4</f>
        <v xml:space="preserve"> FDLK-CMA-003-2024</v>
      </c>
      <c r="B4" s="268"/>
      <c r="C4" s="268"/>
      <c r="D4" s="268"/>
      <c r="E4" s="268"/>
      <c r="F4" s="268"/>
      <c r="G4" s="268"/>
      <c r="H4" s="268"/>
      <c r="I4" s="268"/>
      <c r="J4" s="268"/>
      <c r="K4" s="268"/>
      <c r="L4" s="268"/>
      <c r="M4" s="268"/>
      <c r="N4" s="268"/>
      <c r="O4" s="268"/>
      <c r="P4" s="268"/>
      <c r="Q4" s="268"/>
      <c r="R4" s="268"/>
    </row>
    <row r="5" spans="1:18" x14ac:dyDescent="0.25">
      <c r="A5" s="351"/>
      <c r="B5" s="351"/>
      <c r="C5" s="351"/>
      <c r="D5" s="351"/>
      <c r="E5" s="351"/>
      <c r="F5" s="351"/>
      <c r="G5" s="351"/>
      <c r="H5" s="351"/>
      <c r="I5" s="351"/>
      <c r="J5" s="351"/>
      <c r="K5" s="351"/>
      <c r="L5" s="351"/>
      <c r="M5" s="351"/>
      <c r="N5" s="351"/>
      <c r="O5" s="351"/>
      <c r="P5" s="351"/>
      <c r="Q5" s="351"/>
      <c r="R5" s="351"/>
    </row>
    <row r="6" spans="1:18" x14ac:dyDescent="0.25">
      <c r="A6" s="347" t="s">
        <v>30</v>
      </c>
      <c r="B6" s="347"/>
      <c r="C6" s="63" t="s">
        <v>52</v>
      </c>
      <c r="D6" s="348" t="s">
        <v>66</v>
      </c>
      <c r="E6" s="348"/>
      <c r="F6" s="348"/>
      <c r="G6" s="85">
        <v>44498</v>
      </c>
      <c r="H6" s="352"/>
      <c r="I6" s="352"/>
      <c r="J6" s="352"/>
      <c r="K6" s="352"/>
      <c r="L6" s="352"/>
      <c r="M6" s="352"/>
      <c r="N6" s="352"/>
      <c r="O6" s="352"/>
      <c r="P6" s="352"/>
      <c r="Q6" s="352"/>
      <c r="R6" s="352"/>
    </row>
    <row r="7" spans="1:18" x14ac:dyDescent="0.25">
      <c r="A7" s="354" t="s">
        <v>85</v>
      </c>
      <c r="B7" s="354"/>
      <c r="C7" s="354"/>
      <c r="D7" s="354"/>
      <c r="E7" s="354"/>
      <c r="F7" s="354"/>
      <c r="G7" s="354"/>
      <c r="H7" s="354"/>
      <c r="I7" s="354"/>
      <c r="J7" s="354"/>
      <c r="K7" s="354"/>
      <c r="L7" s="354"/>
      <c r="M7" s="354"/>
      <c r="N7" s="354"/>
      <c r="O7" s="354"/>
      <c r="P7" s="354"/>
      <c r="Q7" s="354"/>
      <c r="R7" s="354"/>
    </row>
    <row r="8" spans="1:18" ht="36" customHeight="1" x14ac:dyDescent="0.25">
      <c r="A8" s="349" t="s">
        <v>23</v>
      </c>
      <c r="B8" s="349"/>
      <c r="C8" s="355"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55"/>
      <c r="E8" s="355"/>
      <c r="F8" s="355"/>
      <c r="G8" s="355"/>
      <c r="H8" s="355"/>
      <c r="I8" s="355"/>
      <c r="J8" s="355"/>
      <c r="K8" s="355"/>
      <c r="L8" s="355"/>
      <c r="M8" s="355"/>
      <c r="N8" s="355"/>
      <c r="O8" s="355"/>
      <c r="P8" s="355"/>
      <c r="Q8" s="355"/>
      <c r="R8" s="355"/>
    </row>
    <row r="9" spans="1:18" x14ac:dyDescent="0.25">
      <c r="A9" s="349" t="s">
        <v>64</v>
      </c>
      <c r="B9" s="349"/>
      <c r="C9" s="353">
        <f>+'DATOS INICIALES'!C6</f>
        <v>0</v>
      </c>
      <c r="D9" s="353"/>
      <c r="E9" s="353"/>
      <c r="F9" s="59" t="s">
        <v>91</v>
      </c>
      <c r="G9" s="61">
        <v>4</v>
      </c>
      <c r="H9" s="353"/>
      <c r="I9" s="353"/>
      <c r="J9" s="353"/>
      <c r="K9" s="353"/>
      <c r="L9" s="353"/>
      <c r="M9" s="353"/>
      <c r="N9" s="353"/>
      <c r="O9" s="353"/>
      <c r="P9" s="353"/>
      <c r="Q9" s="353"/>
      <c r="R9" s="353"/>
    </row>
    <row r="10" spans="1:18" x14ac:dyDescent="0.25">
      <c r="A10" s="349" t="s">
        <v>65</v>
      </c>
      <c r="B10" s="349"/>
      <c r="C10" s="350">
        <f>C9/'DATOS INICIALES'!B43</f>
        <v>0</v>
      </c>
      <c r="D10" s="350"/>
      <c r="E10" s="350"/>
      <c r="F10" s="60" t="s">
        <v>92</v>
      </c>
      <c r="G10" s="62">
        <v>0</v>
      </c>
      <c r="H10" s="350"/>
      <c r="I10" s="350"/>
      <c r="J10" s="350"/>
      <c r="K10" s="350"/>
      <c r="L10" s="350"/>
      <c r="M10" s="350"/>
      <c r="N10" s="350"/>
      <c r="O10" s="350"/>
      <c r="P10" s="350"/>
      <c r="Q10" s="350"/>
      <c r="R10" s="350"/>
    </row>
    <row r="11" spans="1:18" ht="9" customHeight="1" x14ac:dyDescent="0.25">
      <c r="E11" s="37"/>
    </row>
    <row r="12" spans="1:18" ht="75.75" thickBot="1" x14ac:dyDescent="0.3">
      <c r="A12" s="42" t="s">
        <v>77</v>
      </c>
      <c r="B12" s="42" t="s">
        <v>24</v>
      </c>
      <c r="C12" s="42" t="s">
        <v>59</v>
      </c>
      <c r="D12" s="42" t="s">
        <v>78</v>
      </c>
      <c r="E12" s="42" t="s">
        <v>102</v>
      </c>
      <c r="F12" s="42" t="s">
        <v>96</v>
      </c>
      <c r="G12" s="42" t="s">
        <v>94</v>
      </c>
      <c r="H12" s="42" t="s">
        <v>95</v>
      </c>
      <c r="I12" s="42" t="s">
        <v>97</v>
      </c>
      <c r="J12" s="42" t="s">
        <v>98</v>
      </c>
      <c r="K12" s="42" t="s">
        <v>99</v>
      </c>
      <c r="L12" s="42" t="s">
        <v>100</v>
      </c>
      <c r="M12" s="42" t="s">
        <v>101</v>
      </c>
      <c r="N12" s="42" t="s">
        <v>103</v>
      </c>
      <c r="O12" s="42" t="s">
        <v>83</v>
      </c>
      <c r="P12" s="42" t="s">
        <v>84</v>
      </c>
      <c r="Q12" s="42" t="s">
        <v>104</v>
      </c>
      <c r="R12" s="42" t="s">
        <v>70</v>
      </c>
    </row>
    <row r="13" spans="1:18" x14ac:dyDescent="0.25">
      <c r="A13" s="359">
        <v>1</v>
      </c>
      <c r="B13" s="362" t="str">
        <f>+PROPONENTES!B10</f>
        <v>SOLIUN INGENIERIA SAS</v>
      </c>
      <c r="C13" s="43" t="str">
        <f>IF(VLOOKUP(B13,PROPONENTES!$B$10:$N$16,2,FALSE)="","",VLOOKUP(B13,PROPONENTES!$B$10:$N$16,2,FALSE))</f>
        <v>SOLIUN INGENIERIA SAS</v>
      </c>
      <c r="D13" s="44">
        <f>VLOOKUP(B13,PROPONENTES!$B$10:$N$16,3,FALSE)</f>
        <v>1</v>
      </c>
      <c r="E13" s="107" t="s">
        <v>14</v>
      </c>
      <c r="F13" s="108" t="s">
        <v>15</v>
      </c>
      <c r="G13" s="108" t="s">
        <v>14</v>
      </c>
      <c r="H13" s="109" t="s">
        <v>14</v>
      </c>
      <c r="I13" s="108" t="s">
        <v>14</v>
      </c>
      <c r="J13" s="110" t="s">
        <v>13</v>
      </c>
      <c r="K13" s="110" t="s">
        <v>14</v>
      </c>
      <c r="L13" s="110" t="s">
        <v>14</v>
      </c>
      <c r="M13" s="111" t="s">
        <v>14</v>
      </c>
      <c r="N13" s="43" t="str">
        <f t="shared" ref="N13:N47" si="0">IF(C13="","N/A",IF(AND(OR(E13="CUMPLE",E13="N/A"),OR(F13="CUMPLE",F13="N/A"),OR(G13="CUMPLE",G13="N/A"),OR(H13="CUMPLE",H13="N/A"),OR(I13="CUMPLE",I13="N/A"),OR(J13="CUMPLE",J13="N/A"),OR(K13="CUMPLE",K13="N/A"),OR(L13="CUMPLE",L13="N/A"),OR(M13="CUMPLE",M13="N/A")),"CUMPLE","NO CUMPLE"))</f>
        <v>NO CUMPLE</v>
      </c>
      <c r="O13" s="364" t="e">
        <f>+'K RESIDUAL CALCULO'!N13</f>
        <v>#DIV/0!</v>
      </c>
      <c r="P13" s="365">
        <f>IF($G$9&lt;=12,$C$9-$G$10*$C$9,(($C$9-$G$10)/$G$9)*12)</f>
        <v>0</v>
      </c>
      <c r="Q13" s="368" t="e">
        <f>IF(AND(O13&gt;=P13,OR(N13="CUMPLE",N13="N/A"),OR(N14="CUMPLE",N14="N/A"),OR(N15="CUMPLE",N15="N/A"),OR(N16="CUMPLE",N16="N/A")*OR(N17="CUMPLE",N17="N/A")),"CUMPLE","NO CUMPLE")</f>
        <v>#DIV/0!</v>
      </c>
      <c r="R13" s="356"/>
    </row>
    <row r="14" spans="1:18" x14ac:dyDescent="0.25">
      <c r="A14" s="360"/>
      <c r="B14" s="351"/>
      <c r="C14" s="26" t="str">
        <f>IF(VLOOKUP(B13,PROPONENTES!$B$10:$N$16,4,FALSE)="","",VLOOKUP(B13,PROPONENTES!$B$10:$N$16,4,FALSE))</f>
        <v/>
      </c>
      <c r="D14" s="36">
        <f>VLOOKUP(B13,PROPONENTES!$B$10:$N$16,5,FALSE)</f>
        <v>0</v>
      </c>
      <c r="E14" s="112" t="s">
        <v>14</v>
      </c>
      <c r="F14" s="113" t="s">
        <v>15</v>
      </c>
      <c r="G14" s="113" t="s">
        <v>14</v>
      </c>
      <c r="H14" s="114" t="s">
        <v>14</v>
      </c>
      <c r="I14" s="113" t="s">
        <v>14</v>
      </c>
      <c r="J14" s="115" t="s">
        <v>13</v>
      </c>
      <c r="K14" s="115" t="s">
        <v>14</v>
      </c>
      <c r="L14" s="115" t="s">
        <v>14</v>
      </c>
      <c r="M14" s="113" t="s">
        <v>14</v>
      </c>
      <c r="N14" s="26" t="str">
        <f t="shared" si="0"/>
        <v>N/A</v>
      </c>
      <c r="O14" s="351"/>
      <c r="P14" s="366"/>
      <c r="Q14" s="369"/>
      <c r="R14" s="357"/>
    </row>
    <row r="15" spans="1:18" x14ac:dyDescent="0.25">
      <c r="A15" s="360"/>
      <c r="B15" s="351"/>
      <c r="C15" s="26" t="str">
        <f>IF(VLOOKUP(B13,PROPONENTES!$B$10:$N$16,6,FALSE)="","",VLOOKUP(B13,PROPONENTES!$B$10:$N$16,6,FALSE))</f>
        <v/>
      </c>
      <c r="D15" s="36">
        <f>VLOOKUP(B13,PROPONENTES!$B$10:$N$16,7,FALSE)</f>
        <v>0</v>
      </c>
      <c r="E15" s="112"/>
      <c r="F15" s="113"/>
      <c r="G15" s="113"/>
      <c r="H15" s="114"/>
      <c r="I15" s="113"/>
      <c r="J15" s="115"/>
      <c r="K15" s="115"/>
      <c r="L15" s="115"/>
      <c r="M15" s="113"/>
      <c r="N15" s="26" t="str">
        <f t="shared" si="0"/>
        <v>N/A</v>
      </c>
      <c r="O15" s="351"/>
      <c r="P15" s="366"/>
      <c r="Q15" s="369"/>
      <c r="R15" s="357"/>
    </row>
    <row r="16" spans="1:18" x14ac:dyDescent="0.25">
      <c r="A16" s="360"/>
      <c r="B16" s="351"/>
      <c r="C16" s="26" t="str">
        <f>IF(VLOOKUP(B13,PROPONENTES!$B$10:$N$16,8,FALSE)="","",VLOOKUP(B13,PROPONENTES!$B$10:$N$16,8,FALSE))</f>
        <v/>
      </c>
      <c r="D16" s="36">
        <f>VLOOKUP(B13,PROPONENTES!$B$10:$N$16,9,FALSE)</f>
        <v>0</v>
      </c>
      <c r="E16" s="112"/>
      <c r="F16" s="112"/>
      <c r="G16" s="112"/>
      <c r="H16" s="112"/>
      <c r="I16" s="112"/>
      <c r="J16" s="112"/>
      <c r="K16" s="112"/>
      <c r="L16" s="112"/>
      <c r="M16" s="112"/>
      <c r="N16" s="26" t="str">
        <f t="shared" si="0"/>
        <v>N/A</v>
      </c>
      <c r="O16" s="351"/>
      <c r="P16" s="366"/>
      <c r="Q16" s="369"/>
      <c r="R16" s="357"/>
    </row>
    <row r="17" spans="1:18" ht="15.75" thickBot="1" x14ac:dyDescent="0.3">
      <c r="A17" s="361"/>
      <c r="B17" s="363"/>
      <c r="C17" s="48" t="str">
        <f>IF(VLOOKUP(B13,PROPONENTES!$B$10:$N$16,8,FALSE)="","",VLOOKUP(B13,PROPONENTES!$B$10:$N$16,10,FALSE))</f>
        <v/>
      </c>
      <c r="D17" s="49">
        <f>VLOOKUP(B13,PROPONENTES!$B$10:$N$16,11,FALSE)</f>
        <v>0</v>
      </c>
      <c r="E17" s="116"/>
      <c r="F17" s="116"/>
      <c r="G17" s="116"/>
      <c r="H17" s="116"/>
      <c r="I17" s="116"/>
      <c r="J17" s="116"/>
      <c r="K17" s="116"/>
      <c r="L17" s="116"/>
      <c r="M17" s="116"/>
      <c r="N17" s="48" t="str">
        <f t="shared" si="0"/>
        <v>N/A</v>
      </c>
      <c r="O17" s="363"/>
      <c r="P17" s="367"/>
      <c r="Q17" s="370"/>
      <c r="R17" s="358"/>
    </row>
    <row r="18" spans="1:18" ht="66" customHeight="1" x14ac:dyDescent="0.25">
      <c r="A18" s="359">
        <v>2</v>
      </c>
      <c r="B18" s="362" t="str">
        <f>+PROPONENTES!B11</f>
        <v>VELNEC S.A.</v>
      </c>
      <c r="C18" s="43" t="str">
        <f>IF(VLOOKUP(B18,PROPONENTES!$B$10:$N$16,2,FALSE)="","",VLOOKUP(B18,PROPONENTES!$B$10:$N$16,2,FALSE))</f>
        <v>VELNEC S.A.</v>
      </c>
      <c r="D18" s="44">
        <f>VLOOKUP(B18,PROPONENTES!$B$10:$N$16,3,FALSE)</f>
        <v>1</v>
      </c>
      <c r="E18" s="107" t="s">
        <v>14</v>
      </c>
      <c r="F18" s="108" t="s">
        <v>13</v>
      </c>
      <c r="G18" s="108" t="s">
        <v>15</v>
      </c>
      <c r="H18" s="109" t="s">
        <v>15</v>
      </c>
      <c r="I18" s="108" t="s">
        <v>15</v>
      </c>
      <c r="J18" s="110" t="s">
        <v>13</v>
      </c>
      <c r="K18" s="110" t="s">
        <v>14</v>
      </c>
      <c r="L18" s="110" t="s">
        <v>14</v>
      </c>
      <c r="M18" s="111" t="s">
        <v>15</v>
      </c>
      <c r="N18" s="43" t="str">
        <f t="shared" si="0"/>
        <v>NO CUMPLE</v>
      </c>
      <c r="O18" s="364" t="e">
        <f>+'K RESIDUAL CALCULO'!N18</f>
        <v>#DIV/0!</v>
      </c>
      <c r="P18" s="365">
        <f t="shared" ref="P18" si="1">IF($G$9&lt;=12,$C$9-$G$10*$C$9,(($C$9-$G$10)/$G$9)*12)</f>
        <v>0</v>
      </c>
      <c r="Q18" s="368" t="e">
        <f t="shared" ref="Q18" si="2">IF(AND(O18&gt;=P18,OR(N18="CUMPLE",N18="N/A"),OR(N19="CUMPLE",N19="N/A"),OR(N20="CUMPLE",N20="N/A"),OR(N21="CUMPLE",N21="N/A")*OR(N22="CUMPLE",N22="N/A")),"CUMPLE","NO CUMPLE")</f>
        <v>#DIV/0!</v>
      </c>
      <c r="R18" s="371" t="s">
        <v>137</v>
      </c>
    </row>
    <row r="19" spans="1:18" ht="66" customHeight="1" x14ac:dyDescent="0.25">
      <c r="A19" s="360"/>
      <c r="B19" s="351"/>
      <c r="C19" s="26" t="str">
        <f>IF(VLOOKUP(B18,PROPONENTES!$B$10:$N$16,4,FALSE)="","",VLOOKUP(B18,PROPONENTES!$B$10:$N$16,4,FALSE))</f>
        <v/>
      </c>
      <c r="D19" s="36">
        <f>VLOOKUP(B18,PROPONENTES!$B$10:$N$16,5,FALSE)</f>
        <v>0</v>
      </c>
      <c r="E19" s="112"/>
      <c r="F19" s="113"/>
      <c r="G19" s="113"/>
      <c r="H19" s="114"/>
      <c r="I19" s="113"/>
      <c r="J19" s="115"/>
      <c r="K19" s="115"/>
      <c r="L19" s="115"/>
      <c r="M19" s="113"/>
      <c r="N19" s="26" t="str">
        <f t="shared" si="0"/>
        <v>N/A</v>
      </c>
      <c r="O19" s="351"/>
      <c r="P19" s="366"/>
      <c r="Q19" s="369"/>
      <c r="R19" s="357"/>
    </row>
    <row r="20" spans="1:18" ht="66" customHeight="1" x14ac:dyDescent="0.25">
      <c r="A20" s="360"/>
      <c r="B20" s="351"/>
      <c r="C20" s="26" t="str">
        <f>IF(VLOOKUP(B18,PROPONENTES!$B$10:$N$16,6,FALSE)="","",VLOOKUP(B18,PROPONENTES!$B$10:$N$16,6,FALSE))</f>
        <v/>
      </c>
      <c r="D20" s="36">
        <f>VLOOKUP(B18,PROPONENTES!$B$10:$N$16,7,FALSE)</f>
        <v>0</v>
      </c>
      <c r="E20" s="112"/>
      <c r="F20" s="113"/>
      <c r="G20" s="113"/>
      <c r="H20" s="114"/>
      <c r="I20" s="113"/>
      <c r="J20" s="115"/>
      <c r="K20" s="115"/>
      <c r="L20" s="115"/>
      <c r="M20" s="113"/>
      <c r="N20" s="26" t="str">
        <f t="shared" si="0"/>
        <v>N/A</v>
      </c>
      <c r="O20" s="351"/>
      <c r="P20" s="366"/>
      <c r="Q20" s="369"/>
      <c r="R20" s="357"/>
    </row>
    <row r="21" spans="1:18" ht="66" customHeight="1" x14ac:dyDescent="0.25">
      <c r="A21" s="360"/>
      <c r="B21" s="351"/>
      <c r="C21" s="26" t="str">
        <f>IF(VLOOKUP(B18,PROPONENTES!$B$10:$N$16,8,FALSE)="","",VLOOKUP(B18,PROPONENTES!$B$10:$N$16,8,FALSE))</f>
        <v/>
      </c>
      <c r="D21" s="36">
        <f>VLOOKUP(B18,PROPONENTES!$B$10:$N$16,9,FALSE)</f>
        <v>0</v>
      </c>
      <c r="E21" s="112"/>
      <c r="F21" s="112"/>
      <c r="G21" s="112"/>
      <c r="H21" s="112"/>
      <c r="I21" s="112"/>
      <c r="J21" s="112"/>
      <c r="K21" s="112"/>
      <c r="L21" s="112"/>
      <c r="M21" s="112"/>
      <c r="N21" s="26" t="str">
        <f t="shared" si="0"/>
        <v>N/A</v>
      </c>
      <c r="O21" s="351"/>
      <c r="P21" s="366"/>
      <c r="Q21" s="369"/>
      <c r="R21" s="357"/>
    </row>
    <row r="22" spans="1:18" ht="66" customHeight="1" thickBot="1" x14ac:dyDescent="0.3">
      <c r="A22" s="361"/>
      <c r="B22" s="363"/>
      <c r="C22" s="48" t="str">
        <f>IF(VLOOKUP(B18,PROPONENTES!$B$10:$N$16,8,FALSE)="","",VLOOKUP(B18,PROPONENTES!$B$10:$N$16,10,FALSE))</f>
        <v/>
      </c>
      <c r="D22" s="49">
        <f>VLOOKUP(B18,PROPONENTES!$B$10:$N$16,11,FALSE)</f>
        <v>0</v>
      </c>
      <c r="E22" s="116"/>
      <c r="F22" s="116"/>
      <c r="G22" s="116"/>
      <c r="H22" s="116"/>
      <c r="I22" s="116"/>
      <c r="J22" s="116"/>
      <c r="K22" s="116"/>
      <c r="L22" s="116"/>
      <c r="M22" s="116"/>
      <c r="N22" s="48" t="str">
        <f t="shared" si="0"/>
        <v>N/A</v>
      </c>
      <c r="O22" s="363"/>
      <c r="P22" s="367"/>
      <c r="Q22" s="370"/>
      <c r="R22" s="358"/>
    </row>
    <row r="23" spans="1:18" ht="56.25" customHeight="1" x14ac:dyDescent="0.25">
      <c r="A23" s="359">
        <v>3</v>
      </c>
      <c r="B23" s="362" t="str">
        <f>+PROPONENTES!B12</f>
        <v>ARQUITECTURA URBANA LTDA</v>
      </c>
      <c r="C23" s="43" t="str">
        <f>IF(VLOOKUP(B23,PROPONENTES!$B$10:$N$16,2,FALSE)="","",VLOOKUP(B23,PROPONENTES!$B$10:$N$16,2,FALSE))</f>
        <v>ARQUITECTURA URBANA LTDA</v>
      </c>
      <c r="D23" s="44">
        <f>VLOOKUP(B23,PROPONENTES!$B$10:$N$16,3,FALSE)</f>
        <v>1</v>
      </c>
      <c r="E23" s="107" t="s">
        <v>14</v>
      </c>
      <c r="F23" s="108" t="s">
        <v>13</v>
      </c>
      <c r="G23" s="108" t="s">
        <v>15</v>
      </c>
      <c r="H23" s="109" t="s">
        <v>15</v>
      </c>
      <c r="I23" s="108" t="s">
        <v>15</v>
      </c>
      <c r="J23" s="110" t="s">
        <v>13</v>
      </c>
      <c r="K23" s="110" t="s">
        <v>14</v>
      </c>
      <c r="L23" s="110" t="s">
        <v>14</v>
      </c>
      <c r="M23" s="111" t="s">
        <v>14</v>
      </c>
      <c r="N23" s="43" t="str">
        <f t="shared" si="0"/>
        <v>NO CUMPLE</v>
      </c>
      <c r="O23" s="364" t="e">
        <f>+'K RESIDUAL CALCULO'!N23</f>
        <v>#DIV/0!</v>
      </c>
      <c r="P23" s="365">
        <f t="shared" ref="P23" si="3">IF($G$9&lt;=12,$C$9-$G$10*$C$9,(($C$9-$G$10)/$G$9)*12)</f>
        <v>0</v>
      </c>
      <c r="Q23" s="368" t="e">
        <f t="shared" ref="Q23" si="4">IF(AND(O23&gt;=P23,OR(N23="CUMPLE",N23="N/A"),OR(N24="CUMPLE",N24="N/A"),OR(N25="CUMPLE",N25="N/A"),OR(N26="CUMPLE",N26="N/A")*OR(N27="CUMPLE",N27="N/A")),"CUMPLE","NO CUMPLE")</f>
        <v>#DIV/0!</v>
      </c>
      <c r="R23" s="371" t="s">
        <v>138</v>
      </c>
    </row>
    <row r="24" spans="1:18" ht="56.25" customHeight="1" x14ac:dyDescent="0.25">
      <c r="A24" s="360"/>
      <c r="B24" s="351"/>
      <c r="C24" s="26" t="str">
        <f>IF(VLOOKUP(B23,PROPONENTES!$B$10:$N$16,4,FALSE)="","",VLOOKUP(B23,PROPONENTES!$B$10:$N$16,4,FALSE))</f>
        <v/>
      </c>
      <c r="D24" s="36">
        <f>VLOOKUP(B23,PROPONENTES!$B$10:$N$16,5,FALSE)</f>
        <v>0</v>
      </c>
      <c r="E24" s="112"/>
      <c r="F24" s="113"/>
      <c r="G24" s="113"/>
      <c r="H24" s="114"/>
      <c r="I24" s="113"/>
      <c r="J24" s="115"/>
      <c r="K24" s="115"/>
      <c r="L24" s="115"/>
      <c r="M24" s="113"/>
      <c r="N24" s="26" t="str">
        <f t="shared" si="0"/>
        <v>N/A</v>
      </c>
      <c r="O24" s="351"/>
      <c r="P24" s="366"/>
      <c r="Q24" s="369"/>
      <c r="R24" s="357"/>
    </row>
    <row r="25" spans="1:18" ht="56.25" customHeight="1" x14ac:dyDescent="0.25">
      <c r="A25" s="360"/>
      <c r="B25" s="351"/>
      <c r="C25" s="26" t="str">
        <f>IF(VLOOKUP(B23,PROPONENTES!$B$10:$N$16,6,FALSE)="","",VLOOKUP(B23,PROPONENTES!$B$10:$N$16,6,FALSE))</f>
        <v/>
      </c>
      <c r="D25" s="36">
        <f>VLOOKUP(B23,PROPONENTES!$B$10:$N$16,7,FALSE)</f>
        <v>0</v>
      </c>
      <c r="E25" s="112"/>
      <c r="F25" s="113"/>
      <c r="G25" s="113"/>
      <c r="H25" s="114"/>
      <c r="I25" s="113"/>
      <c r="J25" s="115"/>
      <c r="K25" s="115"/>
      <c r="L25" s="115"/>
      <c r="M25" s="113"/>
      <c r="N25" s="26" t="str">
        <f t="shared" si="0"/>
        <v>N/A</v>
      </c>
      <c r="O25" s="351"/>
      <c r="P25" s="366"/>
      <c r="Q25" s="369"/>
      <c r="R25" s="357"/>
    </row>
    <row r="26" spans="1:18" ht="56.25" customHeight="1" x14ac:dyDescent="0.25">
      <c r="A26" s="360"/>
      <c r="B26" s="351"/>
      <c r="C26" s="26" t="str">
        <f>IF(VLOOKUP(B23,PROPONENTES!$B$10:$N$16,8,FALSE)="","",VLOOKUP(B23,PROPONENTES!$B$10:$N$16,8,FALSE))</f>
        <v/>
      </c>
      <c r="D26" s="36">
        <f>VLOOKUP(B23,PROPONENTES!$B$10:$N$16,9,FALSE)</f>
        <v>0</v>
      </c>
      <c r="E26" s="112"/>
      <c r="F26" s="112"/>
      <c r="G26" s="112"/>
      <c r="H26" s="112"/>
      <c r="I26" s="112"/>
      <c r="J26" s="112"/>
      <c r="K26" s="112"/>
      <c r="L26" s="112"/>
      <c r="M26" s="112"/>
      <c r="N26" s="26" t="str">
        <f t="shared" si="0"/>
        <v>N/A</v>
      </c>
      <c r="O26" s="351"/>
      <c r="P26" s="366"/>
      <c r="Q26" s="369"/>
      <c r="R26" s="357"/>
    </row>
    <row r="27" spans="1:18" ht="56.25" customHeight="1" thickBot="1" x14ac:dyDescent="0.3">
      <c r="A27" s="361"/>
      <c r="B27" s="363"/>
      <c r="C27" s="48" t="str">
        <f>IF(VLOOKUP(B23,PROPONENTES!$B$10:$N$16,8,FALSE)="","",VLOOKUP(B23,PROPONENTES!$B$10:$N$16,10,FALSE))</f>
        <v/>
      </c>
      <c r="D27" s="49">
        <f>VLOOKUP(B23,PROPONENTES!$B$10:$N$16,11,FALSE)</f>
        <v>0</v>
      </c>
      <c r="E27" s="116"/>
      <c r="F27" s="116"/>
      <c r="G27" s="116"/>
      <c r="H27" s="116"/>
      <c r="I27" s="116"/>
      <c r="J27" s="116"/>
      <c r="K27" s="116"/>
      <c r="L27" s="116"/>
      <c r="M27" s="116"/>
      <c r="N27" s="48" t="str">
        <f t="shared" si="0"/>
        <v>N/A</v>
      </c>
      <c r="O27" s="363"/>
      <c r="P27" s="367"/>
      <c r="Q27" s="370"/>
      <c r="R27" s="358"/>
    </row>
    <row r="28" spans="1:18" ht="57" customHeight="1" x14ac:dyDescent="0.25">
      <c r="A28" s="359">
        <v>4</v>
      </c>
      <c r="B28" s="362" t="str">
        <f>+PROPONENTES!B13</f>
        <v>ABDO JOSÉ SALGADO AYOLA</v>
      </c>
      <c r="C28" s="43" t="str">
        <f>IF(VLOOKUP(B28,PROPONENTES!$B$10:$N$16,2,FALSE)="","",VLOOKUP(B28,PROPONENTES!$B$10:$N$16,2,FALSE))</f>
        <v>ABDO JOSÉ SALGADO AYOLA</v>
      </c>
      <c r="D28" s="44">
        <f>VLOOKUP(B28,PROPONENTES!$B$10:$N$16,3,FALSE)</f>
        <v>1</v>
      </c>
      <c r="E28" s="107" t="s">
        <v>14</v>
      </c>
      <c r="F28" s="108" t="s">
        <v>14</v>
      </c>
      <c r="G28" s="108" t="s">
        <v>14</v>
      </c>
      <c r="H28" s="109" t="s">
        <v>14</v>
      </c>
      <c r="I28" s="108" t="s">
        <v>14</v>
      </c>
      <c r="J28" s="110" t="s">
        <v>13</v>
      </c>
      <c r="K28" s="110" t="s">
        <v>14</v>
      </c>
      <c r="L28" s="110" t="s">
        <v>14</v>
      </c>
      <c r="M28" s="111" t="s">
        <v>14</v>
      </c>
      <c r="N28" s="43" t="str">
        <f t="shared" si="0"/>
        <v>CUMPLE</v>
      </c>
      <c r="O28" s="364" t="e">
        <f>+'K RESIDUAL CALCULO'!N28</f>
        <v>#DIV/0!</v>
      </c>
      <c r="P28" s="365">
        <f t="shared" ref="P28" si="5">IF($G$9&lt;=12,$C$9-$G$10*$C$9,(($C$9-$G$10)/$G$9)*12)</f>
        <v>0</v>
      </c>
      <c r="Q28" s="368" t="e">
        <f t="shared" ref="Q28" si="6">IF(AND(O28&gt;=P28,OR(N28="CUMPLE",N28="N/A"),OR(N29="CUMPLE",N29="N/A"),OR(N30="CUMPLE",N30="N/A"),OR(N31="CUMPLE",N31="N/A")*OR(N32="CUMPLE",N32="N/A")),"CUMPLE","NO CUMPLE")</f>
        <v>#DIV/0!</v>
      </c>
      <c r="R28" s="356" t="s">
        <v>143</v>
      </c>
    </row>
    <row r="29" spans="1:18" ht="35.25" customHeight="1" x14ac:dyDescent="0.25">
      <c r="A29" s="360"/>
      <c r="B29" s="351"/>
      <c r="C29" s="26" t="str">
        <f>IF(VLOOKUP(B28,PROPONENTES!$B$10:$N$16,4,FALSE)="","",VLOOKUP(B28,PROPONENTES!$B$10:$N$16,4,FALSE))</f>
        <v/>
      </c>
      <c r="D29" s="36">
        <f>VLOOKUP(B28,PROPONENTES!$B$10:$N$16,5,FALSE)</f>
        <v>0</v>
      </c>
      <c r="E29" s="112" t="s">
        <v>14</v>
      </c>
      <c r="F29" s="113" t="s">
        <v>14</v>
      </c>
      <c r="G29" s="113" t="s">
        <v>14</v>
      </c>
      <c r="H29" s="114" t="s">
        <v>15</v>
      </c>
      <c r="I29" s="113" t="s">
        <v>14</v>
      </c>
      <c r="J29" s="115" t="s">
        <v>13</v>
      </c>
      <c r="K29" s="115" t="s">
        <v>14</v>
      </c>
      <c r="L29" s="115" t="s">
        <v>14</v>
      </c>
      <c r="M29" s="113" t="s">
        <v>14</v>
      </c>
      <c r="N29" s="26" t="str">
        <f t="shared" si="0"/>
        <v>N/A</v>
      </c>
      <c r="O29" s="351"/>
      <c r="P29" s="366"/>
      <c r="Q29" s="369"/>
      <c r="R29" s="357"/>
    </row>
    <row r="30" spans="1:18" x14ac:dyDescent="0.25">
      <c r="A30" s="360"/>
      <c r="B30" s="351"/>
      <c r="C30" s="26" t="str">
        <f>IF(VLOOKUP(B28,PROPONENTES!$B$10:$N$16,6,FALSE)="","",VLOOKUP(B28,PROPONENTES!$B$10:$N$16,6,FALSE))</f>
        <v/>
      </c>
      <c r="D30" s="36">
        <f>VLOOKUP(B28,PROPONENTES!$B$10:$N$16,7,FALSE)</f>
        <v>0</v>
      </c>
      <c r="E30" s="112"/>
      <c r="F30" s="113"/>
      <c r="G30" s="113"/>
      <c r="H30" s="114"/>
      <c r="I30" s="113"/>
      <c r="J30" s="115"/>
      <c r="K30" s="115"/>
      <c r="L30" s="115"/>
      <c r="M30" s="113"/>
      <c r="N30" s="26" t="str">
        <f t="shared" si="0"/>
        <v>N/A</v>
      </c>
      <c r="O30" s="351"/>
      <c r="P30" s="366"/>
      <c r="Q30" s="369"/>
      <c r="R30" s="357"/>
    </row>
    <row r="31" spans="1:18" x14ac:dyDescent="0.25">
      <c r="A31" s="360"/>
      <c r="B31" s="351"/>
      <c r="C31" s="26" t="str">
        <f>IF(VLOOKUP(B28,PROPONENTES!$B$10:$N$16,8,FALSE)="","",VLOOKUP(B28,PROPONENTES!$B$10:$N$16,8,FALSE))</f>
        <v/>
      </c>
      <c r="D31" s="36">
        <f>VLOOKUP(B28,PROPONENTES!$B$10:$N$16,9,FALSE)</f>
        <v>0</v>
      </c>
      <c r="E31" s="112"/>
      <c r="F31" s="112"/>
      <c r="G31" s="112"/>
      <c r="H31" s="112"/>
      <c r="I31" s="112"/>
      <c r="J31" s="112"/>
      <c r="K31" s="112"/>
      <c r="L31" s="112"/>
      <c r="M31" s="112"/>
      <c r="N31" s="26" t="str">
        <f t="shared" si="0"/>
        <v>N/A</v>
      </c>
      <c r="O31" s="351"/>
      <c r="P31" s="366"/>
      <c r="Q31" s="369"/>
      <c r="R31" s="357"/>
    </row>
    <row r="32" spans="1:18" ht="15.75" thickBot="1" x14ac:dyDescent="0.3">
      <c r="A32" s="361"/>
      <c r="B32" s="363"/>
      <c r="C32" s="48" t="str">
        <f>IF(VLOOKUP(B28,PROPONENTES!$B$10:$N$16,8,FALSE)="","",VLOOKUP(B28,PROPONENTES!$B$10:$N$16,10,FALSE))</f>
        <v/>
      </c>
      <c r="D32" s="49">
        <f>VLOOKUP(B28,PROPONENTES!$B$10:$N$16,11,FALSE)</f>
        <v>0</v>
      </c>
      <c r="E32" s="116"/>
      <c r="F32" s="116"/>
      <c r="G32" s="116"/>
      <c r="H32" s="116"/>
      <c r="I32" s="116"/>
      <c r="J32" s="116"/>
      <c r="K32" s="116"/>
      <c r="L32" s="116"/>
      <c r="M32" s="116"/>
      <c r="N32" s="48" t="str">
        <f t="shared" si="0"/>
        <v>N/A</v>
      </c>
      <c r="O32" s="363"/>
      <c r="P32" s="367"/>
      <c r="Q32" s="370"/>
      <c r="R32" s="358"/>
    </row>
    <row r="33" spans="1:18" ht="48" customHeight="1" x14ac:dyDescent="0.25">
      <c r="A33" s="359">
        <v>5</v>
      </c>
      <c r="B33" s="362" t="str">
        <f>+PROPONENTES!B14</f>
        <v>PRODEINCOL S.A.S.</v>
      </c>
      <c r="C33" s="43" t="str">
        <f>IF(VLOOKUP(B33,PROPONENTES!$B$10:$N$16,2,FALSE)="","",VLOOKUP(B33,PROPONENTES!$B$10:$N$16,2,FALSE))</f>
        <v>PRODEINCOL S.A.S.</v>
      </c>
      <c r="D33" s="44">
        <f>VLOOKUP(B33,PROPONENTES!$B$10:$N$16,3,FALSE)</f>
        <v>1</v>
      </c>
      <c r="E33" s="107" t="s">
        <v>14</v>
      </c>
      <c r="F33" s="108" t="s">
        <v>15</v>
      </c>
      <c r="G33" s="108" t="s">
        <v>15</v>
      </c>
      <c r="H33" s="108" t="s">
        <v>15</v>
      </c>
      <c r="I33" s="108" t="s">
        <v>15</v>
      </c>
      <c r="J33" s="110" t="s">
        <v>13</v>
      </c>
      <c r="K33" s="110" t="s">
        <v>15</v>
      </c>
      <c r="L33" s="110" t="s">
        <v>15</v>
      </c>
      <c r="M33" s="111" t="s">
        <v>15</v>
      </c>
      <c r="N33" s="43" t="str">
        <f t="shared" si="0"/>
        <v>NO CUMPLE</v>
      </c>
      <c r="O33" s="364" t="e">
        <f>+'K RESIDUAL CALCULO'!N33</f>
        <v>#DIV/0!</v>
      </c>
      <c r="P33" s="365">
        <f t="shared" ref="P33" si="7">IF($G$9&lt;=12,$C$9-$G$10*$C$9,(($C$9-$G$10)/$G$9)*12)</f>
        <v>0</v>
      </c>
      <c r="Q33" s="368" t="e">
        <f t="shared" ref="Q33" si="8">IF(AND(O33&gt;=P33,OR(N33="CUMPLE",N33="N/A"),OR(N34="CUMPLE",N34="N/A"),OR(N35="CUMPLE",N35="N/A"),OR(N36="CUMPLE",N36="N/A")*OR(N37="CUMPLE",N37="N/A")),"CUMPLE","NO CUMPLE")</f>
        <v>#DIV/0!</v>
      </c>
      <c r="R33" s="356" t="s">
        <v>144</v>
      </c>
    </row>
    <row r="34" spans="1:18" ht="36.75" customHeight="1" x14ac:dyDescent="0.25">
      <c r="A34" s="360"/>
      <c r="B34" s="351"/>
      <c r="C34" s="26" t="str">
        <f>IF(VLOOKUP(B33,PROPONENTES!$B$10:$N$16,4,FALSE)="","",VLOOKUP(B33,PROPONENTES!$B$10:$N$16,4,FALSE))</f>
        <v/>
      </c>
      <c r="D34" s="36">
        <f>VLOOKUP(B33,PROPONENTES!$B$10:$N$16,5,FALSE)</f>
        <v>0</v>
      </c>
      <c r="E34" s="112" t="s">
        <v>14</v>
      </c>
      <c r="F34" s="113" t="s">
        <v>15</v>
      </c>
      <c r="G34" s="113" t="s">
        <v>15</v>
      </c>
      <c r="H34" s="114" t="s">
        <v>15</v>
      </c>
      <c r="I34" s="113" t="s">
        <v>15</v>
      </c>
      <c r="J34" s="115" t="s">
        <v>13</v>
      </c>
      <c r="K34" s="115" t="s">
        <v>15</v>
      </c>
      <c r="L34" s="115" t="s">
        <v>15</v>
      </c>
      <c r="M34" s="113" t="s">
        <v>14</v>
      </c>
      <c r="N34" s="26" t="str">
        <f t="shared" si="0"/>
        <v>N/A</v>
      </c>
      <c r="O34" s="351"/>
      <c r="P34" s="366"/>
      <c r="Q34" s="369"/>
      <c r="R34" s="357"/>
    </row>
    <row r="35" spans="1:18" x14ac:dyDescent="0.25">
      <c r="A35" s="360"/>
      <c r="B35" s="351"/>
      <c r="C35" s="26" t="str">
        <f>IF(VLOOKUP(B33,PROPONENTES!$B$10:$N$16,6,FALSE)="","",VLOOKUP(B33,PROPONENTES!$B$10:$N$16,6,FALSE))</f>
        <v/>
      </c>
      <c r="D35" s="36">
        <f>VLOOKUP(B33,PROPONENTES!$B$10:$N$16,7,FALSE)</f>
        <v>0</v>
      </c>
      <c r="E35" s="112"/>
      <c r="F35" s="113"/>
      <c r="G35" s="113"/>
      <c r="H35" s="114"/>
      <c r="I35" s="113"/>
      <c r="J35" s="115"/>
      <c r="K35" s="115"/>
      <c r="L35" s="115"/>
      <c r="M35" s="113"/>
      <c r="N35" s="26" t="str">
        <f t="shared" si="0"/>
        <v>N/A</v>
      </c>
      <c r="O35" s="351"/>
      <c r="P35" s="366"/>
      <c r="Q35" s="369"/>
      <c r="R35" s="357"/>
    </row>
    <row r="36" spans="1:18" x14ac:dyDescent="0.25">
      <c r="A36" s="360"/>
      <c r="B36" s="351"/>
      <c r="C36" s="26" t="str">
        <f>IF(VLOOKUP(B33,PROPONENTES!$B$10:$N$16,8,FALSE)="","",VLOOKUP(B33,PROPONENTES!$B$10:$N$16,8,FALSE))</f>
        <v/>
      </c>
      <c r="D36" s="36">
        <f>VLOOKUP(B33,PROPONENTES!$B$10:$N$16,9,FALSE)</f>
        <v>0</v>
      </c>
      <c r="E36" s="112"/>
      <c r="F36" s="112"/>
      <c r="G36" s="112"/>
      <c r="H36" s="112"/>
      <c r="I36" s="112"/>
      <c r="J36" s="112"/>
      <c r="K36" s="112"/>
      <c r="L36" s="112"/>
      <c r="M36" s="112"/>
      <c r="N36" s="26" t="str">
        <f t="shared" si="0"/>
        <v>N/A</v>
      </c>
      <c r="O36" s="351"/>
      <c r="P36" s="366"/>
      <c r="Q36" s="369"/>
      <c r="R36" s="357"/>
    </row>
    <row r="37" spans="1:18" ht="15.75" thickBot="1" x14ac:dyDescent="0.3">
      <c r="A37" s="361"/>
      <c r="B37" s="363"/>
      <c r="C37" s="48" t="str">
        <f>IF(VLOOKUP(B33,PROPONENTES!$B$10:$N$16,8,FALSE)="","",VLOOKUP(B33,PROPONENTES!$B$10:$N$16,10,FALSE))</f>
        <v/>
      </c>
      <c r="D37" s="49">
        <f>VLOOKUP(B33,PROPONENTES!$B$10:$N$16,11,FALSE)</f>
        <v>0</v>
      </c>
      <c r="E37" s="116"/>
      <c r="F37" s="116"/>
      <c r="G37" s="116"/>
      <c r="H37" s="116"/>
      <c r="I37" s="116"/>
      <c r="J37" s="116"/>
      <c r="K37" s="116"/>
      <c r="L37" s="116"/>
      <c r="M37" s="116"/>
      <c r="N37" s="48" t="str">
        <f t="shared" si="0"/>
        <v>N/A</v>
      </c>
      <c r="O37" s="363"/>
      <c r="P37" s="367"/>
      <c r="Q37" s="370"/>
      <c r="R37" s="358"/>
    </row>
    <row r="38" spans="1:18" ht="60" customHeight="1" x14ac:dyDescent="0.25">
      <c r="A38" s="359">
        <v>6</v>
      </c>
      <c r="B38" s="362" t="str">
        <f>+PROPONENTES!B15</f>
        <v>CONSORCIO INTERVEP KM</v>
      </c>
      <c r="C38" s="43" t="str">
        <f>IF(VLOOKUP(B38,PROPONENTES!$B$10:$N$16,2,FALSE)="","",VLOOKUP(B38,PROPONENTES!$B$10:$N$16,2,FALSE))</f>
        <v>KALPA INGENIERIA SAS SOCIEDAD DE BENEFICIO E INTERES COLECTIVO - BIC</v>
      </c>
      <c r="D38" s="44">
        <f>VLOOKUP(B38,PROPONENTES!$B$10:$N$16,3,FALSE)</f>
        <v>0.99</v>
      </c>
      <c r="E38" s="107" t="s">
        <v>14</v>
      </c>
      <c r="F38" s="108" t="s">
        <v>14</v>
      </c>
      <c r="G38" s="108" t="s">
        <v>14</v>
      </c>
      <c r="H38" s="109" t="s">
        <v>14</v>
      </c>
      <c r="I38" s="108" t="s">
        <v>15</v>
      </c>
      <c r="J38" s="110" t="s">
        <v>13</v>
      </c>
      <c r="K38" s="110" t="s">
        <v>14</v>
      </c>
      <c r="L38" s="110" t="s">
        <v>14</v>
      </c>
      <c r="M38" s="111" t="s">
        <v>14</v>
      </c>
      <c r="N38" s="43" t="str">
        <f t="shared" si="0"/>
        <v>NO CUMPLE</v>
      </c>
      <c r="O38" s="364" t="e">
        <f>+'K RESIDUAL CALCULO'!N38</f>
        <v>#DIV/0!</v>
      </c>
      <c r="P38" s="365">
        <f t="shared" ref="P38" si="9">IF($G$9&lt;=12,$C$9-$G$10*$C$9,(($C$9-$G$10)/$G$9)*12)</f>
        <v>0</v>
      </c>
      <c r="Q38" s="368" t="e">
        <f t="shared" ref="Q38" si="10">IF(AND(O38&gt;=P38,OR(N38="CUMPLE",N38="N/A"),OR(N39="CUMPLE",N39="N/A"),OR(N40="CUMPLE",N40="N/A"),OR(N41="CUMPLE",N41="N/A")*OR(N42="CUMPLE",N42="N/A")),"CUMPLE","NO CUMPLE")</f>
        <v>#DIV/0!</v>
      </c>
      <c r="R38" s="356" t="s">
        <v>139</v>
      </c>
    </row>
    <row r="39" spans="1:18" ht="60" customHeight="1" x14ac:dyDescent="0.25">
      <c r="A39" s="360"/>
      <c r="B39" s="351"/>
      <c r="C39" s="26" t="str">
        <f>IF(VLOOKUP(B38,PROPONENTES!$B$10:$N$16,4,FALSE)="","",VLOOKUP(B38,PROPONENTES!$B$10:$N$16,4,FALSE))</f>
        <v xml:space="preserve"> MEDINA &amp; RIVERA INGENIEROS ASOCIADOS SAS</v>
      </c>
      <c r="D39" s="36">
        <f>VLOOKUP(B38,PROPONENTES!$B$10:$N$16,5,FALSE)</f>
        <v>0.01</v>
      </c>
      <c r="E39" s="112"/>
      <c r="F39" s="113"/>
      <c r="G39" s="113"/>
      <c r="H39" s="114"/>
      <c r="I39" s="113"/>
      <c r="J39" s="115"/>
      <c r="K39" s="115"/>
      <c r="L39" s="115"/>
      <c r="M39" s="113"/>
      <c r="N39" s="26" t="str">
        <f t="shared" si="0"/>
        <v>NO CUMPLE</v>
      </c>
      <c r="O39" s="351"/>
      <c r="P39" s="366"/>
      <c r="Q39" s="369"/>
      <c r="R39" s="357"/>
    </row>
    <row r="40" spans="1:18" ht="60" customHeight="1" x14ac:dyDescent="0.25">
      <c r="A40" s="360"/>
      <c r="B40" s="351"/>
      <c r="C40" s="26" t="str">
        <f>IF(VLOOKUP(B38,PROPONENTES!$B$10:$N$16,6,FALSE)="","",VLOOKUP(B38,PROPONENTES!$B$10:$N$16,6,FALSE))</f>
        <v/>
      </c>
      <c r="D40" s="36">
        <f>VLOOKUP(B38,PROPONENTES!$B$10:$N$16,7,FALSE)</f>
        <v>0</v>
      </c>
      <c r="E40" s="112"/>
      <c r="F40" s="113"/>
      <c r="G40" s="113"/>
      <c r="H40" s="114"/>
      <c r="I40" s="113"/>
      <c r="J40" s="115"/>
      <c r="K40" s="115"/>
      <c r="L40" s="115"/>
      <c r="M40" s="113"/>
      <c r="N40" s="26" t="str">
        <f t="shared" si="0"/>
        <v>N/A</v>
      </c>
      <c r="O40" s="351"/>
      <c r="P40" s="366"/>
      <c r="Q40" s="369"/>
      <c r="R40" s="357"/>
    </row>
    <row r="41" spans="1:18" ht="60" customHeight="1" x14ac:dyDescent="0.25">
      <c r="A41" s="360"/>
      <c r="B41" s="351"/>
      <c r="C41" s="26" t="str">
        <f>IF(VLOOKUP(B38,PROPONENTES!$B$10:$N$16,8,FALSE)="","",VLOOKUP(B38,PROPONENTES!$B$10:$N$16,8,FALSE))</f>
        <v/>
      </c>
      <c r="D41" s="36">
        <f>VLOOKUP(B38,PROPONENTES!$B$10:$N$16,9,FALSE)</f>
        <v>0</v>
      </c>
      <c r="E41" s="112"/>
      <c r="F41" s="112"/>
      <c r="G41" s="112"/>
      <c r="H41" s="112"/>
      <c r="I41" s="112"/>
      <c r="J41" s="112"/>
      <c r="K41" s="112"/>
      <c r="L41" s="112"/>
      <c r="M41" s="112"/>
      <c r="N41" s="26" t="str">
        <f t="shared" si="0"/>
        <v>N/A</v>
      </c>
      <c r="O41" s="351"/>
      <c r="P41" s="366"/>
      <c r="Q41" s="369"/>
      <c r="R41" s="357"/>
    </row>
    <row r="42" spans="1:18" ht="60" customHeight="1" thickBot="1" x14ac:dyDescent="0.3">
      <c r="A42" s="361"/>
      <c r="B42" s="363"/>
      <c r="C42" s="48" t="str">
        <f>IF(VLOOKUP(B38,PROPONENTES!$B$10:$N$16,8,FALSE)="","",VLOOKUP(B38,PROPONENTES!$B$10:$N$16,10,FALSE))</f>
        <v/>
      </c>
      <c r="D42" s="49">
        <f>VLOOKUP(B38,PROPONENTES!$B$10:$N$16,11,FALSE)</f>
        <v>0</v>
      </c>
      <c r="E42" s="116"/>
      <c r="F42" s="116"/>
      <c r="G42" s="116"/>
      <c r="H42" s="116"/>
      <c r="I42" s="116"/>
      <c r="J42" s="116"/>
      <c r="K42" s="116"/>
      <c r="L42" s="116"/>
      <c r="M42" s="116"/>
      <c r="N42" s="48" t="str">
        <f t="shared" si="0"/>
        <v>N/A</v>
      </c>
      <c r="O42" s="363"/>
      <c r="P42" s="367"/>
      <c r="Q42" s="370"/>
      <c r="R42" s="358"/>
    </row>
    <row r="43" spans="1:18" ht="68.25" customHeight="1" x14ac:dyDescent="0.25">
      <c r="A43" s="359">
        <v>7</v>
      </c>
      <c r="B43" s="362" t="str">
        <f>+PROPONENTES!B16</f>
        <v>CONSULTORES DEL OCCIDENTE SAS</v>
      </c>
      <c r="C43" s="43" t="str">
        <f>IF(VLOOKUP(B43,PROPONENTES!$B$10:$N$16,2,FALSE)="","",VLOOKUP(B43,PROPONENTES!$B$10:$N$16,2,FALSE))</f>
        <v>CONSULTORES DEL OCCIDENTE SAS</v>
      </c>
      <c r="D43" s="44">
        <f>VLOOKUP(B43,PROPONENTES!$B$10:$N$16,3,FALSE)</f>
        <v>1</v>
      </c>
      <c r="E43" s="107" t="s">
        <v>14</v>
      </c>
      <c r="F43" s="108" t="s">
        <v>14</v>
      </c>
      <c r="G43" s="108" t="s">
        <v>14</v>
      </c>
      <c r="H43" s="109" t="s">
        <v>15</v>
      </c>
      <c r="I43" s="108" t="s">
        <v>15</v>
      </c>
      <c r="J43" s="110" t="s">
        <v>13</v>
      </c>
      <c r="K43" s="110" t="s">
        <v>14</v>
      </c>
      <c r="L43" s="110" t="s">
        <v>14</v>
      </c>
      <c r="M43" s="111" t="s">
        <v>14</v>
      </c>
      <c r="N43" s="43" t="str">
        <f t="shared" si="0"/>
        <v>NO CUMPLE</v>
      </c>
      <c r="O43" s="364" t="e">
        <f>+'K RESIDUAL CALCULO'!N43</f>
        <v>#DIV/0!</v>
      </c>
      <c r="P43" s="365">
        <f t="shared" ref="P43" si="11">IF($G$9&lt;=12,$C$9-$G$10*$C$9,(($C$9-$G$10)/$G$9)*12)</f>
        <v>0</v>
      </c>
      <c r="Q43" s="368" t="e">
        <f t="shared" ref="Q43" si="12">IF(AND(O43&gt;=P43,OR(N43="CUMPLE",N43="N/A"),OR(N44="CUMPLE",N44="N/A"),OR(N45="CUMPLE",N45="N/A"),OR(N46="CUMPLE",N46="N/A")*OR(N47="CUMPLE",N47="N/A")),"CUMPLE","NO CUMPLE")</f>
        <v>#DIV/0!</v>
      </c>
      <c r="R43" s="356" t="s">
        <v>140</v>
      </c>
    </row>
    <row r="44" spans="1:18" ht="68.25" customHeight="1" x14ac:dyDescent="0.25">
      <c r="A44" s="360"/>
      <c r="B44" s="351"/>
      <c r="C44" s="26" t="str">
        <f>IF(VLOOKUP(B43,PROPONENTES!$B$10:$N$16,4,FALSE)="","",VLOOKUP(B43,PROPONENTES!$B$10:$N$16,4,FALSE))</f>
        <v/>
      </c>
      <c r="D44" s="36">
        <f>VLOOKUP(B43,PROPONENTES!$B$10:$N$16,5,FALSE)</f>
        <v>0</v>
      </c>
      <c r="E44" s="112" t="s">
        <v>14</v>
      </c>
      <c r="F44" s="113" t="s">
        <v>14</v>
      </c>
      <c r="G44" s="113" t="s">
        <v>14</v>
      </c>
      <c r="H44" s="114" t="s">
        <v>15</v>
      </c>
      <c r="I44" s="113" t="s">
        <v>15</v>
      </c>
      <c r="J44" s="115" t="s">
        <v>13</v>
      </c>
      <c r="K44" s="115" t="s">
        <v>14</v>
      </c>
      <c r="L44" s="115" t="s">
        <v>14</v>
      </c>
      <c r="M44" s="113" t="s">
        <v>14</v>
      </c>
      <c r="N44" s="26" t="str">
        <f t="shared" si="0"/>
        <v>N/A</v>
      </c>
      <c r="O44" s="351"/>
      <c r="P44" s="366"/>
      <c r="Q44" s="369"/>
      <c r="R44" s="357"/>
    </row>
    <row r="45" spans="1:18" ht="68.25" customHeight="1" x14ac:dyDescent="0.25">
      <c r="A45" s="360"/>
      <c r="B45" s="351"/>
      <c r="C45" s="26" t="str">
        <f>IF(VLOOKUP(B43,PROPONENTES!$B$10:$N$16,6,FALSE)="","",VLOOKUP(B43,PROPONENTES!$B$10:$N$16,6,FALSE))</f>
        <v/>
      </c>
      <c r="D45" s="36">
        <f>VLOOKUP(B43,PROPONENTES!$B$10:$N$16,7,FALSE)</f>
        <v>0</v>
      </c>
      <c r="E45" s="112"/>
      <c r="F45" s="113"/>
      <c r="G45" s="113"/>
      <c r="H45" s="114"/>
      <c r="I45" s="113"/>
      <c r="J45" s="115"/>
      <c r="K45" s="115"/>
      <c r="L45" s="115"/>
      <c r="M45" s="113"/>
      <c r="N45" s="26" t="str">
        <f t="shared" si="0"/>
        <v>N/A</v>
      </c>
      <c r="O45" s="351"/>
      <c r="P45" s="366"/>
      <c r="Q45" s="369"/>
      <c r="R45" s="357"/>
    </row>
    <row r="46" spans="1:18" ht="68.25" customHeight="1" x14ac:dyDescent="0.25">
      <c r="A46" s="360"/>
      <c r="B46" s="351"/>
      <c r="C46" s="26" t="str">
        <f>IF(VLOOKUP(B43,PROPONENTES!$B$10:$N$16,8,FALSE)="","",VLOOKUP(B43,PROPONENTES!$B$10:$N$16,8,FALSE))</f>
        <v/>
      </c>
      <c r="D46" s="36">
        <f>VLOOKUP(B43,PROPONENTES!$B$10:$N$16,9,FALSE)</f>
        <v>0</v>
      </c>
      <c r="E46" s="112"/>
      <c r="F46" s="112"/>
      <c r="G46" s="112"/>
      <c r="H46" s="112"/>
      <c r="I46" s="112"/>
      <c r="J46" s="112"/>
      <c r="K46" s="112"/>
      <c r="L46" s="112"/>
      <c r="M46" s="112"/>
      <c r="N46" s="26" t="str">
        <f t="shared" si="0"/>
        <v>N/A</v>
      </c>
      <c r="O46" s="351"/>
      <c r="P46" s="366"/>
      <c r="Q46" s="369"/>
      <c r="R46" s="357"/>
    </row>
    <row r="47" spans="1:18" ht="68.25" customHeight="1" thickBot="1" x14ac:dyDescent="0.3">
      <c r="A47" s="361"/>
      <c r="B47" s="363"/>
      <c r="C47" s="48" t="str">
        <f>IF(VLOOKUP(B43,PROPONENTES!$B$10:$N$16,8,FALSE)="","",VLOOKUP(B43,PROPONENTES!$B$10:$N$16,10,FALSE))</f>
        <v/>
      </c>
      <c r="D47" s="49">
        <f>VLOOKUP(B43,PROPONENTES!$B$10:$N$16,11,FALSE)</f>
        <v>0</v>
      </c>
      <c r="E47" s="116"/>
      <c r="F47" s="116"/>
      <c r="G47" s="116"/>
      <c r="H47" s="116"/>
      <c r="I47" s="116"/>
      <c r="J47" s="116"/>
      <c r="K47" s="116"/>
      <c r="L47" s="116"/>
      <c r="M47" s="116"/>
      <c r="N47" s="48" t="str">
        <f t="shared" si="0"/>
        <v>N/A</v>
      </c>
      <c r="O47" s="363"/>
      <c r="P47" s="367"/>
      <c r="Q47" s="370"/>
      <c r="R47" s="358"/>
    </row>
  </sheetData>
  <sheetProtection algorithmName="SHA-512" hashValue="eT0AsGeT8/Q0kz8SETKwhudraQhBiO71NegTTm1N9NKuDoLjRBbGtAgkH6C19d3irXa3GLNr+wd1qT3DUvUMlg==" saltValue="Tbf0rTb7wyQqTlrwv5I32Q==" spinCount="100000" sheet="1" objects="1" scenarios="1" formatCells="0" formatColumns="0" formatRows="0"/>
  <mergeCells count="58">
    <mergeCell ref="R23:R27"/>
    <mergeCell ref="R28:R32"/>
    <mergeCell ref="R33:R37"/>
    <mergeCell ref="R38:R42"/>
    <mergeCell ref="R43:R47"/>
    <mergeCell ref="A43:A47"/>
    <mergeCell ref="B43:B47"/>
    <mergeCell ref="O43:O47"/>
    <mergeCell ref="P43:P47"/>
    <mergeCell ref="Q43:Q47"/>
    <mergeCell ref="A38:A42"/>
    <mergeCell ref="B38:B42"/>
    <mergeCell ref="O38:O42"/>
    <mergeCell ref="P38:P42"/>
    <mergeCell ref="Q38:Q42"/>
    <mergeCell ref="A33:A37"/>
    <mergeCell ref="B33:B37"/>
    <mergeCell ref="O33:O37"/>
    <mergeCell ref="P33:P37"/>
    <mergeCell ref="Q33:Q37"/>
    <mergeCell ref="A28:A32"/>
    <mergeCell ref="B28:B32"/>
    <mergeCell ref="O28:O32"/>
    <mergeCell ref="P28:P32"/>
    <mergeCell ref="Q28:Q32"/>
    <mergeCell ref="A23:A27"/>
    <mergeCell ref="B23:B27"/>
    <mergeCell ref="O23:O27"/>
    <mergeCell ref="P23:P27"/>
    <mergeCell ref="Q23:Q27"/>
    <mergeCell ref="R13:R17"/>
    <mergeCell ref="A18:A22"/>
    <mergeCell ref="B18:B22"/>
    <mergeCell ref="O18:O22"/>
    <mergeCell ref="P18:P22"/>
    <mergeCell ref="Q18:Q22"/>
    <mergeCell ref="R18:R22"/>
    <mergeCell ref="A13:A17"/>
    <mergeCell ref="B13:B17"/>
    <mergeCell ref="O13:O17"/>
    <mergeCell ref="P13:P17"/>
    <mergeCell ref="Q13:Q17"/>
    <mergeCell ref="A6:B6"/>
    <mergeCell ref="D6:F6"/>
    <mergeCell ref="A10:B10"/>
    <mergeCell ref="C10:E10"/>
    <mergeCell ref="A2:R2"/>
    <mergeCell ref="A3:R3"/>
    <mergeCell ref="A4:R4"/>
    <mergeCell ref="A5:R5"/>
    <mergeCell ref="H6:R6"/>
    <mergeCell ref="A8:B8"/>
    <mergeCell ref="A9:B9"/>
    <mergeCell ref="C9:E9"/>
    <mergeCell ref="A7:R7"/>
    <mergeCell ref="C8:R8"/>
    <mergeCell ref="H9:R9"/>
    <mergeCell ref="H10:R10"/>
  </mergeCells>
  <conditionalFormatting sqref="Q13">
    <cfRule type="cellIs" dxfId="2128" priority="16" operator="equal">
      <formula>"CUMPLE"</formula>
    </cfRule>
    <cfRule type="cellIs" dxfId="2127" priority="17" operator="equal">
      <formula>"NO CUMPLE"</formula>
    </cfRule>
    <cfRule type="cellIs" dxfId="2126" priority="18" operator="equal">
      <formula>"""CUMPLE"""</formula>
    </cfRule>
  </conditionalFormatting>
  <conditionalFormatting sqref="Q18 Q23 Q28 Q33 Q38 Q43">
    <cfRule type="cellIs" dxfId="2125" priority="1" operator="equal">
      <formula>"CUMPLE"</formula>
    </cfRule>
    <cfRule type="cellIs" dxfId="2124" priority="2" operator="equal">
      <formula>"NO CUMPLE"</formula>
    </cfRule>
    <cfRule type="cellIs" dxfId="2123" priority="3" operator="equal">
      <formula>"""CUMPLE"""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'DATOS INICIALES'!$A$50:$A$52</xm:f>
          </x14:formula1>
          <xm:sqref>E13:M47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2"/>
  <sheetViews>
    <sheetView topLeftCell="A7" zoomScale="70" zoomScaleNormal="70" workbookViewId="0">
      <selection activeCell="E33" sqref="E33"/>
    </sheetView>
    <sheetView workbookViewId="1"/>
  </sheetViews>
  <sheetFormatPr baseColWidth="10" defaultColWidth="11.42578125" defaultRowHeight="15" x14ac:dyDescent="0.25"/>
  <cols>
    <col min="1" max="1" width="4.140625" style="16" customWidth="1"/>
    <col min="2" max="2" width="26.85546875" style="16" customWidth="1"/>
    <col min="3" max="3" width="22.7109375" style="16" customWidth="1"/>
    <col min="4" max="4" width="12" style="37" customWidth="1"/>
    <col min="5" max="5" width="12" style="56" customWidth="1"/>
    <col min="6" max="6" width="29.85546875" style="16" customWidth="1"/>
    <col min="7" max="7" width="21.85546875" style="16" customWidth="1"/>
    <col min="8" max="8" width="26.42578125" style="16" customWidth="1"/>
    <col min="9" max="12" width="16.42578125" style="16" customWidth="1"/>
    <col min="13" max="13" width="16.42578125" style="16" bestFit="1" customWidth="1"/>
    <col min="14" max="14" width="19.5703125" style="16" customWidth="1"/>
    <col min="15" max="15" width="26.42578125" style="16" customWidth="1"/>
    <col min="16" max="16384" width="11.42578125" style="16"/>
  </cols>
  <sheetData>
    <row r="1" spans="1:16" x14ac:dyDescent="0.25">
      <c r="B1"/>
      <c r="C1"/>
      <c r="D1"/>
      <c r="E1"/>
      <c r="F1"/>
      <c r="G1"/>
      <c r="H1"/>
      <c r="I1"/>
      <c r="J1"/>
      <c r="K1"/>
      <c r="L1"/>
      <c r="M1"/>
      <c r="N1"/>
      <c r="O1"/>
    </row>
    <row r="2" spans="1:16" ht="18.75" x14ac:dyDescent="0.3">
      <c r="A2" s="268" t="s">
        <v>22</v>
      </c>
      <c r="B2" s="268"/>
      <c r="C2" s="268"/>
      <c r="D2" s="268"/>
      <c r="E2" s="268"/>
      <c r="F2" s="268"/>
      <c r="G2" s="268"/>
      <c r="H2" s="268"/>
      <c r="I2" s="268"/>
      <c r="J2" s="268"/>
      <c r="K2" s="268"/>
      <c r="L2" s="268"/>
      <c r="M2" s="268"/>
      <c r="N2" s="268"/>
      <c r="O2" s="268"/>
      <c r="P2" s="268"/>
    </row>
    <row r="3" spans="1:16" x14ac:dyDescent="0.25">
      <c r="A3" s="351"/>
      <c r="B3" s="351"/>
      <c r="C3" s="351"/>
      <c r="D3" s="351"/>
      <c r="E3" s="351"/>
      <c r="F3" s="351"/>
      <c r="G3" s="351"/>
      <c r="H3" s="351"/>
      <c r="I3" s="351"/>
      <c r="J3" s="351"/>
      <c r="K3" s="351"/>
      <c r="L3" s="351"/>
      <c r="M3" s="351"/>
      <c r="N3" s="351"/>
      <c r="O3" s="351"/>
      <c r="P3" s="351"/>
    </row>
    <row r="4" spans="1:16" ht="18.75" x14ac:dyDescent="0.3">
      <c r="A4" s="268" t="str">
        <f>'DATOS INICIALES'!G4</f>
        <v xml:space="preserve"> FDLK-CMA-003-2024</v>
      </c>
      <c r="B4" s="268"/>
      <c r="C4" s="268"/>
      <c r="D4" s="268"/>
      <c r="E4" s="268"/>
      <c r="F4" s="268"/>
      <c r="G4" s="268"/>
      <c r="H4" s="268"/>
      <c r="I4" s="268"/>
      <c r="J4" s="268"/>
      <c r="K4" s="268"/>
      <c r="L4" s="268"/>
      <c r="M4" s="268"/>
      <c r="N4" s="268"/>
      <c r="O4" s="268"/>
      <c r="P4" s="268"/>
    </row>
    <row r="5" spans="1:16" x14ac:dyDescent="0.25">
      <c r="A5" s="351"/>
      <c r="B5" s="351"/>
      <c r="C5" s="351"/>
      <c r="D5" s="351"/>
      <c r="E5" s="351"/>
      <c r="F5" s="351"/>
      <c r="G5" s="351"/>
      <c r="H5" s="351"/>
      <c r="I5" s="351"/>
      <c r="J5" s="351"/>
      <c r="K5" s="351"/>
      <c r="L5" s="351"/>
      <c r="M5" s="351"/>
      <c r="N5" s="351"/>
      <c r="O5" s="351"/>
      <c r="P5" s="351"/>
    </row>
    <row r="6" spans="1:16" x14ac:dyDescent="0.25">
      <c r="A6" s="347" t="s">
        <v>30</v>
      </c>
      <c r="B6" s="347"/>
      <c r="C6" s="63" t="s">
        <v>52</v>
      </c>
      <c r="D6" s="348" t="s">
        <v>66</v>
      </c>
      <c r="E6" s="348"/>
      <c r="F6" s="348"/>
      <c r="G6" s="85">
        <v>44498</v>
      </c>
      <c r="H6" s="383"/>
      <c r="I6" s="384"/>
      <c r="J6" s="384"/>
      <c r="K6" s="384"/>
      <c r="L6" s="384"/>
      <c r="M6" s="384"/>
      <c r="N6" s="384"/>
      <c r="O6" s="384"/>
      <c r="P6" s="385"/>
    </row>
    <row r="7" spans="1:16" x14ac:dyDescent="0.25">
      <c r="A7" s="354" t="s">
        <v>85</v>
      </c>
      <c r="B7" s="354"/>
      <c r="C7" s="354"/>
      <c r="D7" s="354"/>
      <c r="E7" s="354"/>
      <c r="F7" s="354"/>
      <c r="G7" s="354"/>
      <c r="H7" s="354"/>
      <c r="I7" s="354"/>
      <c r="J7" s="354"/>
      <c r="K7" s="354"/>
      <c r="L7" s="354"/>
      <c r="M7" s="354"/>
      <c r="N7" s="354"/>
      <c r="O7" s="354"/>
      <c r="P7" s="354"/>
    </row>
    <row r="8" spans="1:16" ht="36" customHeight="1" x14ac:dyDescent="0.25">
      <c r="A8" s="349" t="s">
        <v>23</v>
      </c>
      <c r="B8" s="349"/>
      <c r="C8" s="38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86"/>
      <c r="E8" s="386"/>
      <c r="F8" s="386"/>
      <c r="G8" s="386"/>
      <c r="H8" s="386"/>
      <c r="I8" s="386"/>
      <c r="J8" s="386"/>
      <c r="K8" s="386"/>
      <c r="L8" s="386"/>
      <c r="M8" s="386"/>
      <c r="N8" s="386"/>
      <c r="O8" s="386"/>
      <c r="P8" s="386"/>
    </row>
    <row r="9" spans="1:16" x14ac:dyDescent="0.25">
      <c r="A9" s="349" t="s">
        <v>64</v>
      </c>
      <c r="B9" s="349"/>
      <c r="C9" s="381">
        <f>+'DATOS INICIALES'!C6</f>
        <v>0</v>
      </c>
      <c r="D9" s="381"/>
      <c r="E9" s="381"/>
      <c r="F9" s="117" t="s">
        <v>91</v>
      </c>
      <c r="G9" s="118">
        <v>4</v>
      </c>
      <c r="H9" s="381"/>
      <c r="I9" s="381"/>
      <c r="J9" s="381"/>
      <c r="K9" s="381"/>
      <c r="L9" s="381"/>
      <c r="M9" s="381"/>
      <c r="N9" s="381"/>
      <c r="O9" s="381"/>
      <c r="P9" s="381"/>
    </row>
    <row r="10" spans="1:16" x14ac:dyDescent="0.25">
      <c r="A10" s="349" t="s">
        <v>65</v>
      </c>
      <c r="B10" s="349"/>
      <c r="C10" s="382">
        <f>C9/'DATOS INICIALES'!B43</f>
        <v>0</v>
      </c>
      <c r="D10" s="382"/>
      <c r="E10" s="382"/>
      <c r="F10" s="119" t="s">
        <v>92</v>
      </c>
      <c r="G10" s="120">
        <v>0</v>
      </c>
      <c r="H10" s="382"/>
      <c r="I10" s="382"/>
      <c r="J10" s="382"/>
      <c r="K10" s="382"/>
      <c r="L10" s="382"/>
      <c r="M10" s="382"/>
      <c r="N10" s="382"/>
      <c r="O10" s="382"/>
      <c r="P10" s="382"/>
    </row>
    <row r="11" spans="1:16" ht="9" customHeight="1" x14ac:dyDescent="0.25">
      <c r="E11" s="37"/>
    </row>
    <row r="12" spans="1:16" ht="86.25" customHeight="1" thickBot="1" x14ac:dyDescent="0.3">
      <c r="A12" s="42" t="s">
        <v>77</v>
      </c>
      <c r="B12" s="42" t="s">
        <v>24</v>
      </c>
      <c r="C12" s="42" t="s">
        <v>59</v>
      </c>
      <c r="D12" s="42" t="s">
        <v>78</v>
      </c>
      <c r="E12" s="42" t="s">
        <v>88</v>
      </c>
      <c r="F12" s="42" t="s">
        <v>86</v>
      </c>
      <c r="G12" s="42" t="s">
        <v>79</v>
      </c>
      <c r="H12" s="42" t="s">
        <v>80</v>
      </c>
      <c r="I12" s="42" t="s">
        <v>81</v>
      </c>
      <c r="J12" s="42" t="s">
        <v>87</v>
      </c>
      <c r="K12" s="42" t="s">
        <v>89</v>
      </c>
      <c r="L12" s="42" t="s">
        <v>90</v>
      </c>
      <c r="M12" s="42" t="s">
        <v>82</v>
      </c>
      <c r="N12" s="42" t="s">
        <v>83</v>
      </c>
      <c r="O12" s="42" t="s">
        <v>84</v>
      </c>
      <c r="P12" s="42" t="s">
        <v>69</v>
      </c>
    </row>
    <row r="13" spans="1:16" ht="48" customHeight="1" x14ac:dyDescent="0.25">
      <c r="A13" s="359">
        <v>1</v>
      </c>
      <c r="B13" s="362" t="str">
        <f>+PROPONENTES!B10</f>
        <v>SOLIUN INGENIERIA SAS</v>
      </c>
      <c r="C13" s="43" t="str">
        <f>IF(VLOOKUP(B13,PROPONENTES!$B$10:$N$16,2,FALSE)="","",VLOOKUP(B13,PROPONENTES!$B$10:$N$16,2,FALSE))</f>
        <v>SOLIUN INGENIERIA SAS</v>
      </c>
      <c r="D13" s="44">
        <f>VLOOKUP(B13,PROPONENTES!$B$10:$N$16,3,FALSE)</f>
        <v>1</v>
      </c>
      <c r="E13" s="53">
        <v>7.69</v>
      </c>
      <c r="F13" s="45">
        <v>1143587893</v>
      </c>
      <c r="G13" s="128">
        <v>47581519005.089996</v>
      </c>
      <c r="H13" s="46">
        <v>1</v>
      </c>
      <c r="I13" s="45">
        <v>114692409</v>
      </c>
      <c r="J13" s="47" t="e">
        <f>IF(C13="","",IF(AND((G13/($C$9*D13))&gt;0,(G13/($C$9*D13))&lt;=3),60,IF(AND((G13/($C$9*D13))&gt;3,(G13/($C$9*D13))&lt;=6),80,IF(AND((G13/($C$9*D13))&gt;6,(G13/($C$9*D13))&lt;=10),100,IF((G13/($C$9*D13))&gt;10,120,)))))</f>
        <v>#DIV/0!</v>
      </c>
      <c r="K13" s="47">
        <f>IF(C13="","",IF(AND(E13&gt;0,E13&lt;=0.5),20,IF(AND(E13&gt;0.5,E13&lt;=0.75),25,IF(AND(E13&gt;0.75,E13&lt;=1),30,IF(AND(E13&gt;1,E13&lt;=1.5),35,IF(E13&gt;1.5,40))))))</f>
        <v>40</v>
      </c>
      <c r="L13" s="47">
        <f>IF(C13="","",IF(AND(H13&gt;=1,H13&lt;=5),20,IF(AND(H13&gt;=6,H13&lt;=10),30,IF(H13&gt;=11,40,))))</f>
        <v>20</v>
      </c>
      <c r="M13" s="57" t="e">
        <f>+IF(C13="","",(F13*(J13+K13+L13)/100)-I13)</f>
        <v>#DIV/0!</v>
      </c>
      <c r="N13" s="372" t="e">
        <f>SUM(M13:M17)</f>
        <v>#DIV/0!</v>
      </c>
      <c r="O13" s="375">
        <f>IF($G$9&lt;=12,$C$9-$G$10*$C$9,(($C$9-$G$10)/$G$9)*12)</f>
        <v>0</v>
      </c>
      <c r="P13" s="378" t="e">
        <f>IF(N13&gt;=O13,"CUMPLE","NO CUMPLE")</f>
        <v>#DIV/0!</v>
      </c>
    </row>
    <row r="14" spans="1:16" ht="64.5" customHeight="1" x14ac:dyDescent="0.25">
      <c r="A14" s="360"/>
      <c r="B14" s="351"/>
      <c r="C14" s="26" t="str">
        <f>IF(VLOOKUP(B13,PROPONENTES!$B$10:$N$16,4,FALSE)="","",VLOOKUP(B13,PROPONENTES!$B$10:$N$16,4,FALSE))</f>
        <v/>
      </c>
      <c r="D14" s="36">
        <f>VLOOKUP(B13,PROPONENTES!$B$10:$N$16,5,FALSE)</f>
        <v>0</v>
      </c>
      <c r="E14" s="129">
        <v>4.93</v>
      </c>
      <c r="F14" s="127">
        <v>126050742.52</v>
      </c>
      <c r="G14" s="127">
        <v>20725184508.040001</v>
      </c>
      <c r="H14" s="38">
        <v>1</v>
      </c>
      <c r="I14" s="39">
        <v>473451635</v>
      </c>
      <c r="J14" s="35" t="str">
        <f t="shared" ref="J14:J47" si="0">IF(C14="","",IF(AND((G14/($C$9*D14))&gt;0,(G14/($C$9*D14))&lt;=3),60,IF(AND((G14/($C$9*D14))&gt;3,(G14/($C$9*D14))&lt;=6),80,IF(AND((G14/($C$9*D14))&gt;6,(G14/($C$9*D14))&lt;=10),100,IF((G14/($C$9*D14))&gt;10,120,)))))</f>
        <v/>
      </c>
      <c r="K14" s="35" t="str">
        <f t="shared" ref="K14:K47" si="1">IF(C14="","",IF(AND(E14&gt;0,E14&lt;=0.5),20,IF(AND(E14&gt;0.5,E14&lt;=0.75),25,IF(AND(E14&gt;0.75,E14&lt;=1),30,IF(AND(E14&gt;1,E14&lt;=1.5),35,IF(E14&gt;1.5,40))))))</f>
        <v/>
      </c>
      <c r="L14" s="35" t="str">
        <f t="shared" ref="L14:L18" si="2">IF(C14="","",IF(AND(H14&gt;=1,H14&lt;=5),20,IF(AND(H14&gt;=6,H14&lt;=10),30,IF(H14&gt;=11,40,))))</f>
        <v/>
      </c>
      <c r="M14" s="58" t="str">
        <f t="shared" ref="M14:M18" si="3">+IF(C14="","",(F14*(J14+K14+L14)/100)-I14)</f>
        <v/>
      </c>
      <c r="N14" s="373"/>
      <c r="O14" s="376"/>
      <c r="P14" s="379"/>
    </row>
    <row r="15" spans="1:16" x14ac:dyDescent="0.25">
      <c r="A15" s="360"/>
      <c r="B15" s="351"/>
      <c r="C15" s="26" t="str">
        <f>IF(VLOOKUP(B13,PROPONENTES!$B$10:$N$16,6,FALSE)="","",VLOOKUP(B13,PROPONENTES!$B$10:$N$16,6,FALSE))</f>
        <v/>
      </c>
      <c r="D15" s="36">
        <f>VLOOKUP(B13,PROPONENTES!$B$10:$N$16,7,FALSE)</f>
        <v>0</v>
      </c>
      <c r="E15" s="54"/>
      <c r="F15" s="39"/>
      <c r="G15" s="39"/>
      <c r="H15" s="38"/>
      <c r="I15" s="39"/>
      <c r="J15" s="35" t="str">
        <f t="shared" si="0"/>
        <v/>
      </c>
      <c r="K15" s="35" t="str">
        <f t="shared" si="1"/>
        <v/>
      </c>
      <c r="L15" s="35" t="str">
        <f t="shared" si="2"/>
        <v/>
      </c>
      <c r="M15" s="58" t="str">
        <f t="shared" si="3"/>
        <v/>
      </c>
      <c r="N15" s="373"/>
      <c r="O15" s="376"/>
      <c r="P15" s="379"/>
    </row>
    <row r="16" spans="1:16" x14ac:dyDescent="0.25">
      <c r="A16" s="360"/>
      <c r="B16" s="351"/>
      <c r="C16" s="26" t="str">
        <f>IF(VLOOKUP(B13,PROPONENTES!$B$10:$N$16,8,FALSE)="","",VLOOKUP(B13,PROPONENTES!$B$10:$N$16,8,FALSE))</f>
        <v/>
      </c>
      <c r="D16" s="36">
        <f>VLOOKUP(B13,PROPONENTES!$B$10:$N$16,9,FALSE)</f>
        <v>0</v>
      </c>
      <c r="E16" s="54"/>
      <c r="F16" s="39"/>
      <c r="G16" s="39"/>
      <c r="H16" s="38"/>
      <c r="I16" s="39"/>
      <c r="J16" s="35" t="str">
        <f t="shared" si="0"/>
        <v/>
      </c>
      <c r="K16" s="35" t="str">
        <f t="shared" si="1"/>
        <v/>
      </c>
      <c r="L16" s="35" t="str">
        <f t="shared" si="2"/>
        <v/>
      </c>
      <c r="M16" s="26" t="str">
        <f t="shared" si="3"/>
        <v/>
      </c>
      <c r="N16" s="373"/>
      <c r="O16" s="376"/>
      <c r="P16" s="379"/>
    </row>
    <row r="17" spans="1:16" ht="15.75" thickBot="1" x14ac:dyDescent="0.3">
      <c r="A17" s="361"/>
      <c r="B17" s="363"/>
      <c r="C17" s="48" t="str">
        <f>IF(VLOOKUP(B13,PROPONENTES!$B$10:$N$16,8,FALSE)="","",VLOOKUP(B13,PROPONENTES!$B$10:$N$16,10,FALSE))</f>
        <v/>
      </c>
      <c r="D17" s="49">
        <f>VLOOKUP(B13,PROPONENTES!$B$10:$N$16,11,FALSE)</f>
        <v>0</v>
      </c>
      <c r="E17" s="55"/>
      <c r="F17" s="50"/>
      <c r="G17" s="50"/>
      <c r="H17" s="51"/>
      <c r="I17" s="50"/>
      <c r="J17" s="52" t="str">
        <f t="shared" si="0"/>
        <v/>
      </c>
      <c r="K17" s="52" t="str">
        <f t="shared" si="1"/>
        <v/>
      </c>
      <c r="L17" s="52" t="str">
        <f t="shared" si="2"/>
        <v/>
      </c>
      <c r="M17" s="48" t="str">
        <f t="shared" si="3"/>
        <v/>
      </c>
      <c r="N17" s="374"/>
      <c r="O17" s="377"/>
      <c r="P17" s="380"/>
    </row>
    <row r="18" spans="1:16" x14ac:dyDescent="0.25">
      <c r="A18" s="359">
        <v>2</v>
      </c>
      <c r="B18" s="362" t="str">
        <f>+PROPONENTES!B11</f>
        <v>VELNEC S.A.</v>
      </c>
      <c r="C18" s="43" t="str">
        <f>IF(VLOOKUP(B18,PROPONENTES!$B$10:$N$16,2,FALSE)="","",VLOOKUP(B18,PROPONENTES!$B$10:$N$16,2,FALSE))</f>
        <v>VELNEC S.A.</v>
      </c>
      <c r="D18" s="44">
        <f>VLOOKUP(B18,PROPONENTES!$B$10:$N$16,3,FALSE)</f>
        <v>1</v>
      </c>
      <c r="E18" s="53">
        <v>9.36</v>
      </c>
      <c r="F18" s="45">
        <v>3939642522</v>
      </c>
      <c r="G18" s="45">
        <v>22662094014.450001</v>
      </c>
      <c r="H18" s="46">
        <v>9</v>
      </c>
      <c r="I18" s="45">
        <v>0</v>
      </c>
      <c r="J18" s="43" t="e">
        <f t="shared" si="0"/>
        <v>#DIV/0!</v>
      </c>
      <c r="K18" s="47">
        <f t="shared" si="1"/>
        <v>40</v>
      </c>
      <c r="L18" s="47">
        <f t="shared" si="2"/>
        <v>30</v>
      </c>
      <c r="M18" s="57" t="e">
        <f t="shared" si="3"/>
        <v>#DIV/0!</v>
      </c>
      <c r="N18" s="372" t="e">
        <f t="shared" ref="N18" si="4">SUM(M18:M22)</f>
        <v>#DIV/0!</v>
      </c>
      <c r="O18" s="375">
        <f t="shared" ref="O18" si="5">IF($G$9&lt;=12,$C$9-$G$10*$C$9,(($C$9-$G$10)/$G$9)*12)</f>
        <v>0</v>
      </c>
      <c r="P18" s="378" t="e">
        <f>IF(B18="","",IF(N18&gt;=O18,"CUMPLE","NO CUMPLE"))</f>
        <v>#DIV/0!</v>
      </c>
    </row>
    <row r="19" spans="1:16" x14ac:dyDescent="0.25">
      <c r="A19" s="360"/>
      <c r="B19" s="351"/>
      <c r="C19" s="26" t="str">
        <f>IF(VLOOKUP(B18,PROPONENTES!$B$10:$N$16,4,FALSE)="","",VLOOKUP(B18,PROPONENTES!$B$10:$N$16,4,FALSE))</f>
        <v/>
      </c>
      <c r="D19" s="36">
        <f>VLOOKUP(B18,PROPONENTES!$B$10:$N$16,5,FALSE)</f>
        <v>0</v>
      </c>
      <c r="E19" s="54"/>
      <c r="F19" s="39"/>
      <c r="G19" s="39"/>
      <c r="H19" s="38"/>
      <c r="I19" s="39"/>
      <c r="J19" s="26" t="str">
        <f t="shared" si="0"/>
        <v/>
      </c>
      <c r="K19" s="35" t="str">
        <f t="shared" si="1"/>
        <v/>
      </c>
      <c r="L19" s="35" t="str">
        <f t="shared" ref="L19:L47" si="6">IF(C19="","",IF(AND(H19&gt;=1,H19&lt;=5),20,IF(AND(H19&gt;=6,H19&lt;=10),30,IF(H19&gt;=11,40,))))</f>
        <v/>
      </c>
      <c r="M19" s="58" t="str">
        <f t="shared" ref="M19:M47" si="7">+IF(C19="","",(F19*(J19+K19+L19)/100)-I19)</f>
        <v/>
      </c>
      <c r="N19" s="373"/>
      <c r="O19" s="376"/>
      <c r="P19" s="379"/>
    </row>
    <row r="20" spans="1:16" x14ac:dyDescent="0.25">
      <c r="A20" s="360"/>
      <c r="B20" s="351"/>
      <c r="C20" s="26" t="str">
        <f>IF(VLOOKUP(B18,PROPONENTES!$B$10:$N$16,6,FALSE)="","",VLOOKUP(B18,PROPONENTES!$B$10:$N$16,6,FALSE))</f>
        <v/>
      </c>
      <c r="D20" s="36">
        <f>VLOOKUP(B18,PROPONENTES!$B$10:$N$16,7,FALSE)</f>
        <v>0</v>
      </c>
      <c r="E20" s="54"/>
      <c r="F20" s="39"/>
      <c r="G20" s="39"/>
      <c r="H20" s="38"/>
      <c r="I20" s="39"/>
      <c r="J20" s="26" t="str">
        <f t="shared" si="0"/>
        <v/>
      </c>
      <c r="K20" s="35" t="str">
        <f t="shared" si="1"/>
        <v/>
      </c>
      <c r="L20" s="35" t="str">
        <f t="shared" si="6"/>
        <v/>
      </c>
      <c r="M20" s="58" t="str">
        <f t="shared" si="7"/>
        <v/>
      </c>
      <c r="N20" s="373"/>
      <c r="O20" s="376"/>
      <c r="P20" s="379"/>
    </row>
    <row r="21" spans="1:16" x14ac:dyDescent="0.25">
      <c r="A21" s="360"/>
      <c r="B21" s="351"/>
      <c r="C21" s="26" t="str">
        <f>IF(VLOOKUP(B18,PROPONENTES!$B$10:$N$16,8,FALSE)="","",VLOOKUP(B18,PROPONENTES!$B$10:$N$16,8,FALSE))</f>
        <v/>
      </c>
      <c r="D21" s="36">
        <f>VLOOKUP(B18,PROPONENTES!$B$10:$N$16,9,FALSE)</f>
        <v>0</v>
      </c>
      <c r="E21" s="54"/>
      <c r="F21" s="39"/>
      <c r="G21" s="39"/>
      <c r="H21" s="38"/>
      <c r="I21" s="39"/>
      <c r="J21" s="26" t="str">
        <f t="shared" si="0"/>
        <v/>
      </c>
      <c r="K21" s="35" t="str">
        <f t="shared" si="1"/>
        <v/>
      </c>
      <c r="L21" s="35" t="str">
        <f t="shared" si="6"/>
        <v/>
      </c>
      <c r="M21" s="26" t="str">
        <f t="shared" si="7"/>
        <v/>
      </c>
      <c r="N21" s="373"/>
      <c r="O21" s="376"/>
      <c r="P21" s="379"/>
    </row>
    <row r="22" spans="1:16" ht="15.75" thickBot="1" x14ac:dyDescent="0.3">
      <c r="A22" s="361"/>
      <c r="B22" s="363"/>
      <c r="C22" s="48" t="str">
        <f>IF(VLOOKUP(B18,PROPONENTES!$B$10:$N$16,8,FALSE)="","",VLOOKUP(B18,PROPONENTES!$B$10:$N$16,10,FALSE))</f>
        <v/>
      </c>
      <c r="D22" s="49">
        <f>VLOOKUP(B18,PROPONENTES!$B$10:$N$16,11,FALSE)</f>
        <v>0</v>
      </c>
      <c r="E22" s="55"/>
      <c r="F22" s="50"/>
      <c r="G22" s="50"/>
      <c r="H22" s="51"/>
      <c r="I22" s="50"/>
      <c r="J22" s="48" t="str">
        <f t="shared" si="0"/>
        <v/>
      </c>
      <c r="K22" s="52" t="str">
        <f t="shared" si="1"/>
        <v/>
      </c>
      <c r="L22" s="52" t="str">
        <f t="shared" si="6"/>
        <v/>
      </c>
      <c r="M22" s="48" t="str">
        <f t="shared" si="7"/>
        <v/>
      </c>
      <c r="N22" s="374"/>
      <c r="O22" s="377"/>
      <c r="P22" s="380"/>
    </row>
    <row r="23" spans="1:16" ht="30" x14ac:dyDescent="0.25">
      <c r="A23" s="359">
        <v>3</v>
      </c>
      <c r="B23" s="362" t="str">
        <f>+PROPONENTES!B12</f>
        <v>ARQUITECTURA URBANA LTDA</v>
      </c>
      <c r="C23" s="43" t="str">
        <f>IF(VLOOKUP(B23,PROPONENTES!$B$10:$N$16,2,FALSE)="","",VLOOKUP(B23,PROPONENTES!$B$10:$N$16,2,FALSE))</f>
        <v>ARQUITECTURA URBANA LTDA</v>
      </c>
      <c r="D23" s="44">
        <f>VLOOKUP(B23,PROPONENTES!$B$10:$N$16,3,FALSE)</f>
        <v>1</v>
      </c>
      <c r="E23" s="53">
        <v>61.61</v>
      </c>
      <c r="F23" s="45">
        <v>2950600000</v>
      </c>
      <c r="G23" s="45">
        <v>18288204552.619999</v>
      </c>
      <c r="H23" s="46">
        <v>1</v>
      </c>
      <c r="I23" s="45">
        <v>370167215.69999999</v>
      </c>
      <c r="J23" s="43" t="e">
        <f t="shared" si="0"/>
        <v>#DIV/0!</v>
      </c>
      <c r="K23" s="47">
        <f t="shared" si="1"/>
        <v>40</v>
      </c>
      <c r="L23" s="47">
        <f t="shared" si="6"/>
        <v>20</v>
      </c>
      <c r="M23" s="57" t="e">
        <f t="shared" si="7"/>
        <v>#DIV/0!</v>
      </c>
      <c r="N23" s="372" t="e">
        <f t="shared" ref="N23" si="8">SUM(M23:M27)</f>
        <v>#DIV/0!</v>
      </c>
      <c r="O23" s="375">
        <f t="shared" ref="O23" si="9">IF($G$9&lt;=12,$C$9-$G$10*$C$9,(($C$9-$G$10)/$G$9)*12)</f>
        <v>0</v>
      </c>
      <c r="P23" s="378" t="e">
        <f t="shared" ref="P23" si="10">IF(N23&gt;=O23,"CUMPLE","NO CUMPLE")</f>
        <v>#DIV/0!</v>
      </c>
    </row>
    <row r="24" spans="1:16" x14ac:dyDescent="0.25">
      <c r="A24" s="360"/>
      <c r="B24" s="351"/>
      <c r="C24" s="26" t="str">
        <f>IF(VLOOKUP(B23,PROPONENTES!$B$10:$N$16,4,FALSE)="","",VLOOKUP(B23,PROPONENTES!$B$10:$N$16,4,FALSE))</f>
        <v/>
      </c>
      <c r="D24" s="36">
        <f>VLOOKUP(B23,PROPONENTES!$B$10:$N$16,5,FALSE)</f>
        <v>0</v>
      </c>
      <c r="E24" s="54"/>
      <c r="F24" s="39"/>
      <c r="G24" s="39"/>
      <c r="H24" s="38"/>
      <c r="I24" s="39"/>
      <c r="J24" s="26" t="str">
        <f t="shared" si="0"/>
        <v/>
      </c>
      <c r="K24" s="35" t="str">
        <f t="shared" si="1"/>
        <v/>
      </c>
      <c r="L24" s="35" t="str">
        <f t="shared" si="6"/>
        <v/>
      </c>
      <c r="M24" s="58" t="str">
        <f t="shared" si="7"/>
        <v/>
      </c>
      <c r="N24" s="373"/>
      <c r="O24" s="376"/>
      <c r="P24" s="379"/>
    </row>
    <row r="25" spans="1:16" x14ac:dyDescent="0.25">
      <c r="A25" s="360"/>
      <c r="B25" s="351"/>
      <c r="C25" s="26" t="str">
        <f>IF(VLOOKUP(B23,PROPONENTES!$B$10:$N$16,6,FALSE)="","",VLOOKUP(B23,PROPONENTES!$B$10:$N$16,6,FALSE))</f>
        <v/>
      </c>
      <c r="D25" s="36">
        <f>VLOOKUP(B23,PROPONENTES!$B$10:$N$16,7,FALSE)</f>
        <v>0</v>
      </c>
      <c r="E25" s="54"/>
      <c r="F25" s="39"/>
      <c r="G25" s="39"/>
      <c r="H25" s="38"/>
      <c r="I25" s="39"/>
      <c r="J25" s="26" t="str">
        <f t="shared" si="0"/>
        <v/>
      </c>
      <c r="K25" s="35" t="str">
        <f t="shared" si="1"/>
        <v/>
      </c>
      <c r="L25" s="35" t="str">
        <f t="shared" si="6"/>
        <v/>
      </c>
      <c r="M25" s="58" t="str">
        <f t="shared" si="7"/>
        <v/>
      </c>
      <c r="N25" s="373"/>
      <c r="O25" s="376"/>
      <c r="P25" s="379"/>
    </row>
    <row r="26" spans="1:16" x14ac:dyDescent="0.25">
      <c r="A26" s="360"/>
      <c r="B26" s="351"/>
      <c r="C26" s="26" t="str">
        <f>IF(VLOOKUP(B23,PROPONENTES!$B$10:$N$16,8,FALSE)="","",VLOOKUP(B23,PROPONENTES!$B$10:$N$16,8,FALSE))</f>
        <v/>
      </c>
      <c r="D26" s="36">
        <f>VLOOKUP(B23,PROPONENTES!$B$10:$N$16,9,FALSE)</f>
        <v>0</v>
      </c>
      <c r="E26" s="54"/>
      <c r="F26" s="39"/>
      <c r="G26" s="39"/>
      <c r="H26" s="38"/>
      <c r="I26" s="39"/>
      <c r="J26" s="26" t="str">
        <f t="shared" si="0"/>
        <v/>
      </c>
      <c r="K26" s="35" t="str">
        <f t="shared" si="1"/>
        <v/>
      </c>
      <c r="L26" s="35" t="str">
        <f t="shared" si="6"/>
        <v/>
      </c>
      <c r="M26" s="26" t="str">
        <f t="shared" si="7"/>
        <v/>
      </c>
      <c r="N26" s="373"/>
      <c r="O26" s="376"/>
      <c r="P26" s="379"/>
    </row>
    <row r="27" spans="1:16" ht="15.75" thickBot="1" x14ac:dyDescent="0.3">
      <c r="A27" s="361"/>
      <c r="B27" s="363"/>
      <c r="C27" s="48" t="str">
        <f>IF(VLOOKUP(B23,PROPONENTES!$B$10:$N$16,8,FALSE)="","",VLOOKUP(B23,PROPONENTES!$B$10:$N$16,10,FALSE))</f>
        <v/>
      </c>
      <c r="D27" s="49">
        <f>VLOOKUP(B23,PROPONENTES!$B$10:$N$16,11,FALSE)</f>
        <v>0</v>
      </c>
      <c r="E27" s="55"/>
      <c r="F27" s="50"/>
      <c r="G27" s="50"/>
      <c r="H27" s="51"/>
      <c r="I27" s="50"/>
      <c r="J27" s="48" t="str">
        <f t="shared" si="0"/>
        <v/>
      </c>
      <c r="K27" s="52" t="str">
        <f t="shared" si="1"/>
        <v/>
      </c>
      <c r="L27" s="52" t="str">
        <f t="shared" si="6"/>
        <v/>
      </c>
      <c r="M27" s="48" t="str">
        <f t="shared" si="7"/>
        <v/>
      </c>
      <c r="N27" s="374"/>
      <c r="O27" s="377"/>
      <c r="P27" s="380"/>
    </row>
    <row r="28" spans="1:16" ht="30" x14ac:dyDescent="0.25">
      <c r="A28" s="359">
        <v>4</v>
      </c>
      <c r="B28" s="362" t="str">
        <f>+PROPONENTES!B13</f>
        <v>ABDO JOSÉ SALGADO AYOLA</v>
      </c>
      <c r="C28" s="43" t="str">
        <f>IF(VLOOKUP(B28,PROPONENTES!$B$10:$N$16,2,FALSE)="","",VLOOKUP(B28,PROPONENTES!$B$10:$N$16,2,FALSE))</f>
        <v>ABDO JOSÉ SALGADO AYOLA</v>
      </c>
      <c r="D28" s="44">
        <f>VLOOKUP(B28,PROPONENTES!$B$10:$N$16,3,FALSE)</f>
        <v>1</v>
      </c>
      <c r="E28" s="53">
        <v>64.510000000000005</v>
      </c>
      <c r="F28" s="45">
        <v>626253000</v>
      </c>
      <c r="G28" s="45">
        <v>672215398.5</v>
      </c>
      <c r="H28" s="46">
        <v>1</v>
      </c>
      <c r="I28" s="45">
        <v>0</v>
      </c>
      <c r="J28" s="43" t="e">
        <f t="shared" si="0"/>
        <v>#DIV/0!</v>
      </c>
      <c r="K28" s="47">
        <f t="shared" si="1"/>
        <v>40</v>
      </c>
      <c r="L28" s="47">
        <f t="shared" si="6"/>
        <v>20</v>
      </c>
      <c r="M28" s="57" t="e">
        <f t="shared" si="7"/>
        <v>#DIV/0!</v>
      </c>
      <c r="N28" s="372" t="e">
        <f t="shared" ref="N28" si="11">SUM(M28:M32)</f>
        <v>#DIV/0!</v>
      </c>
      <c r="O28" s="375">
        <f t="shared" ref="O28" si="12">IF($G$9&lt;=12,$C$9-$G$10*$C$9,(($C$9-$G$10)/$G$9)*12)</f>
        <v>0</v>
      </c>
      <c r="P28" s="378" t="e">
        <f t="shared" ref="P28" si="13">IF(N28&gt;=O28,"CUMPLE","NO CUMPLE")</f>
        <v>#DIV/0!</v>
      </c>
    </row>
    <row r="29" spans="1:16" x14ac:dyDescent="0.25">
      <c r="A29" s="360"/>
      <c r="B29" s="351"/>
      <c r="C29" s="26" t="str">
        <f>IF(VLOOKUP(B28,PROPONENTES!$B$10:$N$16,4,FALSE)="","",VLOOKUP(B28,PROPONENTES!$B$10:$N$16,4,FALSE))</f>
        <v/>
      </c>
      <c r="D29" s="36">
        <f>VLOOKUP(B28,PROPONENTES!$B$10:$N$16,5,FALSE)</f>
        <v>0</v>
      </c>
      <c r="E29" s="54">
        <v>0</v>
      </c>
      <c r="F29" s="39">
        <v>12710667</v>
      </c>
      <c r="G29" s="39">
        <v>50115776593</v>
      </c>
      <c r="H29" s="38">
        <v>11</v>
      </c>
      <c r="I29" s="39">
        <v>0</v>
      </c>
      <c r="J29" s="26" t="str">
        <f t="shared" si="0"/>
        <v/>
      </c>
      <c r="K29" s="35" t="str">
        <f t="shared" si="1"/>
        <v/>
      </c>
      <c r="L29" s="35" t="str">
        <f t="shared" si="6"/>
        <v/>
      </c>
      <c r="M29" s="58" t="str">
        <f t="shared" si="7"/>
        <v/>
      </c>
      <c r="N29" s="373"/>
      <c r="O29" s="376"/>
      <c r="P29" s="379"/>
    </row>
    <row r="30" spans="1:16" x14ac:dyDescent="0.25">
      <c r="A30" s="360"/>
      <c r="B30" s="351"/>
      <c r="C30" s="26" t="str">
        <f>IF(VLOOKUP(B28,PROPONENTES!$B$10:$N$16,6,FALSE)="","",VLOOKUP(B28,PROPONENTES!$B$10:$N$16,6,FALSE))</f>
        <v/>
      </c>
      <c r="D30" s="36">
        <f>VLOOKUP(B28,PROPONENTES!$B$10:$N$16,7,FALSE)</f>
        <v>0</v>
      </c>
      <c r="E30" s="54"/>
      <c r="F30" s="39"/>
      <c r="G30" s="39"/>
      <c r="H30" s="38"/>
      <c r="I30" s="39"/>
      <c r="J30" s="26" t="str">
        <f t="shared" si="0"/>
        <v/>
      </c>
      <c r="K30" s="35" t="str">
        <f t="shared" si="1"/>
        <v/>
      </c>
      <c r="L30" s="35" t="str">
        <f t="shared" si="6"/>
        <v/>
      </c>
      <c r="M30" s="58" t="str">
        <f t="shared" si="7"/>
        <v/>
      </c>
      <c r="N30" s="373"/>
      <c r="O30" s="376"/>
      <c r="P30" s="379"/>
    </row>
    <row r="31" spans="1:16" x14ac:dyDescent="0.25">
      <c r="A31" s="360"/>
      <c r="B31" s="351"/>
      <c r="C31" s="26" t="str">
        <f>IF(VLOOKUP(B28,PROPONENTES!$B$10:$N$16,8,FALSE)="","",VLOOKUP(B28,PROPONENTES!$B$10:$N$16,8,FALSE))</f>
        <v/>
      </c>
      <c r="D31" s="36">
        <f>VLOOKUP(B28,PROPONENTES!$B$10:$N$16,9,FALSE)</f>
        <v>0</v>
      </c>
      <c r="E31" s="54"/>
      <c r="F31" s="39"/>
      <c r="G31" s="39"/>
      <c r="H31" s="38"/>
      <c r="I31" s="39"/>
      <c r="J31" s="26" t="str">
        <f t="shared" si="0"/>
        <v/>
      </c>
      <c r="K31" s="35" t="str">
        <f t="shared" si="1"/>
        <v/>
      </c>
      <c r="L31" s="35" t="str">
        <f t="shared" si="6"/>
        <v/>
      </c>
      <c r="M31" s="26" t="str">
        <f t="shared" si="7"/>
        <v/>
      </c>
      <c r="N31" s="373"/>
      <c r="O31" s="376"/>
      <c r="P31" s="379"/>
    </row>
    <row r="32" spans="1:16" ht="15.75" thickBot="1" x14ac:dyDescent="0.3">
      <c r="A32" s="361"/>
      <c r="B32" s="363"/>
      <c r="C32" s="48" t="str">
        <f>IF(VLOOKUP(B28,PROPONENTES!$B$10:$N$16,8,FALSE)="","",VLOOKUP(B28,PROPONENTES!$B$10:$N$16,10,FALSE))</f>
        <v/>
      </c>
      <c r="D32" s="49">
        <f>VLOOKUP(B28,PROPONENTES!$B$10:$N$16,11,FALSE)</f>
        <v>0</v>
      </c>
      <c r="E32" s="55"/>
      <c r="F32" s="50"/>
      <c r="G32" s="50"/>
      <c r="H32" s="51"/>
      <c r="I32" s="50"/>
      <c r="J32" s="48" t="str">
        <f t="shared" si="0"/>
        <v/>
      </c>
      <c r="K32" s="52" t="str">
        <f t="shared" si="1"/>
        <v/>
      </c>
      <c r="L32" s="52" t="str">
        <f t="shared" si="6"/>
        <v/>
      </c>
      <c r="M32" s="48" t="str">
        <f t="shared" si="7"/>
        <v/>
      </c>
      <c r="N32" s="374"/>
      <c r="O32" s="377"/>
      <c r="P32" s="380"/>
    </row>
    <row r="33" spans="1:16" x14ac:dyDescent="0.25">
      <c r="A33" s="359">
        <v>5</v>
      </c>
      <c r="B33" s="362" t="str">
        <f>+PROPONENTES!B14</f>
        <v>PRODEINCOL S.A.S.</v>
      </c>
      <c r="C33" s="43" t="str">
        <f>IF(VLOOKUP(B33,PROPONENTES!$B$10:$N$16,2,FALSE)="","",VLOOKUP(B33,PROPONENTES!$B$10:$N$16,2,FALSE))</f>
        <v>PRODEINCOL S.A.S.</v>
      </c>
      <c r="D33" s="44">
        <f>VLOOKUP(B33,PROPONENTES!$B$10:$N$16,3,FALSE)</f>
        <v>1</v>
      </c>
      <c r="E33" s="53"/>
      <c r="F33" s="45"/>
      <c r="G33" s="45"/>
      <c r="H33" s="46"/>
      <c r="I33" s="45"/>
      <c r="J33" s="43" t="e">
        <f t="shared" si="0"/>
        <v>#DIV/0!</v>
      </c>
      <c r="K33" s="47" t="b">
        <f t="shared" si="1"/>
        <v>0</v>
      </c>
      <c r="L33" s="47">
        <f t="shared" si="6"/>
        <v>0</v>
      </c>
      <c r="M33" s="57" t="e">
        <f t="shared" si="7"/>
        <v>#DIV/0!</v>
      </c>
      <c r="N33" s="372" t="e">
        <f t="shared" ref="N33" si="14">SUM(M33:M37)</f>
        <v>#DIV/0!</v>
      </c>
      <c r="O33" s="375">
        <f t="shared" ref="O33" si="15">IF($G$9&lt;=12,$C$9-$G$10*$C$9,(($C$9-$G$10)/$G$9)*12)</f>
        <v>0</v>
      </c>
      <c r="P33" s="378" t="e">
        <f t="shared" ref="P33" si="16">IF(N33&gt;=O33,"CUMPLE","NO CUMPLE")</f>
        <v>#DIV/0!</v>
      </c>
    </row>
    <row r="34" spans="1:16" ht="49.5" customHeight="1" x14ac:dyDescent="0.25">
      <c r="A34" s="360"/>
      <c r="B34" s="351"/>
      <c r="C34" s="26" t="str">
        <f>IF(VLOOKUP(B33,PROPONENTES!$B$10:$N$16,4,FALSE)="","",VLOOKUP(B33,PROPONENTES!$B$10:$N$16,4,FALSE))</f>
        <v/>
      </c>
      <c r="D34" s="36">
        <f>VLOOKUP(B33,PROPONENTES!$B$10:$N$16,5,FALSE)</f>
        <v>0</v>
      </c>
      <c r="E34" s="54"/>
      <c r="F34" s="39"/>
      <c r="G34" s="39"/>
      <c r="H34" s="38"/>
      <c r="I34" s="39"/>
      <c r="J34" s="26" t="str">
        <f t="shared" si="0"/>
        <v/>
      </c>
      <c r="K34" s="35" t="str">
        <f t="shared" si="1"/>
        <v/>
      </c>
      <c r="L34" s="35" t="str">
        <f t="shared" si="6"/>
        <v/>
      </c>
      <c r="M34" s="58" t="str">
        <f t="shared" si="7"/>
        <v/>
      </c>
      <c r="N34" s="373"/>
      <c r="O34" s="376"/>
      <c r="P34" s="379"/>
    </row>
    <row r="35" spans="1:16" x14ac:dyDescent="0.25">
      <c r="A35" s="360"/>
      <c r="B35" s="351"/>
      <c r="C35" s="26" t="str">
        <f>IF(VLOOKUP(B33,PROPONENTES!$B$10:$N$16,6,FALSE)="","",VLOOKUP(B33,PROPONENTES!$B$10:$N$16,6,FALSE))</f>
        <v/>
      </c>
      <c r="D35" s="36">
        <f>VLOOKUP(B33,PROPONENTES!$B$10:$N$16,7,FALSE)</f>
        <v>0</v>
      </c>
      <c r="E35" s="54"/>
      <c r="F35" s="39"/>
      <c r="G35" s="39"/>
      <c r="H35" s="38"/>
      <c r="I35" s="39"/>
      <c r="J35" s="26" t="str">
        <f t="shared" si="0"/>
        <v/>
      </c>
      <c r="K35" s="35" t="str">
        <f t="shared" si="1"/>
        <v/>
      </c>
      <c r="L35" s="35" t="str">
        <f t="shared" si="6"/>
        <v/>
      </c>
      <c r="M35" s="58" t="str">
        <f t="shared" si="7"/>
        <v/>
      </c>
      <c r="N35" s="373"/>
      <c r="O35" s="376"/>
      <c r="P35" s="379"/>
    </row>
    <row r="36" spans="1:16" x14ac:dyDescent="0.25">
      <c r="A36" s="360"/>
      <c r="B36" s="351"/>
      <c r="C36" s="26" t="str">
        <f>IF(VLOOKUP(B33,PROPONENTES!$B$10:$N$16,8,FALSE)="","",VLOOKUP(B33,PROPONENTES!$B$10:$N$16,8,FALSE))</f>
        <v/>
      </c>
      <c r="D36" s="36">
        <f>VLOOKUP(B33,PROPONENTES!$B$10:$N$16,9,FALSE)</f>
        <v>0</v>
      </c>
      <c r="E36" s="54"/>
      <c r="F36" s="39"/>
      <c r="G36" s="39"/>
      <c r="H36" s="38"/>
      <c r="I36" s="39"/>
      <c r="J36" s="26" t="str">
        <f t="shared" si="0"/>
        <v/>
      </c>
      <c r="K36" s="35" t="str">
        <f t="shared" si="1"/>
        <v/>
      </c>
      <c r="L36" s="35" t="str">
        <f t="shared" si="6"/>
        <v/>
      </c>
      <c r="M36" s="26" t="str">
        <f t="shared" si="7"/>
        <v/>
      </c>
      <c r="N36" s="373"/>
      <c r="O36" s="376"/>
      <c r="P36" s="379"/>
    </row>
    <row r="37" spans="1:16" ht="15.75" thickBot="1" x14ac:dyDescent="0.3">
      <c r="A37" s="361"/>
      <c r="B37" s="363"/>
      <c r="C37" s="48" t="str">
        <f>IF(VLOOKUP(B33,PROPONENTES!$B$10:$N$16,8,FALSE)="","",VLOOKUP(B33,PROPONENTES!$B$10:$N$16,10,FALSE))</f>
        <v/>
      </c>
      <c r="D37" s="49">
        <f>VLOOKUP(B33,PROPONENTES!$B$10:$N$16,11,FALSE)</f>
        <v>0</v>
      </c>
      <c r="E37" s="55"/>
      <c r="F37" s="50"/>
      <c r="G37" s="50"/>
      <c r="H37" s="51"/>
      <c r="I37" s="50"/>
      <c r="J37" s="48" t="str">
        <f t="shared" si="0"/>
        <v/>
      </c>
      <c r="K37" s="52" t="str">
        <f t="shared" si="1"/>
        <v/>
      </c>
      <c r="L37" s="52" t="str">
        <f t="shared" si="6"/>
        <v/>
      </c>
      <c r="M37" s="48" t="str">
        <f t="shared" si="7"/>
        <v/>
      </c>
      <c r="N37" s="374"/>
      <c r="O37" s="377"/>
      <c r="P37" s="380"/>
    </row>
    <row r="38" spans="1:16" ht="60" x14ac:dyDescent="0.25">
      <c r="A38" s="359">
        <v>6</v>
      </c>
      <c r="B38" s="362" t="str">
        <f>+PROPONENTES!B15</f>
        <v>CONSORCIO INTERVEP KM</v>
      </c>
      <c r="C38" s="43" t="str">
        <f>IF(VLOOKUP(B38,PROPONENTES!$B$10:$N$16,2,FALSE)="","",VLOOKUP(B38,PROPONENTES!$B$10:$N$16,2,FALSE))</f>
        <v>KALPA INGENIERIA SAS SOCIEDAD DE BENEFICIO E INTERES COLECTIVO - BIC</v>
      </c>
      <c r="D38" s="44">
        <f>VLOOKUP(B38,PROPONENTES!$B$10:$N$16,3,FALSE)</f>
        <v>0.99</v>
      </c>
      <c r="E38" s="53">
        <v>4.04</v>
      </c>
      <c r="F38" s="45">
        <v>4188826509</v>
      </c>
      <c r="G38" s="45">
        <v>40534858108.996201</v>
      </c>
      <c r="H38" s="46">
        <v>3</v>
      </c>
      <c r="I38" s="45">
        <v>0</v>
      </c>
      <c r="J38" s="43" t="e">
        <f t="shared" si="0"/>
        <v>#DIV/0!</v>
      </c>
      <c r="K38" s="47">
        <f t="shared" si="1"/>
        <v>40</v>
      </c>
      <c r="L38" s="47">
        <f t="shared" si="6"/>
        <v>20</v>
      </c>
      <c r="M38" s="57" t="e">
        <f t="shared" si="7"/>
        <v>#DIV/0!</v>
      </c>
      <c r="N38" s="372" t="e">
        <f t="shared" ref="N38" si="17">SUM(M38:M42)</f>
        <v>#DIV/0!</v>
      </c>
      <c r="O38" s="375">
        <f t="shared" ref="O38" si="18">IF($G$9&lt;=12,$C$9-$G$10*$C$9,(($C$9-$G$10)/$G$9)*12)</f>
        <v>0</v>
      </c>
      <c r="P38" s="378" t="e">
        <f t="shared" ref="P38" si="19">IF(N38&gt;=O38,"CUMPLE","NO CUMPLE")</f>
        <v>#DIV/0!</v>
      </c>
    </row>
    <row r="39" spans="1:16" ht="45" x14ac:dyDescent="0.25">
      <c r="A39" s="360"/>
      <c r="B39" s="351"/>
      <c r="C39" s="26" t="str">
        <f>IF(VLOOKUP(B38,PROPONENTES!$B$10:$N$16,4,FALSE)="","",VLOOKUP(B38,PROPONENTES!$B$10:$N$16,4,FALSE))</f>
        <v xml:space="preserve"> MEDINA &amp; RIVERA INGENIEROS ASOCIADOS SAS</v>
      </c>
      <c r="D39" s="36">
        <f>VLOOKUP(B38,PROPONENTES!$B$10:$N$16,5,FALSE)</f>
        <v>0.01</v>
      </c>
      <c r="E39" s="54"/>
      <c r="F39" s="39"/>
      <c r="G39" s="39"/>
      <c r="H39" s="38"/>
      <c r="I39" s="39"/>
      <c r="J39" s="26" t="e">
        <f t="shared" si="0"/>
        <v>#DIV/0!</v>
      </c>
      <c r="K39" s="35" t="b">
        <f t="shared" si="1"/>
        <v>0</v>
      </c>
      <c r="L39" s="35">
        <f t="shared" si="6"/>
        <v>0</v>
      </c>
      <c r="M39" s="58" t="e">
        <f t="shared" si="7"/>
        <v>#DIV/0!</v>
      </c>
      <c r="N39" s="373"/>
      <c r="O39" s="376"/>
      <c r="P39" s="379"/>
    </row>
    <row r="40" spans="1:16" x14ac:dyDescent="0.25">
      <c r="A40" s="360"/>
      <c r="B40" s="351"/>
      <c r="C40" s="26" t="str">
        <f>IF(VLOOKUP(B38,PROPONENTES!$B$10:$N$16,6,FALSE)="","",VLOOKUP(B38,PROPONENTES!$B$10:$N$16,6,FALSE))</f>
        <v/>
      </c>
      <c r="D40" s="36">
        <f>VLOOKUP(B38,PROPONENTES!$B$10:$N$16,7,FALSE)</f>
        <v>0</v>
      </c>
      <c r="E40" s="54"/>
      <c r="F40" s="39"/>
      <c r="G40" s="39"/>
      <c r="H40" s="38"/>
      <c r="I40" s="39"/>
      <c r="J40" s="26" t="str">
        <f t="shared" si="0"/>
        <v/>
      </c>
      <c r="K40" s="35" t="str">
        <f t="shared" si="1"/>
        <v/>
      </c>
      <c r="L40" s="35" t="str">
        <f t="shared" si="6"/>
        <v/>
      </c>
      <c r="M40" s="58" t="str">
        <f t="shared" si="7"/>
        <v/>
      </c>
      <c r="N40" s="373"/>
      <c r="O40" s="376"/>
      <c r="P40" s="379"/>
    </row>
    <row r="41" spans="1:16" x14ac:dyDescent="0.25">
      <c r="A41" s="360"/>
      <c r="B41" s="351"/>
      <c r="C41" s="26" t="str">
        <f>IF(VLOOKUP(B38,PROPONENTES!$B$10:$N$16,8,FALSE)="","",VLOOKUP(B38,PROPONENTES!$B$10:$N$16,8,FALSE))</f>
        <v/>
      </c>
      <c r="D41" s="36">
        <f>VLOOKUP(B38,PROPONENTES!$B$10:$N$16,9,FALSE)</f>
        <v>0</v>
      </c>
      <c r="E41" s="54"/>
      <c r="F41" s="39"/>
      <c r="G41" s="39"/>
      <c r="H41" s="38"/>
      <c r="I41" s="39"/>
      <c r="J41" s="26" t="str">
        <f t="shared" si="0"/>
        <v/>
      </c>
      <c r="K41" s="35" t="str">
        <f t="shared" si="1"/>
        <v/>
      </c>
      <c r="L41" s="35" t="str">
        <f t="shared" si="6"/>
        <v/>
      </c>
      <c r="M41" s="26" t="str">
        <f t="shared" si="7"/>
        <v/>
      </c>
      <c r="N41" s="373"/>
      <c r="O41" s="376"/>
      <c r="P41" s="379"/>
    </row>
    <row r="42" spans="1:16" ht="15.75" thickBot="1" x14ac:dyDescent="0.3">
      <c r="A42" s="361"/>
      <c r="B42" s="363"/>
      <c r="C42" s="48" t="str">
        <f>IF(VLOOKUP(B38,PROPONENTES!$B$10:$N$16,8,FALSE)="","",VLOOKUP(B38,PROPONENTES!$B$10:$N$16,10,FALSE))</f>
        <v/>
      </c>
      <c r="D42" s="49">
        <f>VLOOKUP(B38,PROPONENTES!$B$10:$N$16,11,FALSE)</f>
        <v>0</v>
      </c>
      <c r="E42" s="55"/>
      <c r="F42" s="50"/>
      <c r="G42" s="50"/>
      <c r="H42" s="51"/>
      <c r="I42" s="50"/>
      <c r="J42" s="48" t="str">
        <f t="shared" si="0"/>
        <v/>
      </c>
      <c r="K42" s="52" t="str">
        <f t="shared" si="1"/>
        <v/>
      </c>
      <c r="L42" s="52" t="str">
        <f t="shared" si="6"/>
        <v/>
      </c>
      <c r="M42" s="48" t="str">
        <f t="shared" si="7"/>
        <v/>
      </c>
      <c r="N42" s="374"/>
      <c r="O42" s="377"/>
      <c r="P42" s="380"/>
    </row>
    <row r="43" spans="1:16" ht="30" x14ac:dyDescent="0.25">
      <c r="A43" s="359">
        <v>7</v>
      </c>
      <c r="B43" s="362" t="str">
        <f>+PROPONENTES!B16</f>
        <v>CONSULTORES DEL OCCIDENTE SAS</v>
      </c>
      <c r="C43" s="43" t="str">
        <f>IF(VLOOKUP(B43,PROPONENTES!$B$10:$N$16,2,FALSE)="","",VLOOKUP(B43,PROPONENTES!$B$10:$N$16,2,FALSE))</f>
        <v>CONSULTORES DEL OCCIDENTE SAS</v>
      </c>
      <c r="D43" s="44">
        <f>VLOOKUP(B43,PROPONENTES!$B$10:$N$16,3,FALSE)</f>
        <v>1</v>
      </c>
      <c r="E43" s="53">
        <v>4.4000000000000004</v>
      </c>
      <c r="F43" s="45">
        <v>1953936784</v>
      </c>
      <c r="G43" s="45">
        <v>11553130875.139999</v>
      </c>
      <c r="H43" s="46">
        <v>11</v>
      </c>
      <c r="I43" s="45">
        <v>0</v>
      </c>
      <c r="J43" s="43" t="e">
        <f t="shared" si="0"/>
        <v>#DIV/0!</v>
      </c>
      <c r="K43" s="47">
        <f t="shared" si="1"/>
        <v>40</v>
      </c>
      <c r="L43" s="47">
        <f t="shared" si="6"/>
        <v>40</v>
      </c>
      <c r="M43" s="57" t="e">
        <f t="shared" si="7"/>
        <v>#DIV/0!</v>
      </c>
      <c r="N43" s="372" t="e">
        <f t="shared" ref="N43" si="20">SUM(M43:M47)</f>
        <v>#DIV/0!</v>
      </c>
      <c r="O43" s="375">
        <f t="shared" ref="O43" si="21">IF($G$9&lt;=12,$C$9-$G$10*$C$9,(($C$9-$G$10)/$G$9)*12)</f>
        <v>0</v>
      </c>
      <c r="P43" s="378" t="e">
        <f t="shared" ref="P43" si="22">IF(N43&gt;=O43,"CUMPLE","NO CUMPLE")</f>
        <v>#DIV/0!</v>
      </c>
    </row>
    <row r="44" spans="1:16" x14ac:dyDescent="0.25">
      <c r="A44" s="360"/>
      <c r="B44" s="351"/>
      <c r="C44" s="26" t="str">
        <f>IF(VLOOKUP(B43,PROPONENTES!$B$10:$N$16,4,FALSE)="","",VLOOKUP(B43,PROPONENTES!$B$10:$N$16,4,FALSE))</f>
        <v/>
      </c>
      <c r="D44" s="36">
        <f>VLOOKUP(B43,PROPONENTES!$B$10:$N$16,5,FALSE)</f>
        <v>0</v>
      </c>
      <c r="E44" s="54">
        <v>2.81</v>
      </c>
      <c r="F44" s="39">
        <v>1742165766</v>
      </c>
      <c r="G44" s="39">
        <v>137270119527.75</v>
      </c>
      <c r="H44" s="38">
        <v>11</v>
      </c>
      <c r="I44" s="39">
        <v>0</v>
      </c>
      <c r="J44" s="26" t="str">
        <f t="shared" si="0"/>
        <v/>
      </c>
      <c r="K44" s="35" t="str">
        <f t="shared" si="1"/>
        <v/>
      </c>
      <c r="L44" s="35" t="str">
        <f t="shared" si="6"/>
        <v/>
      </c>
      <c r="M44" s="58" t="str">
        <f t="shared" si="7"/>
        <v/>
      </c>
      <c r="N44" s="373"/>
      <c r="O44" s="376"/>
      <c r="P44" s="379"/>
    </row>
    <row r="45" spans="1:16" x14ac:dyDescent="0.25">
      <c r="A45" s="360"/>
      <c r="B45" s="351"/>
      <c r="C45" s="26" t="str">
        <f>IF(VLOOKUP(B43,PROPONENTES!$B$10:$N$16,6,FALSE)="","",VLOOKUP(B43,PROPONENTES!$B$10:$N$16,6,FALSE))</f>
        <v/>
      </c>
      <c r="D45" s="36">
        <f>VLOOKUP(B43,PROPONENTES!$B$10:$N$16,7,FALSE)</f>
        <v>0</v>
      </c>
      <c r="E45" s="54"/>
      <c r="F45" s="39"/>
      <c r="G45" s="39"/>
      <c r="H45" s="38"/>
      <c r="I45" s="39"/>
      <c r="J45" s="26" t="str">
        <f t="shared" si="0"/>
        <v/>
      </c>
      <c r="K45" s="35" t="str">
        <f t="shared" si="1"/>
        <v/>
      </c>
      <c r="L45" s="35" t="str">
        <f t="shared" si="6"/>
        <v/>
      </c>
      <c r="M45" s="58" t="str">
        <f t="shared" si="7"/>
        <v/>
      </c>
      <c r="N45" s="373"/>
      <c r="O45" s="376"/>
      <c r="P45" s="379"/>
    </row>
    <row r="46" spans="1:16" x14ac:dyDescent="0.25">
      <c r="A46" s="360"/>
      <c r="B46" s="351"/>
      <c r="C46" s="26" t="str">
        <f>IF(VLOOKUP(B43,PROPONENTES!$B$10:$N$16,8,FALSE)="","",VLOOKUP(B43,PROPONENTES!$B$10:$N$16,8,FALSE))</f>
        <v/>
      </c>
      <c r="D46" s="36">
        <f>VLOOKUP(B43,PROPONENTES!$B$10:$N$16,9,FALSE)</f>
        <v>0</v>
      </c>
      <c r="E46" s="54"/>
      <c r="F46" s="39"/>
      <c r="G46" s="39"/>
      <c r="H46" s="38"/>
      <c r="I46" s="39"/>
      <c r="J46" s="26" t="str">
        <f t="shared" si="0"/>
        <v/>
      </c>
      <c r="K46" s="35" t="str">
        <f t="shared" si="1"/>
        <v/>
      </c>
      <c r="L46" s="35" t="str">
        <f t="shared" si="6"/>
        <v/>
      </c>
      <c r="M46" s="26" t="str">
        <f t="shared" si="7"/>
        <v/>
      </c>
      <c r="N46" s="373"/>
      <c r="O46" s="376"/>
      <c r="P46" s="379"/>
    </row>
    <row r="47" spans="1:16" ht="15.75" thickBot="1" x14ac:dyDescent="0.3">
      <c r="A47" s="361"/>
      <c r="B47" s="363"/>
      <c r="C47" s="48" t="str">
        <f>IF(VLOOKUP(B43,PROPONENTES!$B$10:$N$16,8,FALSE)="","",VLOOKUP(B43,PROPONENTES!$B$10:$N$16,10,FALSE))</f>
        <v/>
      </c>
      <c r="D47" s="49">
        <f>VLOOKUP(B43,PROPONENTES!$B$10:$N$16,11,FALSE)</f>
        <v>0</v>
      </c>
      <c r="E47" s="55"/>
      <c r="F47" s="50"/>
      <c r="G47" s="50"/>
      <c r="H47" s="51"/>
      <c r="I47" s="50"/>
      <c r="J47" s="48" t="str">
        <f t="shared" si="0"/>
        <v/>
      </c>
      <c r="K47" s="52" t="str">
        <f t="shared" si="1"/>
        <v/>
      </c>
      <c r="L47" s="52" t="str">
        <f t="shared" si="6"/>
        <v/>
      </c>
      <c r="M47" s="48" t="str">
        <f t="shared" si="7"/>
        <v/>
      </c>
      <c r="N47" s="374"/>
      <c r="O47" s="377"/>
      <c r="P47" s="380"/>
    </row>
    <row r="51" spans="6:8" x14ac:dyDescent="0.25">
      <c r="F51" s="16" t="s">
        <v>141</v>
      </c>
      <c r="G51" s="130">
        <v>102730148</v>
      </c>
    </row>
    <row r="52" spans="6:8" x14ac:dyDescent="0.25">
      <c r="F52" s="16" t="s">
        <v>142</v>
      </c>
      <c r="G52" s="130">
        <v>0</v>
      </c>
      <c r="H52" s="16" t="e">
        <f>G51/G52</f>
        <v>#DIV/0!</v>
      </c>
    </row>
  </sheetData>
  <mergeCells count="51">
    <mergeCell ref="A2:P2"/>
    <mergeCell ref="A3:P3"/>
    <mergeCell ref="A4:P4"/>
    <mergeCell ref="A5:P5"/>
    <mergeCell ref="D6:F6"/>
    <mergeCell ref="A6:B6"/>
    <mergeCell ref="A9:B9"/>
    <mergeCell ref="A10:B10"/>
    <mergeCell ref="H9:P9"/>
    <mergeCell ref="H10:P10"/>
    <mergeCell ref="H6:P6"/>
    <mergeCell ref="C9:E9"/>
    <mergeCell ref="C10:E10"/>
    <mergeCell ref="C8:P8"/>
    <mergeCell ref="A7:P7"/>
    <mergeCell ref="A8:B8"/>
    <mergeCell ref="N43:N47"/>
    <mergeCell ref="O43:O47"/>
    <mergeCell ref="P43:P47"/>
    <mergeCell ref="N33:N37"/>
    <mergeCell ref="O33:O37"/>
    <mergeCell ref="P33:P37"/>
    <mergeCell ref="N38:N42"/>
    <mergeCell ref="O38:O42"/>
    <mergeCell ref="P38:P42"/>
    <mergeCell ref="N13:N17"/>
    <mergeCell ref="O13:O17"/>
    <mergeCell ref="P13:P17"/>
    <mergeCell ref="N18:N22"/>
    <mergeCell ref="O18:O22"/>
    <mergeCell ref="P18:P22"/>
    <mergeCell ref="N23:N27"/>
    <mergeCell ref="O23:O27"/>
    <mergeCell ref="P23:P27"/>
    <mergeCell ref="N28:N32"/>
    <mergeCell ref="O28:O32"/>
    <mergeCell ref="P28:P32"/>
    <mergeCell ref="A43:A47"/>
    <mergeCell ref="B43:B47"/>
    <mergeCell ref="A28:A32"/>
    <mergeCell ref="B28:B32"/>
    <mergeCell ref="A33:A37"/>
    <mergeCell ref="B33:B37"/>
    <mergeCell ref="A38:A42"/>
    <mergeCell ref="B38:B42"/>
    <mergeCell ref="B13:B17"/>
    <mergeCell ref="A13:A17"/>
    <mergeCell ref="A18:A22"/>
    <mergeCell ref="B18:B22"/>
    <mergeCell ref="A23:A27"/>
    <mergeCell ref="B23:B27"/>
  </mergeCells>
  <conditionalFormatting sqref="P13">
    <cfRule type="cellIs" dxfId="2122" priority="4" operator="equal">
      <formula>"CUMPLE"</formula>
    </cfRule>
    <cfRule type="cellIs" dxfId="2121" priority="5" operator="equal">
      <formula>"NO CUMPLE"</formula>
    </cfRule>
    <cfRule type="cellIs" dxfId="2120" priority="6" operator="equal">
      <formula>"""CUMPLE"""</formula>
    </cfRule>
  </conditionalFormatting>
  <conditionalFormatting sqref="P18 P23 P28 P33 P38 P43">
    <cfRule type="cellIs" dxfId="2119" priority="1" operator="equal">
      <formula>"CUMPLE"</formula>
    </cfRule>
    <cfRule type="cellIs" dxfId="2118" priority="2" operator="equal">
      <formula>"NO CUMPLE"</formula>
    </cfRule>
    <cfRule type="cellIs" dxfId="2117" priority="3" operator="equal">
      <formula>"""CUMPLE"""</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74"/>
  <sheetViews>
    <sheetView view="pageBreakPreview" zoomScale="40" zoomScaleNormal="55" zoomScaleSheetLayoutView="40" workbookViewId="0">
      <pane ySplit="11" topLeftCell="A31" activePane="bottomLeft" state="frozenSplit"/>
      <selection activeCell="C9" sqref="C9:I9"/>
      <selection pane="bottomLeft" activeCell="E29" sqref="E29"/>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v>
      </c>
      <c r="B11" s="2" t="s">
        <v>24</v>
      </c>
      <c r="C11" s="342" t="str">
        <f>VLOOKUP(A11,PROPONENTES!A10:B46,2,FALSE)</f>
        <v>VELNEC S.A.</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3</v>
      </c>
      <c r="J14" s="169">
        <f>+L8</f>
        <v>405.24573153846154</v>
      </c>
      <c r="K14" s="169">
        <f>+E20</f>
        <v>3397.6099999999997</v>
      </c>
      <c r="L14" s="18" t="str">
        <f>IF(K14&gt;=J14,"CUMPLE","NO CUMPLE")</f>
        <v>CUMPLE</v>
      </c>
    </row>
    <row r="15" spans="1:12" ht="66.75" customHeight="1" x14ac:dyDescent="0.25">
      <c r="B15" s="314"/>
      <c r="C15" s="98" t="str">
        <f>IF(VLOOKUP(C11,PROPONENTES!B10:N46,2,FALSE)=0,"",VLOOKUP(C11,PROPONENTES!B10:N46,2,FALSE))</f>
        <v>VELNEC S.A.</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3397.6099999999997</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2379.14</v>
      </c>
      <c r="J16" s="169">
        <f>+L8*0.7</f>
        <v>283.67201207692307</v>
      </c>
      <c r="K16" s="18" t="str">
        <f>IF(I16&gt;=J16,"CUMPLE","NO CUMPLE")</f>
        <v>CUMPLE</v>
      </c>
      <c r="L16" s="305">
        <f>AVERAGEIF(D68:J68,"CUMPLE",D46:J46)</f>
        <v>1132.5366666666666</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3397.6099999999997</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214</v>
      </c>
      <c r="E24" s="88" t="s">
        <v>214</v>
      </c>
      <c r="F24" s="88" t="s">
        <v>214</v>
      </c>
      <c r="G24" s="88" t="s">
        <v>214</v>
      </c>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326</v>
      </c>
      <c r="E27" s="89" t="s">
        <v>327</v>
      </c>
      <c r="F27" s="89" t="s">
        <v>328</v>
      </c>
      <c r="G27" s="89" t="s">
        <v>329</v>
      </c>
      <c r="H27" s="89"/>
      <c r="I27" s="89"/>
      <c r="J27" s="89"/>
      <c r="K27" s="297"/>
      <c r="L27" s="298"/>
    </row>
    <row r="28" spans="2:14" ht="156.75" customHeight="1" x14ac:dyDescent="0.25">
      <c r="B28" s="319"/>
      <c r="C28" s="27" t="s">
        <v>36</v>
      </c>
      <c r="D28" s="89" t="s">
        <v>330</v>
      </c>
      <c r="E28" s="89" t="s">
        <v>331</v>
      </c>
      <c r="F28" s="89" t="s">
        <v>332</v>
      </c>
      <c r="G28" s="89" t="s">
        <v>333</v>
      </c>
      <c r="H28" s="89"/>
      <c r="I28" s="89"/>
      <c r="J28" s="89"/>
      <c r="K28" s="297"/>
      <c r="L28" s="298"/>
    </row>
    <row r="29" spans="2:14" ht="52.5" customHeight="1" x14ac:dyDescent="0.25">
      <c r="B29" s="319"/>
      <c r="C29" s="27" t="s">
        <v>165</v>
      </c>
      <c r="D29" s="93">
        <v>40137</v>
      </c>
      <c r="E29" s="93">
        <v>39062</v>
      </c>
      <c r="F29" s="93">
        <v>40176</v>
      </c>
      <c r="G29" s="93">
        <v>43353</v>
      </c>
      <c r="H29" s="93"/>
      <c r="I29" s="93"/>
      <c r="J29" s="93"/>
      <c r="K29" s="297"/>
      <c r="L29" s="298"/>
    </row>
    <row r="30" spans="2:14" ht="54.75" customHeight="1" x14ac:dyDescent="0.25">
      <c r="B30" s="319"/>
      <c r="C30" s="27" t="s">
        <v>40</v>
      </c>
      <c r="D30" s="93">
        <v>40675</v>
      </c>
      <c r="E30" s="93">
        <v>40476</v>
      </c>
      <c r="F30" s="93">
        <v>40312</v>
      </c>
      <c r="G30" s="93">
        <v>43625</v>
      </c>
      <c r="H30" s="93"/>
      <c r="I30" s="93"/>
      <c r="J30" s="93"/>
      <c r="K30" s="297"/>
      <c r="L30" s="298"/>
    </row>
    <row r="31" spans="2:14" ht="41.25" customHeight="1" x14ac:dyDescent="0.25">
      <c r="B31" s="319"/>
      <c r="C31" s="27" t="s">
        <v>37</v>
      </c>
      <c r="D31" s="90">
        <v>2011</v>
      </c>
      <c r="E31" s="90">
        <v>2010</v>
      </c>
      <c r="F31" s="90">
        <v>2010</v>
      </c>
      <c r="G31" s="90">
        <v>2019</v>
      </c>
      <c r="H31" s="90"/>
      <c r="I31" s="90"/>
      <c r="J31" s="90"/>
      <c r="K31" s="297"/>
      <c r="L31" s="298"/>
    </row>
    <row r="32" spans="2:14" ht="63" customHeight="1" x14ac:dyDescent="0.25">
      <c r="B32" s="319"/>
      <c r="C32" s="27" t="s">
        <v>38</v>
      </c>
      <c r="D32" s="89" t="s">
        <v>334</v>
      </c>
      <c r="E32" s="89" t="s">
        <v>334</v>
      </c>
      <c r="F32" s="89" t="s">
        <v>335</v>
      </c>
      <c r="G32" s="89" t="s">
        <v>336</v>
      </c>
      <c r="H32" s="89"/>
      <c r="I32" s="89"/>
      <c r="J32" s="89"/>
      <c r="K32" s="297"/>
      <c r="L32" s="298"/>
    </row>
    <row r="33" spans="2:12" ht="46.5" customHeight="1" x14ac:dyDescent="0.25">
      <c r="B33" s="319"/>
      <c r="C33" s="27" t="s">
        <v>39</v>
      </c>
      <c r="D33" s="89" t="s">
        <v>214</v>
      </c>
      <c r="E33" s="89" t="s">
        <v>214</v>
      </c>
      <c r="F33" s="89" t="s">
        <v>214</v>
      </c>
      <c r="G33" s="89" t="s">
        <v>214</v>
      </c>
      <c r="H33" s="89"/>
      <c r="I33" s="89"/>
      <c r="J33" s="89"/>
      <c r="K33" s="297"/>
      <c r="L33" s="298"/>
    </row>
    <row r="34" spans="2:12" ht="27.75" customHeight="1" x14ac:dyDescent="0.25">
      <c r="B34" s="319"/>
      <c r="C34" s="28" t="s">
        <v>33</v>
      </c>
      <c r="D34" s="94">
        <v>46</v>
      </c>
      <c r="E34" s="94">
        <v>1</v>
      </c>
      <c r="F34" s="94">
        <v>77</v>
      </c>
      <c r="G34" s="95">
        <v>167</v>
      </c>
      <c r="H34" s="95"/>
      <c r="I34" s="95"/>
      <c r="J34" s="95"/>
      <c r="K34" s="297"/>
      <c r="L34" s="298"/>
    </row>
    <row r="35" spans="2:12" ht="102.75" customHeight="1" x14ac:dyDescent="0.25">
      <c r="B35" s="319"/>
      <c r="C35" s="27" t="s">
        <v>124</v>
      </c>
      <c r="D35" s="91">
        <v>2379.14</v>
      </c>
      <c r="E35" s="187">
        <v>4657.5600000000004</v>
      </c>
      <c r="F35" s="91">
        <v>200.6</v>
      </c>
      <c r="G35" s="91">
        <v>817.87</v>
      </c>
      <c r="H35" s="91"/>
      <c r="I35" s="91"/>
      <c r="J35" s="91"/>
      <c r="K35" s="299"/>
      <c r="L35" s="300"/>
    </row>
    <row r="36" spans="2:12" ht="48" customHeight="1" x14ac:dyDescent="0.25">
      <c r="B36" s="319"/>
      <c r="C36" s="27" t="s">
        <v>72</v>
      </c>
      <c r="D36" s="103">
        <f>IFERROR(D35*VLOOKUP(D31,'DATOS INICIALES'!$A$12:$B$43,2,0),"0")</f>
        <v>1274267384</v>
      </c>
      <c r="E36" s="103">
        <f>IFERROR(E35*VLOOKUP(E31,'DATOS INICIALES'!$A$12:$B$43,2,0),"0")</f>
        <v>2398643400</v>
      </c>
      <c r="F36" s="103">
        <f>IFERROR(F35*VLOOKUP(F31,'DATOS INICIALES'!$A$12:$B$43,2,0),"0")</f>
        <v>103309000</v>
      </c>
      <c r="G36" s="103">
        <f>IFERROR(G35*VLOOKUP(G31,'DATOS INICIALES'!$A$12:$B$43,2,0),"0")</f>
        <v>677291232.91999996</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v>1</v>
      </c>
      <c r="G37" s="92">
        <v>1</v>
      </c>
      <c r="H37" s="92"/>
      <c r="I37" s="92"/>
      <c r="J37" s="92"/>
      <c r="K37" s="297"/>
      <c r="L37" s="298"/>
    </row>
    <row r="38" spans="2:12" ht="48.75" customHeight="1" x14ac:dyDescent="0.25">
      <c r="B38" s="319"/>
      <c r="C38" s="27" t="s">
        <v>131</v>
      </c>
      <c r="D38" s="103">
        <f t="shared" ref="D38:J38" si="0">IF(D24="","0",D37*D36)</f>
        <v>1274267384</v>
      </c>
      <c r="E38" s="103">
        <f t="shared" si="0"/>
        <v>2398643400</v>
      </c>
      <c r="F38" s="103">
        <f t="shared" si="0"/>
        <v>103309000</v>
      </c>
      <c r="G38" s="103">
        <f t="shared" si="0"/>
        <v>677291232.91999996</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2379.14</v>
      </c>
      <c r="E39" s="104">
        <f t="shared" si="1"/>
        <v>4657.5600000000004</v>
      </c>
      <c r="F39" s="104">
        <f t="shared" si="1"/>
        <v>200.6</v>
      </c>
      <c r="G39" s="104">
        <f t="shared" si="1"/>
        <v>817.87</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2379.14</v>
      </c>
      <c r="E46" s="104">
        <f t="shared" ref="E46:G46" si="6">+E39+E42+E45</f>
        <v>4657.5600000000004</v>
      </c>
      <c r="F46" s="104">
        <f t="shared" si="6"/>
        <v>200.6</v>
      </c>
      <c r="G46" s="104">
        <f t="shared" si="6"/>
        <v>817.87</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t="s">
        <v>14</v>
      </c>
      <c r="H47" s="88"/>
      <c r="I47" s="88"/>
      <c r="J47" s="88"/>
      <c r="K47" s="297"/>
      <c r="L47" s="298"/>
    </row>
    <row r="48" spans="2:12" ht="24.75" customHeight="1" x14ac:dyDescent="0.25">
      <c r="B48" s="315" t="s">
        <v>34</v>
      </c>
      <c r="C48" s="29">
        <f>+'DATOS INICIALES'!D22</f>
        <v>81141500</v>
      </c>
      <c r="D48" s="94" t="s">
        <v>75</v>
      </c>
      <c r="E48" s="94" t="s">
        <v>75</v>
      </c>
      <c r="F48" s="94" t="s">
        <v>75</v>
      </c>
      <c r="G48" s="94" t="s">
        <v>75</v>
      </c>
      <c r="H48" s="94"/>
      <c r="I48" s="94"/>
      <c r="J48" s="95"/>
      <c r="K48" s="297"/>
      <c r="L48" s="298"/>
    </row>
    <row r="49" spans="2:12" ht="24.75" customHeight="1" x14ac:dyDescent="0.25">
      <c r="B49" s="316"/>
      <c r="C49" s="29">
        <f>+'DATOS INICIALES'!D23</f>
        <v>80101500</v>
      </c>
      <c r="D49" s="94" t="s">
        <v>75</v>
      </c>
      <c r="E49" s="94" t="s">
        <v>75</v>
      </c>
      <c r="F49" s="94" t="s">
        <v>75</v>
      </c>
      <c r="G49" s="94" t="s">
        <v>75</v>
      </c>
      <c r="H49" s="94"/>
      <c r="I49" s="94"/>
      <c r="J49" s="95"/>
      <c r="K49" s="297"/>
      <c r="L49" s="298"/>
    </row>
    <row r="50" spans="2:12" ht="24.75" customHeight="1" x14ac:dyDescent="0.25">
      <c r="B50" s="316"/>
      <c r="C50" s="29">
        <f>+'DATOS INICIALES'!D24</f>
        <v>80101600</v>
      </c>
      <c r="D50" s="94" t="s">
        <v>75</v>
      </c>
      <c r="E50" s="94" t="s">
        <v>75</v>
      </c>
      <c r="F50" s="94" t="s">
        <v>75</v>
      </c>
      <c r="G50" s="94" t="s">
        <v>75</v>
      </c>
      <c r="H50" s="94"/>
      <c r="I50" s="94"/>
      <c r="J50" s="95"/>
      <c r="K50" s="297"/>
      <c r="L50" s="298"/>
    </row>
    <row r="51" spans="2:12" ht="24.75" customHeight="1" x14ac:dyDescent="0.25">
      <c r="B51" s="316"/>
      <c r="C51" s="29">
        <f>+'DATOS INICIALES'!D25</f>
        <v>81101500</v>
      </c>
      <c r="D51" s="94" t="s">
        <v>75</v>
      </c>
      <c r="E51" s="94" t="s">
        <v>75</v>
      </c>
      <c r="F51" s="94" t="s">
        <v>75</v>
      </c>
      <c r="G51" s="94" t="s">
        <v>75</v>
      </c>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CUMPLE</v>
      </c>
      <c r="H55" s="18" t="str">
        <f t="shared" si="8"/>
        <v>N/A</v>
      </c>
      <c r="I55" s="18" t="str">
        <f t="shared" si="8"/>
        <v>N/A</v>
      </c>
      <c r="J55" s="18" t="str">
        <f t="shared" si="8"/>
        <v>N/A</v>
      </c>
      <c r="K55" s="297"/>
      <c r="L55" s="298"/>
    </row>
    <row r="56" spans="2:12" ht="295.5" customHeight="1" x14ac:dyDescent="0.25">
      <c r="B56" s="295" t="s">
        <v>217</v>
      </c>
      <c r="C56" s="296"/>
      <c r="D56" s="88" t="s">
        <v>14</v>
      </c>
      <c r="E56" s="88" t="s">
        <v>15</v>
      </c>
      <c r="F56" s="88" t="s">
        <v>14</v>
      </c>
      <c r="G56" s="88" t="s">
        <v>14</v>
      </c>
      <c r="H56" s="88"/>
      <c r="I56" s="88"/>
      <c r="J56" s="88"/>
      <c r="K56" s="282" t="s">
        <v>337</v>
      </c>
      <c r="L56" s="283"/>
    </row>
    <row r="57" spans="2:12" ht="57.75" hidden="1" customHeight="1" x14ac:dyDescent="0.25">
      <c r="B57" s="295"/>
      <c r="C57" s="296"/>
      <c r="D57" s="88" t="s">
        <v>14</v>
      </c>
      <c r="E57" s="88" t="s">
        <v>14</v>
      </c>
      <c r="F57" s="88" t="s">
        <v>14</v>
      </c>
      <c r="G57" s="88" t="s">
        <v>14</v>
      </c>
      <c r="H57" s="88"/>
      <c r="I57" s="88"/>
      <c r="J57" s="88"/>
      <c r="K57" s="282"/>
      <c r="L57" s="283"/>
    </row>
    <row r="58" spans="2:12" ht="51.75" hidden="1" customHeight="1" x14ac:dyDescent="0.25">
      <c r="B58" s="295"/>
      <c r="C58" s="296"/>
      <c r="D58" s="88" t="s">
        <v>14</v>
      </c>
      <c r="E58" s="88" t="s">
        <v>14</v>
      </c>
      <c r="F58" s="88" t="s">
        <v>14</v>
      </c>
      <c r="G58" s="88" t="s">
        <v>14</v>
      </c>
      <c r="H58" s="88"/>
      <c r="I58" s="88"/>
      <c r="J58" s="88"/>
      <c r="K58" s="282"/>
      <c r="L58" s="283"/>
    </row>
    <row r="59" spans="2:12" ht="97.5" hidden="1" customHeight="1" x14ac:dyDescent="0.25">
      <c r="B59" s="295"/>
      <c r="C59" s="296"/>
      <c r="D59" s="88" t="s">
        <v>14</v>
      </c>
      <c r="E59" s="88" t="s">
        <v>14</v>
      </c>
      <c r="F59" s="88" t="s">
        <v>14</v>
      </c>
      <c r="G59" s="88" t="s">
        <v>14</v>
      </c>
      <c r="H59" s="88"/>
      <c r="I59" s="88"/>
      <c r="J59" s="88"/>
      <c r="K59" s="282"/>
      <c r="L59" s="283"/>
    </row>
    <row r="60" spans="2:12" ht="77.25" hidden="1" customHeight="1" x14ac:dyDescent="0.25">
      <c r="B60" s="295"/>
      <c r="C60" s="296"/>
      <c r="D60" s="88" t="s">
        <v>14</v>
      </c>
      <c r="E60" s="88" t="s">
        <v>14</v>
      </c>
      <c r="F60" s="88" t="s">
        <v>14</v>
      </c>
      <c r="G60" s="88" t="s">
        <v>14</v>
      </c>
      <c r="H60" s="88"/>
      <c r="I60" s="88"/>
      <c r="J60" s="88"/>
      <c r="K60" s="282"/>
      <c r="L60" s="283"/>
    </row>
    <row r="61" spans="2:12" ht="99.75" customHeight="1" x14ac:dyDescent="0.25">
      <c r="B61" s="290" t="s">
        <v>206</v>
      </c>
      <c r="C61" s="291"/>
      <c r="D61" s="88" t="s">
        <v>14</v>
      </c>
      <c r="E61" s="88" t="s">
        <v>14</v>
      </c>
      <c r="F61" s="88" t="s">
        <v>14</v>
      </c>
      <c r="G61" s="88" t="s">
        <v>14</v>
      </c>
      <c r="H61" s="88"/>
      <c r="I61" s="88"/>
      <c r="J61" s="88"/>
      <c r="K61" s="297"/>
      <c r="L61" s="298"/>
    </row>
    <row r="62" spans="2:12" ht="45" customHeight="1" x14ac:dyDescent="0.25">
      <c r="B62" s="290" t="s">
        <v>207</v>
      </c>
      <c r="C62" s="291"/>
      <c r="D62" s="88" t="s">
        <v>14</v>
      </c>
      <c r="E62" s="88" t="s">
        <v>14</v>
      </c>
      <c r="F62" s="88" t="s">
        <v>14</v>
      </c>
      <c r="G62" s="88" t="s">
        <v>14</v>
      </c>
      <c r="H62" s="88"/>
      <c r="I62" s="88"/>
      <c r="J62" s="88"/>
      <c r="K62" s="297"/>
      <c r="L62" s="298"/>
    </row>
    <row r="63" spans="2:12" ht="181.5" customHeight="1" x14ac:dyDescent="0.25">
      <c r="B63" s="290" t="s">
        <v>218</v>
      </c>
      <c r="C63" s="291"/>
      <c r="D63" s="88" t="s">
        <v>13</v>
      </c>
      <c r="E63" s="88" t="s">
        <v>13</v>
      </c>
      <c r="F63" s="88" t="s">
        <v>13</v>
      </c>
      <c r="G63" s="88" t="s">
        <v>13</v>
      </c>
      <c r="H63" s="88"/>
      <c r="I63" s="88"/>
      <c r="J63" s="88"/>
      <c r="K63" s="297"/>
      <c r="L63" s="298"/>
    </row>
    <row r="64" spans="2:12" ht="336" customHeight="1" x14ac:dyDescent="0.25">
      <c r="B64" s="242" t="s">
        <v>220</v>
      </c>
      <c r="C64" s="242"/>
      <c r="D64" s="88" t="s">
        <v>14</v>
      </c>
      <c r="E64" s="88" t="s">
        <v>14</v>
      </c>
      <c r="F64" s="88" t="s">
        <v>14</v>
      </c>
      <c r="G64" s="88" t="s">
        <v>14</v>
      </c>
      <c r="H64" s="88"/>
      <c r="I64" s="88"/>
      <c r="J64" s="88"/>
      <c r="K64" s="299"/>
      <c r="L64" s="300"/>
    </row>
    <row r="65" spans="2:12" ht="143.25" customHeight="1" x14ac:dyDescent="0.25">
      <c r="B65" s="293" t="s">
        <v>221</v>
      </c>
      <c r="C65" s="294"/>
      <c r="D65" s="88" t="s">
        <v>13</v>
      </c>
      <c r="E65" s="88" t="s">
        <v>13</v>
      </c>
      <c r="F65" s="88" t="s">
        <v>13</v>
      </c>
      <c r="G65" s="88" t="s">
        <v>13</v>
      </c>
      <c r="H65" s="88"/>
      <c r="I65" s="88"/>
      <c r="J65" s="88"/>
      <c r="K65" s="297"/>
      <c r="L65" s="298"/>
    </row>
    <row r="66" spans="2:12" ht="408.75" customHeight="1" x14ac:dyDescent="0.25">
      <c r="B66" s="292" t="s">
        <v>208</v>
      </c>
      <c r="C66" s="292"/>
      <c r="D66" s="88" t="s">
        <v>13</v>
      </c>
      <c r="E66" s="88" t="s">
        <v>13</v>
      </c>
      <c r="F66" s="88" t="s">
        <v>13</v>
      </c>
      <c r="G66" s="88" t="s">
        <v>13</v>
      </c>
      <c r="H66" s="88"/>
      <c r="I66" s="88"/>
      <c r="J66" s="88"/>
      <c r="K66" s="297"/>
      <c r="L66" s="298"/>
    </row>
    <row r="67" spans="2:12" ht="312.75" customHeight="1" x14ac:dyDescent="0.25">
      <c r="B67" s="242" t="s">
        <v>209</v>
      </c>
      <c r="C67" s="242"/>
      <c r="D67" s="88" t="s">
        <v>14</v>
      </c>
      <c r="E67" s="88" t="s">
        <v>14</v>
      </c>
      <c r="F67" s="88" t="s">
        <v>14</v>
      </c>
      <c r="G67" s="88" t="s">
        <v>14</v>
      </c>
      <c r="H67" s="88"/>
      <c r="I67" s="88"/>
      <c r="J67" s="88"/>
      <c r="K67" s="299"/>
      <c r="L67" s="300"/>
    </row>
    <row r="68" spans="2:12" ht="70.5" customHeight="1" x14ac:dyDescent="0.25">
      <c r="B68" s="289" t="s">
        <v>76</v>
      </c>
      <c r="C68" s="289"/>
      <c r="D68" s="18" t="str">
        <f>IF(D24="","N/A",IF(AND(D47="CUMPLE",D55="CUMPLE",D56="CUMPLE",D61="CUMPLE",D62="CUMPLE",OR(D63="CUMPLE",D63="N/A"),D64="CUMPLE",OR(D65="CUMPLE",D65="N/A"),D67="CUMPLE",OR(D66="CUMPLE",D66="N/A")),"CUMPLE","NO CUMPLE"))</f>
        <v>CUMPLE</v>
      </c>
      <c r="E68" s="18" t="str">
        <f>IF(E24="","N/A",IF(AND(E47="CUMPLE",E55="CUMPLE",E56="CUMPLE",E61="CUMPLE",E62="CUMPLE",OR(E63="CUMPLE",E63="N/A"),E64="CUMPLE",OR(E65="CUMPLE",E65="N/A"),E67="CUMPLE",OR(E66="CUMPLE",E66="N/A")),"CUMPLE","NO CUMPLE"))</f>
        <v>NO CUMPLE</v>
      </c>
      <c r="F68" s="18" t="str">
        <f t="shared" ref="F68:J68" si="9">IF(F24="","N/A",IF(AND(F47="CUMPLE",F55="CUMPLE",F56="CUMPLE",F61="CUMPLE",F62="CUMPLE",OR(F63="CUMPLE",F63="N/A"),F64="CUMPLE",OR(F65="CUMPLE",F65="N/A"),F67="CUMPLE",OR(F66="CUMPLE",F66="N/A")),"CUMPLE","NO CUMPLE"))</f>
        <v>CUMPLE</v>
      </c>
      <c r="G68" s="18" t="str">
        <f t="shared" si="9"/>
        <v>CUMPLE</v>
      </c>
      <c r="H68" s="18" t="str">
        <f t="shared" si="9"/>
        <v>N/A</v>
      </c>
      <c r="I68" s="18" t="str">
        <f t="shared" si="9"/>
        <v>N/A</v>
      </c>
      <c r="J68" s="18" t="str">
        <f t="shared" si="9"/>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B67:C67"/>
    <mergeCell ref="B68:C68"/>
    <mergeCell ref="B69:C69"/>
    <mergeCell ref="K69:L69"/>
    <mergeCell ref="B71:E71"/>
    <mergeCell ref="K66:L66"/>
    <mergeCell ref="K67:L67"/>
    <mergeCell ref="B63:C63"/>
    <mergeCell ref="B64:C64"/>
    <mergeCell ref="B65:C65"/>
    <mergeCell ref="K63:L63"/>
    <mergeCell ref="K64:L64"/>
    <mergeCell ref="K65:L65"/>
    <mergeCell ref="B60:C60"/>
    <mergeCell ref="B61:C61"/>
    <mergeCell ref="B62:C62"/>
    <mergeCell ref="K60:L60"/>
    <mergeCell ref="K61:L61"/>
    <mergeCell ref="K62:L62"/>
    <mergeCell ref="B57:C57"/>
    <mergeCell ref="B58:C58"/>
    <mergeCell ref="B59:C59"/>
    <mergeCell ref="K57:L57"/>
    <mergeCell ref="K58:L58"/>
    <mergeCell ref="K59:L59"/>
    <mergeCell ref="K53:L53"/>
    <mergeCell ref="K54:L54"/>
    <mergeCell ref="K55:L55"/>
    <mergeCell ref="B56:C56"/>
    <mergeCell ref="B48:B55"/>
    <mergeCell ref="K48:L48"/>
    <mergeCell ref="K49:L49"/>
    <mergeCell ref="K50:L50"/>
    <mergeCell ref="K51:L51"/>
    <mergeCell ref="K56:L56"/>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56:D67">
    <cfRule type="containsBlanks" dxfId="2116" priority="3">
      <formula>LEN(TRIM(D56))=0</formula>
    </cfRule>
    <cfRule type="notContainsErrors" dxfId="2115" priority="4">
      <formula>NOT(ISERROR(D56))</formula>
    </cfRule>
  </conditionalFormatting>
  <conditionalFormatting sqref="D73">
    <cfRule type="cellIs" dxfId="2114" priority="22" operator="equal">
      <formula>"NO CUMPLE"</formula>
    </cfRule>
    <cfRule type="cellIs" dxfId="2113" priority="23" operator="equal">
      <formula>"CUMPLE"</formula>
    </cfRule>
    <cfRule type="containsBlanks" dxfId="2112" priority="20">
      <formula>LEN(TRIM(D73))=0</formula>
    </cfRule>
    <cfRule type="notContainsErrors" dxfId="2111" priority="21">
      <formula>NOT(ISERROR(D73))</formula>
    </cfRule>
  </conditionalFormatting>
  <conditionalFormatting sqref="D74">
    <cfRule type="cellIs" dxfId="2110" priority="24" operator="equal">
      <formula>"N/A"</formula>
    </cfRule>
    <cfRule type="cellIs" dxfId="2109" priority="25" operator="equal">
      <formula>"CUMPLE"</formula>
    </cfRule>
    <cfRule type="cellIs" dxfId="2108" priority="26" operator="equal">
      <formula>"NO CUMPLE"</formula>
    </cfRule>
    <cfRule type="cellIs" dxfId="2107" priority="27" operator="equal">
      <formula>"""CUMPLE"""</formula>
    </cfRule>
  </conditionalFormatting>
  <conditionalFormatting sqref="D25:J35">
    <cfRule type="containsBlanks" dxfId="2106" priority="42">
      <formula>LEN(TRIM(D25))=0</formula>
    </cfRule>
    <cfRule type="notContainsErrors" dxfId="2105" priority="43">
      <formula>NOT(ISERROR(D25))</formula>
    </cfRule>
  </conditionalFormatting>
  <conditionalFormatting sqref="D34:J34 D24:K24 D37:J37 D40:J40 D43:J43 K68:L68">
    <cfRule type="containsBlanks" dxfId="2104" priority="44">
      <formula>LEN(TRIM(D24))=0</formula>
    </cfRule>
  </conditionalFormatting>
  <conditionalFormatting sqref="D47:J54">
    <cfRule type="cellIs" dxfId="2103" priority="8" operator="equal">
      <formula>"CUMPLE"</formula>
    </cfRule>
    <cfRule type="cellIs" dxfId="2102" priority="7" operator="equal">
      <formula>"NO CUMPLE"</formula>
    </cfRule>
    <cfRule type="containsBlanks" dxfId="2101" priority="9">
      <formula>LEN(TRIM(D47))=0</formula>
    </cfRule>
    <cfRule type="notContainsErrors" dxfId="2100" priority="10">
      <formula>NOT(ISERROR(D47))</formula>
    </cfRule>
  </conditionalFormatting>
  <conditionalFormatting sqref="D55:J55">
    <cfRule type="cellIs" dxfId="2099" priority="53" operator="equal">
      <formula>"""CUMPLE"""</formula>
    </cfRule>
    <cfRule type="cellIs" dxfId="2098" priority="52" operator="equal">
      <formula>"NO CUMPLE"</formula>
    </cfRule>
    <cfRule type="cellIs" dxfId="2097" priority="51" operator="equal">
      <formula>"CUMPLE"</formula>
    </cfRule>
    <cfRule type="cellIs" dxfId="2096" priority="50" operator="equal">
      <formula>"N/A"</formula>
    </cfRule>
  </conditionalFormatting>
  <conditionalFormatting sqref="D56:J67">
    <cfRule type="cellIs" dxfId="2095" priority="2" operator="equal">
      <formula>"CUMPLE"</formula>
    </cfRule>
    <cfRule type="cellIs" dxfId="2094" priority="1" operator="equal">
      <formula>"NO CUMPLE"</formula>
    </cfRule>
  </conditionalFormatting>
  <conditionalFormatting sqref="D68:J68">
    <cfRule type="cellIs" dxfId="2093" priority="47" operator="equal">
      <formula>"CUMPLE"</formula>
    </cfRule>
    <cfRule type="cellIs" dxfId="2092" priority="49" operator="equal">
      <formula>"""CUMPLE"""</formula>
    </cfRule>
    <cfRule type="cellIs" dxfId="2091" priority="48" operator="equal">
      <formula>"NO CUMPLE"</formula>
    </cfRule>
    <cfRule type="cellIs" dxfId="2090" priority="46" operator="equal">
      <formula>"N/A"</formula>
    </cfRule>
  </conditionalFormatting>
  <conditionalFormatting sqref="D69:J69">
    <cfRule type="cellIs" dxfId="2089" priority="15" operator="equal">
      <formula>"CUMPLE"</formula>
    </cfRule>
    <cfRule type="cellIs" dxfId="2088" priority="14" operator="equal">
      <formula>"NO CUMPLE"</formula>
    </cfRule>
  </conditionalFormatting>
  <conditionalFormatting sqref="D24:K24 D34:J34 D37:J37 D40:J40 D43:J43 K68:L68">
    <cfRule type="notContainsErrors" dxfId="2087" priority="45">
      <formula>NOT(ISERROR(D24))</formula>
    </cfRule>
  </conditionalFormatting>
  <conditionalFormatting sqref="D61:K67">
    <cfRule type="notContainsErrors" dxfId="2086" priority="6">
      <formula>NOT(ISERROR(D61))</formula>
    </cfRule>
    <cfRule type="containsBlanks" dxfId="2085" priority="5">
      <formula>LEN(TRIM(D61))=0</formula>
    </cfRule>
  </conditionalFormatting>
  <conditionalFormatting sqref="D69:K69">
    <cfRule type="notContainsErrors" dxfId="2084" priority="17">
      <formula>NOT(ISERROR(D69))</formula>
    </cfRule>
    <cfRule type="containsBlanks" dxfId="2083" priority="16">
      <formula>LEN(TRIM(D69))=0</formula>
    </cfRule>
  </conditionalFormatting>
  <conditionalFormatting sqref="E73:E74">
    <cfRule type="notContainsErrors" dxfId="2082" priority="19">
      <formula>NOT(ISERROR(E73))</formula>
    </cfRule>
    <cfRule type="containsBlanks" dxfId="2081" priority="18">
      <formula>LEN(TRIM(E73))=0</formula>
    </cfRule>
  </conditionalFormatting>
  <conditionalFormatting sqref="E56:J60">
    <cfRule type="containsBlanks" dxfId="2080" priority="32">
      <formula>LEN(TRIM(E56))=0</formula>
    </cfRule>
    <cfRule type="notContainsErrors" dxfId="2079" priority="33">
      <formula>NOT(ISERROR(E56))</formula>
    </cfRule>
  </conditionalFormatting>
  <conditionalFormatting sqref="F20:H20">
    <cfRule type="cellIs" dxfId="2078" priority="57" operator="equal">
      <formula>"CUMPLE"</formula>
    </cfRule>
    <cfRule type="cellIs" dxfId="2077" priority="58" operator="equal">
      <formula>"NO CUMPLE"</formula>
    </cfRule>
    <cfRule type="cellIs" dxfId="2076" priority="59" operator="equal">
      <formula>"""CUMPLE"""</formula>
    </cfRule>
  </conditionalFormatting>
  <conditionalFormatting sqref="I11">
    <cfRule type="containsText" dxfId="2075" priority="63" operator="containsText" text="NO CUMPLE">
      <formula>NOT(ISERROR(SEARCH("NO CUMPLE",I11)))</formula>
    </cfRule>
    <cfRule type="containsText" dxfId="2074" priority="60" operator="containsText" text="INHABILITADO">
      <formula>NOT(ISERROR(SEARCH("INHABILITADO",I11)))</formula>
    </cfRule>
    <cfRule type="containsText" dxfId="2073" priority="61" operator="containsText" text="HABILITADO">
      <formula>NOT(ISERROR(SEARCH("HABILITADO",I11)))</formula>
    </cfRule>
    <cfRule type="containsText" dxfId="2072" priority="62" operator="containsText" text="HABILITADO">
      <formula>NOT(ISERROR(SEARCH("HABILITADO",I11)))</formula>
    </cfRule>
  </conditionalFormatting>
  <conditionalFormatting sqref="J20">
    <cfRule type="cellIs" dxfId="2071" priority="38" operator="equal">
      <formula>"NO"</formula>
    </cfRule>
    <cfRule type="cellIs" dxfId="2070" priority="39" operator="equal">
      <formula>"SI"</formula>
    </cfRule>
  </conditionalFormatting>
  <conditionalFormatting sqref="K16">
    <cfRule type="cellIs" dxfId="2069" priority="11" operator="equal">
      <formula>"CUMPLE"</formula>
    </cfRule>
    <cfRule type="cellIs" dxfId="2068" priority="12" operator="equal">
      <formula>"NO CUMPLE"</formula>
    </cfRule>
    <cfRule type="cellIs" dxfId="2067" priority="13" operator="equal">
      <formula>"""CUMPLE"""</formula>
    </cfRule>
  </conditionalFormatting>
  <conditionalFormatting sqref="K25:K60">
    <cfRule type="containsBlanks" dxfId="2066" priority="28">
      <formula>LEN(TRIM(K25))=0</formula>
    </cfRule>
    <cfRule type="notContainsErrors" dxfId="2065" priority="29">
      <formula>NOT(ISERROR(K25))</formula>
    </cfRule>
  </conditionalFormatting>
  <conditionalFormatting sqref="L14">
    <cfRule type="cellIs" dxfId="2064" priority="54" operator="equal">
      <formula>"CUMPLE"</formula>
    </cfRule>
    <cfRule type="cellIs" dxfId="2063" priority="55" operator="equal">
      <formula>"NO CUMPLE"</formula>
    </cfRule>
    <cfRule type="cellIs" dxfId="2062" priority="56" operator="equal">
      <formula>"""CUMPLE"""</formula>
    </cfRule>
  </conditionalFormatting>
  <conditionalFormatting sqref="L20">
    <cfRule type="cellIs" dxfId="2061" priority="36" operator="equal">
      <formula>"NO"</formula>
    </cfRule>
    <cfRule type="cellIs" dxfId="2060" priority="37" operator="equal">
      <formula>"SI"</formula>
    </cfRule>
  </conditionalFormatting>
  <dataValidations count="4">
    <dataValidation type="list" allowBlank="1" showInputMessage="1" showErrorMessage="1" sqref="J48:J53" xr:uid="{BB9B263F-4260-472D-9F2D-050A0A49BDF7}">
      <formula1>$C$45:$C$46</formula1>
    </dataValidation>
    <dataValidation type="list" allowBlank="1" showInputMessage="1" showErrorMessage="1" sqref="D73 J56:J60 E62:J67" xr:uid="{E459DF8D-FCF6-4E12-B6D4-FE45161F0054}">
      <formula1>$A$50:$A$52</formula1>
    </dataValidation>
    <dataValidation type="list" allowBlank="1" showInputMessage="1" showErrorMessage="1" sqref="L61:L69" xr:uid="{F7FC3667-D637-40C0-B8B0-EA78B11E4C6B}">
      <formula1>"0,1,2,3,4,5,6"</formula1>
    </dataValidation>
    <dataValidation type="list" allowBlank="1" showInputMessage="1" showErrorMessage="1" sqref="D24:J26" xr:uid="{C6F11F04-CAF4-4152-AE1E-B2487B6B9A9E}">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FB1BFB31-CA20-4A6F-843B-D838B46CAF2E}">
          <x14:formula1>
            <xm:f>'DATOS INICIALES'!$C$45:$C$46</xm:f>
          </x14:formula1>
          <xm:sqref>D48:I54</xm:sqref>
        </x14:dataValidation>
        <x14:dataValidation type="list" allowBlank="1" showInputMessage="1" showErrorMessage="1" xr:uid="{826D3AFA-F267-4B2C-82D6-BCA66A4BEDA1}">
          <x14:formula1>
            <xm:f>'DATOS INICIALES'!$A$50:$A$52</xm:f>
          </x14:formula1>
          <xm:sqref>E56:I61 D56:D67</xm:sqref>
        </x14:dataValidation>
        <x14:dataValidation type="list" allowBlank="1" showInputMessage="1" showErrorMessage="1" xr:uid="{A9B52D45-31BA-4160-A098-A357ABB5D10D}">
          <x14:formula1>
            <xm:f>'DATOS INICIALES'!$A$54:$A$59</xm:f>
          </x14:formula1>
          <xm:sqref>D23:I23</xm:sqref>
        </x14:dataValidation>
        <x14:dataValidation type="list" allowBlank="1" showInputMessage="1" showErrorMessage="1" xr:uid="{1BB94BF9-BBFE-46C7-90AD-878605166CE9}">
          <x14:formula1>
            <xm:f>'DATOS INICIALES'!$D$22:$D$26</xm:f>
          </x14:formula1>
          <xm:sqref>M48:M55</xm:sqref>
        </x14:dataValidation>
        <x14:dataValidation type="list" allowBlank="1" showInputMessage="1" showErrorMessage="1" xr:uid="{FD2D50FF-080A-42AE-98A4-5244BB2B8E93}">
          <x14:formula1>
            <xm:f>'DATOS INICIALES'!$A$13:$A$43</xm:f>
          </x14:formula1>
          <xm:sqref>D31:I31</xm:sqref>
        </x14:dataValidation>
        <x14:dataValidation type="list" allowBlank="1" showInputMessage="1" showErrorMessage="1" xr:uid="{5D6BCF38-5577-4495-A04F-F10A46A63F61}">
          <x14:formula1>
            <xm:f>'DATOS INICIALES'!$A$50:$A$51</xm:f>
          </x14:formula1>
          <xm:sqref>D69:J69 D47:J47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74"/>
  <sheetViews>
    <sheetView view="pageBreakPreview" zoomScale="40" zoomScaleNormal="55" zoomScaleSheetLayoutView="40" workbookViewId="0">
      <pane ySplit="11" topLeftCell="A69" activePane="bottomLeft" state="frozenSplit"/>
      <selection activeCell="C9" sqref="C9:I9"/>
      <selection pane="bottomLeft" activeCell="D32" sqref="D32"/>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v>
      </c>
      <c r="B11" s="2" t="s">
        <v>24</v>
      </c>
      <c r="C11" s="342" t="str">
        <f>VLOOKUP(A11,PROPONENTES!A10:B46,2,FALSE)</f>
        <v>ARQUITECTURA URBANA LTDA</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1848.84</v>
      </c>
      <c r="L14" s="18" t="str">
        <f>IF(K14&gt;=J14,"CUMPLE","NO CUMPLE")</f>
        <v>CUMPLE</v>
      </c>
    </row>
    <row r="15" spans="1:12" ht="66.75" customHeight="1" x14ac:dyDescent="0.25">
      <c r="B15" s="314"/>
      <c r="C15" s="98" t="str">
        <f>IF(VLOOKUP(C11,PROPONENTES!B10:N46,2,FALSE)=0,"",VLOOKUP(C11,PROPONENTES!B10:N46,2,FALSE))</f>
        <v>ARQUITECTURA URBANA LTDA</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1848.84</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1067.3599999999999</v>
      </c>
      <c r="J16" s="169">
        <f>+L8*0.7</f>
        <v>283.67201207692307</v>
      </c>
      <c r="K16" s="18" t="str">
        <f>IF(I16&gt;=J16,"CUMPLE","NO CUMPLE")</f>
        <v>CUMPLE</v>
      </c>
      <c r="L16" s="305">
        <f>AVERAGEIF(D68:J68,"CUMPLE",D46:J46)</f>
        <v>924.42</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1848.84</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203</v>
      </c>
      <c r="E24" s="88" t="s">
        <v>203</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338</v>
      </c>
      <c r="E27" s="89" t="s">
        <v>339</v>
      </c>
      <c r="F27" s="89"/>
      <c r="G27" s="89"/>
      <c r="H27" s="89"/>
      <c r="I27" s="89"/>
      <c r="J27" s="89"/>
      <c r="K27" s="297"/>
      <c r="L27" s="298"/>
    </row>
    <row r="28" spans="2:14" ht="156.75" customHeight="1" x14ac:dyDescent="0.25">
      <c r="B28" s="319"/>
      <c r="C28" s="27" t="s">
        <v>36</v>
      </c>
      <c r="D28" s="89" t="s">
        <v>340</v>
      </c>
      <c r="E28" s="89" t="s">
        <v>341</v>
      </c>
      <c r="F28" s="89"/>
      <c r="G28" s="89"/>
      <c r="H28" s="89"/>
      <c r="I28" s="89"/>
      <c r="J28" s="89"/>
      <c r="K28" s="297"/>
      <c r="L28" s="298"/>
    </row>
    <row r="29" spans="2:14" ht="52.5" customHeight="1" x14ac:dyDescent="0.25">
      <c r="B29" s="319"/>
      <c r="C29" s="27" t="s">
        <v>165</v>
      </c>
      <c r="D29" s="93" t="s">
        <v>342</v>
      </c>
      <c r="E29" s="93" t="s">
        <v>343</v>
      </c>
      <c r="F29" s="93"/>
      <c r="G29" s="93"/>
      <c r="H29" s="93"/>
      <c r="I29" s="93"/>
      <c r="J29" s="93"/>
      <c r="K29" s="297"/>
      <c r="L29" s="298"/>
    </row>
    <row r="30" spans="2:14" ht="54.75" customHeight="1" x14ac:dyDescent="0.25">
      <c r="B30" s="319"/>
      <c r="C30" s="27" t="s">
        <v>40</v>
      </c>
      <c r="D30" s="93" t="s">
        <v>344</v>
      </c>
      <c r="E30" s="93" t="s">
        <v>345</v>
      </c>
      <c r="F30" s="93"/>
      <c r="G30" s="93"/>
      <c r="H30" s="93"/>
      <c r="I30" s="93"/>
      <c r="J30" s="93"/>
      <c r="K30" s="297"/>
      <c r="L30" s="298"/>
    </row>
    <row r="31" spans="2:14" ht="41.25" customHeight="1" x14ac:dyDescent="0.25">
      <c r="B31" s="319"/>
      <c r="C31" s="27" t="s">
        <v>37</v>
      </c>
      <c r="D31" s="90">
        <v>2021</v>
      </c>
      <c r="E31" s="90">
        <v>2021</v>
      </c>
      <c r="F31" s="90"/>
      <c r="G31" s="90"/>
      <c r="H31" s="90"/>
      <c r="I31" s="90"/>
      <c r="J31" s="90"/>
      <c r="K31" s="297"/>
      <c r="L31" s="298"/>
    </row>
    <row r="32" spans="2:14" ht="63" customHeight="1" x14ac:dyDescent="0.25">
      <c r="B32" s="319"/>
      <c r="C32" s="27" t="s">
        <v>38</v>
      </c>
      <c r="D32" s="89" t="s">
        <v>346</v>
      </c>
      <c r="E32" s="89" t="s">
        <v>347</v>
      </c>
      <c r="F32" s="89"/>
      <c r="G32" s="89"/>
      <c r="H32" s="89"/>
      <c r="I32" s="89"/>
      <c r="J32" s="89"/>
      <c r="K32" s="297"/>
      <c r="L32" s="298"/>
    </row>
    <row r="33" spans="2:12" ht="46.5" customHeight="1" x14ac:dyDescent="0.25">
      <c r="B33" s="319"/>
      <c r="C33" s="27" t="s">
        <v>39</v>
      </c>
      <c r="D33" s="89" t="s">
        <v>203</v>
      </c>
      <c r="E33" s="89" t="s">
        <v>203</v>
      </c>
      <c r="F33" s="89"/>
      <c r="G33" s="89"/>
      <c r="H33" s="89"/>
      <c r="I33" s="89"/>
      <c r="J33" s="89"/>
      <c r="K33" s="297"/>
      <c r="L33" s="298"/>
    </row>
    <row r="34" spans="2:12" ht="27.75" customHeight="1" x14ac:dyDescent="0.25">
      <c r="B34" s="319"/>
      <c r="C34" s="28" t="s">
        <v>33</v>
      </c>
      <c r="D34" s="94">
        <v>81</v>
      </c>
      <c r="E34" s="94">
        <v>82</v>
      </c>
      <c r="F34" s="94"/>
      <c r="G34" s="95"/>
      <c r="H34" s="95"/>
      <c r="I34" s="95"/>
      <c r="J34" s="95"/>
      <c r="K34" s="297"/>
      <c r="L34" s="298"/>
    </row>
    <row r="35" spans="2:12" ht="102.75" customHeight="1" x14ac:dyDescent="0.25">
      <c r="B35" s="319"/>
      <c r="C35" s="27" t="s">
        <v>124</v>
      </c>
      <c r="D35" s="91">
        <v>1067.3599999999999</v>
      </c>
      <c r="E35" s="187">
        <v>781.48</v>
      </c>
      <c r="F35" s="91"/>
      <c r="G35" s="91"/>
      <c r="H35" s="91"/>
      <c r="I35" s="91"/>
      <c r="J35" s="91"/>
      <c r="K35" s="299"/>
      <c r="L35" s="300"/>
    </row>
    <row r="36" spans="2:12" ht="48" customHeight="1" x14ac:dyDescent="0.25">
      <c r="B36" s="319"/>
      <c r="C36" s="27" t="s">
        <v>72</v>
      </c>
      <c r="D36" s="103">
        <f>IFERROR(D35*VLOOKUP(D31,'DATOS INICIALES'!$A$12:$B$43,2,0),"0")</f>
        <v>969724311.3599999</v>
      </c>
      <c r="E36" s="103">
        <f>IFERROR(E35*VLOOKUP(E31,'DATOS INICIALES'!$A$12:$B$43,2,0),"0")</f>
        <v>709994898.48000002</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c r="G37" s="92"/>
      <c r="H37" s="92"/>
      <c r="I37" s="92"/>
      <c r="J37" s="92"/>
      <c r="K37" s="297"/>
      <c r="L37" s="298"/>
    </row>
    <row r="38" spans="2:12" ht="48.75" customHeight="1" x14ac:dyDescent="0.25">
      <c r="B38" s="319"/>
      <c r="C38" s="27" t="s">
        <v>131</v>
      </c>
      <c r="D38" s="103">
        <f t="shared" ref="D38:J38" si="0">IF(D24="","0",D37*D36)</f>
        <v>969724311.3599999</v>
      </c>
      <c r="E38" s="103">
        <f t="shared" si="0"/>
        <v>709994898.48000002</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1067.3599999999999</v>
      </c>
      <c r="E39" s="104">
        <f t="shared" si="1"/>
        <v>781.48</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1067.3599999999999</v>
      </c>
      <c r="E46" s="104">
        <f t="shared" ref="E46:G46" si="6">+E39+E42+E45</f>
        <v>781.48</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73</v>
      </c>
      <c r="E49" s="94" t="s">
        <v>75</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c r="G56" s="88"/>
      <c r="H56" s="88"/>
      <c r="I56" s="88"/>
      <c r="J56" s="88"/>
      <c r="K56" s="282"/>
      <c r="L56" s="283"/>
    </row>
    <row r="57" spans="2:12" ht="57.75" hidden="1" customHeight="1" x14ac:dyDescent="0.25">
      <c r="B57" s="295"/>
      <c r="C57" s="296"/>
      <c r="D57" s="88" t="s">
        <v>14</v>
      </c>
      <c r="E57" s="88" t="s">
        <v>14</v>
      </c>
      <c r="F57" s="88"/>
      <c r="G57" s="88"/>
      <c r="H57" s="88"/>
      <c r="I57" s="88"/>
      <c r="J57" s="88"/>
      <c r="K57" s="282"/>
      <c r="L57" s="283"/>
    </row>
    <row r="58" spans="2:12" ht="51.75" hidden="1" customHeight="1" x14ac:dyDescent="0.25">
      <c r="B58" s="295"/>
      <c r="C58" s="296"/>
      <c r="D58" s="88" t="s">
        <v>14</v>
      </c>
      <c r="E58" s="88" t="s">
        <v>14</v>
      </c>
      <c r="F58" s="88"/>
      <c r="G58" s="88"/>
      <c r="H58" s="88"/>
      <c r="I58" s="88"/>
      <c r="J58" s="88"/>
      <c r="K58" s="282"/>
      <c r="L58" s="283"/>
    </row>
    <row r="59" spans="2:12" ht="97.5" hidden="1" customHeight="1" x14ac:dyDescent="0.25">
      <c r="B59" s="295"/>
      <c r="C59" s="296"/>
      <c r="D59" s="88" t="s">
        <v>14</v>
      </c>
      <c r="E59" s="88" t="s">
        <v>14</v>
      </c>
      <c r="F59" s="88"/>
      <c r="G59" s="88"/>
      <c r="H59" s="88"/>
      <c r="I59" s="88"/>
      <c r="J59" s="88"/>
      <c r="K59" s="282"/>
      <c r="L59" s="283"/>
    </row>
    <row r="60" spans="2:12" ht="77.25" hidden="1" customHeight="1" x14ac:dyDescent="0.25">
      <c r="B60" s="295"/>
      <c r="C60" s="296"/>
      <c r="D60" s="88" t="s">
        <v>14</v>
      </c>
      <c r="E60" s="88" t="s">
        <v>14</v>
      </c>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56:D67">
    <cfRule type="containsBlanks" dxfId="2059" priority="3">
      <formula>LEN(TRIM(D56))=0</formula>
    </cfRule>
    <cfRule type="notContainsErrors" dxfId="2058" priority="4">
      <formula>NOT(ISERROR(D56))</formula>
    </cfRule>
  </conditionalFormatting>
  <conditionalFormatting sqref="D73">
    <cfRule type="cellIs" dxfId="2057" priority="22" operator="equal">
      <formula>"NO CUMPLE"</formula>
    </cfRule>
    <cfRule type="cellIs" dxfId="2056" priority="23" operator="equal">
      <formula>"CUMPLE"</formula>
    </cfRule>
    <cfRule type="containsBlanks" dxfId="2055" priority="20">
      <formula>LEN(TRIM(D73))=0</formula>
    </cfRule>
    <cfRule type="notContainsErrors" dxfId="2054" priority="21">
      <formula>NOT(ISERROR(D73))</formula>
    </cfRule>
  </conditionalFormatting>
  <conditionalFormatting sqref="D74">
    <cfRule type="cellIs" dxfId="2053" priority="24" operator="equal">
      <formula>"N/A"</formula>
    </cfRule>
    <cfRule type="cellIs" dxfId="2052" priority="25" operator="equal">
      <formula>"CUMPLE"</formula>
    </cfRule>
    <cfRule type="cellIs" dxfId="2051" priority="26" operator="equal">
      <formula>"NO CUMPLE"</formula>
    </cfRule>
    <cfRule type="cellIs" dxfId="2050" priority="27" operator="equal">
      <formula>"""CUMPLE"""</formula>
    </cfRule>
  </conditionalFormatting>
  <conditionalFormatting sqref="D25:J35">
    <cfRule type="containsBlanks" dxfId="2049" priority="42">
      <formula>LEN(TRIM(D25))=0</formula>
    </cfRule>
    <cfRule type="notContainsErrors" dxfId="2048" priority="43">
      <formula>NOT(ISERROR(D25))</formula>
    </cfRule>
  </conditionalFormatting>
  <conditionalFormatting sqref="D34:J34 D24:K24 D37:J37 D40:J40 D43:J43 K68:L68">
    <cfRule type="containsBlanks" dxfId="2047" priority="44">
      <formula>LEN(TRIM(D24))=0</formula>
    </cfRule>
  </conditionalFormatting>
  <conditionalFormatting sqref="D47:J54">
    <cfRule type="cellIs" dxfId="2046" priority="8" operator="equal">
      <formula>"CUMPLE"</formula>
    </cfRule>
    <cfRule type="cellIs" dxfId="2045" priority="7" operator="equal">
      <formula>"NO CUMPLE"</formula>
    </cfRule>
    <cfRule type="containsBlanks" dxfId="2044" priority="9">
      <formula>LEN(TRIM(D47))=0</formula>
    </cfRule>
    <cfRule type="notContainsErrors" dxfId="2043" priority="10">
      <formula>NOT(ISERROR(D47))</formula>
    </cfRule>
  </conditionalFormatting>
  <conditionalFormatting sqref="D55:J55">
    <cfRule type="cellIs" dxfId="2042" priority="53" operator="equal">
      <formula>"""CUMPLE"""</formula>
    </cfRule>
    <cfRule type="cellIs" dxfId="2041" priority="52" operator="equal">
      <formula>"NO CUMPLE"</formula>
    </cfRule>
    <cfRule type="cellIs" dxfId="2040" priority="51" operator="equal">
      <formula>"CUMPLE"</formula>
    </cfRule>
    <cfRule type="cellIs" dxfId="2039" priority="50" operator="equal">
      <formula>"N/A"</formula>
    </cfRule>
  </conditionalFormatting>
  <conditionalFormatting sqref="D56:J67">
    <cfRule type="cellIs" dxfId="2038" priority="2" operator="equal">
      <formula>"CUMPLE"</formula>
    </cfRule>
    <cfRule type="cellIs" dxfId="2037" priority="1" operator="equal">
      <formula>"NO CUMPLE"</formula>
    </cfRule>
  </conditionalFormatting>
  <conditionalFormatting sqref="D68:J68">
    <cfRule type="cellIs" dxfId="2036" priority="47" operator="equal">
      <formula>"CUMPLE"</formula>
    </cfRule>
    <cfRule type="cellIs" dxfId="2035" priority="49" operator="equal">
      <formula>"""CUMPLE"""</formula>
    </cfRule>
    <cfRule type="cellIs" dxfId="2034" priority="48" operator="equal">
      <formula>"NO CUMPLE"</formula>
    </cfRule>
    <cfRule type="cellIs" dxfId="2033" priority="46" operator="equal">
      <formula>"N/A"</formula>
    </cfRule>
  </conditionalFormatting>
  <conditionalFormatting sqref="D69:J69">
    <cfRule type="cellIs" dxfId="2032" priority="15" operator="equal">
      <formula>"CUMPLE"</formula>
    </cfRule>
    <cfRule type="cellIs" dxfId="2031" priority="14" operator="equal">
      <formula>"NO CUMPLE"</formula>
    </cfRule>
  </conditionalFormatting>
  <conditionalFormatting sqref="D24:K24 D34:J34 D37:J37 D40:J40 D43:J43 K68:L68">
    <cfRule type="notContainsErrors" dxfId="2030" priority="45">
      <formula>NOT(ISERROR(D24))</formula>
    </cfRule>
  </conditionalFormatting>
  <conditionalFormatting sqref="D61:K67">
    <cfRule type="notContainsErrors" dxfId="2029" priority="6">
      <formula>NOT(ISERROR(D61))</formula>
    </cfRule>
    <cfRule type="containsBlanks" dxfId="2028" priority="5">
      <formula>LEN(TRIM(D61))=0</formula>
    </cfRule>
  </conditionalFormatting>
  <conditionalFormatting sqref="D69:K69">
    <cfRule type="notContainsErrors" dxfId="2027" priority="17">
      <formula>NOT(ISERROR(D69))</formula>
    </cfRule>
    <cfRule type="containsBlanks" dxfId="2026" priority="16">
      <formula>LEN(TRIM(D69))=0</formula>
    </cfRule>
  </conditionalFormatting>
  <conditionalFormatting sqref="E73:E74">
    <cfRule type="notContainsErrors" dxfId="2025" priority="19">
      <formula>NOT(ISERROR(E73))</formula>
    </cfRule>
    <cfRule type="containsBlanks" dxfId="2024" priority="18">
      <formula>LEN(TRIM(E73))=0</formula>
    </cfRule>
  </conditionalFormatting>
  <conditionalFormatting sqref="E56:J60">
    <cfRule type="containsBlanks" dxfId="2023" priority="32">
      <formula>LEN(TRIM(E56))=0</formula>
    </cfRule>
    <cfRule type="notContainsErrors" dxfId="2022" priority="33">
      <formula>NOT(ISERROR(E56))</formula>
    </cfRule>
  </conditionalFormatting>
  <conditionalFormatting sqref="F20:H20">
    <cfRule type="cellIs" dxfId="2021" priority="57" operator="equal">
      <formula>"CUMPLE"</formula>
    </cfRule>
    <cfRule type="cellIs" dxfId="2020" priority="58" operator="equal">
      <formula>"NO CUMPLE"</formula>
    </cfRule>
    <cfRule type="cellIs" dxfId="2019" priority="59" operator="equal">
      <formula>"""CUMPLE"""</formula>
    </cfRule>
  </conditionalFormatting>
  <conditionalFormatting sqref="I11">
    <cfRule type="containsText" dxfId="2018" priority="63" operator="containsText" text="NO CUMPLE">
      <formula>NOT(ISERROR(SEARCH("NO CUMPLE",I11)))</formula>
    </cfRule>
    <cfRule type="containsText" dxfId="2017" priority="60" operator="containsText" text="INHABILITADO">
      <formula>NOT(ISERROR(SEARCH("INHABILITADO",I11)))</formula>
    </cfRule>
    <cfRule type="containsText" dxfId="2016" priority="61" operator="containsText" text="HABILITADO">
      <formula>NOT(ISERROR(SEARCH("HABILITADO",I11)))</formula>
    </cfRule>
    <cfRule type="containsText" dxfId="2015" priority="62" operator="containsText" text="HABILITADO">
      <formula>NOT(ISERROR(SEARCH("HABILITADO",I11)))</formula>
    </cfRule>
  </conditionalFormatting>
  <conditionalFormatting sqref="J20">
    <cfRule type="cellIs" dxfId="2014" priority="38" operator="equal">
      <formula>"NO"</formula>
    </cfRule>
    <cfRule type="cellIs" dxfId="2013" priority="39" operator="equal">
      <formula>"SI"</formula>
    </cfRule>
  </conditionalFormatting>
  <conditionalFormatting sqref="K16">
    <cfRule type="cellIs" dxfId="2012" priority="11" operator="equal">
      <formula>"CUMPLE"</formula>
    </cfRule>
    <cfRule type="cellIs" dxfId="2011" priority="12" operator="equal">
      <formula>"NO CUMPLE"</formula>
    </cfRule>
    <cfRule type="cellIs" dxfId="2010" priority="13" operator="equal">
      <formula>"""CUMPLE"""</formula>
    </cfRule>
  </conditionalFormatting>
  <conditionalFormatting sqref="K25:K60">
    <cfRule type="containsBlanks" dxfId="2009" priority="28">
      <formula>LEN(TRIM(K25))=0</formula>
    </cfRule>
    <cfRule type="notContainsErrors" dxfId="2008" priority="29">
      <formula>NOT(ISERROR(K25))</formula>
    </cfRule>
  </conditionalFormatting>
  <conditionalFormatting sqref="L14">
    <cfRule type="cellIs" dxfId="2007" priority="54" operator="equal">
      <formula>"CUMPLE"</formula>
    </cfRule>
    <cfRule type="cellIs" dxfId="2006" priority="55" operator="equal">
      <formula>"NO CUMPLE"</formula>
    </cfRule>
    <cfRule type="cellIs" dxfId="2005" priority="56" operator="equal">
      <formula>"""CUMPLE"""</formula>
    </cfRule>
  </conditionalFormatting>
  <conditionalFormatting sqref="L20">
    <cfRule type="cellIs" dxfId="2004" priority="36" operator="equal">
      <formula>"NO"</formula>
    </cfRule>
    <cfRule type="cellIs" dxfId="2003" priority="37" operator="equal">
      <formula>"SI"</formula>
    </cfRule>
  </conditionalFormatting>
  <dataValidations count="4">
    <dataValidation type="list" allowBlank="1" showInputMessage="1" showErrorMessage="1" sqref="D24:J26" xr:uid="{0D886B7F-C9FF-4DFD-99B5-26455EC352B1}">
      <formula1>$C$15:$C$19</formula1>
    </dataValidation>
    <dataValidation type="list" allowBlank="1" showInputMessage="1" showErrorMessage="1" sqref="L61:L69" xr:uid="{837AAC2F-D504-4856-9ED8-8D998225975D}">
      <formula1>"0,1,2,3,4,5,6"</formula1>
    </dataValidation>
    <dataValidation type="list" allowBlank="1" showInputMessage="1" showErrorMessage="1" sqref="D73 J56:J60 E62:J67" xr:uid="{81F5B3B5-00E2-412D-A77E-10963CB41646}">
      <formula1>$A$50:$A$52</formula1>
    </dataValidation>
    <dataValidation type="list" allowBlank="1" showInputMessage="1" showErrorMessage="1" sqref="J48:J53" xr:uid="{66A2D2BB-C928-4AEB-ADC0-61B4DF9F05A4}">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611EDF4F-904D-4288-BF8E-5FF037CCA42E}">
          <x14:formula1>
            <xm:f>'DATOS INICIALES'!$A$13:$A$43</xm:f>
          </x14:formula1>
          <xm:sqref>D31:I31</xm:sqref>
        </x14:dataValidation>
        <x14:dataValidation type="list" allowBlank="1" showInputMessage="1" showErrorMessage="1" xr:uid="{3D7D76EC-E86B-4B20-82BF-A97B3D1B9A23}">
          <x14:formula1>
            <xm:f>'DATOS INICIALES'!$D$22:$D$26</xm:f>
          </x14:formula1>
          <xm:sqref>M48:M55</xm:sqref>
        </x14:dataValidation>
        <x14:dataValidation type="list" allowBlank="1" showInputMessage="1" showErrorMessage="1" xr:uid="{794731D3-B49C-44ED-9D56-DEEF15864971}">
          <x14:formula1>
            <xm:f>'DATOS INICIALES'!$A$54:$A$59</xm:f>
          </x14:formula1>
          <xm:sqref>D23:I23</xm:sqref>
        </x14:dataValidation>
        <x14:dataValidation type="list" allowBlank="1" showInputMessage="1" showErrorMessage="1" xr:uid="{A19F067F-15A4-48E1-9B61-B6231D21AB31}">
          <x14:formula1>
            <xm:f>'DATOS INICIALES'!$A$50:$A$52</xm:f>
          </x14:formula1>
          <xm:sqref>E56:I61 D56:D67</xm:sqref>
        </x14:dataValidation>
        <x14:dataValidation type="list" allowBlank="1" showInputMessage="1" showErrorMessage="1" xr:uid="{0812316B-D321-4B95-BD30-399218E36BB9}">
          <x14:formula1>
            <xm:f>'DATOS INICIALES'!$C$45:$C$46</xm:f>
          </x14:formula1>
          <xm:sqref>D48:I54</xm:sqref>
        </x14:dataValidation>
        <x14:dataValidation type="list" allowBlank="1" showInputMessage="1" showErrorMessage="1" xr:uid="{3249D0CA-BA69-4429-8D91-0CD87F5D9A00}">
          <x14:formula1>
            <xm:f>'DATOS INICIALES'!$A$50:$A$51</xm:f>
          </x14:formula1>
          <xm:sqref>D69:J69 D47:J47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00000"/>
  </sheetPr>
  <dimension ref="A1:N74"/>
  <sheetViews>
    <sheetView view="pageBreakPreview" zoomScale="40" zoomScaleNormal="55" zoomScaleSheetLayoutView="40" workbookViewId="0">
      <pane ySplit="11" topLeftCell="A31" activePane="bottomLeft" state="frozenSplit"/>
      <selection activeCell="C9" sqref="C9:I9"/>
      <selection pane="bottomLeft" activeCell="G65" sqref="G65"/>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4</v>
      </c>
      <c r="B11" s="2" t="s">
        <v>24</v>
      </c>
      <c r="C11" s="342" t="str">
        <f>VLOOKUP(A11,PROPONENTES!A10:B46,2,FALSE)</f>
        <v>ABDO JOSÉ SALGADO AYOLA</v>
      </c>
      <c r="D11" s="342"/>
      <c r="E11" s="342"/>
      <c r="F11" s="342"/>
      <c r="G11" s="342"/>
      <c r="H11" s="144" t="s">
        <v>166</v>
      </c>
      <c r="I11" s="346" t="str">
        <f>IF(AND(F20="CUMPLE",G20="CUMPLE",H20="CUMPLE",L14="CUMPLE",D74="CUMPLE",K16="CUMPLE"),"CUMPLE","NO CUMPLE")</f>
        <v>NO 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0</v>
      </c>
      <c r="J14" s="169">
        <f>+L8</f>
        <v>405.24573153846154</v>
      </c>
      <c r="K14" s="169">
        <f>+E20</f>
        <v>0</v>
      </c>
      <c r="L14" s="18" t="str">
        <f>IF(K14&gt;=J14,"CUMPLE","NO CUMPLE")</f>
        <v>NO CUMPLE</v>
      </c>
    </row>
    <row r="15" spans="1:12" ht="66.75" customHeight="1" x14ac:dyDescent="0.25">
      <c r="B15" s="314"/>
      <c r="C15" s="98" t="str">
        <f>IF(VLOOKUP(C11,PROPONENTES!B10:N46,2,FALSE)=0,"",VLOOKUP(C11,PROPONENTES!B10:N46,2,FALSE))</f>
        <v>ABDO JOSÉ SALGADO AYOLA</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0</v>
      </c>
      <c r="F15" s="101" t="str">
        <f>IF(C15="","",IF(E15&gt;=$J$14*0.5,"SI","NO"))</f>
        <v>NO</v>
      </c>
      <c r="G15" s="102" t="str">
        <f>IF(C15="","",IF(E15&gt;=$J$14*0.05,"SI",IF(E15=0,"NO APORTA EXPERIENCIA",)))</f>
        <v>NO APORTA EXPERIENCIA</v>
      </c>
      <c r="H15" s="102" t="str">
        <f>IF(C15="","",IF(AND(G15="NO APORTA EXPERIENCIA",D15&lt;=10%),"SI",IF(G15="SI","NO APLICA","NO - PORCENTAJE MAYOR AL 10%")))</f>
        <v>NO - PORCENTAJE MAYOR AL 10%</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0</v>
      </c>
      <c r="J16" s="169">
        <f>+L8*0.7</f>
        <v>283.67201207692307</v>
      </c>
      <c r="K16" s="18" t="str">
        <f>IF(I16&gt;=J16,"CUMPLE","NO CUMPLE")</f>
        <v>NO CUMPLE</v>
      </c>
      <c r="L16" s="305" t="e">
        <f>AVERAGEIF(D68:J68,"CUMPLE",D46:J46)</f>
        <v>#DIV/0!</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NO CUMPLE</v>
      </c>
      <c r="I20" s="68" t="s">
        <v>168</v>
      </c>
      <c r="J20" s="141" t="str">
        <f>IF(VLOOKUP(C11,PUNTAJE!B15:AD109,25,FALSE)=0.25,"SI","NO")</f>
        <v>NO</v>
      </c>
      <c r="K20" s="68" t="s">
        <v>167</v>
      </c>
      <c r="L20" s="141" t="str">
        <f>IF(VLOOKUP(C11,PUNTAJE!B15:AD109,29,FALSE)=0.25,"SI","NO")</f>
        <v>NO</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227</v>
      </c>
      <c r="E24" s="88" t="s">
        <v>227</v>
      </c>
      <c r="F24" s="88" t="s">
        <v>227</v>
      </c>
      <c r="G24" s="88" t="s">
        <v>227</v>
      </c>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c r="E27" s="89"/>
      <c r="F27" s="89"/>
      <c r="G27" s="89"/>
      <c r="H27" s="89"/>
      <c r="I27" s="89"/>
      <c r="J27" s="89"/>
      <c r="K27" s="297"/>
      <c r="L27" s="298"/>
    </row>
    <row r="28" spans="2:14" ht="156.75" customHeight="1" x14ac:dyDescent="0.25">
      <c r="B28" s="319"/>
      <c r="C28" s="27" t="s">
        <v>36</v>
      </c>
      <c r="D28" s="89"/>
      <c r="E28" s="89"/>
      <c r="F28" s="89"/>
      <c r="G28" s="89"/>
      <c r="H28" s="89"/>
      <c r="I28" s="89"/>
      <c r="J28" s="89"/>
      <c r="K28" s="297"/>
      <c r="L28" s="298"/>
    </row>
    <row r="29" spans="2:14" ht="52.5" customHeight="1" x14ac:dyDescent="0.25">
      <c r="B29" s="319"/>
      <c r="C29" s="27" t="s">
        <v>165</v>
      </c>
      <c r="D29" s="93"/>
      <c r="E29" s="93"/>
      <c r="F29" s="93"/>
      <c r="G29" s="93"/>
      <c r="H29" s="93"/>
      <c r="I29" s="93"/>
      <c r="J29" s="93"/>
      <c r="K29" s="297"/>
      <c r="L29" s="298"/>
    </row>
    <row r="30" spans="2:14" ht="54.75" customHeight="1" x14ac:dyDescent="0.25">
      <c r="B30" s="319"/>
      <c r="C30" s="27" t="s">
        <v>40</v>
      </c>
      <c r="D30" s="93"/>
      <c r="E30" s="93"/>
      <c r="F30" s="93"/>
      <c r="G30" s="93"/>
      <c r="H30" s="93"/>
      <c r="I30" s="93"/>
      <c r="J30" s="93"/>
      <c r="K30" s="297"/>
      <c r="L30" s="298"/>
    </row>
    <row r="31" spans="2:14" ht="41.25" customHeight="1" x14ac:dyDescent="0.25">
      <c r="B31" s="319"/>
      <c r="C31" s="27" t="s">
        <v>37</v>
      </c>
      <c r="D31" s="90"/>
      <c r="E31" s="90"/>
      <c r="F31" s="90"/>
      <c r="G31" s="90"/>
      <c r="H31" s="90"/>
      <c r="I31" s="90"/>
      <c r="J31" s="90"/>
      <c r="K31" s="297"/>
      <c r="L31" s="298"/>
    </row>
    <row r="32" spans="2:14" ht="63" customHeight="1" x14ac:dyDescent="0.25">
      <c r="B32" s="319"/>
      <c r="C32" s="27" t="s">
        <v>38</v>
      </c>
      <c r="D32" s="89"/>
      <c r="E32" s="89"/>
      <c r="F32" s="89"/>
      <c r="G32" s="89"/>
      <c r="H32" s="89"/>
      <c r="I32" s="89"/>
      <c r="J32" s="89"/>
      <c r="K32" s="297"/>
      <c r="L32" s="298"/>
    </row>
    <row r="33" spans="2:12" ht="46.5" customHeight="1" x14ac:dyDescent="0.25">
      <c r="B33" s="319"/>
      <c r="C33" s="27" t="s">
        <v>39</v>
      </c>
      <c r="D33" s="89"/>
      <c r="E33" s="89"/>
      <c r="F33" s="89"/>
      <c r="G33" s="89"/>
      <c r="H33" s="89"/>
      <c r="I33" s="89"/>
      <c r="J33" s="89"/>
      <c r="K33" s="297"/>
      <c r="L33" s="298"/>
    </row>
    <row r="34" spans="2:12" ht="27.75" customHeight="1" x14ac:dyDescent="0.25">
      <c r="B34" s="319"/>
      <c r="C34" s="28" t="s">
        <v>33</v>
      </c>
      <c r="D34" s="94"/>
      <c r="E34" s="94"/>
      <c r="F34" s="94"/>
      <c r="G34" s="95"/>
      <c r="H34" s="95"/>
      <c r="I34" s="95"/>
      <c r="J34" s="95"/>
      <c r="K34" s="297"/>
      <c r="L34" s="298"/>
    </row>
    <row r="35" spans="2:12" ht="102.75" customHeight="1" x14ac:dyDescent="0.25">
      <c r="B35" s="319"/>
      <c r="C35" s="27" t="s">
        <v>124</v>
      </c>
      <c r="D35" s="91"/>
      <c r="E35" s="187"/>
      <c r="F35" s="91"/>
      <c r="G35" s="91"/>
      <c r="H35" s="91"/>
      <c r="I35" s="91"/>
      <c r="J35" s="91"/>
      <c r="K35" s="299"/>
      <c r="L35" s="300"/>
    </row>
    <row r="36" spans="2:12" ht="48" customHeight="1" x14ac:dyDescent="0.25">
      <c r="B36" s="319"/>
      <c r="C36" s="27" t="s">
        <v>72</v>
      </c>
      <c r="D36" s="103" t="str">
        <f>IFERROR(D35*VLOOKUP(D31,'DATOS INICIALES'!$A$12:$B$43,2,0),"0")</f>
        <v>0</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c r="E37" s="92"/>
      <c r="F37" s="92"/>
      <c r="G37" s="92"/>
      <c r="H37" s="92"/>
      <c r="I37" s="92"/>
      <c r="J37" s="92"/>
      <c r="K37" s="297"/>
      <c r="L37" s="298"/>
    </row>
    <row r="38" spans="2:12" ht="48.75" customHeight="1" x14ac:dyDescent="0.25">
      <c r="B38" s="319"/>
      <c r="C38" s="27" t="s">
        <v>131</v>
      </c>
      <c r="D38" s="103">
        <f t="shared" ref="D38:J38" si="0">IF(D24="","0",D37*D36)</f>
        <v>0</v>
      </c>
      <c r="E38" s="103">
        <f t="shared" si="0"/>
        <v>0</v>
      </c>
      <c r="F38" s="103">
        <f t="shared" si="0"/>
        <v>0</v>
      </c>
      <c r="G38" s="103">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0</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0</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c r="E47" s="88"/>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NO CUMPLE</v>
      </c>
      <c r="E55" s="18" t="str">
        <f t="shared" si="8"/>
        <v>NO CUMPLE</v>
      </c>
      <c r="F55" s="18" t="str">
        <f t="shared" si="8"/>
        <v>NO CUMPLE</v>
      </c>
      <c r="G55" s="18" t="str">
        <f t="shared" si="8"/>
        <v>NO CUMPLE</v>
      </c>
      <c r="H55" s="18" t="str">
        <f t="shared" si="8"/>
        <v>N/A</v>
      </c>
      <c r="I55" s="18" t="str">
        <f t="shared" si="8"/>
        <v>N/A</v>
      </c>
      <c r="J55" s="18" t="str">
        <f t="shared" si="8"/>
        <v>N/A</v>
      </c>
      <c r="K55" s="297"/>
      <c r="L55" s="298"/>
    </row>
    <row r="56" spans="2:12" ht="295.5" customHeight="1" x14ac:dyDescent="0.25">
      <c r="B56" s="295" t="s">
        <v>217</v>
      </c>
      <c r="C56" s="296"/>
      <c r="D56" s="88"/>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c r="E61" s="88"/>
      <c r="F61" s="88"/>
      <c r="G61" s="88"/>
      <c r="H61" s="88"/>
      <c r="I61" s="88"/>
      <c r="J61" s="88"/>
      <c r="K61" s="297"/>
      <c r="L61" s="298"/>
    </row>
    <row r="62" spans="2:12" ht="45" customHeight="1" x14ac:dyDescent="0.25">
      <c r="B62" s="290" t="s">
        <v>207</v>
      </c>
      <c r="C62" s="291"/>
      <c r="D62" s="88"/>
      <c r="E62" s="88"/>
      <c r="F62" s="88"/>
      <c r="G62" s="88"/>
      <c r="H62" s="88"/>
      <c r="I62" s="88"/>
      <c r="J62" s="88"/>
      <c r="K62" s="297"/>
      <c r="L62" s="298"/>
    </row>
    <row r="63" spans="2:12" ht="181.5" customHeight="1" x14ac:dyDescent="0.25">
      <c r="B63" s="290" t="s">
        <v>218</v>
      </c>
      <c r="C63" s="291"/>
      <c r="D63" s="88"/>
      <c r="E63" s="88"/>
      <c r="F63" s="88"/>
      <c r="G63" s="88"/>
      <c r="H63" s="88"/>
      <c r="I63" s="88"/>
      <c r="J63" s="88"/>
      <c r="K63" s="297"/>
      <c r="L63" s="298"/>
    </row>
    <row r="64" spans="2:12" ht="336" customHeight="1" x14ac:dyDescent="0.25">
      <c r="B64" s="242" t="s">
        <v>220</v>
      </c>
      <c r="C64" s="242"/>
      <c r="D64" s="88"/>
      <c r="E64" s="88"/>
      <c r="F64" s="88"/>
      <c r="G64" s="88"/>
      <c r="H64" s="88"/>
      <c r="I64" s="88"/>
      <c r="J64" s="88"/>
      <c r="K64" s="299"/>
      <c r="L64" s="300"/>
    </row>
    <row r="65" spans="2:12" ht="143.25" customHeight="1" x14ac:dyDescent="0.25">
      <c r="B65" s="293" t="s">
        <v>221</v>
      </c>
      <c r="C65" s="294"/>
      <c r="D65" s="88"/>
      <c r="E65" s="88"/>
      <c r="F65" s="88"/>
      <c r="G65" s="88"/>
      <c r="H65" s="88"/>
      <c r="I65" s="88"/>
      <c r="J65" s="88"/>
      <c r="K65" s="297"/>
      <c r="L65" s="298"/>
    </row>
    <row r="66" spans="2:12" ht="408.75" customHeight="1" x14ac:dyDescent="0.25">
      <c r="B66" s="292" t="s">
        <v>208</v>
      </c>
      <c r="C66" s="292"/>
      <c r="D66" s="88"/>
      <c r="E66" s="88"/>
      <c r="F66" s="88"/>
      <c r="G66" s="88"/>
      <c r="H66" s="88"/>
      <c r="I66" s="88"/>
      <c r="J66" s="88"/>
      <c r="K66" s="297"/>
      <c r="L66" s="298"/>
    </row>
    <row r="67" spans="2:12" ht="312.75" customHeight="1" x14ac:dyDescent="0.25">
      <c r="B67" s="242" t="s">
        <v>209</v>
      </c>
      <c r="C67" s="242"/>
      <c r="D67" s="88"/>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NO CUMPLE</v>
      </c>
      <c r="E68" s="18" t="str">
        <f t="shared" si="9"/>
        <v>NO CUMPLE</v>
      </c>
      <c r="F68" s="18" t="str">
        <f t="shared" si="9"/>
        <v>NO CUMPLE</v>
      </c>
      <c r="G68" s="18" t="str">
        <f t="shared" si="9"/>
        <v>NO CUMPLE</v>
      </c>
      <c r="H68" s="18" t="str">
        <f t="shared" si="9"/>
        <v>N/A</v>
      </c>
      <c r="I68" s="18" t="str">
        <f t="shared" si="9"/>
        <v>N/A</v>
      </c>
      <c r="J68" s="18" t="str">
        <f t="shared" si="9"/>
        <v>N/A</v>
      </c>
      <c r="K68" s="157"/>
      <c r="L68" s="158"/>
    </row>
    <row r="69" spans="2:12" ht="81.75" customHeight="1" x14ac:dyDescent="0.25">
      <c r="B69" s="242" t="s">
        <v>222</v>
      </c>
      <c r="C69" s="242"/>
      <c r="D69" s="88"/>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c r="E73" s="174"/>
    </row>
    <row r="74" spans="2:12" ht="25.5" customHeight="1" thickBot="1" x14ac:dyDescent="0.3">
      <c r="B74" s="280" t="s">
        <v>185</v>
      </c>
      <c r="C74" s="281"/>
      <c r="D74" s="171" t="str">
        <f>IF(D73="CUMPLE","CUMPLE","NO CUMPLE")</f>
        <v>NO 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2002" priority="42">
      <formula>LEN(TRIM(D73))=0</formula>
    </cfRule>
    <cfRule type="cellIs" dxfId="2001" priority="44" operator="equal">
      <formula>"NO CUMPLE"</formula>
    </cfRule>
    <cfRule type="notContainsErrors" dxfId="2000" priority="43">
      <formula>NOT(ISERROR(D73))</formula>
    </cfRule>
    <cfRule type="cellIs" dxfId="1999" priority="45" operator="equal">
      <formula>"CUMPLE"</formula>
    </cfRule>
  </conditionalFormatting>
  <conditionalFormatting sqref="D74">
    <cfRule type="cellIs" dxfId="1998" priority="48" operator="equal">
      <formula>"NO CUMPLE"</formula>
    </cfRule>
    <cfRule type="cellIs" dxfId="1997" priority="49" operator="equal">
      <formula>"""CUMPLE"""</formula>
    </cfRule>
    <cfRule type="cellIs" dxfId="1996" priority="47" operator="equal">
      <formula>"CUMPLE"</formula>
    </cfRule>
    <cfRule type="cellIs" dxfId="1995" priority="46" operator="equal">
      <formula>"N/A"</formula>
    </cfRule>
  </conditionalFormatting>
  <conditionalFormatting sqref="D25:J35">
    <cfRule type="notContainsErrors" dxfId="1994" priority="65">
      <formula>NOT(ISERROR(D25))</formula>
    </cfRule>
    <cfRule type="containsBlanks" dxfId="1993" priority="64">
      <formula>LEN(TRIM(D25))=0</formula>
    </cfRule>
  </conditionalFormatting>
  <conditionalFormatting sqref="D34:J34 D24:K24 K68:L68">
    <cfRule type="containsBlanks" dxfId="1992" priority="66">
      <formula>LEN(TRIM(D24))=0</formula>
    </cfRule>
  </conditionalFormatting>
  <conditionalFormatting sqref="D37:J37">
    <cfRule type="containsBlanks" dxfId="1991" priority="21">
      <formula>LEN(TRIM(D37))=0</formula>
    </cfRule>
    <cfRule type="notContainsErrors" dxfId="1990" priority="22">
      <formula>NOT(ISERROR(D37))</formula>
    </cfRule>
  </conditionalFormatting>
  <conditionalFormatting sqref="D40:J40">
    <cfRule type="containsBlanks" dxfId="1989" priority="19">
      <formula>LEN(TRIM(D40))=0</formula>
    </cfRule>
    <cfRule type="notContainsErrors" dxfId="1988" priority="20">
      <formula>NOT(ISERROR(D40))</formula>
    </cfRule>
  </conditionalFormatting>
  <conditionalFormatting sqref="D43:J43">
    <cfRule type="notContainsErrors" dxfId="1987" priority="18">
      <formula>NOT(ISERROR(D43))</formula>
    </cfRule>
    <cfRule type="containsBlanks" dxfId="1986" priority="17">
      <formula>LEN(TRIM(D43))=0</formula>
    </cfRule>
  </conditionalFormatting>
  <conditionalFormatting sqref="D47:J54">
    <cfRule type="notContainsErrors" dxfId="1985" priority="16">
      <formula>NOT(ISERROR(D47))</formula>
    </cfRule>
    <cfRule type="containsBlanks" dxfId="1984" priority="15">
      <formula>LEN(TRIM(D47))=0</formula>
    </cfRule>
    <cfRule type="cellIs" dxfId="1983" priority="13" operator="equal">
      <formula>"NO CUMPLE"</formula>
    </cfRule>
    <cfRule type="cellIs" dxfId="1982" priority="14" operator="equal">
      <formula>"CUMPLE"</formula>
    </cfRule>
  </conditionalFormatting>
  <conditionalFormatting sqref="D55:J55">
    <cfRule type="cellIs" dxfId="1981" priority="73" operator="equal">
      <formula>"CUMPLE"</formula>
    </cfRule>
    <cfRule type="cellIs" dxfId="1980" priority="72" operator="equal">
      <formula>"N/A"</formula>
    </cfRule>
    <cfRule type="cellIs" dxfId="1979" priority="74" operator="equal">
      <formula>"NO CUMPLE"</formula>
    </cfRule>
    <cfRule type="cellIs" dxfId="1978" priority="75" operator="equal">
      <formula>"""CUMPLE"""</formula>
    </cfRule>
  </conditionalFormatting>
  <conditionalFormatting sqref="D56:J60">
    <cfRule type="notContainsErrors" dxfId="1977" priority="10">
      <formula>NOT(ISERROR(D56))</formula>
    </cfRule>
    <cfRule type="containsBlanks" dxfId="1976" priority="9">
      <formula>LEN(TRIM(D56))=0</formula>
    </cfRule>
  </conditionalFormatting>
  <conditionalFormatting sqref="D56:J67">
    <cfRule type="cellIs" dxfId="1975" priority="8" operator="equal">
      <formula>"CUMPLE"</formula>
    </cfRule>
    <cfRule type="cellIs" dxfId="1974" priority="7" operator="equal">
      <formula>"NO CUMPLE"</formula>
    </cfRule>
  </conditionalFormatting>
  <conditionalFormatting sqref="D68:J68">
    <cfRule type="cellIs" dxfId="1973" priority="69" operator="equal">
      <formula>"CUMPLE"</formula>
    </cfRule>
    <cfRule type="cellIs" dxfId="1972" priority="70" operator="equal">
      <formula>"NO CUMPLE"</formula>
    </cfRule>
    <cfRule type="cellIs" dxfId="1971" priority="71" operator="equal">
      <formula>"""CUMPLE"""</formula>
    </cfRule>
    <cfRule type="cellIs" dxfId="1970" priority="68" operator="equal">
      <formula>"N/A"</formula>
    </cfRule>
  </conditionalFormatting>
  <conditionalFormatting sqref="D69:J69">
    <cfRule type="cellIs" dxfId="1969" priority="2" operator="equal">
      <formula>"CUMPLE"</formula>
    </cfRule>
    <cfRule type="cellIs" dxfId="1968" priority="1" operator="equal">
      <formula>"NO CUMPLE"</formula>
    </cfRule>
  </conditionalFormatting>
  <conditionalFormatting sqref="D24:K24 D34:J34 K68:L68">
    <cfRule type="notContainsErrors" dxfId="1967" priority="67">
      <formula>NOT(ISERROR(D24))</formula>
    </cfRule>
  </conditionalFormatting>
  <conditionalFormatting sqref="D61:K67">
    <cfRule type="notContainsErrors" dxfId="1966" priority="12">
      <formula>NOT(ISERROR(D61))</formula>
    </cfRule>
    <cfRule type="containsBlanks" dxfId="1965" priority="11">
      <formula>LEN(TRIM(D61))=0</formula>
    </cfRule>
  </conditionalFormatting>
  <conditionalFormatting sqref="D69:K69">
    <cfRule type="containsBlanks" dxfId="1964" priority="3">
      <formula>LEN(TRIM(D69))=0</formula>
    </cfRule>
    <cfRule type="notContainsErrors" dxfId="1963" priority="4">
      <formula>NOT(ISERROR(D69))</formula>
    </cfRule>
  </conditionalFormatting>
  <conditionalFormatting sqref="E73:E74">
    <cfRule type="containsBlanks" dxfId="1962" priority="40">
      <formula>LEN(TRIM(E73))=0</formula>
    </cfRule>
    <cfRule type="notContainsErrors" dxfId="1961" priority="41">
      <formula>NOT(ISERROR(E73))</formula>
    </cfRule>
  </conditionalFormatting>
  <conditionalFormatting sqref="F20:H20">
    <cfRule type="cellIs" dxfId="1960" priority="79" operator="equal">
      <formula>"CUMPLE"</formula>
    </cfRule>
    <cfRule type="cellIs" dxfId="1959" priority="80" operator="equal">
      <formula>"NO CUMPLE"</formula>
    </cfRule>
    <cfRule type="cellIs" dxfId="1958" priority="81" operator="equal">
      <formula>"""CUMPLE"""</formula>
    </cfRule>
  </conditionalFormatting>
  <conditionalFormatting sqref="I11">
    <cfRule type="containsText" dxfId="1957" priority="85" operator="containsText" text="NO CUMPLE">
      <formula>NOT(ISERROR(SEARCH("NO CUMPLE",I11)))</formula>
    </cfRule>
    <cfRule type="containsText" dxfId="1956" priority="82" operator="containsText" text="INHABILITADO">
      <formula>NOT(ISERROR(SEARCH("INHABILITADO",I11)))</formula>
    </cfRule>
    <cfRule type="containsText" dxfId="1955" priority="83" operator="containsText" text="HABILITADO">
      <formula>NOT(ISERROR(SEARCH("HABILITADO",I11)))</formula>
    </cfRule>
    <cfRule type="containsText" dxfId="1954" priority="84" operator="containsText" text="HABILITADO">
      <formula>NOT(ISERROR(SEARCH("HABILITADO",I11)))</formula>
    </cfRule>
  </conditionalFormatting>
  <conditionalFormatting sqref="J20">
    <cfRule type="cellIs" dxfId="1953" priority="60" operator="equal">
      <formula>"NO"</formula>
    </cfRule>
    <cfRule type="cellIs" dxfId="1952" priority="61" operator="equal">
      <formula>"SI"</formula>
    </cfRule>
  </conditionalFormatting>
  <conditionalFormatting sqref="K16">
    <cfRule type="cellIs" dxfId="1951" priority="34" operator="equal">
      <formula>"NO CUMPLE"</formula>
    </cfRule>
    <cfRule type="cellIs" dxfId="1950" priority="35" operator="equal">
      <formula>"""CUMPLE"""</formula>
    </cfRule>
    <cfRule type="cellIs" dxfId="1949" priority="33" operator="equal">
      <formula>"CUMPLE"</formula>
    </cfRule>
  </conditionalFormatting>
  <conditionalFormatting sqref="K25:K60">
    <cfRule type="notContainsErrors" dxfId="1948" priority="6">
      <formula>NOT(ISERROR(K25))</formula>
    </cfRule>
    <cfRule type="containsBlanks" dxfId="1947" priority="5">
      <formula>LEN(TRIM(K25))=0</formula>
    </cfRule>
  </conditionalFormatting>
  <conditionalFormatting sqref="L14">
    <cfRule type="cellIs" dxfId="1946" priority="76" operator="equal">
      <formula>"CUMPLE"</formula>
    </cfRule>
    <cfRule type="cellIs" dxfId="1945" priority="77" operator="equal">
      <formula>"NO CUMPLE"</formula>
    </cfRule>
    <cfRule type="cellIs" dxfId="1944" priority="78" operator="equal">
      <formula>"""CUMPLE"""</formula>
    </cfRule>
  </conditionalFormatting>
  <conditionalFormatting sqref="L20">
    <cfRule type="cellIs" dxfId="1943" priority="58" operator="equal">
      <formula>"NO"</formula>
    </cfRule>
    <cfRule type="cellIs" dxfId="1942" priority="59" operator="equal">
      <formula>"SI"</formula>
    </cfRule>
  </conditionalFormatting>
  <dataValidations count="4">
    <dataValidation type="list" allowBlank="1" showInputMessage="1" showErrorMessage="1" sqref="J48:J53" xr:uid="{6A935F33-1F21-4EA1-B335-3190F7AEEA1C}">
      <formula1>$C$45:$C$46</formula1>
    </dataValidation>
    <dataValidation type="list" allowBlank="1" showInputMessage="1" showErrorMessage="1" sqref="D73 H62:J67 J56:J60" xr:uid="{51AF56D5-6A42-41EC-9994-9175EE51DBAF}">
      <formula1>$A$50:$A$52</formula1>
    </dataValidation>
    <dataValidation type="list" allowBlank="1" showInputMessage="1" showErrorMessage="1" sqref="L61:L69" xr:uid="{407A2374-990F-4045-9AC9-EFAF142FF6B1}">
      <formula1>"0,1,2,3,4,5,6"</formula1>
    </dataValidation>
    <dataValidation type="list" allowBlank="1" showInputMessage="1" showErrorMessage="1" sqref="D24:J26" xr:uid="{7C85C7C2-ABAA-4E0A-B93B-EFCB66244EAB}">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72EAD00C-37DF-4716-8A65-C0033D1D6465}">
          <x14:formula1>
            <xm:f>'DATOS INICIALES'!$C$45:$C$46</xm:f>
          </x14:formula1>
          <xm:sqref>H48:I54 D52:G54</xm:sqref>
        </x14:dataValidation>
        <x14:dataValidation type="list" allowBlank="1" showInputMessage="1" showErrorMessage="1" xr:uid="{D3CD9BF2-E086-4203-BADD-75368939E6F7}">
          <x14:formula1>
            <xm:f>'DATOS INICIALES'!$A$54:$A$59</xm:f>
          </x14:formula1>
          <xm:sqref>D23:I23</xm:sqref>
        </x14:dataValidation>
        <x14:dataValidation type="list" allowBlank="1" showInputMessage="1" showErrorMessage="1" xr:uid="{59BE5007-2449-46F0-8542-28F45AC4B410}">
          <x14:formula1>
            <xm:f>'DATOS INICIALES'!$D$22:$D$26</xm:f>
          </x14:formula1>
          <xm:sqref>M48:M55</xm:sqref>
        </x14:dataValidation>
        <x14:dataValidation type="list" allowBlank="1" showInputMessage="1" showErrorMessage="1" xr:uid="{807150EA-11DB-42A4-8A8E-15AFFBFBDDC8}">
          <x14:formula1>
            <xm:f>'DATOS INICIALES'!$A$13:$A$43</xm:f>
          </x14:formula1>
          <xm:sqref>D31:I31</xm:sqref>
        </x14:dataValidation>
        <x14:dataValidation type="list" allowBlank="1" showInputMessage="1" showErrorMessage="1" xr:uid="{08809020-2317-469A-8E4D-B06CE82C23D7}">
          <x14:formula1>
            <xm:f>'DATOS INICIALES'!$A$50:$A$51</xm:f>
          </x14:formula1>
          <xm:sqref>H47:J47 F69:J69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74"/>
  <sheetViews>
    <sheetView view="pageBreakPreview" zoomScale="40" zoomScaleNormal="55" zoomScaleSheetLayoutView="40" workbookViewId="0">
      <pane ySplit="11" topLeftCell="A48" activePane="bottomLeft" state="frozenSplit"/>
      <selection activeCell="C9" sqref="C9:I9"/>
      <selection pane="bottomLeft" activeCell="K56" sqref="K56:L56"/>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5</v>
      </c>
      <c r="B11" s="2" t="s">
        <v>24</v>
      </c>
      <c r="C11" s="342" t="str">
        <f>VLOOKUP(A11,PROPONENTES!A10:B46,2,FALSE)</f>
        <v>PRODEINCOL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685.875</v>
      </c>
      <c r="L14" s="18" t="str">
        <f>IF(K14&gt;=J14,"CUMPLE","NO CUMPLE")</f>
        <v>CUMPLE</v>
      </c>
    </row>
    <row r="15" spans="1:12" ht="66.75" customHeight="1" x14ac:dyDescent="0.25">
      <c r="B15" s="314"/>
      <c r="C15" s="98" t="str">
        <f>IF(VLOOKUP(C11,PROPONENTES!B10:N46,2,FALSE)=0,"",VLOOKUP(C11,PROPONENTES!B10:N46,2,FALSE))</f>
        <v>PRODEINCOL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685.875</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685.875</v>
      </c>
      <c r="J16" s="169">
        <f>+L8*0.7</f>
        <v>283.67201207692307</v>
      </c>
      <c r="K16" s="18" t="str">
        <f>IF(I16&gt;=J16,"CUMPLE","NO CUMPLE")</f>
        <v>CUMPLE</v>
      </c>
      <c r="L16" s="305">
        <f>AVERAGEIF(D68:J68,"CUMPLE",D46:J46)</f>
        <v>685.875</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685.875</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228</v>
      </c>
      <c r="E24" s="88" t="s">
        <v>228</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348</v>
      </c>
      <c r="E27" s="89" t="s">
        <v>349</v>
      </c>
      <c r="F27" s="89"/>
      <c r="G27" s="89"/>
      <c r="H27" s="89"/>
      <c r="I27" s="89"/>
      <c r="J27" s="89"/>
      <c r="K27" s="297"/>
      <c r="L27" s="298"/>
    </row>
    <row r="28" spans="2:14" ht="156.75" customHeight="1" x14ac:dyDescent="0.25">
      <c r="B28" s="319"/>
      <c r="C28" s="27" t="s">
        <v>36</v>
      </c>
      <c r="D28" s="89" t="s">
        <v>350</v>
      </c>
      <c r="E28" s="89" t="s">
        <v>351</v>
      </c>
      <c r="F28" s="89"/>
      <c r="G28" s="89"/>
      <c r="H28" s="89"/>
      <c r="I28" s="89"/>
      <c r="J28" s="89"/>
      <c r="K28" s="297"/>
      <c r="L28" s="298"/>
    </row>
    <row r="29" spans="2:14" ht="52.5" customHeight="1" x14ac:dyDescent="0.25">
      <c r="B29" s="319"/>
      <c r="C29" s="27" t="s">
        <v>165</v>
      </c>
      <c r="D29" s="93">
        <v>46335</v>
      </c>
      <c r="E29" s="93">
        <v>42622</v>
      </c>
      <c r="F29" s="93"/>
      <c r="G29" s="93"/>
      <c r="H29" s="93"/>
      <c r="I29" s="93"/>
      <c r="J29" s="93"/>
      <c r="K29" s="297"/>
      <c r="L29" s="298"/>
    </row>
    <row r="30" spans="2:14" ht="54.75" customHeight="1" x14ac:dyDescent="0.25">
      <c r="B30" s="319"/>
      <c r="C30" s="27" t="s">
        <v>40</v>
      </c>
      <c r="D30" s="93">
        <v>43016</v>
      </c>
      <c r="E30" s="93">
        <v>43444</v>
      </c>
      <c r="F30" s="93"/>
      <c r="G30" s="93"/>
      <c r="H30" s="93"/>
      <c r="I30" s="93"/>
      <c r="J30" s="93"/>
      <c r="K30" s="297"/>
      <c r="L30" s="298"/>
    </row>
    <row r="31" spans="2:14" ht="41.25" customHeight="1" x14ac:dyDescent="0.25">
      <c r="B31" s="319"/>
      <c r="C31" s="27" t="s">
        <v>37</v>
      </c>
      <c r="D31" s="90">
        <v>2017</v>
      </c>
      <c r="E31" s="90">
        <v>2018</v>
      </c>
      <c r="F31" s="90"/>
      <c r="G31" s="90"/>
      <c r="H31" s="90"/>
      <c r="I31" s="90"/>
      <c r="J31" s="90"/>
      <c r="K31" s="297"/>
      <c r="L31" s="298"/>
    </row>
    <row r="32" spans="2:14" ht="63" customHeight="1" x14ac:dyDescent="0.25">
      <c r="B32" s="319"/>
      <c r="C32" s="27" t="s">
        <v>38</v>
      </c>
      <c r="D32" s="89" t="s">
        <v>352</v>
      </c>
      <c r="E32" s="89" t="s">
        <v>353</v>
      </c>
      <c r="F32" s="89"/>
      <c r="G32" s="89"/>
      <c r="H32" s="89"/>
      <c r="I32" s="89"/>
      <c r="J32" s="89"/>
      <c r="K32" s="297"/>
      <c r="L32" s="298"/>
    </row>
    <row r="33" spans="2:12" ht="46.5" customHeight="1" x14ac:dyDescent="0.25">
      <c r="B33" s="319"/>
      <c r="C33" s="27" t="s">
        <v>39</v>
      </c>
      <c r="D33" s="89" t="s">
        <v>354</v>
      </c>
      <c r="E33" s="89" t="s">
        <v>355</v>
      </c>
      <c r="F33" s="89"/>
      <c r="G33" s="89"/>
      <c r="H33" s="89"/>
      <c r="I33" s="89"/>
      <c r="J33" s="89"/>
      <c r="K33" s="297"/>
      <c r="L33" s="298"/>
    </row>
    <row r="34" spans="2:12" ht="27.75" customHeight="1" x14ac:dyDescent="0.25">
      <c r="B34" s="319"/>
      <c r="C34" s="28" t="s">
        <v>33</v>
      </c>
      <c r="D34" s="94">
        <v>15</v>
      </c>
      <c r="E34" s="94">
        <v>16</v>
      </c>
      <c r="F34" s="94"/>
      <c r="G34" s="95"/>
      <c r="H34" s="95"/>
      <c r="I34" s="95"/>
      <c r="J34" s="95"/>
      <c r="K34" s="297"/>
      <c r="L34" s="298"/>
    </row>
    <row r="35" spans="2:12" ht="102.75" customHeight="1" x14ac:dyDescent="0.25">
      <c r="B35" s="319"/>
      <c r="C35" s="27" t="s">
        <v>124</v>
      </c>
      <c r="D35" s="91">
        <v>1371.75</v>
      </c>
      <c r="E35" s="187">
        <v>5294.4</v>
      </c>
      <c r="F35" s="91"/>
      <c r="G35" s="91"/>
      <c r="H35" s="91"/>
      <c r="I35" s="91"/>
      <c r="J35" s="91"/>
      <c r="K35" s="299"/>
      <c r="L35" s="300"/>
    </row>
    <row r="36" spans="2:12" ht="48" customHeight="1" x14ac:dyDescent="0.25">
      <c r="B36" s="319"/>
      <c r="C36" s="27" t="s">
        <v>72</v>
      </c>
      <c r="D36" s="103">
        <f>IFERROR(D35*VLOOKUP(D31,'DATOS INICIALES'!$A$12:$B$43,2,0),"0")</f>
        <v>1011963294.75</v>
      </c>
      <c r="E36" s="103">
        <f>IFERROR(E35*VLOOKUP(E31,'DATOS INICIALES'!$A$12:$B$43,2,0),"0")</f>
        <v>4136207644.7999997</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0.5</v>
      </c>
      <c r="E37" s="92">
        <v>0.34</v>
      </c>
      <c r="F37" s="92"/>
      <c r="G37" s="92"/>
      <c r="H37" s="92"/>
      <c r="I37" s="92"/>
      <c r="J37" s="92"/>
      <c r="K37" s="297"/>
      <c r="L37" s="298"/>
    </row>
    <row r="38" spans="2:12" ht="48.75" customHeight="1" x14ac:dyDescent="0.25">
      <c r="B38" s="319"/>
      <c r="C38" s="27" t="s">
        <v>131</v>
      </c>
      <c r="D38" s="103">
        <f t="shared" ref="D38:J38" si="0">IF(D24="","0",D37*D36)</f>
        <v>505981647.375</v>
      </c>
      <c r="E38" s="103">
        <f t="shared" si="0"/>
        <v>1406310599.2320001</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685.875</v>
      </c>
      <c r="E39" s="104">
        <f t="shared" si="1"/>
        <v>1800.096</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v>
      </c>
      <c r="E40" s="92">
        <v>0</v>
      </c>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685.875</v>
      </c>
      <c r="E46" s="104">
        <f t="shared" ref="E46:G46" si="6">+E39+E42+E45</f>
        <v>1800.096</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75</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15</v>
      </c>
      <c r="F56" s="88"/>
      <c r="G56" s="88"/>
      <c r="H56" s="88"/>
      <c r="I56" s="88"/>
      <c r="J56" s="88"/>
      <c r="K56" s="282" t="s">
        <v>563</v>
      </c>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NO 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15</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notContainsErrors" dxfId="1941" priority="45">
      <formula>NOT(ISERROR(D73))</formula>
    </cfRule>
    <cfRule type="containsBlanks" dxfId="1940" priority="44">
      <formula>LEN(TRIM(D73))=0</formula>
    </cfRule>
    <cfRule type="cellIs" dxfId="1939" priority="47" operator="equal">
      <formula>"CUMPLE"</formula>
    </cfRule>
    <cfRule type="cellIs" dxfId="1938" priority="46" operator="equal">
      <formula>"NO CUMPLE"</formula>
    </cfRule>
  </conditionalFormatting>
  <conditionalFormatting sqref="D74">
    <cfRule type="cellIs" dxfId="1937" priority="51" operator="equal">
      <formula>"""CUMPLE"""</formula>
    </cfRule>
    <cfRule type="cellIs" dxfId="1936" priority="50" operator="equal">
      <formula>"NO CUMPLE"</formula>
    </cfRule>
    <cfRule type="cellIs" dxfId="1935" priority="49" operator="equal">
      <formula>"CUMPLE"</formula>
    </cfRule>
    <cfRule type="cellIs" dxfId="1934" priority="48" operator="equal">
      <formula>"N/A"</formula>
    </cfRule>
  </conditionalFormatting>
  <conditionalFormatting sqref="D25:J35">
    <cfRule type="containsBlanks" dxfId="1933" priority="21">
      <formula>LEN(TRIM(D25))=0</formula>
    </cfRule>
    <cfRule type="notContainsErrors" dxfId="1932" priority="22">
      <formula>NOT(ISERROR(D25))</formula>
    </cfRule>
  </conditionalFormatting>
  <conditionalFormatting sqref="D34:J34 D24:K24">
    <cfRule type="containsBlanks" dxfId="1931" priority="23">
      <formula>LEN(TRIM(D24))=0</formula>
    </cfRule>
  </conditionalFormatting>
  <conditionalFormatting sqref="D37:J37">
    <cfRule type="containsBlanks" dxfId="1930" priority="19">
      <formula>LEN(TRIM(D37))=0</formula>
    </cfRule>
    <cfRule type="notContainsErrors" dxfId="1929" priority="20">
      <formula>NOT(ISERROR(D37))</formula>
    </cfRule>
  </conditionalFormatting>
  <conditionalFormatting sqref="D40:J40">
    <cfRule type="notContainsErrors" dxfId="1928" priority="18">
      <formula>NOT(ISERROR(D40))</formula>
    </cfRule>
    <cfRule type="containsBlanks" dxfId="1927" priority="17">
      <formula>LEN(TRIM(D40))=0</formula>
    </cfRule>
  </conditionalFormatting>
  <conditionalFormatting sqref="D43:J43">
    <cfRule type="containsBlanks" dxfId="1926" priority="15">
      <formula>LEN(TRIM(D43))=0</formula>
    </cfRule>
    <cfRule type="notContainsErrors" dxfId="1925" priority="16">
      <formula>NOT(ISERROR(D43))</formula>
    </cfRule>
  </conditionalFormatting>
  <conditionalFormatting sqref="D47:J54">
    <cfRule type="notContainsErrors" dxfId="1924" priority="14">
      <formula>NOT(ISERROR(D47))</formula>
    </cfRule>
    <cfRule type="cellIs" dxfId="1923" priority="11" operator="equal">
      <formula>"NO CUMPLE"</formula>
    </cfRule>
    <cfRule type="cellIs" dxfId="1922" priority="12" operator="equal">
      <formula>"CUMPLE"</formula>
    </cfRule>
    <cfRule type="containsBlanks" dxfId="1921" priority="13">
      <formula>LEN(TRIM(D47))=0</formula>
    </cfRule>
  </conditionalFormatting>
  <conditionalFormatting sqref="D55:J55">
    <cfRule type="cellIs" dxfId="1920" priority="75" operator="equal">
      <formula>"CUMPLE"</formula>
    </cfRule>
    <cfRule type="cellIs" dxfId="1919" priority="74" operator="equal">
      <formula>"N/A"</formula>
    </cfRule>
    <cfRule type="cellIs" dxfId="1918" priority="76" operator="equal">
      <formula>"NO CUMPLE"</formula>
    </cfRule>
    <cfRule type="cellIs" dxfId="1917" priority="77" operator="equal">
      <formula>"""CUMPLE"""</formula>
    </cfRule>
  </conditionalFormatting>
  <conditionalFormatting sqref="D56:J60">
    <cfRule type="notContainsErrors" dxfId="1916" priority="8">
      <formula>NOT(ISERROR(D56))</formula>
    </cfRule>
    <cfRule type="containsBlanks" dxfId="1915" priority="7">
      <formula>LEN(TRIM(D56))=0</formula>
    </cfRule>
  </conditionalFormatting>
  <conditionalFormatting sqref="D56:J67">
    <cfRule type="cellIs" dxfId="1914" priority="6" operator="equal">
      <formula>"CUMPLE"</formula>
    </cfRule>
    <cfRule type="cellIs" dxfId="1913" priority="5" operator="equal">
      <formula>"NO CUMPLE"</formula>
    </cfRule>
  </conditionalFormatting>
  <conditionalFormatting sqref="D68:J68">
    <cfRule type="cellIs" dxfId="1912" priority="71" operator="equal">
      <formula>"CUMPLE"</formula>
    </cfRule>
    <cfRule type="cellIs" dxfId="1911" priority="72" operator="equal">
      <formula>"NO CUMPLE"</formula>
    </cfRule>
    <cfRule type="cellIs" dxfId="1910" priority="73" operator="equal">
      <formula>"""CUMPLE"""</formula>
    </cfRule>
    <cfRule type="cellIs" dxfId="1909" priority="70" operator="equal">
      <formula>"N/A"</formula>
    </cfRule>
  </conditionalFormatting>
  <conditionalFormatting sqref="D69:J69">
    <cfRule type="cellIs" dxfId="1908" priority="2" operator="equal">
      <formula>"CUMPLE"</formula>
    </cfRule>
    <cfRule type="cellIs" dxfId="1907" priority="1" operator="equal">
      <formula>"NO CUMPLE"</formula>
    </cfRule>
  </conditionalFormatting>
  <conditionalFormatting sqref="D24:K24 D34:J34">
    <cfRule type="notContainsErrors" dxfId="1906" priority="24">
      <formula>NOT(ISERROR(D24))</formula>
    </cfRule>
  </conditionalFormatting>
  <conditionalFormatting sqref="D61:K67">
    <cfRule type="notContainsErrors" dxfId="1905" priority="10">
      <formula>NOT(ISERROR(D61))</formula>
    </cfRule>
    <cfRule type="containsBlanks" dxfId="1904" priority="9">
      <formula>LEN(TRIM(D61))=0</formula>
    </cfRule>
  </conditionalFormatting>
  <conditionalFormatting sqref="D69:K69">
    <cfRule type="containsBlanks" dxfId="1903" priority="3">
      <formula>LEN(TRIM(D69))=0</formula>
    </cfRule>
    <cfRule type="notContainsErrors" dxfId="1902" priority="4">
      <formula>NOT(ISERROR(D69))</formula>
    </cfRule>
  </conditionalFormatting>
  <conditionalFormatting sqref="E73:E74">
    <cfRule type="containsBlanks" dxfId="1901" priority="42">
      <formula>LEN(TRIM(E73))=0</formula>
    </cfRule>
    <cfRule type="notContainsErrors" dxfId="1900" priority="43">
      <formula>NOT(ISERROR(E73))</formula>
    </cfRule>
  </conditionalFormatting>
  <conditionalFormatting sqref="F20:H20">
    <cfRule type="cellIs" dxfId="1899" priority="81" operator="equal">
      <formula>"CUMPLE"</formula>
    </cfRule>
    <cfRule type="cellIs" dxfId="1898" priority="82" operator="equal">
      <formula>"NO CUMPLE"</formula>
    </cfRule>
    <cfRule type="cellIs" dxfId="1897" priority="83" operator="equal">
      <formula>"""CUMPLE"""</formula>
    </cfRule>
  </conditionalFormatting>
  <conditionalFormatting sqref="I11">
    <cfRule type="containsText" dxfId="1896" priority="87" operator="containsText" text="NO CUMPLE">
      <formula>NOT(ISERROR(SEARCH("NO CUMPLE",I11)))</formula>
    </cfRule>
    <cfRule type="containsText" dxfId="1895" priority="84" operator="containsText" text="INHABILITADO">
      <formula>NOT(ISERROR(SEARCH("INHABILITADO",I11)))</formula>
    </cfRule>
    <cfRule type="containsText" dxfId="1894" priority="85" operator="containsText" text="HABILITADO">
      <formula>NOT(ISERROR(SEARCH("HABILITADO",I11)))</formula>
    </cfRule>
    <cfRule type="containsText" dxfId="1893" priority="86" operator="containsText" text="HABILITADO">
      <formula>NOT(ISERROR(SEARCH("HABILITADO",I11)))</formula>
    </cfRule>
  </conditionalFormatting>
  <conditionalFormatting sqref="J20">
    <cfRule type="cellIs" dxfId="1892" priority="62" operator="equal">
      <formula>"NO"</formula>
    </cfRule>
    <cfRule type="cellIs" dxfId="1891" priority="63" operator="equal">
      <formula>"SI"</formula>
    </cfRule>
  </conditionalFormatting>
  <conditionalFormatting sqref="K16">
    <cfRule type="cellIs" dxfId="1890" priority="35" operator="equal">
      <formula>"CUMPLE"</formula>
    </cfRule>
    <cfRule type="cellIs" dxfId="1889" priority="36" operator="equal">
      <formula>"NO CUMPLE"</formula>
    </cfRule>
    <cfRule type="cellIs" dxfId="1888" priority="37" operator="equal">
      <formula>"""CUMPLE"""</formula>
    </cfRule>
  </conditionalFormatting>
  <conditionalFormatting sqref="K25:K60">
    <cfRule type="containsBlanks" dxfId="1887" priority="52">
      <formula>LEN(TRIM(K25))=0</formula>
    </cfRule>
    <cfRule type="notContainsErrors" dxfId="1886" priority="53">
      <formula>NOT(ISERROR(K25))</formula>
    </cfRule>
  </conditionalFormatting>
  <conditionalFormatting sqref="K68:L68">
    <cfRule type="containsBlanks" dxfId="1885" priority="68">
      <formula>LEN(TRIM(K68))=0</formula>
    </cfRule>
    <cfRule type="notContainsErrors" dxfId="1884" priority="69">
      <formula>NOT(ISERROR(K68))</formula>
    </cfRule>
  </conditionalFormatting>
  <conditionalFormatting sqref="L14">
    <cfRule type="cellIs" dxfId="1883" priority="78" operator="equal">
      <formula>"CUMPLE"</formula>
    </cfRule>
    <cfRule type="cellIs" dxfId="1882" priority="79" operator="equal">
      <formula>"NO CUMPLE"</formula>
    </cfRule>
    <cfRule type="cellIs" dxfId="1881" priority="80" operator="equal">
      <formula>"""CUMPLE"""</formula>
    </cfRule>
  </conditionalFormatting>
  <conditionalFormatting sqref="L20">
    <cfRule type="cellIs" dxfId="1880" priority="60" operator="equal">
      <formula>"NO"</formula>
    </cfRule>
    <cfRule type="cellIs" dxfId="1879" priority="61" operator="equal">
      <formula>"SI"</formula>
    </cfRule>
  </conditionalFormatting>
  <dataValidations count="4">
    <dataValidation type="list" allowBlank="1" showInputMessage="1" showErrorMessage="1" sqref="D24:J26" xr:uid="{F773FAE8-40A4-412E-A267-52D3839CA0B9}">
      <formula1>$C$15:$C$19</formula1>
    </dataValidation>
    <dataValidation type="list" allowBlank="1" showInputMessage="1" showErrorMessage="1" sqref="L61:L69" xr:uid="{45D34DFE-26BB-4119-91D6-F19A22504505}">
      <formula1>"0,1,2,3,4,5,6"</formula1>
    </dataValidation>
    <dataValidation type="list" allowBlank="1" showInputMessage="1" showErrorMessage="1" sqref="D73 J56:J60 F62:J67" xr:uid="{819215AE-A5E6-47CD-8853-2FCFCC5D7A2A}">
      <formula1>$A$50:$A$52</formula1>
    </dataValidation>
    <dataValidation type="list" allowBlank="1" showInputMessage="1" showErrorMessage="1" sqref="J48:J53" xr:uid="{BE1A6974-530E-4BBD-88CE-6FFFCA7D725F}">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3" manualBreakCount="3">
    <brk id="34" max="16383" man="1"/>
    <brk id="62" max="11" man="1"/>
    <brk id="70"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3A718398-211A-4732-A4F1-4C64AC6FF288}">
          <x14:formula1>
            <xm:f>'DATOS INICIALES'!$A$13:$A$43</xm:f>
          </x14:formula1>
          <xm:sqref>F31:I31</xm:sqref>
        </x14:dataValidation>
        <x14:dataValidation type="list" allowBlank="1" showInputMessage="1" showErrorMessage="1" xr:uid="{A0C85092-FAE4-4CC7-AA38-649DA03D8BDB}">
          <x14:formula1>
            <xm:f>'DATOS INICIALES'!$D$22:$D$26</xm:f>
          </x14:formula1>
          <xm:sqref>M48:M55</xm:sqref>
        </x14:dataValidation>
        <x14:dataValidation type="list" allowBlank="1" showInputMessage="1" showErrorMessage="1" xr:uid="{0B354CD8-45FC-46A5-8517-6DA2762ADCCA}">
          <x14:formula1>
            <xm:f>'DATOS INICIALES'!$A$54:$A$59</xm:f>
          </x14:formula1>
          <xm:sqref>D23:I23</xm:sqref>
        </x14:dataValidation>
        <x14:dataValidation type="list" allowBlank="1" showInputMessage="1" showErrorMessage="1" xr:uid="{E0D28295-3225-4C16-8167-79D527192C4E}">
          <x14:formula1>
            <xm:f>'DATOS INICIALES'!$A$50:$A$52</xm:f>
          </x14:formula1>
          <xm:sqref>F56:I61</xm:sqref>
        </x14:dataValidation>
        <x14:dataValidation type="list" allowBlank="1" showInputMessage="1" showErrorMessage="1" xr:uid="{C1970D04-2F83-4E30-94C6-BFFD79996BED}">
          <x14:formula1>
            <xm:f>'DATOS INICIALES'!$C$45:$C$46</xm:f>
          </x14:formula1>
          <xm:sqref>F48:I54 D52:E54</xm:sqref>
        </x14:dataValidation>
        <x14:dataValidation type="list" allowBlank="1" showInputMessage="1" showErrorMessage="1" xr:uid="{935EBB91-22B9-49E5-B59D-12800139123F}">
          <x14:formula1>
            <xm:f>'DATOS INICIALES'!$A$50:$A$51</xm:f>
          </x14:formula1>
          <xm:sqref>F47:J47 F69:J69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74"/>
  <sheetViews>
    <sheetView view="pageBreakPreview" zoomScale="40" zoomScaleNormal="55" zoomScaleSheetLayoutView="40" workbookViewId="0">
      <pane ySplit="11" topLeftCell="A49" activePane="bottomLeft" state="frozenSplit"/>
      <selection activeCell="C9" sqref="C9:I9"/>
      <selection pane="bottomLeft" activeCell="J56" sqref="J56"/>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6</v>
      </c>
      <c r="B11" s="2" t="s">
        <v>24</v>
      </c>
      <c r="C11" s="342" t="str">
        <f>VLOOKUP(A11,PROPONENTES!A10:B46,2,FALSE)</f>
        <v>CONSORCIO INTERVEP KM</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3</v>
      </c>
      <c r="J14" s="169">
        <f>+L8</f>
        <v>405.24573153846154</v>
      </c>
      <c r="K14" s="169">
        <f>+E20</f>
        <v>3962.5750000000003</v>
      </c>
      <c r="L14" s="18" t="str">
        <f>IF(K14&gt;=J14,"CUMPLE","NO CUMPLE")</f>
        <v>CUMPLE</v>
      </c>
    </row>
    <row r="15" spans="1:12" ht="66.75" customHeight="1" x14ac:dyDescent="0.25">
      <c r="B15" s="314"/>
      <c r="C15" s="98" t="str">
        <f>IF(VLOOKUP(C11,PROPONENTES!B10:N46,2,FALSE)=0,"",VLOOKUP(C11,PROPONENTES!B10:N46,2,FALSE))</f>
        <v>KALPA INGENIERIA SAS SOCIEDAD DE BENEFICIO E INTERES COLECTIVO - BIC</v>
      </c>
      <c r="D15" s="99">
        <f>IF(VLOOKUP(C11,PROPONENTES!B10:N46,3,FALSE)=0,"",VLOOKUP(C11,PROPONENTES!B10:N46,3,FALSE))</f>
        <v>0.99</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525.65</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xml:space="preserve"> MEDINA &amp; RIVERA INGENIEROS ASOCIADOS SAS</v>
      </c>
      <c r="D16" s="99">
        <f>IF(VLOOKUP(C11,PROPONENTES!B10:N46,5,FALSE)=0,"",VLOOKUP(C11,PROPONENTES!B10:N46,5,FALSE))</f>
        <v>0.01</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3436.9250000000002</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2911.2750000000001</v>
      </c>
      <c r="J16" s="169">
        <f>+L8*0.7</f>
        <v>283.67201207692307</v>
      </c>
      <c r="K16" s="18" t="str">
        <f>IF(I16&gt;=J16,"CUMPLE","NO CUMPLE")</f>
        <v>CUMPLE</v>
      </c>
      <c r="L16" s="305">
        <f>AVERAGEIF(D68:J68,"CUMPLE",D46:J46)</f>
        <v>1320.8583333333333</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3962.5750000000003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231</v>
      </c>
      <c r="E24" s="88" t="s">
        <v>231</v>
      </c>
      <c r="F24" s="88" t="s">
        <v>230</v>
      </c>
      <c r="G24" s="88"/>
      <c r="H24" s="88"/>
      <c r="I24" s="88"/>
      <c r="J24" s="88"/>
      <c r="K24" s="297"/>
      <c r="L24" s="298"/>
    </row>
    <row r="25" spans="2:14" ht="39.75" customHeight="1" x14ac:dyDescent="0.25">
      <c r="B25" s="303" t="s">
        <v>122</v>
      </c>
      <c r="C25" s="304"/>
      <c r="D25" s="88"/>
      <c r="E25" s="88"/>
      <c r="F25" s="88" t="s">
        <v>231</v>
      </c>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356</v>
      </c>
      <c r="E27" s="89" t="s">
        <v>357</v>
      </c>
      <c r="F27" s="89" t="s">
        <v>358</v>
      </c>
      <c r="G27" s="89"/>
      <c r="H27" s="89"/>
      <c r="I27" s="89"/>
      <c r="J27" s="89"/>
      <c r="K27" s="297"/>
      <c r="L27" s="298"/>
    </row>
    <row r="28" spans="2:14" ht="156.75" customHeight="1" x14ac:dyDescent="0.25">
      <c r="B28" s="319"/>
      <c r="C28" s="27" t="s">
        <v>36</v>
      </c>
      <c r="D28" s="89" t="s">
        <v>359</v>
      </c>
      <c r="E28" s="89" t="s">
        <v>360</v>
      </c>
      <c r="F28" s="89" t="s">
        <v>361</v>
      </c>
      <c r="G28" s="89"/>
      <c r="H28" s="89"/>
      <c r="I28" s="89"/>
      <c r="J28" s="89"/>
      <c r="K28" s="297"/>
      <c r="L28" s="298"/>
    </row>
    <row r="29" spans="2:14" ht="52.5" customHeight="1" x14ac:dyDescent="0.25">
      <c r="B29" s="319"/>
      <c r="C29" s="27" t="s">
        <v>165</v>
      </c>
      <c r="D29" s="93">
        <v>42368</v>
      </c>
      <c r="E29" s="93">
        <v>43686</v>
      </c>
      <c r="F29" s="93">
        <v>44564</v>
      </c>
      <c r="G29" s="93"/>
      <c r="H29" s="93"/>
      <c r="I29" s="93"/>
      <c r="J29" s="93"/>
      <c r="K29" s="297"/>
      <c r="L29" s="298"/>
    </row>
    <row r="30" spans="2:14" ht="54.75" customHeight="1" x14ac:dyDescent="0.25">
      <c r="B30" s="319"/>
      <c r="C30" s="27" t="s">
        <v>40</v>
      </c>
      <c r="D30" s="93">
        <v>43261</v>
      </c>
      <c r="E30" s="93">
        <v>44150</v>
      </c>
      <c r="F30" s="93">
        <v>44926</v>
      </c>
      <c r="G30" s="93"/>
      <c r="H30" s="93"/>
      <c r="I30" s="93"/>
      <c r="J30" s="93"/>
      <c r="K30" s="297"/>
      <c r="L30" s="298"/>
    </row>
    <row r="31" spans="2:14" ht="41.25" customHeight="1" x14ac:dyDescent="0.25">
      <c r="B31" s="319"/>
      <c r="C31" s="27" t="s">
        <v>37</v>
      </c>
      <c r="D31" s="90">
        <v>2018</v>
      </c>
      <c r="E31" s="90">
        <v>2020</v>
      </c>
      <c r="F31" s="90">
        <v>2022</v>
      </c>
      <c r="G31" s="90"/>
      <c r="H31" s="90"/>
      <c r="I31" s="90"/>
      <c r="J31" s="90"/>
      <c r="K31" s="297"/>
      <c r="L31" s="298"/>
    </row>
    <row r="32" spans="2:14" ht="63" customHeight="1" x14ac:dyDescent="0.25">
      <c r="B32" s="319"/>
      <c r="C32" s="27" t="s">
        <v>38</v>
      </c>
      <c r="D32" s="89" t="s">
        <v>362</v>
      </c>
      <c r="E32" s="89" t="s">
        <v>363</v>
      </c>
      <c r="F32" s="89" t="s">
        <v>364</v>
      </c>
      <c r="G32" s="89"/>
      <c r="H32" s="89"/>
      <c r="I32" s="89"/>
      <c r="J32" s="89"/>
      <c r="K32" s="297"/>
      <c r="L32" s="298"/>
    </row>
    <row r="33" spans="2:12" ht="46.5" customHeight="1" x14ac:dyDescent="0.25">
      <c r="B33" s="319"/>
      <c r="C33" s="27" t="s">
        <v>39</v>
      </c>
      <c r="D33" s="89" t="s">
        <v>365</v>
      </c>
      <c r="E33" s="89" t="s">
        <v>366</v>
      </c>
      <c r="F33" s="89" t="s">
        <v>367</v>
      </c>
      <c r="G33" s="89"/>
      <c r="H33" s="89"/>
      <c r="I33" s="89"/>
      <c r="J33" s="89"/>
      <c r="K33" s="297"/>
      <c r="L33" s="298"/>
    </row>
    <row r="34" spans="2:12" ht="27.75" customHeight="1" x14ac:dyDescent="0.25">
      <c r="B34" s="319"/>
      <c r="C34" s="28" t="s">
        <v>33</v>
      </c>
      <c r="D34" s="94">
        <v>244</v>
      </c>
      <c r="E34" s="94">
        <v>277</v>
      </c>
      <c r="F34" s="94">
        <v>293</v>
      </c>
      <c r="G34" s="95"/>
      <c r="H34" s="95"/>
      <c r="I34" s="95"/>
      <c r="J34" s="95"/>
      <c r="K34" s="297"/>
      <c r="L34" s="298"/>
    </row>
    <row r="35" spans="2:12" ht="102.75" customHeight="1" x14ac:dyDescent="0.25">
      <c r="B35" s="319"/>
      <c r="C35" s="27" t="s">
        <v>124</v>
      </c>
      <c r="D35" s="91">
        <v>2026.98</v>
      </c>
      <c r="E35" s="187">
        <v>1768.59</v>
      </c>
      <c r="F35" s="91">
        <v>1051.3</v>
      </c>
      <c r="G35" s="91"/>
      <c r="H35" s="91"/>
      <c r="I35" s="91"/>
      <c r="J35" s="91"/>
      <c r="K35" s="299"/>
      <c r="L35" s="300"/>
    </row>
    <row r="36" spans="2:12" ht="48" customHeight="1" x14ac:dyDescent="0.25">
      <c r="B36" s="319"/>
      <c r="C36" s="27" t="s">
        <v>72</v>
      </c>
      <c r="D36" s="103">
        <f>IFERROR(D35*VLOOKUP(D31,'DATOS INICIALES'!$A$12:$B$43,2,0),"0")</f>
        <v>1583561909.1600001</v>
      </c>
      <c r="E36" s="103">
        <f>IFERROR(E35*VLOOKUP(E31,'DATOS INICIALES'!$A$12:$B$43,2,0),"0")</f>
        <v>1552473607.77</v>
      </c>
      <c r="F36" s="103">
        <f>IFERROR(F35*VLOOKUP(F31,'DATOS INICIALES'!$A$12:$B$43,2,0),"0")</f>
        <v>1051300000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0.5</v>
      </c>
      <c r="F37" s="92">
        <v>0.5</v>
      </c>
      <c r="G37" s="92"/>
      <c r="H37" s="92"/>
      <c r="I37" s="92"/>
      <c r="J37" s="92"/>
      <c r="K37" s="297"/>
      <c r="L37" s="298"/>
    </row>
    <row r="38" spans="2:12" ht="48.75" customHeight="1" x14ac:dyDescent="0.25">
      <c r="B38" s="319"/>
      <c r="C38" s="27" t="s">
        <v>131</v>
      </c>
      <c r="D38" s="103">
        <f t="shared" ref="D38:J38" si="0">IF(D24="","0",D37*D36)</f>
        <v>1583561909.1600001</v>
      </c>
      <c r="E38" s="103">
        <f t="shared" si="0"/>
        <v>776236803.88499999</v>
      </c>
      <c r="F38" s="103">
        <f t="shared" si="0"/>
        <v>525650000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2026.98</v>
      </c>
      <c r="E39" s="104">
        <f t="shared" si="1"/>
        <v>884.29499999999996</v>
      </c>
      <c r="F39" s="104">
        <f t="shared" si="1"/>
        <v>525.65</v>
      </c>
      <c r="G39" s="104">
        <f t="shared" si="1"/>
        <v>0</v>
      </c>
      <c r="H39" s="104">
        <f t="shared" si="1"/>
        <v>0</v>
      </c>
      <c r="I39" s="104">
        <f t="shared" si="1"/>
        <v>0</v>
      </c>
      <c r="J39" s="104">
        <f t="shared" si="1"/>
        <v>0</v>
      </c>
      <c r="K39" s="297"/>
      <c r="L39" s="298"/>
    </row>
    <row r="40" spans="2:12" ht="65.25" customHeight="1" x14ac:dyDescent="0.25">
      <c r="B40" s="319"/>
      <c r="C40" s="27" t="s">
        <v>127</v>
      </c>
      <c r="D40" s="92">
        <v>0</v>
      </c>
      <c r="E40" s="92">
        <v>0</v>
      </c>
      <c r="F40" s="92">
        <v>0.5</v>
      </c>
      <c r="G40" s="92"/>
      <c r="H40" s="92"/>
      <c r="I40" s="92"/>
      <c r="J40" s="92"/>
      <c r="K40" s="297"/>
      <c r="L40" s="298"/>
    </row>
    <row r="41" spans="2:12" ht="65.25" customHeight="1" x14ac:dyDescent="0.25">
      <c r="B41" s="319"/>
      <c r="C41" s="27" t="s">
        <v>132</v>
      </c>
      <c r="D41" s="105" t="str">
        <f t="shared" ref="D41:J41" si="2">IF(D25="","0",D40*D36)</f>
        <v>0</v>
      </c>
      <c r="E41" s="105" t="str">
        <f t="shared" si="2"/>
        <v>0</v>
      </c>
      <c r="F41" s="105">
        <f t="shared" si="2"/>
        <v>525650000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525.65</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v>0</v>
      </c>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2026.98</v>
      </c>
      <c r="E46" s="104">
        <f t="shared" ref="E46:G46" si="6">+E39+E42+E45</f>
        <v>884.29499999999996</v>
      </c>
      <c r="F46" s="104">
        <f t="shared" si="6"/>
        <v>1051.3</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c r="H47" s="88"/>
      <c r="I47" s="88"/>
      <c r="J47" s="88"/>
      <c r="K47" s="297"/>
      <c r="L47" s="298"/>
    </row>
    <row r="48" spans="2:12" ht="24.75" customHeight="1" x14ac:dyDescent="0.25">
      <c r="B48" s="315" t="s">
        <v>34</v>
      </c>
      <c r="C48" s="29">
        <f>+'DATOS INICIALES'!D22</f>
        <v>81141500</v>
      </c>
      <c r="D48" s="94" t="s">
        <v>75</v>
      </c>
      <c r="E48" s="94" t="s">
        <v>75</v>
      </c>
      <c r="F48" s="94" t="s">
        <v>75</v>
      </c>
      <c r="G48" s="94"/>
      <c r="H48" s="94"/>
      <c r="I48" s="94"/>
      <c r="J48" s="95"/>
      <c r="K48" s="297"/>
      <c r="L48" s="298"/>
    </row>
    <row r="49" spans="2:12" ht="24.75" customHeight="1" x14ac:dyDescent="0.25">
      <c r="B49" s="316"/>
      <c r="C49" s="29">
        <f>+'DATOS INICIALES'!D23</f>
        <v>80101500</v>
      </c>
      <c r="D49" s="94" t="s">
        <v>75</v>
      </c>
      <c r="E49" s="94" t="s">
        <v>75</v>
      </c>
      <c r="F49" s="94" t="s">
        <v>75</v>
      </c>
      <c r="G49" s="94"/>
      <c r="H49" s="94"/>
      <c r="I49" s="94"/>
      <c r="J49" s="95"/>
      <c r="K49" s="297"/>
      <c r="L49" s="298"/>
    </row>
    <row r="50" spans="2:12" ht="24.75" customHeight="1" x14ac:dyDescent="0.25">
      <c r="B50" s="316"/>
      <c r="C50" s="29">
        <f>+'DATOS INICIALES'!D24</f>
        <v>80101600</v>
      </c>
      <c r="D50" s="94" t="s">
        <v>75</v>
      </c>
      <c r="E50" s="94" t="s">
        <v>75</v>
      </c>
      <c r="F50" s="94" t="s">
        <v>75</v>
      </c>
      <c r="G50" s="94"/>
      <c r="H50" s="94"/>
      <c r="I50" s="94"/>
      <c r="J50" s="95"/>
      <c r="K50" s="297"/>
      <c r="L50" s="298"/>
    </row>
    <row r="51" spans="2:12" ht="24.75" customHeight="1" x14ac:dyDescent="0.25">
      <c r="B51" s="316"/>
      <c r="C51" s="29">
        <f>+'DATOS INICIALES'!D25</f>
        <v>81101500</v>
      </c>
      <c r="D51" s="94" t="s">
        <v>75</v>
      </c>
      <c r="E51" s="94" t="s">
        <v>75</v>
      </c>
      <c r="F51" s="94" t="s">
        <v>75</v>
      </c>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14</v>
      </c>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c r="H61" s="88"/>
      <c r="I61" s="88"/>
      <c r="J61" s="88"/>
      <c r="K61" s="297"/>
      <c r="L61" s="298"/>
    </row>
    <row r="62" spans="2:12" ht="45" customHeight="1" x14ac:dyDescent="0.25">
      <c r="B62" s="290" t="s">
        <v>207</v>
      </c>
      <c r="C62" s="291"/>
      <c r="D62" s="88" t="s">
        <v>14</v>
      </c>
      <c r="E62" s="88" t="s">
        <v>14</v>
      </c>
      <c r="F62" s="88" t="s">
        <v>14</v>
      </c>
      <c r="G62" s="88"/>
      <c r="H62" s="88"/>
      <c r="I62" s="88"/>
      <c r="J62" s="88"/>
      <c r="K62" s="297"/>
      <c r="L62" s="298"/>
    </row>
    <row r="63" spans="2:12" ht="181.5" customHeight="1" x14ac:dyDescent="0.25">
      <c r="B63" s="290" t="s">
        <v>218</v>
      </c>
      <c r="C63" s="291"/>
      <c r="D63" s="88" t="s">
        <v>13</v>
      </c>
      <c r="E63" s="88" t="s">
        <v>13</v>
      </c>
      <c r="F63" s="88" t="s">
        <v>13</v>
      </c>
      <c r="G63" s="88"/>
      <c r="H63" s="88"/>
      <c r="I63" s="88"/>
      <c r="J63" s="88"/>
      <c r="K63" s="297"/>
      <c r="L63" s="298"/>
    </row>
    <row r="64" spans="2:12" ht="336" customHeight="1" x14ac:dyDescent="0.25">
      <c r="B64" s="242" t="s">
        <v>220</v>
      </c>
      <c r="C64" s="242"/>
      <c r="D64" s="88" t="s">
        <v>14</v>
      </c>
      <c r="E64" s="88" t="s">
        <v>14</v>
      </c>
      <c r="F64" s="88" t="s">
        <v>14</v>
      </c>
      <c r="G64" s="88"/>
      <c r="H64" s="88"/>
      <c r="I64" s="88"/>
      <c r="J64" s="88"/>
      <c r="K64" s="299"/>
      <c r="L64" s="300"/>
    </row>
    <row r="65" spans="2:12" ht="143.25" customHeight="1" x14ac:dyDescent="0.25">
      <c r="B65" s="293" t="s">
        <v>221</v>
      </c>
      <c r="C65" s="294"/>
      <c r="D65" s="88" t="s">
        <v>13</v>
      </c>
      <c r="E65" s="88" t="s">
        <v>13</v>
      </c>
      <c r="F65" s="88" t="s">
        <v>13</v>
      </c>
      <c r="G65" s="88"/>
      <c r="H65" s="88"/>
      <c r="I65" s="88"/>
      <c r="J65" s="88"/>
      <c r="K65" s="297"/>
      <c r="L65" s="298"/>
    </row>
    <row r="66" spans="2:12" ht="408.75" customHeight="1" x14ac:dyDescent="0.25">
      <c r="B66" s="292" t="s">
        <v>208</v>
      </c>
      <c r="C66" s="292"/>
      <c r="D66" s="88" t="s">
        <v>13</v>
      </c>
      <c r="E66" s="88" t="s">
        <v>13</v>
      </c>
      <c r="F66" s="88" t="s">
        <v>13</v>
      </c>
      <c r="G66" s="88"/>
      <c r="H66" s="88"/>
      <c r="I66" s="88"/>
      <c r="J66" s="88"/>
      <c r="K66" s="297"/>
      <c r="L66" s="298"/>
    </row>
    <row r="67" spans="2:12" ht="312.75" customHeight="1" x14ac:dyDescent="0.25">
      <c r="B67" s="242" t="s">
        <v>209</v>
      </c>
      <c r="C67" s="242"/>
      <c r="D67" s="88" t="s">
        <v>14</v>
      </c>
      <c r="E67" s="88" t="s">
        <v>14</v>
      </c>
      <c r="F67" s="88" t="s">
        <v>14</v>
      </c>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CUMPLE</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notContainsErrors" dxfId="1878" priority="47">
      <formula>NOT(ISERROR(D73))</formula>
    </cfRule>
    <cfRule type="containsBlanks" dxfId="1877" priority="46">
      <formula>LEN(TRIM(D73))=0</formula>
    </cfRule>
    <cfRule type="cellIs" dxfId="1876" priority="49" operator="equal">
      <formula>"CUMPLE"</formula>
    </cfRule>
    <cfRule type="cellIs" dxfId="1875" priority="48" operator="equal">
      <formula>"NO CUMPLE"</formula>
    </cfRule>
  </conditionalFormatting>
  <conditionalFormatting sqref="D74">
    <cfRule type="cellIs" dxfId="1874" priority="52" operator="equal">
      <formula>"NO CUMPLE"</formula>
    </cfRule>
    <cfRule type="cellIs" dxfId="1873" priority="53" operator="equal">
      <formula>"""CUMPLE"""</formula>
    </cfRule>
    <cfRule type="cellIs" dxfId="1872" priority="51" operator="equal">
      <formula>"CUMPLE"</formula>
    </cfRule>
    <cfRule type="cellIs" dxfId="1871" priority="50" operator="equal">
      <formula>"N/A"</formula>
    </cfRule>
  </conditionalFormatting>
  <conditionalFormatting sqref="D25:J35">
    <cfRule type="notContainsErrors" dxfId="1870" priority="24">
      <formula>NOT(ISERROR(D25))</formula>
    </cfRule>
    <cfRule type="containsBlanks" dxfId="1869" priority="23">
      <formula>LEN(TRIM(D25))=0</formula>
    </cfRule>
  </conditionalFormatting>
  <conditionalFormatting sqref="D34:J34 D24:K24">
    <cfRule type="containsBlanks" dxfId="1868" priority="25">
      <formula>LEN(TRIM(D24))=0</formula>
    </cfRule>
  </conditionalFormatting>
  <conditionalFormatting sqref="D37:J37">
    <cfRule type="notContainsErrors" dxfId="1867" priority="22">
      <formula>NOT(ISERROR(D37))</formula>
    </cfRule>
    <cfRule type="containsBlanks" dxfId="1866" priority="21">
      <formula>LEN(TRIM(D37))=0</formula>
    </cfRule>
  </conditionalFormatting>
  <conditionalFormatting sqref="D40:J40">
    <cfRule type="notContainsErrors" dxfId="1865" priority="20">
      <formula>NOT(ISERROR(D40))</formula>
    </cfRule>
    <cfRule type="containsBlanks" dxfId="1864" priority="19">
      <formula>LEN(TRIM(D40))=0</formula>
    </cfRule>
  </conditionalFormatting>
  <conditionalFormatting sqref="D43:J43">
    <cfRule type="containsBlanks" dxfId="1863" priority="17">
      <formula>LEN(TRIM(D43))=0</formula>
    </cfRule>
    <cfRule type="notContainsErrors" dxfId="1862" priority="18">
      <formula>NOT(ISERROR(D43))</formula>
    </cfRule>
  </conditionalFormatting>
  <conditionalFormatting sqref="D47:J54">
    <cfRule type="cellIs" dxfId="1861" priority="13" operator="equal">
      <formula>"NO CUMPLE"</formula>
    </cfRule>
    <cfRule type="cellIs" dxfId="1860" priority="14" operator="equal">
      <formula>"CUMPLE"</formula>
    </cfRule>
    <cfRule type="notContainsErrors" dxfId="1859" priority="16">
      <formula>NOT(ISERROR(D47))</formula>
    </cfRule>
    <cfRule type="containsBlanks" dxfId="1858" priority="15">
      <formula>LEN(TRIM(D47))=0</formula>
    </cfRule>
  </conditionalFormatting>
  <conditionalFormatting sqref="D55:J55">
    <cfRule type="cellIs" dxfId="1857" priority="76" operator="equal">
      <formula>"N/A"</formula>
    </cfRule>
    <cfRule type="cellIs" dxfId="1856" priority="77" operator="equal">
      <formula>"CUMPLE"</formula>
    </cfRule>
    <cfRule type="cellIs" dxfId="1855" priority="78" operator="equal">
      <formula>"NO CUMPLE"</formula>
    </cfRule>
    <cfRule type="cellIs" dxfId="1854" priority="79" operator="equal">
      <formula>"""CUMPLE"""</formula>
    </cfRule>
  </conditionalFormatting>
  <conditionalFormatting sqref="D56:J60">
    <cfRule type="notContainsErrors" dxfId="1853" priority="10">
      <formula>NOT(ISERROR(D56))</formula>
    </cfRule>
    <cfRule type="containsBlanks" dxfId="1852" priority="9">
      <formula>LEN(TRIM(D56))=0</formula>
    </cfRule>
  </conditionalFormatting>
  <conditionalFormatting sqref="D56:J67">
    <cfRule type="cellIs" dxfId="1851" priority="6" operator="equal">
      <formula>"CUMPLE"</formula>
    </cfRule>
    <cfRule type="cellIs" dxfId="1850" priority="5" operator="equal">
      <formula>"NO CUMPLE"</formula>
    </cfRule>
  </conditionalFormatting>
  <conditionalFormatting sqref="D68:J68">
    <cfRule type="cellIs" dxfId="1849" priority="74" operator="equal">
      <formula>"NO CUMPLE"</formula>
    </cfRule>
    <cfRule type="cellIs" dxfId="1848" priority="75" operator="equal">
      <formula>"""CUMPLE"""</formula>
    </cfRule>
    <cfRule type="cellIs" dxfId="1847" priority="72" operator="equal">
      <formula>"N/A"</formula>
    </cfRule>
    <cfRule type="cellIs" dxfId="1846" priority="73" operator="equal">
      <formula>"CUMPLE"</formula>
    </cfRule>
  </conditionalFormatting>
  <conditionalFormatting sqref="D69:J69">
    <cfRule type="cellIs" dxfId="1845" priority="1" operator="equal">
      <formula>"NO CUMPLE"</formula>
    </cfRule>
    <cfRule type="cellIs" dxfId="1844" priority="2" operator="equal">
      <formula>"CUMPLE"</formula>
    </cfRule>
  </conditionalFormatting>
  <conditionalFormatting sqref="D24:K24 D34:J34">
    <cfRule type="notContainsErrors" dxfId="1843" priority="26">
      <formula>NOT(ISERROR(D24))</formula>
    </cfRule>
  </conditionalFormatting>
  <conditionalFormatting sqref="D61:K67">
    <cfRule type="notContainsErrors" dxfId="1842" priority="8">
      <formula>NOT(ISERROR(D61))</formula>
    </cfRule>
    <cfRule type="containsBlanks" dxfId="1841" priority="7">
      <formula>LEN(TRIM(D61))=0</formula>
    </cfRule>
  </conditionalFormatting>
  <conditionalFormatting sqref="D69:K69">
    <cfRule type="notContainsErrors" dxfId="1840" priority="4">
      <formula>NOT(ISERROR(D69))</formula>
    </cfRule>
    <cfRule type="containsBlanks" dxfId="1839" priority="3">
      <formula>LEN(TRIM(D69))=0</formula>
    </cfRule>
  </conditionalFormatting>
  <conditionalFormatting sqref="E73:E74">
    <cfRule type="notContainsErrors" dxfId="1838" priority="45">
      <formula>NOT(ISERROR(E73))</formula>
    </cfRule>
    <cfRule type="containsBlanks" dxfId="1837" priority="44">
      <formula>LEN(TRIM(E73))=0</formula>
    </cfRule>
  </conditionalFormatting>
  <conditionalFormatting sqref="F20:H20">
    <cfRule type="cellIs" dxfId="1836" priority="83" operator="equal">
      <formula>"CUMPLE"</formula>
    </cfRule>
    <cfRule type="cellIs" dxfId="1835" priority="84" operator="equal">
      <formula>"NO CUMPLE"</formula>
    </cfRule>
    <cfRule type="cellIs" dxfId="1834" priority="85" operator="equal">
      <formula>"""CUMPLE"""</formula>
    </cfRule>
  </conditionalFormatting>
  <conditionalFormatting sqref="I11">
    <cfRule type="containsText" dxfId="1833" priority="89" operator="containsText" text="NO CUMPLE">
      <formula>NOT(ISERROR(SEARCH("NO CUMPLE",I11)))</formula>
    </cfRule>
    <cfRule type="containsText" dxfId="1832" priority="86" operator="containsText" text="INHABILITADO">
      <formula>NOT(ISERROR(SEARCH("INHABILITADO",I11)))</formula>
    </cfRule>
    <cfRule type="containsText" dxfId="1831" priority="87" operator="containsText" text="HABILITADO">
      <formula>NOT(ISERROR(SEARCH("HABILITADO",I11)))</formula>
    </cfRule>
    <cfRule type="containsText" dxfId="1830" priority="88" operator="containsText" text="HABILITADO">
      <formula>NOT(ISERROR(SEARCH("HABILITADO",I11)))</formula>
    </cfRule>
  </conditionalFormatting>
  <conditionalFormatting sqref="J20">
    <cfRule type="cellIs" dxfId="1829" priority="64" operator="equal">
      <formula>"NO"</formula>
    </cfRule>
    <cfRule type="cellIs" dxfId="1828" priority="65" operator="equal">
      <formula>"SI"</formula>
    </cfRule>
  </conditionalFormatting>
  <conditionalFormatting sqref="K16">
    <cfRule type="cellIs" dxfId="1827" priority="38" operator="equal">
      <formula>"NO CUMPLE"</formula>
    </cfRule>
    <cfRule type="cellIs" dxfId="1826" priority="37" operator="equal">
      <formula>"CUMPLE"</formula>
    </cfRule>
    <cfRule type="cellIs" dxfId="1825" priority="39" operator="equal">
      <formula>"""CUMPLE"""</formula>
    </cfRule>
  </conditionalFormatting>
  <conditionalFormatting sqref="K25:K60">
    <cfRule type="notContainsErrors" dxfId="1824" priority="12">
      <formula>NOT(ISERROR(K25))</formula>
    </cfRule>
    <cfRule type="containsBlanks" dxfId="1823" priority="11">
      <formula>LEN(TRIM(K25))=0</formula>
    </cfRule>
  </conditionalFormatting>
  <conditionalFormatting sqref="K68:L68">
    <cfRule type="containsBlanks" dxfId="1822" priority="70">
      <formula>LEN(TRIM(K68))=0</formula>
    </cfRule>
    <cfRule type="notContainsErrors" dxfId="1821" priority="71">
      <formula>NOT(ISERROR(K68))</formula>
    </cfRule>
  </conditionalFormatting>
  <conditionalFormatting sqref="L14">
    <cfRule type="cellIs" dxfId="1820" priority="80" operator="equal">
      <formula>"CUMPLE"</formula>
    </cfRule>
    <cfRule type="cellIs" dxfId="1819" priority="81" operator="equal">
      <formula>"NO CUMPLE"</formula>
    </cfRule>
    <cfRule type="cellIs" dxfId="1818" priority="82" operator="equal">
      <formula>"""CUMPLE"""</formula>
    </cfRule>
  </conditionalFormatting>
  <conditionalFormatting sqref="L20">
    <cfRule type="cellIs" dxfId="1817" priority="62" operator="equal">
      <formula>"NO"</formula>
    </cfRule>
    <cfRule type="cellIs" dxfId="1816" priority="63" operator="equal">
      <formula>"SI"</formula>
    </cfRule>
  </conditionalFormatting>
  <dataValidations count="4">
    <dataValidation type="list" allowBlank="1" showInputMessage="1" showErrorMessage="1" sqref="J48:J53" xr:uid="{7290F1F7-36FB-49A9-B888-700130D0136F}">
      <formula1>$C$45:$C$46</formula1>
    </dataValidation>
    <dataValidation type="list" allowBlank="1" showInputMessage="1" showErrorMessage="1" sqref="D73 J56:J60 G62:J67" xr:uid="{2E3D2D9F-40B8-4FC7-9291-1E1C13F1047C}">
      <formula1>$A$50:$A$52</formula1>
    </dataValidation>
    <dataValidation type="list" allowBlank="1" showInputMessage="1" showErrorMessage="1" sqref="L61:L69" xr:uid="{F6927931-3B91-4709-990F-1CC17C697E00}">
      <formula1>"0,1,2,3,4,5,6"</formula1>
    </dataValidation>
    <dataValidation type="list" allowBlank="1" showInputMessage="1" showErrorMessage="1" sqref="D24:J26" xr:uid="{99C6DC33-73C6-46C1-94D7-DC207D26F780}">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AEEAA4EA-0909-45AF-9B80-8ABE372012E0}">
          <x14:formula1>
            <xm:f>'DATOS INICIALES'!$C$45:$C$46</xm:f>
          </x14:formula1>
          <xm:sqref>G48:I54 D52:F54</xm:sqref>
        </x14:dataValidation>
        <x14:dataValidation type="list" allowBlank="1" showInputMessage="1" showErrorMessage="1" xr:uid="{6AF58C52-038C-401C-814E-8520DB2F0E0C}">
          <x14:formula1>
            <xm:f>'DATOS INICIALES'!$A$54:$A$59</xm:f>
          </x14:formula1>
          <xm:sqref>D23:I23</xm:sqref>
        </x14:dataValidation>
        <x14:dataValidation type="list" allowBlank="1" showInputMessage="1" showErrorMessage="1" xr:uid="{A83073FA-4AC6-4321-B43B-2C9B2D3E4E8D}">
          <x14:formula1>
            <xm:f>'DATOS INICIALES'!$D$22:$D$26</xm:f>
          </x14:formula1>
          <xm:sqref>M48:M55</xm:sqref>
        </x14:dataValidation>
        <x14:dataValidation type="list" allowBlank="1" showInputMessage="1" showErrorMessage="1" xr:uid="{EA02EE31-2071-4310-B41F-A158CD961592}">
          <x14:formula1>
            <xm:f>'DATOS INICIALES'!$A$13:$A$43</xm:f>
          </x14:formula1>
          <xm:sqref>G31:I31</xm:sqref>
        </x14:dataValidation>
        <x14:dataValidation type="list" allowBlank="1" showInputMessage="1" showErrorMessage="1" xr:uid="{432C0A34-A654-4C8F-BF16-98FDD7CB4C0E}">
          <x14:formula1>
            <xm:f>'DATOS INICIALES'!$A$50:$A$51</xm:f>
          </x14:formula1>
          <xm:sqref>G47:J47 F69:J69</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74"/>
  <sheetViews>
    <sheetView view="pageBreakPreview" zoomScale="40" zoomScaleNormal="55" zoomScaleSheetLayoutView="40" workbookViewId="0">
      <pane ySplit="11" topLeftCell="A48" activePane="bottomLeft" state="frozenSplit"/>
      <selection activeCell="C9" sqref="C9:I9"/>
      <selection pane="bottomLeft" activeCell="K29" sqref="K29:L29"/>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7</v>
      </c>
      <c r="B11" s="2" t="s">
        <v>24</v>
      </c>
      <c r="C11" s="342" t="str">
        <f>VLOOKUP(A11,PROPONENTES!A10:B46,2,FALSE)</f>
        <v>CONSULTORES DEL OCCIDENTE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1988.0650000000001</v>
      </c>
      <c r="L14" s="18" t="str">
        <f>IF(K14&gt;=J14,"CUMPLE","NO CUMPLE")</f>
        <v>CUMPLE</v>
      </c>
    </row>
    <row r="15" spans="1:12" ht="66.75" customHeight="1" x14ac:dyDescent="0.25">
      <c r="B15" s="314"/>
      <c r="C15" s="98" t="str">
        <f>IF(VLOOKUP(C11,PROPONENTES!B10:N46,2,FALSE)=0,"",VLOOKUP(C11,PROPONENTES!B10:N46,2,FALSE))</f>
        <v>CONSULTORES DEL OCCIDENTE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1988.0650000000001</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1988.0650000000001</v>
      </c>
      <c r="J16" s="169">
        <f>+L8*0.7</f>
        <v>283.67201207692307</v>
      </c>
      <c r="K16" s="18" t="str">
        <f>IF(I16&gt;=J16,"CUMPLE","NO CUMPLE")</f>
        <v>CUMPLE</v>
      </c>
      <c r="L16" s="305">
        <f>AVERAGEIF(D68:J68,"CUMPLE",D46:J46)</f>
        <v>994.03250000000003</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1988.0650000000001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232</v>
      </c>
      <c r="E24" s="88" t="s">
        <v>232</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368</v>
      </c>
      <c r="E27" s="89" t="s">
        <v>369</v>
      </c>
      <c r="F27" s="89"/>
      <c r="G27" s="89"/>
      <c r="H27" s="89"/>
      <c r="I27" s="89"/>
      <c r="J27" s="89"/>
      <c r="K27" s="297"/>
      <c r="L27" s="298"/>
    </row>
    <row r="28" spans="2:14" ht="156.75" customHeight="1" x14ac:dyDescent="0.25">
      <c r="B28" s="319"/>
      <c r="C28" s="27" t="s">
        <v>36</v>
      </c>
      <c r="D28" s="89" t="s">
        <v>370</v>
      </c>
      <c r="E28" s="89" t="s">
        <v>371</v>
      </c>
      <c r="F28" s="89"/>
      <c r="G28" s="89"/>
      <c r="H28" s="89"/>
      <c r="I28" s="89"/>
      <c r="J28" s="89"/>
      <c r="K28" s="297"/>
      <c r="L28" s="298"/>
    </row>
    <row r="29" spans="2:14" ht="52.5" customHeight="1" x14ac:dyDescent="0.25">
      <c r="B29" s="319"/>
      <c r="C29" s="27" t="s">
        <v>165</v>
      </c>
      <c r="D29" s="93">
        <v>45523</v>
      </c>
      <c r="E29" s="93">
        <v>43572</v>
      </c>
      <c r="F29" s="93"/>
      <c r="G29" s="93"/>
      <c r="H29" s="93"/>
      <c r="I29" s="93"/>
      <c r="J29" s="93"/>
      <c r="K29" s="388"/>
      <c r="L29" s="389"/>
    </row>
    <row r="30" spans="2:14" ht="54.75" customHeight="1" x14ac:dyDescent="0.25">
      <c r="B30" s="319"/>
      <c r="C30" s="27" t="s">
        <v>40</v>
      </c>
      <c r="D30" s="93">
        <v>45216</v>
      </c>
      <c r="E30" s="93">
        <v>44923</v>
      </c>
      <c r="F30" s="93"/>
      <c r="G30" s="93"/>
      <c r="H30" s="93"/>
      <c r="I30" s="93"/>
      <c r="J30" s="93"/>
      <c r="K30" s="297"/>
      <c r="L30" s="298"/>
    </row>
    <row r="31" spans="2:14" ht="41.25" customHeight="1" x14ac:dyDescent="0.25">
      <c r="B31" s="319"/>
      <c r="C31" s="27" t="s">
        <v>37</v>
      </c>
      <c r="D31" s="90">
        <v>2023</v>
      </c>
      <c r="E31" s="90">
        <v>2022</v>
      </c>
      <c r="F31" s="90"/>
      <c r="G31" s="90"/>
      <c r="H31" s="90"/>
      <c r="I31" s="90"/>
      <c r="J31" s="90"/>
      <c r="K31" s="297"/>
      <c r="L31" s="298"/>
    </row>
    <row r="32" spans="2:14" ht="63" customHeight="1" x14ac:dyDescent="0.25">
      <c r="B32" s="319"/>
      <c r="C32" s="27" t="s">
        <v>38</v>
      </c>
      <c r="D32" s="89" t="s">
        <v>372</v>
      </c>
      <c r="E32" s="89" t="s">
        <v>373</v>
      </c>
      <c r="F32" s="89"/>
      <c r="G32" s="89"/>
      <c r="H32" s="89"/>
      <c r="I32" s="89"/>
      <c r="J32" s="89"/>
      <c r="K32" s="297"/>
      <c r="L32" s="298"/>
    </row>
    <row r="33" spans="2:12" ht="46.5" customHeight="1" x14ac:dyDescent="0.25">
      <c r="B33" s="319"/>
      <c r="C33" s="27" t="s">
        <v>39</v>
      </c>
      <c r="D33" s="89" t="s">
        <v>374</v>
      </c>
      <c r="E33" s="89" t="s">
        <v>375</v>
      </c>
      <c r="F33" s="89"/>
      <c r="G33" s="89"/>
      <c r="H33" s="89"/>
      <c r="I33" s="89"/>
      <c r="J33" s="89"/>
      <c r="K33" s="297"/>
      <c r="L33" s="298"/>
    </row>
    <row r="34" spans="2:12" ht="27.75" customHeight="1" x14ac:dyDescent="0.25">
      <c r="B34" s="319"/>
      <c r="C34" s="28" t="s">
        <v>33</v>
      </c>
      <c r="D34" s="94">
        <v>187</v>
      </c>
      <c r="E34" s="94">
        <v>159</v>
      </c>
      <c r="F34" s="94"/>
      <c r="G34" s="95"/>
      <c r="H34" s="95"/>
      <c r="I34" s="95"/>
      <c r="J34" s="95"/>
      <c r="K34" s="297"/>
      <c r="L34" s="298"/>
    </row>
    <row r="35" spans="2:12" ht="102.75" customHeight="1" x14ac:dyDescent="0.25">
      <c r="B35" s="319"/>
      <c r="C35" s="27" t="s">
        <v>124</v>
      </c>
      <c r="D35" s="91">
        <v>492.8</v>
      </c>
      <c r="E35" s="187">
        <v>2322.2199999999998</v>
      </c>
      <c r="F35" s="91"/>
      <c r="G35" s="91"/>
      <c r="H35" s="91"/>
      <c r="I35" s="91"/>
      <c r="J35" s="91"/>
      <c r="K35" s="299"/>
      <c r="L35" s="300"/>
    </row>
    <row r="36" spans="2:12" ht="48" customHeight="1" x14ac:dyDescent="0.25">
      <c r="B36" s="319"/>
      <c r="C36" s="27" t="s">
        <v>72</v>
      </c>
      <c r="D36" s="103">
        <f>IFERROR(D35*VLOOKUP(D31,'DATOS INICIALES'!$A$12:$B$43,2,0),"0")</f>
        <v>571648000</v>
      </c>
      <c r="E36" s="103">
        <f>IFERROR(E35*VLOOKUP(E31,'DATOS INICIALES'!$A$12:$B$43,2,0),"0")</f>
        <v>2322220000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0.5</v>
      </c>
      <c r="E37" s="92">
        <v>0.75</v>
      </c>
      <c r="F37" s="92"/>
      <c r="G37" s="92"/>
      <c r="H37" s="92"/>
      <c r="I37" s="92"/>
      <c r="J37" s="92"/>
      <c r="K37" s="297"/>
      <c r="L37" s="298"/>
    </row>
    <row r="38" spans="2:12" ht="48.75" customHeight="1" x14ac:dyDescent="0.25">
      <c r="B38" s="319"/>
      <c r="C38" s="27" t="s">
        <v>131</v>
      </c>
      <c r="D38" s="103">
        <f t="shared" ref="D38:J38" si="0">IF(D24="","0",D37*D36)</f>
        <v>285824000</v>
      </c>
      <c r="E38" s="103">
        <f t="shared" si="0"/>
        <v>1741665000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246.4</v>
      </c>
      <c r="E39" s="104">
        <f t="shared" si="1"/>
        <v>1741.665</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v>
      </c>
      <c r="E40" s="92">
        <v>0</v>
      </c>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246.4</v>
      </c>
      <c r="E46" s="104">
        <f t="shared" ref="E46:G46" si="6">+E39+E42+E45</f>
        <v>1741.665</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75</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c r="G56" s="88"/>
      <c r="H56" s="88"/>
      <c r="I56" s="88"/>
      <c r="J56" s="88"/>
      <c r="K56" s="299"/>
      <c r="L56" s="390"/>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ellIs" dxfId="1815" priority="47" operator="equal">
      <formula>"CUMPLE"</formula>
    </cfRule>
    <cfRule type="cellIs" dxfId="1814" priority="46" operator="equal">
      <formula>"NO CUMPLE"</formula>
    </cfRule>
    <cfRule type="notContainsErrors" dxfId="1813" priority="45">
      <formula>NOT(ISERROR(D73))</formula>
    </cfRule>
    <cfRule type="containsBlanks" dxfId="1812" priority="44">
      <formula>LEN(TRIM(D73))=0</formula>
    </cfRule>
  </conditionalFormatting>
  <conditionalFormatting sqref="D74">
    <cfRule type="cellIs" dxfId="1811" priority="48" operator="equal">
      <formula>"N/A"</formula>
    </cfRule>
    <cfRule type="cellIs" dxfId="1810" priority="51" operator="equal">
      <formula>"""CUMPLE"""</formula>
    </cfRule>
    <cfRule type="cellIs" dxfId="1809" priority="50" operator="equal">
      <formula>"NO CUMPLE"</formula>
    </cfRule>
    <cfRule type="cellIs" dxfId="1808" priority="49" operator="equal">
      <formula>"CUMPLE"</formula>
    </cfRule>
  </conditionalFormatting>
  <conditionalFormatting sqref="D25:J35">
    <cfRule type="containsBlanks" dxfId="1807" priority="21">
      <formula>LEN(TRIM(D25))=0</formula>
    </cfRule>
    <cfRule type="notContainsErrors" dxfId="1806" priority="22">
      <formula>NOT(ISERROR(D25))</formula>
    </cfRule>
  </conditionalFormatting>
  <conditionalFormatting sqref="D34:J34 D24:K24">
    <cfRule type="containsBlanks" dxfId="1805" priority="23">
      <formula>LEN(TRIM(D24))=0</formula>
    </cfRule>
  </conditionalFormatting>
  <conditionalFormatting sqref="D37:J37">
    <cfRule type="containsBlanks" dxfId="1804" priority="17">
      <formula>LEN(TRIM(D37))=0</formula>
    </cfRule>
    <cfRule type="notContainsErrors" dxfId="1803" priority="18">
      <formula>NOT(ISERROR(D37))</formula>
    </cfRule>
  </conditionalFormatting>
  <conditionalFormatting sqref="D40:J40">
    <cfRule type="containsBlanks" dxfId="1802" priority="15">
      <formula>LEN(TRIM(D40))=0</formula>
    </cfRule>
    <cfRule type="notContainsErrors" dxfId="1801" priority="16">
      <formula>NOT(ISERROR(D40))</formula>
    </cfRule>
  </conditionalFormatting>
  <conditionalFormatting sqref="D43:J43">
    <cfRule type="containsBlanks" dxfId="1800" priority="13">
      <formula>LEN(TRIM(D43))=0</formula>
    </cfRule>
    <cfRule type="notContainsErrors" dxfId="1799" priority="14">
      <formula>NOT(ISERROR(D43))</formula>
    </cfRule>
  </conditionalFormatting>
  <conditionalFormatting sqref="D47:J54">
    <cfRule type="cellIs" dxfId="1798" priority="9" operator="equal">
      <formula>"NO CUMPLE"</formula>
    </cfRule>
    <cfRule type="cellIs" dxfId="1797" priority="10" operator="equal">
      <formula>"CUMPLE"</formula>
    </cfRule>
    <cfRule type="containsBlanks" dxfId="1796" priority="11">
      <formula>LEN(TRIM(D47))=0</formula>
    </cfRule>
    <cfRule type="notContainsErrors" dxfId="1795" priority="12">
      <formula>NOT(ISERROR(D47))</formula>
    </cfRule>
  </conditionalFormatting>
  <conditionalFormatting sqref="D55:J55">
    <cfRule type="cellIs" dxfId="1794" priority="77" operator="equal">
      <formula>"""CUMPLE"""</formula>
    </cfRule>
    <cfRule type="cellIs" dxfId="1793" priority="76" operator="equal">
      <formula>"NO CUMPLE"</formula>
    </cfRule>
    <cfRule type="cellIs" dxfId="1792" priority="75" operator="equal">
      <formula>"CUMPLE"</formula>
    </cfRule>
    <cfRule type="cellIs" dxfId="1791" priority="74" operator="equal">
      <formula>"N/A"</formula>
    </cfRule>
  </conditionalFormatting>
  <conditionalFormatting sqref="D56:J60">
    <cfRule type="containsBlanks" dxfId="1790" priority="5">
      <formula>LEN(TRIM(D56))=0</formula>
    </cfRule>
    <cfRule type="notContainsErrors" dxfId="1789" priority="6">
      <formula>NOT(ISERROR(D56))</formula>
    </cfRule>
  </conditionalFormatting>
  <conditionalFormatting sqref="D56:J67">
    <cfRule type="cellIs" dxfId="1788" priority="2" operator="equal">
      <formula>"CUMPLE"</formula>
    </cfRule>
    <cfRule type="cellIs" dxfId="1787" priority="1" operator="equal">
      <formula>"NO CUMPLE"</formula>
    </cfRule>
  </conditionalFormatting>
  <conditionalFormatting sqref="D68:J68">
    <cfRule type="cellIs" dxfId="1786" priority="71" operator="equal">
      <formula>"CUMPLE"</formula>
    </cfRule>
    <cfRule type="cellIs" dxfId="1785" priority="73" operator="equal">
      <formula>"""CUMPLE"""</formula>
    </cfRule>
    <cfRule type="cellIs" dxfId="1784" priority="72" operator="equal">
      <formula>"NO CUMPLE"</formula>
    </cfRule>
    <cfRule type="cellIs" dxfId="1783" priority="70" operator="equal">
      <formula>"N/A"</formula>
    </cfRule>
  </conditionalFormatting>
  <conditionalFormatting sqref="D69:J69">
    <cfRule type="cellIs" dxfId="1782" priority="39" operator="equal">
      <formula>"CUMPLE"</formula>
    </cfRule>
    <cfRule type="cellIs" dxfId="1781" priority="38" operator="equal">
      <formula>"NO CUMPLE"</formula>
    </cfRule>
  </conditionalFormatting>
  <conditionalFormatting sqref="D24:K24 D34:J34">
    <cfRule type="notContainsErrors" dxfId="1780" priority="24">
      <formula>NOT(ISERROR(D24))</formula>
    </cfRule>
  </conditionalFormatting>
  <conditionalFormatting sqref="D61:K67">
    <cfRule type="notContainsErrors" dxfId="1779" priority="4">
      <formula>NOT(ISERROR(D61))</formula>
    </cfRule>
    <cfRule type="containsBlanks" dxfId="1778" priority="3">
      <formula>LEN(TRIM(D61))=0</formula>
    </cfRule>
  </conditionalFormatting>
  <conditionalFormatting sqref="D69:K69">
    <cfRule type="notContainsErrors" dxfId="1777" priority="41">
      <formula>NOT(ISERROR(D69))</formula>
    </cfRule>
    <cfRule type="containsBlanks" dxfId="1776" priority="40">
      <formula>LEN(TRIM(D69))=0</formula>
    </cfRule>
  </conditionalFormatting>
  <conditionalFormatting sqref="E73:E74">
    <cfRule type="notContainsErrors" dxfId="1775" priority="43">
      <formula>NOT(ISERROR(E73))</formula>
    </cfRule>
    <cfRule type="containsBlanks" dxfId="1774" priority="42">
      <formula>LEN(TRIM(E73))=0</formula>
    </cfRule>
  </conditionalFormatting>
  <conditionalFormatting sqref="F20:H20">
    <cfRule type="cellIs" dxfId="1773" priority="81" operator="equal">
      <formula>"CUMPLE"</formula>
    </cfRule>
    <cfRule type="cellIs" dxfId="1772" priority="82" operator="equal">
      <formula>"NO CUMPLE"</formula>
    </cfRule>
    <cfRule type="cellIs" dxfId="1771" priority="83" operator="equal">
      <formula>"""CUMPLE"""</formula>
    </cfRule>
  </conditionalFormatting>
  <conditionalFormatting sqref="I11">
    <cfRule type="containsText" dxfId="1770" priority="87" operator="containsText" text="NO CUMPLE">
      <formula>NOT(ISERROR(SEARCH("NO CUMPLE",I11)))</formula>
    </cfRule>
    <cfRule type="containsText" dxfId="1769" priority="84" operator="containsText" text="INHABILITADO">
      <formula>NOT(ISERROR(SEARCH("INHABILITADO",I11)))</formula>
    </cfRule>
    <cfRule type="containsText" dxfId="1768" priority="85" operator="containsText" text="HABILITADO">
      <formula>NOT(ISERROR(SEARCH("HABILITADO",I11)))</formula>
    </cfRule>
    <cfRule type="containsText" dxfId="1767" priority="86" operator="containsText" text="HABILITADO">
      <formula>NOT(ISERROR(SEARCH("HABILITADO",I11)))</formula>
    </cfRule>
  </conditionalFormatting>
  <conditionalFormatting sqref="J20">
    <cfRule type="cellIs" dxfId="1766" priority="62" operator="equal">
      <formula>"NO"</formula>
    </cfRule>
    <cfRule type="cellIs" dxfId="1765" priority="63" operator="equal">
      <formula>"SI"</formula>
    </cfRule>
  </conditionalFormatting>
  <conditionalFormatting sqref="K16">
    <cfRule type="cellIs" dxfId="1764" priority="37" operator="equal">
      <formula>"""CUMPLE"""</formula>
    </cfRule>
    <cfRule type="cellIs" dxfId="1763" priority="36" operator="equal">
      <formula>"NO CUMPLE"</formula>
    </cfRule>
    <cfRule type="cellIs" dxfId="1762" priority="35" operator="equal">
      <formula>"CUMPLE"</formula>
    </cfRule>
  </conditionalFormatting>
  <conditionalFormatting sqref="K25:K60">
    <cfRule type="containsBlanks" dxfId="1761" priority="7">
      <formula>LEN(TRIM(K25))=0</formula>
    </cfRule>
    <cfRule type="notContainsErrors" dxfId="1760" priority="8">
      <formula>NOT(ISERROR(K25))</formula>
    </cfRule>
  </conditionalFormatting>
  <conditionalFormatting sqref="K68:L68">
    <cfRule type="notContainsErrors" dxfId="1759" priority="69">
      <formula>NOT(ISERROR(K68))</formula>
    </cfRule>
    <cfRule type="containsBlanks" dxfId="1758" priority="68">
      <formula>LEN(TRIM(K68))=0</formula>
    </cfRule>
  </conditionalFormatting>
  <conditionalFormatting sqref="L14">
    <cfRule type="cellIs" dxfId="1757" priority="78" operator="equal">
      <formula>"CUMPLE"</formula>
    </cfRule>
    <cfRule type="cellIs" dxfId="1756" priority="79" operator="equal">
      <formula>"NO CUMPLE"</formula>
    </cfRule>
    <cfRule type="cellIs" dxfId="1755" priority="80" operator="equal">
      <formula>"""CUMPLE"""</formula>
    </cfRule>
  </conditionalFormatting>
  <conditionalFormatting sqref="L20">
    <cfRule type="cellIs" dxfId="1754" priority="60" operator="equal">
      <formula>"NO"</formula>
    </cfRule>
    <cfRule type="cellIs" dxfId="1753" priority="61" operator="equal">
      <formula>"SI"</formula>
    </cfRule>
  </conditionalFormatting>
  <dataValidations count="4">
    <dataValidation type="list" allowBlank="1" showInputMessage="1" showErrorMessage="1" sqref="D24:J26" xr:uid="{00CF514B-B92A-4217-BEEB-8A4B607669A6}">
      <formula1>$C$15:$C$19</formula1>
    </dataValidation>
    <dataValidation type="list" allowBlank="1" showInputMessage="1" showErrorMessage="1" sqref="L61:L69" xr:uid="{1997E111-4CFD-4A32-88F8-F1B59C3C6A1E}">
      <formula1>"0,1,2,3,4,5,6"</formula1>
    </dataValidation>
    <dataValidation type="list" allowBlank="1" showInputMessage="1" showErrorMessage="1" sqref="D73 J56:J60 F62:J67" xr:uid="{2A86676C-1081-4640-92EB-D09450475EA7}">
      <formula1>$A$50:$A$52</formula1>
    </dataValidation>
    <dataValidation type="list" allowBlank="1" showInputMessage="1" showErrorMessage="1" sqref="J48:J53" xr:uid="{B4AA3AAE-0DDE-4096-87DF-C2AA88578AC0}">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D5FB00BC-B3C3-46DA-B53C-A3DF5C3F42AB}">
          <x14:formula1>
            <xm:f>'DATOS INICIALES'!$D$22:$D$26</xm:f>
          </x14:formula1>
          <xm:sqref>M48:M55</xm:sqref>
        </x14:dataValidation>
        <x14:dataValidation type="list" allowBlank="1" showInputMessage="1" showErrorMessage="1" xr:uid="{E376A228-C076-47D3-A55E-ADC0217EFF2C}">
          <x14:formula1>
            <xm:f>'DATOS INICIALES'!$A$54:$A$59</xm:f>
          </x14:formula1>
          <xm:sqref>D23:I23</xm:sqref>
        </x14:dataValidation>
        <x14:dataValidation type="list" allowBlank="1" showInputMessage="1" showErrorMessage="1" xr:uid="{309B1053-B57E-4BD2-A9B4-D1D16EA2E53B}">
          <x14:formula1>
            <xm:f>'DATOS INICIALES'!$C$45:$C$46</xm:f>
          </x14:formula1>
          <xm:sqref>F48:I54 D52:E54</xm:sqref>
        </x14:dataValidation>
        <x14:dataValidation type="list" allowBlank="1" showInputMessage="1" showErrorMessage="1" xr:uid="{AD1E080F-966B-4934-8C70-EE8878685297}">
          <x14:formula1>
            <xm:f>'DATOS INICIALES'!$A$50:$A$51</xm:f>
          </x14:formula1>
          <xm:sqref>D69:J69 F47:J47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74"/>
  <sheetViews>
    <sheetView view="pageBreakPreview" zoomScale="40" zoomScaleNormal="55" zoomScaleSheetLayoutView="40" workbookViewId="0">
      <pane ySplit="11" topLeftCell="A71" activePane="bottomLeft" state="frozenSplit"/>
      <selection activeCell="C9" sqref="C9:I9"/>
      <selection pane="bottomLeft" activeCell="E28" sqref="E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8</v>
      </c>
      <c r="B11" s="2" t="s">
        <v>24</v>
      </c>
      <c r="C11" s="342" t="str">
        <f>VLOOKUP(A11,PROPONENTES!A10:B46,2,FALSE)</f>
        <v>CONSULTORES DONOVAN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1586.9499999999998</v>
      </c>
      <c r="L14" s="18" t="str">
        <f>IF(K14&gt;=J14,"CUMPLE","NO CUMPLE")</f>
        <v>CUMPLE</v>
      </c>
    </row>
    <row r="15" spans="1:12" ht="66.75" customHeight="1" x14ac:dyDescent="0.25">
      <c r="B15" s="314"/>
      <c r="C15" s="98" t="str">
        <f>IF(VLOOKUP(C11,PROPONENTES!B10:N46,2,FALSE)=0,"",VLOOKUP(C11,PROPONENTES!B10:N46,2,FALSE))</f>
        <v>CONSULTORES DONOVAN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1586.9499999999998</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1586.9499999999998</v>
      </c>
      <c r="J16" s="169">
        <f>+L8*0.7</f>
        <v>283.67201207692307</v>
      </c>
      <c r="K16" s="18" t="str">
        <f>IF(I16&gt;=J16,"CUMPLE","NO CUMPLE")</f>
        <v>CUMPLE</v>
      </c>
      <c r="L16" s="305">
        <f>AVERAGEIF(D68:J68,"CUMPLE",D46:J46)</f>
        <v>793.47499999999991</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1586.9499999999998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202</v>
      </c>
      <c r="E24" s="88" t="s">
        <v>202</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376</v>
      </c>
      <c r="E27" s="89" t="s">
        <v>377</v>
      </c>
      <c r="F27" s="89"/>
      <c r="G27" s="89"/>
      <c r="H27" s="89"/>
      <c r="I27" s="89"/>
      <c r="J27" s="89"/>
      <c r="K27" s="297"/>
      <c r="L27" s="298"/>
    </row>
    <row r="28" spans="2:14" ht="156.75" customHeight="1" x14ac:dyDescent="0.25">
      <c r="B28" s="319"/>
      <c r="C28" s="27" t="s">
        <v>36</v>
      </c>
      <c r="D28" s="89" t="s">
        <v>564</v>
      </c>
      <c r="E28" s="89" t="s">
        <v>565</v>
      </c>
      <c r="F28" s="89"/>
      <c r="G28" s="89"/>
      <c r="H28" s="89"/>
      <c r="I28" s="89"/>
      <c r="J28" s="89"/>
      <c r="K28" s="297"/>
      <c r="L28" s="298"/>
    </row>
    <row r="29" spans="2:14" ht="52.5" customHeight="1" x14ac:dyDescent="0.25">
      <c r="B29" s="319"/>
      <c r="C29" s="27" t="s">
        <v>165</v>
      </c>
      <c r="D29" s="93">
        <v>43724</v>
      </c>
      <c r="E29" s="93">
        <v>42300</v>
      </c>
      <c r="F29" s="93"/>
      <c r="G29" s="93"/>
      <c r="H29" s="93"/>
      <c r="I29" s="93"/>
      <c r="J29" s="93"/>
      <c r="K29" s="297"/>
      <c r="L29" s="298"/>
    </row>
    <row r="30" spans="2:14" ht="54.75" customHeight="1" x14ac:dyDescent="0.25">
      <c r="B30" s="319"/>
      <c r="C30" s="27" t="s">
        <v>40</v>
      </c>
      <c r="D30" s="93">
        <v>44255</v>
      </c>
      <c r="E30" s="93">
        <v>42916</v>
      </c>
      <c r="F30" s="93"/>
      <c r="G30" s="93"/>
      <c r="H30" s="93"/>
      <c r="I30" s="93"/>
      <c r="J30" s="93"/>
      <c r="K30" s="297"/>
      <c r="L30" s="298"/>
    </row>
    <row r="31" spans="2:14" ht="41.25" customHeight="1" x14ac:dyDescent="0.25">
      <c r="B31" s="319"/>
      <c r="C31" s="27" t="s">
        <v>37</v>
      </c>
      <c r="D31" s="90">
        <v>2021</v>
      </c>
      <c r="E31" s="90">
        <v>2017</v>
      </c>
      <c r="F31" s="90"/>
      <c r="G31" s="90"/>
      <c r="H31" s="90"/>
      <c r="I31" s="90"/>
      <c r="J31" s="90"/>
      <c r="K31" s="297"/>
      <c r="L31" s="298"/>
    </row>
    <row r="32" spans="2:14" ht="63" customHeight="1" x14ac:dyDescent="0.25">
      <c r="B32" s="319"/>
      <c r="C32" s="27" t="s">
        <v>38</v>
      </c>
      <c r="D32" s="89" t="s">
        <v>378</v>
      </c>
      <c r="E32" s="89" t="s">
        <v>379</v>
      </c>
      <c r="F32" s="89"/>
      <c r="G32" s="89"/>
      <c r="H32" s="89"/>
      <c r="I32" s="89"/>
      <c r="J32" s="89"/>
      <c r="K32" s="297"/>
      <c r="L32" s="298"/>
    </row>
    <row r="33" spans="2:12" ht="46.5" customHeight="1" x14ac:dyDescent="0.25">
      <c r="B33" s="319"/>
      <c r="C33" s="27" t="s">
        <v>39</v>
      </c>
      <c r="D33" s="89" t="s">
        <v>202</v>
      </c>
      <c r="E33" s="89" t="s">
        <v>202</v>
      </c>
      <c r="F33" s="89"/>
      <c r="G33" s="89"/>
      <c r="H33" s="89"/>
      <c r="I33" s="89"/>
      <c r="J33" s="89"/>
      <c r="K33" s="297"/>
      <c r="L33" s="298"/>
    </row>
    <row r="34" spans="2:12" ht="27.75" customHeight="1" x14ac:dyDescent="0.25">
      <c r="B34" s="319"/>
      <c r="C34" s="28" t="s">
        <v>33</v>
      </c>
      <c r="D34" s="94">
        <v>71</v>
      </c>
      <c r="E34" s="94">
        <v>37</v>
      </c>
      <c r="F34" s="94"/>
      <c r="G34" s="95"/>
      <c r="H34" s="95"/>
      <c r="I34" s="95"/>
      <c r="J34" s="95"/>
      <c r="K34" s="297"/>
      <c r="L34" s="298"/>
    </row>
    <row r="35" spans="2:12" ht="102.75" customHeight="1" x14ac:dyDescent="0.25">
      <c r="B35" s="319"/>
      <c r="C35" s="27" t="s">
        <v>124</v>
      </c>
      <c r="D35" s="91">
        <v>878.91</v>
      </c>
      <c r="E35" s="187">
        <v>708.04</v>
      </c>
      <c r="F35" s="91"/>
      <c r="G35" s="91"/>
      <c r="H35" s="91"/>
      <c r="I35" s="91"/>
      <c r="J35" s="91"/>
      <c r="K35" s="299"/>
      <c r="L35" s="300"/>
    </row>
    <row r="36" spans="2:12" ht="48" customHeight="1" x14ac:dyDescent="0.25">
      <c r="B36" s="319"/>
      <c r="C36" s="27" t="s">
        <v>72</v>
      </c>
      <c r="D36" s="103">
        <f>IFERROR(D35*VLOOKUP(D31,'DATOS INICIALES'!$A$12:$B$43,2,0),"0")</f>
        <v>798512586.65999997</v>
      </c>
      <c r="E36" s="103">
        <f>IFERROR(E35*VLOOKUP(E31,'DATOS INICIALES'!$A$12:$B$43,2,0),"0")</f>
        <v>522333144.67999995</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c r="G37" s="92"/>
      <c r="H37" s="92"/>
      <c r="I37" s="92"/>
      <c r="J37" s="92"/>
      <c r="K37" s="297"/>
      <c r="L37" s="298"/>
    </row>
    <row r="38" spans="2:12" ht="48.75" customHeight="1" x14ac:dyDescent="0.25">
      <c r="B38" s="319"/>
      <c r="C38" s="27" t="s">
        <v>131</v>
      </c>
      <c r="D38" s="103">
        <f t="shared" ref="D38:J38" si="0">IF(D24="","0",D37*D36)</f>
        <v>798512586.65999997</v>
      </c>
      <c r="E38" s="103">
        <f t="shared" si="0"/>
        <v>522333144.67999995</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878.91</v>
      </c>
      <c r="E39" s="104">
        <f t="shared" si="1"/>
        <v>708.04</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v>
      </c>
      <c r="E40" s="92">
        <v>0</v>
      </c>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878.91</v>
      </c>
      <c r="E46" s="104">
        <f t="shared" ref="E46:G46" si="6">+E39+E42+E45</f>
        <v>708.04</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75</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73</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c r="G56" s="88"/>
      <c r="H56" s="88"/>
      <c r="I56" s="88"/>
      <c r="J56" s="88"/>
      <c r="K56" s="299" t="s">
        <v>380</v>
      </c>
      <c r="L56" s="390"/>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ellIs" dxfId="1752" priority="45" operator="equal">
      <formula>"CUMPLE"</formula>
    </cfRule>
    <cfRule type="cellIs" dxfId="1751" priority="44" operator="equal">
      <formula>"NO CUMPLE"</formula>
    </cfRule>
    <cfRule type="notContainsErrors" dxfId="1750" priority="43">
      <formula>NOT(ISERROR(D73))</formula>
    </cfRule>
    <cfRule type="containsBlanks" dxfId="1749" priority="42">
      <formula>LEN(TRIM(D73))=0</formula>
    </cfRule>
  </conditionalFormatting>
  <conditionalFormatting sqref="D74">
    <cfRule type="cellIs" dxfId="1748" priority="46" operator="equal">
      <formula>"N/A"</formula>
    </cfRule>
    <cfRule type="cellIs" dxfId="1747" priority="49" operator="equal">
      <formula>"""CUMPLE"""</formula>
    </cfRule>
    <cfRule type="cellIs" dxfId="1746" priority="48" operator="equal">
      <formula>"NO CUMPLE"</formula>
    </cfRule>
    <cfRule type="cellIs" dxfId="1745" priority="47" operator="equal">
      <formula>"CUMPLE"</formula>
    </cfRule>
  </conditionalFormatting>
  <conditionalFormatting sqref="D25:J35">
    <cfRule type="containsBlanks" dxfId="1744" priority="19">
      <formula>LEN(TRIM(D25))=0</formula>
    </cfRule>
    <cfRule type="notContainsErrors" dxfId="1743" priority="20">
      <formula>NOT(ISERROR(D25))</formula>
    </cfRule>
  </conditionalFormatting>
  <conditionalFormatting sqref="D34:J34 D24:K24">
    <cfRule type="containsBlanks" dxfId="1742" priority="21">
      <formula>LEN(TRIM(D24))=0</formula>
    </cfRule>
  </conditionalFormatting>
  <conditionalFormatting sqref="D37:J37">
    <cfRule type="containsBlanks" dxfId="1741" priority="17">
      <formula>LEN(TRIM(D37))=0</formula>
    </cfRule>
    <cfRule type="notContainsErrors" dxfId="1740" priority="18">
      <formula>NOT(ISERROR(D37))</formula>
    </cfRule>
  </conditionalFormatting>
  <conditionalFormatting sqref="D40:J40">
    <cfRule type="containsBlanks" dxfId="1739" priority="15">
      <formula>LEN(TRIM(D40))=0</formula>
    </cfRule>
    <cfRule type="notContainsErrors" dxfId="1738" priority="16">
      <formula>NOT(ISERROR(D40))</formula>
    </cfRule>
  </conditionalFormatting>
  <conditionalFormatting sqref="D43:J43">
    <cfRule type="containsBlanks" dxfId="1737" priority="13">
      <formula>LEN(TRIM(D43))=0</formula>
    </cfRule>
    <cfRule type="notContainsErrors" dxfId="1736" priority="14">
      <formula>NOT(ISERROR(D43))</formula>
    </cfRule>
  </conditionalFormatting>
  <conditionalFormatting sqref="D47:J54">
    <cfRule type="cellIs" dxfId="1735" priority="9" operator="equal">
      <formula>"NO CUMPLE"</formula>
    </cfRule>
    <cfRule type="cellIs" dxfId="1734" priority="10" operator="equal">
      <formula>"CUMPLE"</formula>
    </cfRule>
    <cfRule type="containsBlanks" dxfId="1733" priority="11">
      <formula>LEN(TRIM(D47))=0</formula>
    </cfRule>
    <cfRule type="notContainsErrors" dxfId="1732" priority="12">
      <formula>NOT(ISERROR(D47))</formula>
    </cfRule>
  </conditionalFormatting>
  <conditionalFormatting sqref="D55:J55">
    <cfRule type="cellIs" dxfId="1731" priority="75" operator="equal">
      <formula>"""CUMPLE"""</formula>
    </cfRule>
    <cfRule type="cellIs" dxfId="1730" priority="74" operator="equal">
      <formula>"NO CUMPLE"</formula>
    </cfRule>
    <cfRule type="cellIs" dxfId="1729" priority="73" operator="equal">
      <formula>"CUMPLE"</formula>
    </cfRule>
    <cfRule type="cellIs" dxfId="1728" priority="72" operator="equal">
      <formula>"N/A"</formula>
    </cfRule>
  </conditionalFormatting>
  <conditionalFormatting sqref="D56:J60">
    <cfRule type="containsBlanks" dxfId="1727" priority="5">
      <formula>LEN(TRIM(D56))=0</formula>
    </cfRule>
    <cfRule type="notContainsErrors" dxfId="1726" priority="6">
      <formula>NOT(ISERROR(D56))</formula>
    </cfRule>
  </conditionalFormatting>
  <conditionalFormatting sqref="D56:J67">
    <cfRule type="cellIs" dxfId="1725" priority="2" operator="equal">
      <formula>"CUMPLE"</formula>
    </cfRule>
    <cfRule type="cellIs" dxfId="1724" priority="1" operator="equal">
      <formula>"NO CUMPLE"</formula>
    </cfRule>
  </conditionalFormatting>
  <conditionalFormatting sqref="D68:J68">
    <cfRule type="cellIs" dxfId="1723" priority="69" operator="equal">
      <formula>"CUMPLE"</formula>
    </cfRule>
    <cfRule type="cellIs" dxfId="1722" priority="71" operator="equal">
      <formula>"""CUMPLE"""</formula>
    </cfRule>
    <cfRule type="cellIs" dxfId="1721" priority="70" operator="equal">
      <formula>"NO CUMPLE"</formula>
    </cfRule>
    <cfRule type="cellIs" dxfId="1720" priority="68" operator="equal">
      <formula>"N/A"</formula>
    </cfRule>
  </conditionalFormatting>
  <conditionalFormatting sqref="D69:J69">
    <cfRule type="cellIs" dxfId="1719" priority="37" operator="equal">
      <formula>"CUMPLE"</formula>
    </cfRule>
    <cfRule type="cellIs" dxfId="1718" priority="36" operator="equal">
      <formula>"NO CUMPLE"</formula>
    </cfRule>
  </conditionalFormatting>
  <conditionalFormatting sqref="D24:K24 D34:J34">
    <cfRule type="notContainsErrors" dxfId="1717" priority="22">
      <formula>NOT(ISERROR(D24))</formula>
    </cfRule>
  </conditionalFormatting>
  <conditionalFormatting sqref="D61:K67">
    <cfRule type="notContainsErrors" dxfId="1716" priority="4">
      <formula>NOT(ISERROR(D61))</formula>
    </cfRule>
    <cfRule type="containsBlanks" dxfId="1715" priority="3">
      <formula>LEN(TRIM(D61))=0</formula>
    </cfRule>
  </conditionalFormatting>
  <conditionalFormatting sqref="D69:K69">
    <cfRule type="notContainsErrors" dxfId="1714" priority="39">
      <formula>NOT(ISERROR(D69))</formula>
    </cfRule>
    <cfRule type="containsBlanks" dxfId="1713" priority="38">
      <formula>LEN(TRIM(D69))=0</formula>
    </cfRule>
  </conditionalFormatting>
  <conditionalFormatting sqref="E73:E74">
    <cfRule type="notContainsErrors" dxfId="1712" priority="41">
      <formula>NOT(ISERROR(E73))</formula>
    </cfRule>
    <cfRule type="containsBlanks" dxfId="1711" priority="40">
      <formula>LEN(TRIM(E73))=0</formula>
    </cfRule>
  </conditionalFormatting>
  <conditionalFormatting sqref="F20:H20">
    <cfRule type="cellIs" dxfId="1710" priority="79" operator="equal">
      <formula>"CUMPLE"</formula>
    </cfRule>
    <cfRule type="cellIs" dxfId="1709" priority="80" operator="equal">
      <formula>"NO CUMPLE"</formula>
    </cfRule>
    <cfRule type="cellIs" dxfId="1708" priority="81" operator="equal">
      <formula>"""CUMPLE"""</formula>
    </cfRule>
  </conditionalFormatting>
  <conditionalFormatting sqref="I11">
    <cfRule type="containsText" dxfId="1707" priority="85" operator="containsText" text="NO CUMPLE">
      <formula>NOT(ISERROR(SEARCH("NO CUMPLE",I11)))</formula>
    </cfRule>
    <cfRule type="containsText" dxfId="1706" priority="82" operator="containsText" text="INHABILITADO">
      <formula>NOT(ISERROR(SEARCH("INHABILITADO",I11)))</formula>
    </cfRule>
    <cfRule type="containsText" dxfId="1705" priority="83" operator="containsText" text="HABILITADO">
      <formula>NOT(ISERROR(SEARCH("HABILITADO",I11)))</formula>
    </cfRule>
    <cfRule type="containsText" dxfId="1704" priority="84" operator="containsText" text="HABILITADO">
      <formula>NOT(ISERROR(SEARCH("HABILITADO",I11)))</formula>
    </cfRule>
  </conditionalFormatting>
  <conditionalFormatting sqref="J20">
    <cfRule type="cellIs" dxfId="1703" priority="60" operator="equal">
      <formula>"NO"</formula>
    </cfRule>
    <cfRule type="cellIs" dxfId="1702" priority="61" operator="equal">
      <formula>"SI"</formula>
    </cfRule>
  </conditionalFormatting>
  <conditionalFormatting sqref="K16">
    <cfRule type="cellIs" dxfId="1701" priority="35" operator="equal">
      <formula>"""CUMPLE"""</formula>
    </cfRule>
    <cfRule type="cellIs" dxfId="1700" priority="34" operator="equal">
      <formula>"NO CUMPLE"</formula>
    </cfRule>
    <cfRule type="cellIs" dxfId="1699" priority="33" operator="equal">
      <formula>"CUMPLE"</formula>
    </cfRule>
  </conditionalFormatting>
  <conditionalFormatting sqref="K25:K60">
    <cfRule type="containsBlanks" dxfId="1698" priority="7">
      <formula>LEN(TRIM(K25))=0</formula>
    </cfRule>
    <cfRule type="notContainsErrors" dxfId="1697" priority="8">
      <formula>NOT(ISERROR(K25))</formula>
    </cfRule>
  </conditionalFormatting>
  <conditionalFormatting sqref="K68:L68">
    <cfRule type="notContainsErrors" dxfId="1696" priority="67">
      <formula>NOT(ISERROR(K68))</formula>
    </cfRule>
    <cfRule type="containsBlanks" dxfId="1695" priority="66">
      <formula>LEN(TRIM(K68))=0</formula>
    </cfRule>
  </conditionalFormatting>
  <conditionalFormatting sqref="L14">
    <cfRule type="cellIs" dxfId="1694" priority="76" operator="equal">
      <formula>"CUMPLE"</formula>
    </cfRule>
    <cfRule type="cellIs" dxfId="1693" priority="77" operator="equal">
      <formula>"NO CUMPLE"</formula>
    </cfRule>
    <cfRule type="cellIs" dxfId="1692" priority="78" operator="equal">
      <formula>"""CUMPLE"""</formula>
    </cfRule>
  </conditionalFormatting>
  <conditionalFormatting sqref="L20">
    <cfRule type="cellIs" dxfId="1691" priority="58" operator="equal">
      <formula>"NO"</formula>
    </cfRule>
    <cfRule type="cellIs" dxfId="1690" priority="59" operator="equal">
      <formula>"SI"</formula>
    </cfRule>
  </conditionalFormatting>
  <dataValidations count="4">
    <dataValidation type="list" allowBlank="1" showInputMessage="1" showErrorMessage="1" sqref="J48:J53" xr:uid="{ABCF53D4-9434-4291-808B-20F3596F38B2}">
      <formula1>$C$45:$C$46</formula1>
    </dataValidation>
    <dataValidation type="list" allowBlank="1" showInputMessage="1" showErrorMessage="1" sqref="D73 J56:J60 F62:J67" xr:uid="{F99DA41F-74C0-4153-944B-1C6F004FA0E9}">
      <formula1>$A$50:$A$52</formula1>
    </dataValidation>
    <dataValidation type="list" allowBlank="1" showInputMessage="1" showErrorMessage="1" sqref="L61:L69" xr:uid="{08B420FE-825A-41BE-9A64-CE0A499E9872}">
      <formula1>"0,1,2,3,4,5,6"</formula1>
    </dataValidation>
    <dataValidation type="list" allowBlank="1" showInputMessage="1" showErrorMessage="1" sqref="D24:J26" xr:uid="{27049A65-1F3E-4E71-8473-CDDDC8415D94}">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2FD27AE0-F6DD-4324-B694-EFDB831C686E}">
          <x14:formula1>
            <xm:f>'DATOS INICIALES'!$C$45:$C$46</xm:f>
          </x14:formula1>
          <xm:sqref>F48:I54 D52:E54</xm:sqref>
        </x14:dataValidation>
        <x14:dataValidation type="list" allowBlank="1" showInputMessage="1" showErrorMessage="1" xr:uid="{E929C155-08EA-4F30-ACD0-E2879D616FC5}">
          <x14:formula1>
            <xm:f>'DATOS INICIALES'!$A$54:$A$59</xm:f>
          </x14:formula1>
          <xm:sqref>D23:I23</xm:sqref>
        </x14:dataValidation>
        <x14:dataValidation type="list" allowBlank="1" showInputMessage="1" showErrorMessage="1" xr:uid="{3F684D70-4A20-4069-89FB-A0ACFA771A6E}">
          <x14:formula1>
            <xm:f>'DATOS INICIALES'!$D$22:$D$26</xm:f>
          </x14:formula1>
          <xm:sqref>M48:M55</xm:sqref>
        </x14:dataValidation>
        <x14:dataValidation type="list" allowBlank="1" showInputMessage="1" showErrorMessage="1" xr:uid="{B39BDAED-3EA1-43A5-9247-5CD5F0A74EEF}">
          <x14:formula1>
            <xm:f>'DATOS INICIALES'!$A$13:$A$43</xm:f>
          </x14:formula1>
          <xm:sqref>F31:I31</xm:sqref>
        </x14:dataValidation>
        <x14:dataValidation type="list" allowBlank="1" showInputMessage="1" showErrorMessage="1" xr:uid="{ED0A8163-756F-477D-BA1F-4AA2C78789AC}">
          <x14:formula1>
            <xm:f>'DATOS INICIALES'!$A$50:$A$51</xm:f>
          </x14:formula1>
          <xm:sqref>D69:J69 F47:J47</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74"/>
  <sheetViews>
    <sheetView view="pageBreakPreview" zoomScale="40" zoomScaleNormal="55" zoomScaleSheetLayoutView="40" workbookViewId="0">
      <pane ySplit="11" topLeftCell="A50" activePane="bottomLeft" state="frozenSplit"/>
      <selection activeCell="C9" sqref="C9:I9"/>
      <selection pane="bottomLeft" activeCell="K56" sqref="K56:L56"/>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9</v>
      </c>
      <c r="B11" s="2" t="s">
        <v>24</v>
      </c>
      <c r="C11" s="342" t="str">
        <f>VLOOKUP(A11,PROPONENTES!A10:B46,2,FALSE)</f>
        <v>JESAK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2473.8900000000003</v>
      </c>
      <c r="L14" s="18" t="str">
        <f>IF(K14&gt;=J14,"CUMPLE","NO CUMPLE")</f>
        <v>CUMPLE</v>
      </c>
    </row>
    <row r="15" spans="1:12" ht="66.75" customHeight="1" x14ac:dyDescent="0.25">
      <c r="B15" s="314"/>
      <c r="C15" s="98" t="str">
        <f>IF(VLOOKUP(C11,PROPONENTES!B10:N46,2,FALSE)=0,"",VLOOKUP(C11,PROPONENTES!B10:N46,2,FALSE))</f>
        <v>JESAK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2473.8900000000003</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2473.8900000000003</v>
      </c>
      <c r="J16" s="169">
        <f>+L8*0.7</f>
        <v>283.67201207692307</v>
      </c>
      <c r="K16" s="18" t="str">
        <f>IF(I16&gt;=J16,"CUMPLE","NO CUMPLE")</f>
        <v>CUMPLE</v>
      </c>
      <c r="L16" s="305">
        <f>AVERAGEIF(D68:J68,"CUMPLE",D46:J46)</f>
        <v>1236.9450000000002</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2473.8900000000003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233</v>
      </c>
      <c r="E24" s="88" t="s">
        <v>233</v>
      </c>
      <c r="F24" s="88" t="s">
        <v>233</v>
      </c>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381</v>
      </c>
      <c r="E27" s="89" t="s">
        <v>382</v>
      </c>
      <c r="F27" s="89" t="s">
        <v>383</v>
      </c>
      <c r="G27" s="89"/>
      <c r="H27" s="89"/>
      <c r="I27" s="89"/>
      <c r="J27" s="89"/>
      <c r="K27" s="297"/>
      <c r="L27" s="298"/>
    </row>
    <row r="28" spans="2:14" ht="156.75" customHeight="1" x14ac:dyDescent="0.25">
      <c r="B28" s="319"/>
      <c r="C28" s="27" t="s">
        <v>36</v>
      </c>
      <c r="D28" s="89" t="s">
        <v>566</v>
      </c>
      <c r="E28" s="89" t="s">
        <v>567</v>
      </c>
      <c r="F28" s="89" t="s">
        <v>568</v>
      </c>
      <c r="G28" s="89"/>
      <c r="H28" s="89"/>
      <c r="I28" s="89"/>
      <c r="J28" s="89"/>
      <c r="K28" s="299"/>
      <c r="L28" s="300"/>
    </row>
    <row r="29" spans="2:14" ht="52.5" customHeight="1" x14ac:dyDescent="0.25">
      <c r="B29" s="319"/>
      <c r="C29" s="27" t="s">
        <v>165</v>
      </c>
      <c r="D29" s="93" t="s">
        <v>384</v>
      </c>
      <c r="E29" s="93">
        <v>43046</v>
      </c>
      <c r="F29" s="93">
        <v>40963</v>
      </c>
      <c r="G29" s="93"/>
      <c r="H29" s="93"/>
      <c r="I29" s="93"/>
      <c r="J29" s="93"/>
      <c r="K29" s="297"/>
      <c r="L29" s="298"/>
    </row>
    <row r="30" spans="2:14" ht="54.75" customHeight="1" x14ac:dyDescent="0.25">
      <c r="B30" s="319"/>
      <c r="C30" s="27" t="s">
        <v>40</v>
      </c>
      <c r="D30" s="93">
        <v>41793</v>
      </c>
      <c r="E30" s="93">
        <v>43287</v>
      </c>
      <c r="F30" s="93">
        <v>41330</v>
      </c>
      <c r="G30" s="93"/>
      <c r="H30" s="93"/>
      <c r="I30" s="93"/>
      <c r="J30" s="93"/>
      <c r="K30" s="297"/>
      <c r="L30" s="298"/>
    </row>
    <row r="31" spans="2:14" ht="41.25" customHeight="1" x14ac:dyDescent="0.25">
      <c r="B31" s="319"/>
      <c r="C31" s="27" t="s">
        <v>37</v>
      </c>
      <c r="D31" s="90">
        <v>2014</v>
      </c>
      <c r="E31" s="90">
        <v>2018</v>
      </c>
      <c r="F31" s="90">
        <v>2013</v>
      </c>
      <c r="G31" s="90"/>
      <c r="H31" s="90"/>
      <c r="I31" s="90"/>
      <c r="J31" s="90"/>
      <c r="K31" s="297"/>
      <c r="L31" s="298"/>
    </row>
    <row r="32" spans="2:14" ht="63" customHeight="1" x14ac:dyDescent="0.25">
      <c r="B32" s="319"/>
      <c r="C32" s="27" t="s">
        <v>38</v>
      </c>
      <c r="D32" s="89" t="s">
        <v>334</v>
      </c>
      <c r="E32" s="89" t="s">
        <v>325</v>
      </c>
      <c r="F32" s="89" t="s">
        <v>385</v>
      </c>
      <c r="G32" s="89"/>
      <c r="H32" s="89"/>
      <c r="I32" s="89"/>
      <c r="J32" s="89"/>
      <c r="K32" s="297"/>
      <c r="L32" s="298"/>
    </row>
    <row r="33" spans="2:12" ht="46.5" customHeight="1" x14ac:dyDescent="0.25">
      <c r="B33" s="319"/>
      <c r="C33" s="27" t="s">
        <v>39</v>
      </c>
      <c r="D33" s="89" t="s">
        <v>386</v>
      </c>
      <c r="E33" s="89" t="s">
        <v>386</v>
      </c>
      <c r="F33" s="89" t="s">
        <v>387</v>
      </c>
      <c r="G33" s="89"/>
      <c r="H33" s="89"/>
      <c r="I33" s="89"/>
      <c r="J33" s="89"/>
      <c r="K33" s="297"/>
      <c r="L33" s="298"/>
    </row>
    <row r="34" spans="2:12" ht="27.75" customHeight="1" x14ac:dyDescent="0.25">
      <c r="B34" s="319"/>
      <c r="C34" s="28" t="s">
        <v>33</v>
      </c>
      <c r="D34" s="94">
        <v>16</v>
      </c>
      <c r="E34" s="94">
        <v>32</v>
      </c>
      <c r="F34" s="94">
        <v>4</v>
      </c>
      <c r="G34" s="95"/>
      <c r="H34" s="95"/>
      <c r="I34" s="95"/>
      <c r="J34" s="95"/>
      <c r="K34" s="297"/>
      <c r="L34" s="298"/>
    </row>
    <row r="35" spans="2:12" ht="102.75" customHeight="1" x14ac:dyDescent="0.25">
      <c r="B35" s="319"/>
      <c r="C35" s="27" t="s">
        <v>124</v>
      </c>
      <c r="D35" s="91">
        <v>1417.88</v>
      </c>
      <c r="E35" s="187">
        <v>1056.01</v>
      </c>
      <c r="F35" s="91">
        <v>500.32</v>
      </c>
      <c r="G35" s="91"/>
      <c r="H35" s="91"/>
      <c r="I35" s="91"/>
      <c r="J35" s="91"/>
      <c r="K35" s="299"/>
      <c r="L35" s="300"/>
    </row>
    <row r="36" spans="2:12" ht="48" customHeight="1" x14ac:dyDescent="0.25">
      <c r="B36" s="319"/>
      <c r="C36" s="27" t="s">
        <v>72</v>
      </c>
      <c r="D36" s="103">
        <f>IFERROR(D35*VLOOKUP(D31,'DATOS INICIALES'!$A$12:$B$43,2,0),"0")</f>
        <v>873414080.00000012</v>
      </c>
      <c r="E36" s="103">
        <f>IFERROR(E35*VLOOKUP(E31,'DATOS INICIALES'!$A$12:$B$43,2,0),"0")</f>
        <v>824999364.41999996</v>
      </c>
      <c r="F36" s="103">
        <f>IFERROR(F35*VLOOKUP(F31,'DATOS INICIALES'!$A$12:$B$43,2,0),"0")</f>
        <v>294938640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v>0.4</v>
      </c>
      <c r="G37" s="92"/>
      <c r="H37" s="92"/>
      <c r="I37" s="92"/>
      <c r="J37" s="92"/>
      <c r="K37" s="297"/>
      <c r="L37" s="298"/>
    </row>
    <row r="38" spans="2:12" ht="48.75" customHeight="1" x14ac:dyDescent="0.25">
      <c r="B38" s="319"/>
      <c r="C38" s="27" t="s">
        <v>131</v>
      </c>
      <c r="D38" s="103">
        <f t="shared" ref="D38:J38" si="0">IF(D24="","0",D37*D36)</f>
        <v>873414080.00000012</v>
      </c>
      <c r="E38" s="103">
        <f t="shared" si="0"/>
        <v>824999364.41999996</v>
      </c>
      <c r="F38" s="103">
        <f t="shared" si="0"/>
        <v>117975456</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1417.88</v>
      </c>
      <c r="E39" s="104">
        <f t="shared" si="1"/>
        <v>1056.01</v>
      </c>
      <c r="F39" s="104">
        <f t="shared" si="1"/>
        <v>200.12800000000001</v>
      </c>
      <c r="G39" s="104">
        <f t="shared" si="1"/>
        <v>0</v>
      </c>
      <c r="H39" s="104">
        <f t="shared" si="1"/>
        <v>0</v>
      </c>
      <c r="I39" s="104">
        <f t="shared" si="1"/>
        <v>0</v>
      </c>
      <c r="J39" s="104">
        <f t="shared" si="1"/>
        <v>0</v>
      </c>
      <c r="K39" s="297"/>
      <c r="L39" s="298"/>
    </row>
    <row r="40" spans="2:12" ht="65.25" customHeight="1" x14ac:dyDescent="0.25">
      <c r="B40" s="319"/>
      <c r="C40" s="27" t="s">
        <v>127</v>
      </c>
      <c r="D40" s="92">
        <v>0</v>
      </c>
      <c r="E40" s="92">
        <v>0</v>
      </c>
      <c r="F40" s="92">
        <v>0</v>
      </c>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v>0</v>
      </c>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1417.88</v>
      </c>
      <c r="E46" s="104">
        <f t="shared" ref="E46:G46" si="6">+E39+E42+E45</f>
        <v>1056.01</v>
      </c>
      <c r="F46" s="104">
        <f t="shared" si="6"/>
        <v>200.12800000000001</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c r="H47" s="88"/>
      <c r="I47" s="88"/>
      <c r="J47" s="88"/>
      <c r="K47" s="297"/>
      <c r="L47" s="298"/>
    </row>
    <row r="48" spans="2:12" ht="24.75" customHeight="1" x14ac:dyDescent="0.25">
      <c r="B48" s="315" t="s">
        <v>34</v>
      </c>
      <c r="C48" s="29">
        <f>+'DATOS INICIALES'!D22</f>
        <v>81141500</v>
      </c>
      <c r="D48" s="94" t="s">
        <v>75</v>
      </c>
      <c r="E48" s="94" t="s">
        <v>73</v>
      </c>
      <c r="F48" s="94" t="s">
        <v>75</v>
      </c>
      <c r="G48" s="94"/>
      <c r="H48" s="94"/>
      <c r="I48" s="94"/>
      <c r="J48" s="95"/>
      <c r="K48" s="297"/>
      <c r="L48" s="298"/>
    </row>
    <row r="49" spans="2:12" ht="24.75" customHeight="1" x14ac:dyDescent="0.25">
      <c r="B49" s="316"/>
      <c r="C49" s="29">
        <f>+'DATOS INICIALES'!D23</f>
        <v>80101500</v>
      </c>
      <c r="D49" s="94" t="s">
        <v>73</v>
      </c>
      <c r="E49" s="94" t="s">
        <v>73</v>
      </c>
      <c r="F49" s="94" t="s">
        <v>73</v>
      </c>
      <c r="G49" s="94"/>
      <c r="H49" s="94"/>
      <c r="I49" s="94"/>
      <c r="J49" s="95"/>
      <c r="K49" s="297"/>
      <c r="L49" s="298"/>
    </row>
    <row r="50" spans="2:12" ht="24.75" customHeight="1" x14ac:dyDescent="0.25">
      <c r="B50" s="316"/>
      <c r="C50" s="29">
        <f>+'DATOS INICIALES'!D24</f>
        <v>80101600</v>
      </c>
      <c r="D50" s="94" t="s">
        <v>75</v>
      </c>
      <c r="E50" s="94" t="s">
        <v>75</v>
      </c>
      <c r="F50" s="94" t="s">
        <v>75</v>
      </c>
      <c r="G50" s="94"/>
      <c r="H50" s="94"/>
      <c r="I50" s="94"/>
      <c r="J50" s="95"/>
      <c r="K50" s="297"/>
      <c r="L50" s="298"/>
    </row>
    <row r="51" spans="2:12" ht="24.75" customHeight="1" x14ac:dyDescent="0.25">
      <c r="B51" s="316"/>
      <c r="C51" s="29">
        <f>+'DATOS INICIALES'!D25</f>
        <v>81101500</v>
      </c>
      <c r="D51" s="94" t="s">
        <v>75</v>
      </c>
      <c r="E51" s="94" t="s">
        <v>75</v>
      </c>
      <c r="F51" s="94" t="s">
        <v>75</v>
      </c>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15</v>
      </c>
      <c r="G56" s="88"/>
      <c r="H56" s="88"/>
      <c r="I56" s="88"/>
      <c r="J56" s="88"/>
      <c r="K56" s="282" t="s">
        <v>563</v>
      </c>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c r="H61" s="88"/>
      <c r="I61" s="88"/>
      <c r="J61" s="88"/>
      <c r="K61" s="297"/>
      <c r="L61" s="298"/>
    </row>
    <row r="62" spans="2:12" ht="45" customHeight="1" x14ac:dyDescent="0.25">
      <c r="B62" s="290" t="s">
        <v>207</v>
      </c>
      <c r="C62" s="291"/>
      <c r="D62" s="88" t="s">
        <v>14</v>
      </c>
      <c r="E62" s="88" t="s">
        <v>14</v>
      </c>
      <c r="F62" s="88" t="s">
        <v>14</v>
      </c>
      <c r="G62" s="88"/>
      <c r="H62" s="88"/>
      <c r="I62" s="88"/>
      <c r="J62" s="88"/>
      <c r="K62" s="297"/>
      <c r="L62" s="298"/>
    </row>
    <row r="63" spans="2:12" ht="181.5" customHeight="1" x14ac:dyDescent="0.25">
      <c r="B63" s="290" t="s">
        <v>218</v>
      </c>
      <c r="C63" s="291"/>
      <c r="D63" s="88" t="s">
        <v>13</v>
      </c>
      <c r="E63" s="88" t="s">
        <v>13</v>
      </c>
      <c r="F63" s="88" t="s">
        <v>13</v>
      </c>
      <c r="G63" s="88"/>
      <c r="H63" s="88"/>
      <c r="I63" s="88"/>
      <c r="J63" s="88"/>
      <c r="K63" s="297"/>
      <c r="L63" s="298"/>
    </row>
    <row r="64" spans="2:12" ht="336" customHeight="1" x14ac:dyDescent="0.25">
      <c r="B64" s="242" t="s">
        <v>220</v>
      </c>
      <c r="C64" s="242"/>
      <c r="D64" s="88" t="s">
        <v>14</v>
      </c>
      <c r="E64" s="88" t="s">
        <v>14</v>
      </c>
      <c r="F64" s="88" t="s">
        <v>14</v>
      </c>
      <c r="G64" s="88"/>
      <c r="H64" s="88"/>
      <c r="I64" s="88"/>
      <c r="J64" s="88"/>
      <c r="K64" s="299"/>
      <c r="L64" s="300"/>
    </row>
    <row r="65" spans="2:12" ht="143.25" customHeight="1" x14ac:dyDescent="0.25">
      <c r="B65" s="293" t="s">
        <v>221</v>
      </c>
      <c r="C65" s="294"/>
      <c r="D65" s="88" t="s">
        <v>13</v>
      </c>
      <c r="E65" s="88" t="s">
        <v>13</v>
      </c>
      <c r="F65" s="88" t="s">
        <v>13</v>
      </c>
      <c r="G65" s="88"/>
      <c r="H65" s="88"/>
      <c r="I65" s="88"/>
      <c r="J65" s="88"/>
      <c r="K65" s="297"/>
      <c r="L65" s="298"/>
    </row>
    <row r="66" spans="2:12" ht="408.75" customHeight="1" x14ac:dyDescent="0.25">
      <c r="B66" s="292" t="s">
        <v>208</v>
      </c>
      <c r="C66" s="292"/>
      <c r="D66" s="88" t="s">
        <v>13</v>
      </c>
      <c r="E66" s="88" t="s">
        <v>13</v>
      </c>
      <c r="F66" s="88" t="s">
        <v>13</v>
      </c>
      <c r="G66" s="88"/>
      <c r="H66" s="88"/>
      <c r="I66" s="88"/>
      <c r="J66" s="88"/>
      <c r="K66" s="297"/>
      <c r="L66" s="298"/>
    </row>
    <row r="67" spans="2:12" ht="312.75" customHeight="1" x14ac:dyDescent="0.25">
      <c r="B67" s="242" t="s">
        <v>209</v>
      </c>
      <c r="C67" s="242"/>
      <c r="D67" s="88" t="s">
        <v>14</v>
      </c>
      <c r="E67" s="88" t="s">
        <v>14</v>
      </c>
      <c r="F67" s="88" t="s">
        <v>14</v>
      </c>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NO CUMPLE</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1689" priority="52">
      <formula>LEN(TRIM(D73))=0</formula>
    </cfRule>
    <cfRule type="notContainsErrors" dxfId="1688" priority="53">
      <formula>NOT(ISERROR(D73))</formula>
    </cfRule>
    <cfRule type="cellIs" dxfId="1687" priority="55" operator="equal">
      <formula>"CUMPLE"</formula>
    </cfRule>
    <cfRule type="cellIs" dxfId="1686" priority="54" operator="equal">
      <formula>"NO CUMPLE"</formula>
    </cfRule>
  </conditionalFormatting>
  <conditionalFormatting sqref="D74">
    <cfRule type="cellIs" dxfId="1685" priority="56" operator="equal">
      <formula>"N/A"</formula>
    </cfRule>
    <cfRule type="cellIs" dxfId="1684" priority="58" operator="equal">
      <formula>"NO CUMPLE"</formula>
    </cfRule>
    <cfRule type="cellIs" dxfId="1683" priority="57" operator="equal">
      <formula>"CUMPLE"</formula>
    </cfRule>
    <cfRule type="cellIs" dxfId="1682" priority="59" operator="equal">
      <formula>"""CUMPLE"""</formula>
    </cfRule>
  </conditionalFormatting>
  <conditionalFormatting sqref="D25:J35">
    <cfRule type="containsBlanks" dxfId="1681" priority="29">
      <formula>LEN(TRIM(D25))=0</formula>
    </cfRule>
    <cfRule type="notContainsErrors" dxfId="1680" priority="30">
      <formula>NOT(ISERROR(D25))</formula>
    </cfRule>
  </conditionalFormatting>
  <conditionalFormatting sqref="D34:J34 D24:K24">
    <cfRule type="containsBlanks" dxfId="1679" priority="31">
      <formula>LEN(TRIM(D24))=0</formula>
    </cfRule>
  </conditionalFormatting>
  <conditionalFormatting sqref="D37:J37">
    <cfRule type="containsBlanks" dxfId="1678" priority="25">
      <formula>LEN(TRIM(D37))=0</formula>
    </cfRule>
    <cfRule type="notContainsErrors" dxfId="1677" priority="26">
      <formula>NOT(ISERROR(D37))</formula>
    </cfRule>
  </conditionalFormatting>
  <conditionalFormatting sqref="D40:J40">
    <cfRule type="containsBlanks" dxfId="1676" priority="23">
      <formula>LEN(TRIM(D40))=0</formula>
    </cfRule>
    <cfRule type="notContainsErrors" dxfId="1675" priority="24">
      <formula>NOT(ISERROR(D40))</formula>
    </cfRule>
  </conditionalFormatting>
  <conditionalFormatting sqref="D43:J43">
    <cfRule type="containsBlanks" dxfId="1674" priority="21">
      <formula>LEN(TRIM(D43))=0</formula>
    </cfRule>
    <cfRule type="notContainsErrors" dxfId="1673" priority="22">
      <formula>NOT(ISERROR(D43))</formula>
    </cfRule>
  </conditionalFormatting>
  <conditionalFormatting sqref="D47:J54">
    <cfRule type="notContainsErrors" dxfId="1672" priority="20">
      <formula>NOT(ISERROR(D47))</formula>
    </cfRule>
    <cfRule type="cellIs" dxfId="1671" priority="17" operator="equal">
      <formula>"NO CUMPLE"</formula>
    </cfRule>
    <cfRule type="cellIs" dxfId="1670" priority="18" operator="equal">
      <formula>"CUMPLE"</formula>
    </cfRule>
    <cfRule type="containsBlanks" dxfId="1669" priority="19">
      <formula>LEN(TRIM(D47))=0</formula>
    </cfRule>
  </conditionalFormatting>
  <conditionalFormatting sqref="D55:J55">
    <cfRule type="cellIs" dxfId="1668" priority="83" operator="equal">
      <formula>"CUMPLE"</formula>
    </cfRule>
    <cfRule type="cellIs" dxfId="1667" priority="82" operator="equal">
      <formula>"N/A"</formula>
    </cfRule>
    <cfRule type="cellIs" dxfId="1666" priority="84" operator="equal">
      <formula>"NO CUMPLE"</formula>
    </cfRule>
    <cfRule type="cellIs" dxfId="1665" priority="85" operator="equal">
      <formula>"""CUMPLE"""</formula>
    </cfRule>
  </conditionalFormatting>
  <conditionalFormatting sqref="D56:J60">
    <cfRule type="notContainsErrors" dxfId="1664" priority="10">
      <formula>NOT(ISERROR(D56))</formula>
    </cfRule>
    <cfRule type="containsBlanks" dxfId="1663" priority="9">
      <formula>LEN(TRIM(D56))=0</formula>
    </cfRule>
  </conditionalFormatting>
  <conditionalFormatting sqref="D56:J67">
    <cfRule type="cellIs" dxfId="1662" priority="3" operator="equal">
      <formula>"NO CUMPLE"</formula>
    </cfRule>
    <cfRule type="cellIs" dxfId="1661" priority="4" operator="equal">
      <formula>"CUMPLE"</formula>
    </cfRule>
  </conditionalFormatting>
  <conditionalFormatting sqref="D68:J68">
    <cfRule type="cellIs" dxfId="1660" priority="79" operator="equal">
      <formula>"CUMPLE"</formula>
    </cfRule>
    <cfRule type="cellIs" dxfId="1659" priority="80" operator="equal">
      <formula>"NO CUMPLE"</formula>
    </cfRule>
    <cfRule type="cellIs" dxfId="1658" priority="81" operator="equal">
      <formula>"""CUMPLE"""</formula>
    </cfRule>
    <cfRule type="cellIs" dxfId="1657" priority="78" operator="equal">
      <formula>"N/A"</formula>
    </cfRule>
  </conditionalFormatting>
  <conditionalFormatting sqref="D69:J69">
    <cfRule type="cellIs" dxfId="1656" priority="46" operator="equal">
      <formula>"NO CUMPLE"</formula>
    </cfRule>
    <cfRule type="cellIs" dxfId="1655" priority="47" operator="equal">
      <formula>"CUMPLE"</formula>
    </cfRule>
  </conditionalFormatting>
  <conditionalFormatting sqref="D24:K24 D34:J34">
    <cfRule type="notContainsErrors" dxfId="1654" priority="32">
      <formula>NOT(ISERROR(D24))</formula>
    </cfRule>
  </conditionalFormatting>
  <conditionalFormatting sqref="D61:K67">
    <cfRule type="notContainsErrors" dxfId="1653" priority="6">
      <formula>NOT(ISERROR(D61))</formula>
    </cfRule>
    <cfRule type="containsBlanks" dxfId="1652" priority="5">
      <formula>LEN(TRIM(D61))=0</formula>
    </cfRule>
  </conditionalFormatting>
  <conditionalFormatting sqref="D69:K69">
    <cfRule type="containsBlanks" dxfId="1651" priority="48">
      <formula>LEN(TRIM(D69))=0</formula>
    </cfRule>
    <cfRule type="notContainsErrors" dxfId="1650" priority="49">
      <formula>NOT(ISERROR(D69))</formula>
    </cfRule>
  </conditionalFormatting>
  <conditionalFormatting sqref="E73:E74">
    <cfRule type="notContainsErrors" dxfId="1649" priority="51">
      <formula>NOT(ISERROR(E73))</formula>
    </cfRule>
    <cfRule type="containsBlanks" dxfId="1648" priority="50">
      <formula>LEN(TRIM(E73))=0</formula>
    </cfRule>
  </conditionalFormatting>
  <conditionalFormatting sqref="F20:H20">
    <cfRule type="cellIs" dxfId="1647" priority="89" operator="equal">
      <formula>"CUMPLE"</formula>
    </cfRule>
    <cfRule type="cellIs" dxfId="1646" priority="90" operator="equal">
      <formula>"NO CUMPLE"</formula>
    </cfRule>
    <cfRule type="cellIs" dxfId="1645" priority="91" operator="equal">
      <formula>"""CUMPLE"""</formula>
    </cfRule>
  </conditionalFormatting>
  <conditionalFormatting sqref="I11">
    <cfRule type="containsText" dxfId="1644" priority="95" operator="containsText" text="NO CUMPLE">
      <formula>NOT(ISERROR(SEARCH("NO CUMPLE",I11)))</formula>
    </cfRule>
    <cfRule type="containsText" dxfId="1643" priority="92" operator="containsText" text="INHABILITADO">
      <formula>NOT(ISERROR(SEARCH("INHABILITADO",I11)))</formula>
    </cfRule>
    <cfRule type="containsText" dxfId="1642" priority="93" operator="containsText" text="HABILITADO">
      <formula>NOT(ISERROR(SEARCH("HABILITADO",I11)))</formula>
    </cfRule>
    <cfRule type="containsText" dxfId="1641" priority="94" operator="containsText" text="HABILITADO">
      <formula>NOT(ISERROR(SEARCH("HABILITADO",I11)))</formula>
    </cfRule>
  </conditionalFormatting>
  <conditionalFormatting sqref="J20">
    <cfRule type="cellIs" dxfId="1640" priority="70" operator="equal">
      <formula>"NO"</formula>
    </cfRule>
    <cfRule type="cellIs" dxfId="1639" priority="71" operator="equal">
      <formula>"SI"</formula>
    </cfRule>
  </conditionalFormatting>
  <conditionalFormatting sqref="K16">
    <cfRule type="cellIs" dxfId="1638" priority="45" operator="equal">
      <formula>"""CUMPLE"""</formula>
    </cfRule>
    <cfRule type="cellIs" dxfId="1637" priority="44" operator="equal">
      <formula>"NO CUMPLE"</formula>
    </cfRule>
    <cfRule type="cellIs" dxfId="1636" priority="43" operator="equal">
      <formula>"CUMPLE"</formula>
    </cfRule>
  </conditionalFormatting>
  <conditionalFormatting sqref="K25:K60">
    <cfRule type="notContainsErrors" dxfId="1635" priority="2">
      <formula>NOT(ISERROR(K25))</formula>
    </cfRule>
    <cfRule type="containsBlanks" dxfId="1634" priority="1">
      <formula>LEN(TRIM(K25))=0</formula>
    </cfRule>
  </conditionalFormatting>
  <conditionalFormatting sqref="K68:L68">
    <cfRule type="containsBlanks" dxfId="1633" priority="76">
      <formula>LEN(TRIM(K68))=0</formula>
    </cfRule>
    <cfRule type="notContainsErrors" dxfId="1632" priority="77">
      <formula>NOT(ISERROR(K68))</formula>
    </cfRule>
  </conditionalFormatting>
  <conditionalFormatting sqref="L14">
    <cfRule type="cellIs" dxfId="1631" priority="86" operator="equal">
      <formula>"CUMPLE"</formula>
    </cfRule>
    <cfRule type="cellIs" dxfId="1630" priority="88" operator="equal">
      <formula>"""CUMPLE"""</formula>
    </cfRule>
    <cfRule type="cellIs" dxfId="1629" priority="87" operator="equal">
      <formula>"NO CUMPLE"</formula>
    </cfRule>
  </conditionalFormatting>
  <conditionalFormatting sqref="L20">
    <cfRule type="cellIs" dxfId="1628" priority="68" operator="equal">
      <formula>"NO"</formula>
    </cfRule>
    <cfRule type="cellIs" dxfId="1627" priority="69" operator="equal">
      <formula>"SI"</formula>
    </cfRule>
  </conditionalFormatting>
  <dataValidations count="4">
    <dataValidation type="list" allowBlank="1" showInputMessage="1" showErrorMessage="1" sqref="D24:J26" xr:uid="{EBB5ED99-8797-4412-992A-4D2CD701474B}">
      <formula1>$C$15:$C$19</formula1>
    </dataValidation>
    <dataValidation type="list" allowBlank="1" showInputMessage="1" showErrorMessage="1" sqref="L61:L69" xr:uid="{2800FD11-88E8-4987-B24D-90F9875A963B}">
      <formula1>"0,1,2,3,4,5,6"</formula1>
    </dataValidation>
    <dataValidation type="list" allowBlank="1" showInputMessage="1" showErrorMessage="1" sqref="D73 G62:G63 J56:J60 H62:J67 G65:G67" xr:uid="{2160EF79-C74C-4D2D-B244-4DF8AEFA7A84}">
      <formula1>$A$50:$A$52</formula1>
    </dataValidation>
    <dataValidation type="list" allowBlank="1" showInputMessage="1" showErrorMessage="1" sqref="J48:J53" xr:uid="{602670EA-8109-4013-9A46-07551EF64D70}">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43D6E298-C5F4-4119-A4D3-E2C65C83EFC6}">
          <x14:formula1>
            <xm:f>'DATOS INICIALES'!$D$22:$D$26</xm:f>
          </x14:formula1>
          <xm:sqref>M48:M55</xm:sqref>
        </x14:dataValidation>
        <x14:dataValidation type="list" allowBlank="1" showInputMessage="1" showErrorMessage="1" xr:uid="{0F2C22A6-B5C6-46ED-8739-9C51F1343140}">
          <x14:formula1>
            <xm:f>'DATOS INICIALES'!$A$54:$A$59</xm:f>
          </x14:formula1>
          <xm:sqref>D23:I23</xm:sqref>
        </x14:dataValidation>
        <x14:dataValidation type="list" allowBlank="1" showInputMessage="1" showErrorMessage="1" xr:uid="{437C1B45-3F1C-4E46-AF08-D2479CFCE4FC}">
          <x14:formula1>
            <xm:f>'DATOS INICIALES'!$C$45:$C$46</xm:f>
          </x14:formula1>
          <xm:sqref>G48:I54 D52:F54</xm:sqref>
        </x14:dataValidation>
        <x14:dataValidation type="list" allowBlank="1" showInputMessage="1" showErrorMessage="1" xr:uid="{997F1B65-5C4F-4E58-BB69-44CFE85F2745}">
          <x14:formula1>
            <xm:f>'DATOS INICIALES'!$A$50:$A$51</xm:f>
          </x14:formula1>
          <xm:sqref>D69:J69 G47:J47</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74"/>
  <sheetViews>
    <sheetView view="pageBreakPreview" zoomScale="40" zoomScaleNormal="55" zoomScaleSheetLayoutView="40" workbookViewId="0">
      <pane ySplit="11" topLeftCell="A69" activePane="bottomLeft" state="frozenSplit"/>
      <selection activeCell="C9" sqref="C9:I9"/>
      <selection pane="bottomLeft" activeCell="E29" sqref="E29"/>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10</v>
      </c>
      <c r="B11" s="2" t="s">
        <v>24</v>
      </c>
      <c r="C11" s="342" t="str">
        <f>VLOOKUP(A11,PROPONENTES!A10:B46,2,FALSE)</f>
        <v xml:space="preserve">R&amp;M CONSTRUCCIONES E INTERVENTORIAS SAS </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1824.038</v>
      </c>
      <c r="L14" s="18" t="str">
        <f>IF(K14&gt;=J14,"CUMPLE","NO CUMPLE")</f>
        <v>CUMPLE</v>
      </c>
    </row>
    <row r="15" spans="1:12" ht="66.75" customHeight="1" x14ac:dyDescent="0.25">
      <c r="B15" s="314"/>
      <c r="C15" s="98" t="str">
        <f>IF(VLOOKUP(C11,PROPONENTES!B10:N46,2,FALSE)=0,"",VLOOKUP(C11,PROPONENTES!B10:N46,2,FALSE))</f>
        <v xml:space="preserve">R&amp;M CONSTRUCCIONES E INTERVENTORIAS SAS </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1824.038</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1824.038</v>
      </c>
      <c r="J16" s="169">
        <f>+L8*0.7</f>
        <v>283.67201207692307</v>
      </c>
      <c r="K16" s="18" t="str">
        <f>IF(I16&gt;=J16,"CUMPLE","NO CUMPLE")</f>
        <v>CUMPLE</v>
      </c>
      <c r="L16" s="305">
        <f>AVERAGEIF(D68:J68,"CUMPLE",D46:J46)</f>
        <v>912.01900000000001</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1824.038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234</v>
      </c>
      <c r="E24" s="88" t="s">
        <v>234</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388</v>
      </c>
      <c r="E27" s="89" t="s">
        <v>389</v>
      </c>
      <c r="F27" s="89"/>
      <c r="G27" s="89"/>
      <c r="H27" s="89"/>
      <c r="I27" s="89"/>
      <c r="J27" s="89"/>
      <c r="K27" s="297"/>
      <c r="L27" s="298"/>
    </row>
    <row r="28" spans="2:14" ht="156.75" customHeight="1" x14ac:dyDescent="0.25">
      <c r="B28" s="319"/>
      <c r="C28" s="27" t="s">
        <v>36</v>
      </c>
      <c r="D28" s="89" t="s">
        <v>569</v>
      </c>
      <c r="E28" s="89" t="s">
        <v>570</v>
      </c>
      <c r="F28" s="89"/>
      <c r="G28" s="89"/>
      <c r="H28" s="89"/>
      <c r="I28" s="89"/>
      <c r="J28" s="89"/>
      <c r="K28" s="297"/>
      <c r="L28" s="298"/>
    </row>
    <row r="29" spans="2:14" ht="52.5" customHeight="1" x14ac:dyDescent="0.25">
      <c r="B29" s="319"/>
      <c r="C29" s="27" t="s">
        <v>165</v>
      </c>
      <c r="D29" s="93">
        <v>37043</v>
      </c>
      <c r="E29" s="93">
        <v>43057</v>
      </c>
      <c r="F29" s="93"/>
      <c r="G29" s="93"/>
      <c r="H29" s="93"/>
      <c r="I29" s="93"/>
      <c r="J29" s="93"/>
      <c r="K29" s="297"/>
      <c r="L29" s="298"/>
    </row>
    <row r="30" spans="2:14" ht="54.75" customHeight="1" x14ac:dyDescent="0.25">
      <c r="B30" s="319"/>
      <c r="C30" s="27" t="s">
        <v>40</v>
      </c>
      <c r="D30" s="93">
        <v>37567</v>
      </c>
      <c r="E30" s="93">
        <v>43344</v>
      </c>
      <c r="F30" s="93"/>
      <c r="G30" s="93"/>
      <c r="H30" s="93"/>
      <c r="I30" s="93"/>
      <c r="J30" s="93"/>
      <c r="K30" s="297"/>
      <c r="L30" s="298"/>
    </row>
    <row r="31" spans="2:14" ht="41.25" customHeight="1" x14ac:dyDescent="0.25">
      <c r="B31" s="319"/>
      <c r="C31" s="27" t="s">
        <v>37</v>
      </c>
      <c r="D31" s="90">
        <v>2002</v>
      </c>
      <c r="E31" s="90">
        <v>2018</v>
      </c>
      <c r="F31" s="90"/>
      <c r="G31" s="90"/>
      <c r="H31" s="90"/>
      <c r="I31" s="90"/>
      <c r="J31" s="90"/>
      <c r="K31" s="297"/>
      <c r="L31" s="298"/>
    </row>
    <row r="32" spans="2:14" ht="63" customHeight="1" x14ac:dyDescent="0.25">
      <c r="B32" s="319"/>
      <c r="C32" s="27" t="s">
        <v>38</v>
      </c>
      <c r="D32" s="89" t="s">
        <v>334</v>
      </c>
      <c r="E32" s="89" t="s">
        <v>325</v>
      </c>
      <c r="F32" s="89"/>
      <c r="G32" s="89"/>
      <c r="H32" s="89"/>
      <c r="I32" s="89"/>
      <c r="J32" s="89"/>
      <c r="K32" s="297"/>
      <c r="L32" s="298"/>
    </row>
    <row r="33" spans="2:12" ht="46.5" customHeight="1" x14ac:dyDescent="0.25">
      <c r="B33" s="319"/>
      <c r="C33" s="27" t="s">
        <v>39</v>
      </c>
      <c r="D33" s="89" t="s">
        <v>390</v>
      </c>
      <c r="E33" s="89" t="s">
        <v>234</v>
      </c>
      <c r="F33" s="89"/>
      <c r="G33" s="89"/>
      <c r="H33" s="89"/>
      <c r="I33" s="89"/>
      <c r="J33" s="89"/>
      <c r="K33" s="297"/>
      <c r="L33" s="298"/>
    </row>
    <row r="34" spans="2:12" ht="27.75" customHeight="1" x14ac:dyDescent="0.25">
      <c r="B34" s="319"/>
      <c r="C34" s="28" t="s">
        <v>33</v>
      </c>
      <c r="D34" s="94">
        <v>33</v>
      </c>
      <c r="E34" s="94">
        <v>184</v>
      </c>
      <c r="F34" s="94"/>
      <c r="G34" s="95"/>
      <c r="H34" s="95"/>
      <c r="I34" s="95"/>
      <c r="J34" s="95"/>
      <c r="K34" s="297"/>
      <c r="L34" s="298"/>
    </row>
    <row r="35" spans="2:12" ht="102.75" customHeight="1" x14ac:dyDescent="0.25">
      <c r="B35" s="319"/>
      <c r="C35" s="27" t="s">
        <v>124</v>
      </c>
      <c r="D35" s="91">
        <v>1192.1600000000001</v>
      </c>
      <c r="E35" s="187">
        <v>870.31</v>
      </c>
      <c r="F35" s="91"/>
      <c r="G35" s="91"/>
      <c r="H35" s="91"/>
      <c r="I35" s="91"/>
      <c r="J35" s="91"/>
      <c r="K35" s="299"/>
      <c r="L35" s="300"/>
    </row>
    <row r="36" spans="2:12" ht="48" customHeight="1" x14ac:dyDescent="0.25">
      <c r="B36" s="319"/>
      <c r="C36" s="27" t="s">
        <v>72</v>
      </c>
      <c r="D36" s="103">
        <f>IFERROR(D35*VLOOKUP(D31,'DATOS INICIALES'!$A$12:$B$43,2,0),"0")</f>
        <v>368377440</v>
      </c>
      <c r="E36" s="103">
        <f>IFERROR(E35*VLOOKUP(E31,'DATOS INICIALES'!$A$12:$B$43,2,0),"0")</f>
        <v>679922725.01999998</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0.8</v>
      </c>
      <c r="E37" s="92">
        <v>1</v>
      </c>
      <c r="F37" s="92"/>
      <c r="G37" s="92"/>
      <c r="H37" s="92"/>
      <c r="I37" s="92"/>
      <c r="J37" s="92"/>
      <c r="K37" s="297"/>
      <c r="L37" s="298"/>
    </row>
    <row r="38" spans="2:12" ht="48.75" customHeight="1" x14ac:dyDescent="0.25">
      <c r="B38" s="319"/>
      <c r="C38" s="27" t="s">
        <v>131</v>
      </c>
      <c r="D38" s="103">
        <f t="shared" ref="D38:J38" si="0">IF(D24="","0",D37*D36)</f>
        <v>294701952</v>
      </c>
      <c r="E38" s="103">
        <f t="shared" si="0"/>
        <v>679922725.01999998</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953.72800000000007</v>
      </c>
      <c r="E39" s="104">
        <f t="shared" si="1"/>
        <v>870.31</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v>
      </c>
      <c r="E40" s="92">
        <v>0</v>
      </c>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953.72800000000007</v>
      </c>
      <c r="E46" s="104">
        <f t="shared" ref="E46:G46" si="6">+E39+E42+E45</f>
        <v>870.31</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75</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notContainsErrors" dxfId="1626" priority="41">
      <formula>NOT(ISERROR(D73))</formula>
    </cfRule>
    <cfRule type="containsBlanks" dxfId="1625" priority="40">
      <formula>LEN(TRIM(D73))=0</formula>
    </cfRule>
    <cfRule type="cellIs" dxfId="1624" priority="43" operator="equal">
      <formula>"CUMPLE"</formula>
    </cfRule>
    <cfRule type="cellIs" dxfId="1623" priority="42" operator="equal">
      <formula>"NO CUMPLE"</formula>
    </cfRule>
  </conditionalFormatting>
  <conditionalFormatting sqref="D74">
    <cfRule type="cellIs" dxfId="1622" priority="47" operator="equal">
      <formula>"""CUMPLE"""</formula>
    </cfRule>
    <cfRule type="cellIs" dxfId="1621" priority="44" operator="equal">
      <formula>"N/A"</formula>
    </cfRule>
    <cfRule type="cellIs" dxfId="1620" priority="45" operator="equal">
      <formula>"CUMPLE"</formula>
    </cfRule>
    <cfRule type="cellIs" dxfId="1619" priority="46" operator="equal">
      <formula>"NO CUMPLE"</formula>
    </cfRule>
  </conditionalFormatting>
  <conditionalFormatting sqref="D25:J35">
    <cfRule type="containsBlanks" dxfId="1618" priority="17">
      <formula>LEN(TRIM(D25))=0</formula>
    </cfRule>
    <cfRule type="notContainsErrors" dxfId="1617" priority="18">
      <formula>NOT(ISERROR(D25))</formula>
    </cfRule>
  </conditionalFormatting>
  <conditionalFormatting sqref="D34:J34 D24:K24">
    <cfRule type="containsBlanks" dxfId="1616" priority="19">
      <formula>LEN(TRIM(D24))=0</formula>
    </cfRule>
  </conditionalFormatting>
  <conditionalFormatting sqref="D37:J37">
    <cfRule type="notContainsErrors" dxfId="1615" priority="16">
      <formula>NOT(ISERROR(D37))</formula>
    </cfRule>
    <cfRule type="containsBlanks" dxfId="1614" priority="15">
      <formula>LEN(TRIM(D37))=0</formula>
    </cfRule>
  </conditionalFormatting>
  <conditionalFormatting sqref="D40:J40">
    <cfRule type="notContainsErrors" dxfId="1613" priority="14">
      <formula>NOT(ISERROR(D40))</formula>
    </cfRule>
    <cfRule type="containsBlanks" dxfId="1612" priority="13">
      <formula>LEN(TRIM(D40))=0</formula>
    </cfRule>
  </conditionalFormatting>
  <conditionalFormatting sqref="D43:J43">
    <cfRule type="notContainsErrors" dxfId="1611" priority="12">
      <formula>NOT(ISERROR(D43))</formula>
    </cfRule>
    <cfRule type="containsBlanks" dxfId="1610" priority="11">
      <formula>LEN(TRIM(D43))=0</formula>
    </cfRule>
  </conditionalFormatting>
  <conditionalFormatting sqref="D47:J54">
    <cfRule type="notContainsErrors" dxfId="1609" priority="10">
      <formula>NOT(ISERROR(D47))</formula>
    </cfRule>
    <cfRule type="containsBlanks" dxfId="1608" priority="9">
      <formula>LEN(TRIM(D47))=0</formula>
    </cfRule>
    <cfRule type="cellIs" dxfId="1607" priority="8" operator="equal">
      <formula>"CUMPLE"</formula>
    </cfRule>
    <cfRule type="cellIs" dxfId="1606" priority="7" operator="equal">
      <formula>"NO CUMPLE"</formula>
    </cfRule>
  </conditionalFormatting>
  <conditionalFormatting sqref="D55:J55">
    <cfRule type="cellIs" dxfId="1605" priority="70" operator="equal">
      <formula>"N/A"</formula>
    </cfRule>
    <cfRule type="cellIs" dxfId="1604" priority="71" operator="equal">
      <formula>"CUMPLE"</formula>
    </cfRule>
    <cfRule type="cellIs" dxfId="1603" priority="72" operator="equal">
      <formula>"NO CUMPLE"</formula>
    </cfRule>
    <cfRule type="cellIs" dxfId="1602" priority="73" operator="equal">
      <formula>"""CUMPLE"""</formula>
    </cfRule>
  </conditionalFormatting>
  <conditionalFormatting sqref="D56:J60">
    <cfRule type="containsBlanks" dxfId="1601" priority="5">
      <formula>LEN(TRIM(D56))=0</formula>
    </cfRule>
    <cfRule type="notContainsErrors" dxfId="1600" priority="6">
      <formula>NOT(ISERROR(D56))</formula>
    </cfRule>
  </conditionalFormatting>
  <conditionalFormatting sqref="D56:J67">
    <cfRule type="cellIs" dxfId="1599" priority="2" operator="equal">
      <formula>"CUMPLE"</formula>
    </cfRule>
    <cfRule type="cellIs" dxfId="1598" priority="1" operator="equal">
      <formula>"NO CUMPLE"</formula>
    </cfRule>
  </conditionalFormatting>
  <conditionalFormatting sqref="D68:J68">
    <cfRule type="cellIs" dxfId="1597" priority="69" operator="equal">
      <formula>"""CUMPLE"""</formula>
    </cfRule>
    <cfRule type="cellIs" dxfId="1596" priority="68" operator="equal">
      <formula>"NO CUMPLE"</formula>
    </cfRule>
    <cfRule type="cellIs" dxfId="1595" priority="67" operator="equal">
      <formula>"CUMPLE"</formula>
    </cfRule>
    <cfRule type="cellIs" dxfId="1594" priority="66" operator="equal">
      <formula>"N/A"</formula>
    </cfRule>
  </conditionalFormatting>
  <conditionalFormatting sqref="D69:J69">
    <cfRule type="cellIs" dxfId="1593" priority="35" operator="equal">
      <formula>"CUMPLE"</formula>
    </cfRule>
    <cfRule type="cellIs" dxfId="1592" priority="34" operator="equal">
      <formula>"NO CUMPLE"</formula>
    </cfRule>
  </conditionalFormatting>
  <conditionalFormatting sqref="D24:K24 D34:J34">
    <cfRule type="notContainsErrors" dxfId="1591" priority="20">
      <formula>NOT(ISERROR(D24))</formula>
    </cfRule>
  </conditionalFormatting>
  <conditionalFormatting sqref="D61:K67">
    <cfRule type="notContainsErrors" dxfId="1590" priority="4">
      <formula>NOT(ISERROR(D61))</formula>
    </cfRule>
    <cfRule type="containsBlanks" dxfId="1589" priority="3">
      <formula>LEN(TRIM(D61))=0</formula>
    </cfRule>
  </conditionalFormatting>
  <conditionalFormatting sqref="D69:K69">
    <cfRule type="containsBlanks" dxfId="1588" priority="36">
      <formula>LEN(TRIM(D69))=0</formula>
    </cfRule>
    <cfRule type="notContainsErrors" dxfId="1587" priority="37">
      <formula>NOT(ISERROR(D69))</formula>
    </cfRule>
  </conditionalFormatting>
  <conditionalFormatting sqref="E73:E74">
    <cfRule type="notContainsErrors" dxfId="1586" priority="39">
      <formula>NOT(ISERROR(E73))</formula>
    </cfRule>
    <cfRule type="containsBlanks" dxfId="1585" priority="38">
      <formula>LEN(TRIM(E73))=0</formula>
    </cfRule>
  </conditionalFormatting>
  <conditionalFormatting sqref="F20:H20">
    <cfRule type="cellIs" dxfId="1584" priority="77" operator="equal">
      <formula>"CUMPLE"</formula>
    </cfRule>
    <cfRule type="cellIs" dxfId="1583" priority="78" operator="equal">
      <formula>"NO CUMPLE"</formula>
    </cfRule>
    <cfRule type="cellIs" dxfId="1582" priority="79" operator="equal">
      <formula>"""CUMPLE"""</formula>
    </cfRule>
  </conditionalFormatting>
  <conditionalFormatting sqref="I11">
    <cfRule type="containsText" dxfId="1581" priority="83" operator="containsText" text="NO CUMPLE">
      <formula>NOT(ISERROR(SEARCH("NO CUMPLE",I11)))</formula>
    </cfRule>
    <cfRule type="containsText" dxfId="1580" priority="80" operator="containsText" text="INHABILITADO">
      <formula>NOT(ISERROR(SEARCH("INHABILITADO",I11)))</formula>
    </cfRule>
    <cfRule type="containsText" dxfId="1579" priority="81" operator="containsText" text="HABILITADO">
      <formula>NOT(ISERROR(SEARCH("HABILITADO",I11)))</formula>
    </cfRule>
    <cfRule type="containsText" dxfId="1578" priority="82" operator="containsText" text="HABILITADO">
      <formula>NOT(ISERROR(SEARCH("HABILITADO",I11)))</formula>
    </cfRule>
  </conditionalFormatting>
  <conditionalFormatting sqref="J20">
    <cfRule type="cellIs" dxfId="1577" priority="58" operator="equal">
      <formula>"NO"</formula>
    </cfRule>
    <cfRule type="cellIs" dxfId="1576" priority="59" operator="equal">
      <formula>"SI"</formula>
    </cfRule>
  </conditionalFormatting>
  <conditionalFormatting sqref="K16">
    <cfRule type="cellIs" dxfId="1575" priority="33" operator="equal">
      <formula>"""CUMPLE"""</formula>
    </cfRule>
    <cfRule type="cellIs" dxfId="1574" priority="32" operator="equal">
      <formula>"NO CUMPLE"</formula>
    </cfRule>
    <cfRule type="cellIs" dxfId="1573" priority="31" operator="equal">
      <formula>"CUMPLE"</formula>
    </cfRule>
  </conditionalFormatting>
  <conditionalFormatting sqref="K25:K60">
    <cfRule type="containsBlanks" dxfId="1572" priority="48">
      <formula>LEN(TRIM(K25))=0</formula>
    </cfRule>
    <cfRule type="notContainsErrors" dxfId="1571" priority="49">
      <formula>NOT(ISERROR(K25))</formula>
    </cfRule>
  </conditionalFormatting>
  <conditionalFormatting sqref="K68:L68">
    <cfRule type="containsBlanks" dxfId="1570" priority="64">
      <formula>LEN(TRIM(K68))=0</formula>
    </cfRule>
    <cfRule type="notContainsErrors" dxfId="1569" priority="65">
      <formula>NOT(ISERROR(K68))</formula>
    </cfRule>
  </conditionalFormatting>
  <conditionalFormatting sqref="L14">
    <cfRule type="cellIs" dxfId="1568" priority="74" operator="equal">
      <formula>"CUMPLE"</formula>
    </cfRule>
    <cfRule type="cellIs" dxfId="1567" priority="75" operator="equal">
      <formula>"NO CUMPLE"</formula>
    </cfRule>
    <cfRule type="cellIs" dxfId="1566" priority="76" operator="equal">
      <formula>"""CUMPLE"""</formula>
    </cfRule>
  </conditionalFormatting>
  <conditionalFormatting sqref="L20">
    <cfRule type="cellIs" dxfId="1565" priority="56" operator="equal">
      <formula>"NO"</formula>
    </cfRule>
    <cfRule type="cellIs" dxfId="1564" priority="57" operator="equal">
      <formula>"SI"</formula>
    </cfRule>
  </conditionalFormatting>
  <dataValidations count="4">
    <dataValidation type="list" allowBlank="1" showInputMessage="1" showErrorMessage="1" sqref="J48:J53" xr:uid="{A601FF6B-F1C2-409F-8352-42BA801F4778}">
      <formula1>$C$45:$C$46</formula1>
    </dataValidation>
    <dataValidation type="list" allowBlank="1" showInputMessage="1" showErrorMessage="1" sqref="D73 J56:J60 F62:J67" xr:uid="{74177AB5-003C-48BD-8557-087AF836302B}">
      <formula1>$A$50:$A$52</formula1>
    </dataValidation>
    <dataValidation type="list" allowBlank="1" showInputMessage="1" showErrorMessage="1" sqref="L61:L69" xr:uid="{25156929-5130-4645-A3D3-1C2E026BDB58}">
      <formula1>"0,1,2,3,4,5,6"</formula1>
    </dataValidation>
    <dataValidation type="list" allowBlank="1" showInputMessage="1" showErrorMessage="1" sqref="D24:J26" xr:uid="{AF2CE2A9-EF06-4CA4-8E1F-695FDD82E3E9}">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1E22BFBA-DE0A-4C1A-9129-DC64C329E5C3}">
          <x14:formula1>
            <xm:f>'DATOS INICIALES'!$C$45:$C$46</xm:f>
          </x14:formula1>
          <xm:sqref>F48:I54 D52:E54</xm:sqref>
        </x14:dataValidation>
        <x14:dataValidation type="list" allowBlank="1" showInputMessage="1" showErrorMessage="1" xr:uid="{6CCF3270-A96F-46CB-A733-4D6B0DD1FB35}">
          <x14:formula1>
            <xm:f>'DATOS INICIALES'!$A$50:$A$52</xm:f>
          </x14:formula1>
          <xm:sqref>F56:I61</xm:sqref>
        </x14:dataValidation>
        <x14:dataValidation type="list" allowBlank="1" showInputMessage="1" showErrorMessage="1" xr:uid="{3E817418-FBDB-434B-8C67-EC5BC2561708}">
          <x14:formula1>
            <xm:f>'DATOS INICIALES'!$A$54:$A$59</xm:f>
          </x14:formula1>
          <xm:sqref>D23:I23</xm:sqref>
        </x14:dataValidation>
        <x14:dataValidation type="list" allowBlank="1" showInputMessage="1" showErrorMessage="1" xr:uid="{CED4B963-9E1F-4E9B-8064-33DB6D8306B0}">
          <x14:formula1>
            <xm:f>'DATOS INICIALES'!$D$22:$D$26</xm:f>
          </x14:formula1>
          <xm:sqref>M48:M55</xm:sqref>
        </x14:dataValidation>
        <x14:dataValidation type="list" allowBlank="1" showInputMessage="1" showErrorMessage="1" xr:uid="{A183FFBF-60BA-4099-893A-A30310E6DCC7}">
          <x14:formula1>
            <xm:f>'DATOS INICIALES'!$A$13:$A$43</xm:f>
          </x14:formula1>
          <xm:sqref>F31:I31</xm:sqref>
        </x14:dataValidation>
        <x14:dataValidation type="list" allowBlank="1" showInputMessage="1" showErrorMessage="1" xr:uid="{4328FEBD-91A9-49D6-B940-0F27FD477607}">
          <x14:formula1>
            <xm:f>'DATOS INICIALES'!$A$50:$A$51</xm:f>
          </x14:formula1>
          <xm:sqref>D69:J69 F47:J47</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74"/>
  <sheetViews>
    <sheetView view="pageBreakPreview" zoomScale="40" zoomScaleNormal="55" zoomScaleSheetLayoutView="40" workbookViewId="0">
      <pane ySplit="11" topLeftCell="A47" activePane="bottomLeft" state="frozenSplit"/>
      <selection activeCell="C9" sqref="C9:I9"/>
      <selection pane="bottomLeft" activeCell="K56" sqref="K56:L56"/>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11</v>
      </c>
      <c r="B11" s="2" t="s">
        <v>24</v>
      </c>
      <c r="C11" s="342" t="str">
        <f>VLOOKUP(A11,PROPONENTES!A10:B46,2,FALSE)</f>
        <v>CONSORCIO INTERVENTORÍA DSG</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1878.36</v>
      </c>
      <c r="L14" s="18" t="str">
        <f>IF(K14&gt;=J14,"CUMPLE","NO CUMPLE")</f>
        <v>CUMPLE</v>
      </c>
    </row>
    <row r="15" spans="1:12" ht="66.75" customHeight="1" x14ac:dyDescent="0.25">
      <c r="B15" s="314"/>
      <c r="C15" s="98" t="str">
        <f>IF(VLOOKUP(C11,PROPONENTES!B10:N46,2,FALSE)=0,"",VLOOKUP(C11,PROPONENTES!B10:N46,2,FALSE))</f>
        <v>SESAC S.A.</v>
      </c>
      <c r="D15" s="99">
        <f>IF(VLOOKUP(C11,PROPONENTES!B10:N46,3,FALSE)=0,"",VLOOKUP(C11,PROPONENTES!B10:N46,3,FALSE))</f>
        <v>0.7</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1127.0159999999998</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DEIGMA S.A.S.</v>
      </c>
      <c r="D16" s="99">
        <f>IF(VLOOKUP(C11,PROPONENTES!B10:N46,5,FALSE)=0,"",VLOOKUP(C11,PROPONENTES!B10:N46,5,FALSE))</f>
        <v>0.2</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751.34400000000005</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2477.8300469999999</v>
      </c>
      <c r="J16" s="169">
        <f>+L8*0.7</f>
        <v>283.67201207692307</v>
      </c>
      <c r="K16" s="18" t="str">
        <f>IF(I16&gt;=J16,"CUMPLE","NO CUMPLE")</f>
        <v>CUMPLE</v>
      </c>
      <c r="L16" s="305">
        <f>AVERAGEIF(D68:J68,"CUMPLE",D46:J46)</f>
        <v>1878.36</v>
      </c>
    </row>
    <row r="17" spans="2:14" ht="33.75" customHeight="1" x14ac:dyDescent="0.25">
      <c r="B17" s="314"/>
      <c r="C17" s="98" t="str">
        <f>IF(VLOOKUP(C11,PROPONENTES!B10:N46,6,FALSE)=0,"",VLOOKUP(C11,PROPONENTES!B10:N46,6,FALSE))</f>
        <v>GESSI ALVERA S.A.S.</v>
      </c>
      <c r="D17" s="99">
        <f>IF(VLOOKUP(C11,PROPONENTES!B10:N46,7,FALSE)=0,"",VLOOKUP(C11,PROPONENTES!B10:N46,7,FALSE))</f>
        <v>0.1</v>
      </c>
      <c r="E17" s="100">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0</v>
      </c>
      <c r="F17" s="101" t="str">
        <f>IF(C17="","",IF(E17&gt;=$J$14*0.5,"SI","NO"))</f>
        <v>NO</v>
      </c>
      <c r="G17" s="102" t="str">
        <f>IF(C17="","",IF(E17&gt;=$J$14*0.05,"SI",IF(E17=0,"NO APORTA EXPERIENCIA",)))</f>
        <v>NO APORTA EXPERIENCIA</v>
      </c>
      <c r="H17" s="102" t="str">
        <f>IF(C17="","",IF(AND(G17="NO APORTA EXPERIENCIA",D17&lt;=10%),"SI",IF(G17="SI","NO APLICA","NO - PORCENTAJE MAYOR AL 5%")))</f>
        <v>SI</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3</v>
      </c>
      <c r="D20" s="99">
        <f>+VLOOKUP(C11,PROPONENTES!B10:N46,13,FALSE)</f>
        <v>0.99999999999999989</v>
      </c>
      <c r="E20" s="35">
        <f>SUM(E15:E19)</f>
        <v>1878.36</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236</v>
      </c>
      <c r="E24" s="88" t="s">
        <v>236</v>
      </c>
      <c r="F24" s="88"/>
      <c r="G24" s="88"/>
      <c r="H24" s="88"/>
      <c r="I24" s="88"/>
      <c r="J24" s="88"/>
      <c r="K24" s="297"/>
      <c r="L24" s="298"/>
    </row>
    <row r="25" spans="2:14" ht="39.75" customHeight="1" x14ac:dyDescent="0.25">
      <c r="B25" s="303" t="s">
        <v>122</v>
      </c>
      <c r="C25" s="304"/>
      <c r="D25" s="88" t="s">
        <v>237</v>
      </c>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391</v>
      </c>
      <c r="E27" s="89" t="s">
        <v>392</v>
      </c>
      <c r="F27" s="89"/>
      <c r="G27" s="89"/>
      <c r="H27" s="89"/>
      <c r="I27" s="89"/>
      <c r="J27" s="89"/>
      <c r="K27" s="297"/>
      <c r="L27" s="298"/>
    </row>
    <row r="28" spans="2:14" ht="156.75" customHeight="1" x14ac:dyDescent="0.25">
      <c r="B28" s="319"/>
      <c r="C28" s="27" t="s">
        <v>36</v>
      </c>
      <c r="D28" s="89" t="s">
        <v>393</v>
      </c>
      <c r="E28" s="89" t="s">
        <v>571</v>
      </c>
      <c r="F28" s="89"/>
      <c r="G28" s="89"/>
      <c r="H28" s="89"/>
      <c r="I28" s="89"/>
      <c r="J28" s="89"/>
      <c r="K28" s="297"/>
      <c r="L28" s="298"/>
    </row>
    <row r="29" spans="2:14" ht="52.5" customHeight="1" x14ac:dyDescent="0.25">
      <c r="B29" s="319"/>
      <c r="C29" s="27" t="s">
        <v>165</v>
      </c>
      <c r="D29" s="93">
        <v>41935</v>
      </c>
      <c r="E29" s="93">
        <v>38572</v>
      </c>
      <c r="F29" s="93"/>
      <c r="G29" s="93"/>
      <c r="H29" s="93"/>
      <c r="I29" s="93"/>
      <c r="J29" s="93"/>
      <c r="K29" s="297"/>
      <c r="L29" s="298"/>
    </row>
    <row r="30" spans="2:14" ht="54.75" customHeight="1" x14ac:dyDescent="0.25">
      <c r="B30" s="319"/>
      <c r="C30" s="27" t="s">
        <v>40</v>
      </c>
      <c r="D30" s="93">
        <v>42363</v>
      </c>
      <c r="E30" s="93">
        <v>39716</v>
      </c>
      <c r="F30" s="93"/>
      <c r="G30" s="93"/>
      <c r="H30" s="93"/>
      <c r="I30" s="93"/>
      <c r="J30" s="93"/>
      <c r="K30" s="297"/>
      <c r="L30" s="298"/>
    </row>
    <row r="31" spans="2:14" ht="41.25" customHeight="1" x14ac:dyDescent="0.25">
      <c r="B31" s="319"/>
      <c r="C31" s="27" t="s">
        <v>37</v>
      </c>
      <c r="D31" s="90">
        <v>2015</v>
      </c>
      <c r="E31" s="90">
        <v>2008</v>
      </c>
      <c r="F31" s="90"/>
      <c r="G31" s="90"/>
      <c r="H31" s="90"/>
      <c r="I31" s="90"/>
      <c r="J31" s="90"/>
      <c r="K31" s="297"/>
      <c r="L31" s="298"/>
    </row>
    <row r="32" spans="2:14" ht="63" customHeight="1" x14ac:dyDescent="0.25">
      <c r="B32" s="319"/>
      <c r="C32" s="27" t="s">
        <v>38</v>
      </c>
      <c r="D32" s="89" t="s">
        <v>394</v>
      </c>
      <c r="E32" s="89" t="s">
        <v>394</v>
      </c>
      <c r="F32" s="89"/>
      <c r="G32" s="89"/>
      <c r="H32" s="89"/>
      <c r="I32" s="89"/>
      <c r="J32" s="89"/>
      <c r="K32" s="297"/>
      <c r="L32" s="298"/>
    </row>
    <row r="33" spans="2:12" ht="46.5" customHeight="1" x14ac:dyDescent="0.25">
      <c r="B33" s="319"/>
      <c r="C33" s="27" t="s">
        <v>39</v>
      </c>
      <c r="D33" s="89" t="s">
        <v>395</v>
      </c>
      <c r="E33" s="89" t="s">
        <v>396</v>
      </c>
      <c r="F33" s="89"/>
      <c r="G33" s="89"/>
      <c r="H33" s="89"/>
      <c r="I33" s="89"/>
      <c r="J33" s="89"/>
      <c r="K33" s="297"/>
      <c r="L33" s="298"/>
    </row>
    <row r="34" spans="2:12" ht="27.75" customHeight="1" x14ac:dyDescent="0.25">
      <c r="B34" s="319"/>
      <c r="C34" s="28" t="s">
        <v>33</v>
      </c>
      <c r="D34" s="94">
        <v>76</v>
      </c>
      <c r="E34" s="94">
        <v>21</v>
      </c>
      <c r="F34" s="94"/>
      <c r="G34" s="95"/>
      <c r="H34" s="95"/>
      <c r="I34" s="95"/>
      <c r="J34" s="95"/>
      <c r="K34" s="297"/>
      <c r="L34" s="298"/>
    </row>
    <row r="35" spans="2:12" ht="102.75" customHeight="1" x14ac:dyDescent="0.25">
      <c r="B35" s="319"/>
      <c r="C35" s="27" t="s">
        <v>124</v>
      </c>
      <c r="D35" s="91">
        <v>1878.36</v>
      </c>
      <c r="E35" s="91">
        <v>1798.59</v>
      </c>
      <c r="F35" s="91"/>
      <c r="G35" s="91"/>
      <c r="H35" s="91"/>
      <c r="I35" s="91"/>
      <c r="J35" s="91"/>
      <c r="K35" s="299"/>
      <c r="L35" s="300"/>
    </row>
    <row r="36" spans="2:12" ht="48" customHeight="1" x14ac:dyDescent="0.25">
      <c r="B36" s="319"/>
      <c r="C36" s="27" t="s">
        <v>72</v>
      </c>
      <c r="D36" s="103">
        <f>IFERROR(D35*VLOOKUP(D31,'DATOS INICIALES'!$A$12:$B$43,2,0),"0")</f>
        <v>1210321266</v>
      </c>
      <c r="E36" s="103">
        <f>IFERROR(E35*VLOOKUP(E31,'DATOS INICIALES'!$A$12:$B$43,2,0),"0")</f>
        <v>830049285</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0.6</v>
      </c>
      <c r="E37" s="92">
        <v>0.33329999999999999</v>
      </c>
      <c r="F37" s="92"/>
      <c r="G37" s="92"/>
      <c r="H37" s="92"/>
      <c r="I37" s="92"/>
      <c r="J37" s="92"/>
      <c r="K37" s="297"/>
      <c r="L37" s="298"/>
    </row>
    <row r="38" spans="2:12" ht="48.75" customHeight="1" x14ac:dyDescent="0.25">
      <c r="B38" s="319"/>
      <c r="C38" s="27" t="s">
        <v>131</v>
      </c>
      <c r="D38" s="103">
        <f t="shared" ref="D38:J38" si="0">IF(D24="","0",D37*D36)</f>
        <v>726192759.60000002</v>
      </c>
      <c r="E38" s="103">
        <f t="shared" si="0"/>
        <v>276655426.69049996</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1127.0159999999998</v>
      </c>
      <c r="E39" s="104">
        <f t="shared" si="1"/>
        <v>599.47004699999991</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0.4</v>
      </c>
      <c r="E40" s="92"/>
      <c r="F40" s="92"/>
      <c r="G40" s="92"/>
      <c r="H40" s="92"/>
      <c r="I40" s="92"/>
      <c r="J40" s="92"/>
      <c r="K40" s="297"/>
      <c r="L40" s="298"/>
    </row>
    <row r="41" spans="2:12" ht="65.25" customHeight="1" x14ac:dyDescent="0.25">
      <c r="B41" s="319"/>
      <c r="C41" s="27" t="s">
        <v>132</v>
      </c>
      <c r="D41" s="105">
        <f t="shared" ref="D41:J41" si="2">IF(D25="","0",D40*D36)</f>
        <v>484128506.40000004</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751.34400000000005</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1878.36</v>
      </c>
      <c r="E46" s="104">
        <f t="shared" ref="E46:G46" si="6">+E39+E42+E45</f>
        <v>599.47004699999991</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73</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15</v>
      </c>
      <c r="F56" s="88"/>
      <c r="G56" s="88"/>
      <c r="H56" s="88"/>
      <c r="I56" s="88"/>
      <c r="J56" s="88"/>
      <c r="K56" s="282" t="s">
        <v>563</v>
      </c>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82"/>
      <c r="L61" s="391"/>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9"/>
      <c r="L65" s="300"/>
    </row>
    <row r="66" spans="2:12" ht="408.75" customHeight="1" x14ac:dyDescent="0.25">
      <c r="B66" s="292" t="s">
        <v>208</v>
      </c>
      <c r="C66" s="292"/>
      <c r="D66" s="88" t="s">
        <v>13</v>
      </c>
      <c r="E66" s="88" t="s">
        <v>13</v>
      </c>
      <c r="F66" s="88"/>
      <c r="G66" s="88"/>
      <c r="H66" s="88"/>
      <c r="I66" s="88"/>
      <c r="J66" s="88"/>
      <c r="K66" s="299"/>
      <c r="L66" s="300"/>
    </row>
    <row r="67" spans="2:12" ht="312.75" customHeight="1" x14ac:dyDescent="0.25">
      <c r="B67" s="242" t="s">
        <v>209</v>
      </c>
      <c r="C67" s="242"/>
      <c r="D67" s="88" t="s">
        <v>14</v>
      </c>
      <c r="E67" s="88" t="s">
        <v>14</v>
      </c>
      <c r="F67" s="88"/>
      <c r="G67" s="88"/>
      <c r="H67" s="88"/>
      <c r="I67" s="88"/>
      <c r="J67" s="88"/>
      <c r="K67" s="299"/>
      <c r="L67" s="300"/>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NO 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62:D67">
    <cfRule type="containsBlanks" dxfId="1563" priority="1">
      <formula>LEN(TRIM(D62))=0</formula>
    </cfRule>
    <cfRule type="notContainsErrors" dxfId="1562" priority="2">
      <formula>NOT(ISERROR(D62))</formula>
    </cfRule>
  </conditionalFormatting>
  <conditionalFormatting sqref="D73">
    <cfRule type="cellIs" dxfId="1561" priority="45" operator="equal">
      <formula>"CUMPLE"</formula>
    </cfRule>
    <cfRule type="cellIs" dxfId="1560" priority="44" operator="equal">
      <formula>"NO CUMPLE"</formula>
    </cfRule>
    <cfRule type="notContainsErrors" dxfId="1559" priority="43">
      <formula>NOT(ISERROR(D73))</formula>
    </cfRule>
    <cfRule type="containsBlanks" dxfId="1558" priority="42">
      <formula>LEN(TRIM(D73))=0</formula>
    </cfRule>
  </conditionalFormatting>
  <conditionalFormatting sqref="D74">
    <cfRule type="cellIs" dxfId="1557" priority="46" operator="equal">
      <formula>"N/A"</formula>
    </cfRule>
    <cfRule type="cellIs" dxfId="1556" priority="49" operator="equal">
      <formula>"""CUMPLE"""</formula>
    </cfRule>
    <cfRule type="cellIs" dxfId="1555" priority="48" operator="equal">
      <formula>"NO CUMPLE"</formula>
    </cfRule>
    <cfRule type="cellIs" dxfId="1554" priority="47" operator="equal">
      <formula>"CUMPLE"</formula>
    </cfRule>
  </conditionalFormatting>
  <conditionalFormatting sqref="D25:J35">
    <cfRule type="containsBlanks" dxfId="1553" priority="19">
      <formula>LEN(TRIM(D25))=0</formula>
    </cfRule>
    <cfRule type="notContainsErrors" dxfId="1552" priority="20">
      <formula>NOT(ISERROR(D25))</formula>
    </cfRule>
  </conditionalFormatting>
  <conditionalFormatting sqref="D34:J34 D24:K24">
    <cfRule type="containsBlanks" dxfId="1551" priority="21">
      <formula>LEN(TRIM(D24))=0</formula>
    </cfRule>
  </conditionalFormatting>
  <conditionalFormatting sqref="D37:J37">
    <cfRule type="containsBlanks" dxfId="1550" priority="17">
      <formula>LEN(TRIM(D37))=0</formula>
    </cfRule>
    <cfRule type="notContainsErrors" dxfId="1549" priority="18">
      <formula>NOT(ISERROR(D37))</formula>
    </cfRule>
  </conditionalFormatting>
  <conditionalFormatting sqref="D40:J40">
    <cfRule type="notContainsErrors" dxfId="1548" priority="16">
      <formula>NOT(ISERROR(D40))</formula>
    </cfRule>
    <cfRule type="containsBlanks" dxfId="1547" priority="15">
      <formula>LEN(TRIM(D40))=0</formula>
    </cfRule>
  </conditionalFormatting>
  <conditionalFormatting sqref="D43:J43 K68:L68">
    <cfRule type="containsBlanks" dxfId="1546" priority="66">
      <formula>LEN(TRIM(D43))=0</formula>
    </cfRule>
    <cfRule type="notContainsErrors" dxfId="1545" priority="67">
      <formula>NOT(ISERROR(D43))</formula>
    </cfRule>
  </conditionalFormatting>
  <conditionalFormatting sqref="D47:J54">
    <cfRule type="notContainsErrors" dxfId="1544" priority="14">
      <formula>NOT(ISERROR(D47))</formula>
    </cfRule>
    <cfRule type="cellIs" dxfId="1543" priority="11" operator="equal">
      <formula>"NO CUMPLE"</formula>
    </cfRule>
    <cfRule type="cellIs" dxfId="1542" priority="12" operator="equal">
      <formula>"CUMPLE"</formula>
    </cfRule>
    <cfRule type="containsBlanks" dxfId="1541" priority="13">
      <formula>LEN(TRIM(D47))=0</formula>
    </cfRule>
  </conditionalFormatting>
  <conditionalFormatting sqref="D55:J55">
    <cfRule type="cellIs" dxfId="1540" priority="74" operator="equal">
      <formula>"NO CUMPLE"</formula>
    </cfRule>
    <cfRule type="cellIs" dxfId="1539" priority="73" operator="equal">
      <formula>"CUMPLE"</formula>
    </cfRule>
    <cfRule type="cellIs" dxfId="1538" priority="72" operator="equal">
      <formula>"N/A"</formula>
    </cfRule>
    <cfRule type="cellIs" dxfId="1537" priority="75" operator="equal">
      <formula>"""CUMPLE"""</formula>
    </cfRule>
  </conditionalFormatting>
  <conditionalFormatting sqref="D56:J60">
    <cfRule type="containsBlanks" dxfId="1536" priority="9">
      <formula>LEN(TRIM(D56))=0</formula>
    </cfRule>
    <cfRule type="notContainsErrors" dxfId="1535" priority="10">
      <formula>NOT(ISERROR(D56))</formula>
    </cfRule>
  </conditionalFormatting>
  <conditionalFormatting sqref="D56:J67">
    <cfRule type="cellIs" dxfId="1534" priority="7" operator="equal">
      <formula>"NO CUMPLE"</formula>
    </cfRule>
    <cfRule type="cellIs" dxfId="1533" priority="8" operator="equal">
      <formula>"CUMPLE"</formula>
    </cfRule>
  </conditionalFormatting>
  <conditionalFormatting sqref="D68:J68">
    <cfRule type="cellIs" dxfId="1532" priority="71" operator="equal">
      <formula>"""CUMPLE"""</formula>
    </cfRule>
    <cfRule type="cellIs" dxfId="1531" priority="70" operator="equal">
      <formula>"NO CUMPLE"</formula>
    </cfRule>
    <cfRule type="cellIs" dxfId="1530" priority="69" operator="equal">
      <formula>"CUMPLE"</formula>
    </cfRule>
    <cfRule type="cellIs" dxfId="1529" priority="68" operator="equal">
      <formula>"N/A"</formula>
    </cfRule>
  </conditionalFormatting>
  <conditionalFormatting sqref="D69:J69">
    <cfRule type="cellIs" dxfId="1528" priority="37" operator="equal">
      <formula>"CUMPLE"</formula>
    </cfRule>
    <cfRule type="cellIs" dxfId="1527" priority="36" operator="equal">
      <formula>"NO CUMPLE"</formula>
    </cfRule>
  </conditionalFormatting>
  <conditionalFormatting sqref="D24:K24 D34:J34">
    <cfRule type="notContainsErrors" dxfId="1526" priority="22">
      <formula>NOT(ISERROR(D24))</formula>
    </cfRule>
  </conditionalFormatting>
  <conditionalFormatting sqref="D61:K67">
    <cfRule type="notContainsErrors" dxfId="1525" priority="4">
      <formula>NOT(ISERROR(D61))</formula>
    </cfRule>
    <cfRule type="containsBlanks" dxfId="1524" priority="3">
      <formula>LEN(TRIM(D61))=0</formula>
    </cfRule>
  </conditionalFormatting>
  <conditionalFormatting sqref="D69:K69">
    <cfRule type="containsBlanks" dxfId="1523" priority="38">
      <formula>LEN(TRIM(D69))=0</formula>
    </cfRule>
    <cfRule type="notContainsErrors" dxfId="1522" priority="39">
      <formula>NOT(ISERROR(D69))</formula>
    </cfRule>
  </conditionalFormatting>
  <conditionalFormatting sqref="E73:E74">
    <cfRule type="containsBlanks" dxfId="1521" priority="40">
      <formula>LEN(TRIM(E73))=0</formula>
    </cfRule>
    <cfRule type="notContainsErrors" dxfId="1520" priority="41">
      <formula>NOT(ISERROR(E73))</formula>
    </cfRule>
  </conditionalFormatting>
  <conditionalFormatting sqref="F20:H20">
    <cfRule type="cellIs" dxfId="1519" priority="79" operator="equal">
      <formula>"CUMPLE"</formula>
    </cfRule>
    <cfRule type="cellIs" dxfId="1518" priority="80" operator="equal">
      <formula>"NO CUMPLE"</formula>
    </cfRule>
    <cfRule type="cellIs" dxfId="1517" priority="81" operator="equal">
      <formula>"""CUMPLE"""</formula>
    </cfRule>
  </conditionalFormatting>
  <conditionalFormatting sqref="I11">
    <cfRule type="containsText" dxfId="1516" priority="85" operator="containsText" text="NO CUMPLE">
      <formula>NOT(ISERROR(SEARCH("NO CUMPLE",I11)))</formula>
    </cfRule>
    <cfRule type="containsText" dxfId="1515" priority="82" operator="containsText" text="INHABILITADO">
      <formula>NOT(ISERROR(SEARCH("INHABILITADO",I11)))</formula>
    </cfRule>
    <cfRule type="containsText" dxfId="1514" priority="83" operator="containsText" text="HABILITADO">
      <formula>NOT(ISERROR(SEARCH("HABILITADO",I11)))</formula>
    </cfRule>
    <cfRule type="containsText" dxfId="1513" priority="84" operator="containsText" text="HABILITADO">
      <formula>NOT(ISERROR(SEARCH("HABILITADO",I11)))</formula>
    </cfRule>
  </conditionalFormatting>
  <conditionalFormatting sqref="J20">
    <cfRule type="cellIs" dxfId="1512" priority="61" operator="equal">
      <formula>"SI"</formula>
    </cfRule>
    <cfRule type="cellIs" dxfId="1511" priority="60" operator="equal">
      <formula>"NO"</formula>
    </cfRule>
  </conditionalFormatting>
  <conditionalFormatting sqref="K16">
    <cfRule type="cellIs" dxfId="1510" priority="35" operator="equal">
      <formula>"""CUMPLE"""</formula>
    </cfRule>
    <cfRule type="cellIs" dxfId="1509" priority="34" operator="equal">
      <formula>"NO CUMPLE"</formula>
    </cfRule>
    <cfRule type="cellIs" dxfId="1508" priority="33" operator="equal">
      <formula>"CUMPLE"</formula>
    </cfRule>
  </conditionalFormatting>
  <conditionalFormatting sqref="K25:K60">
    <cfRule type="notContainsErrors" dxfId="1507" priority="6">
      <formula>NOT(ISERROR(K25))</formula>
    </cfRule>
    <cfRule type="containsBlanks" dxfId="1506" priority="5">
      <formula>LEN(TRIM(K25))=0</formula>
    </cfRule>
  </conditionalFormatting>
  <conditionalFormatting sqref="L14">
    <cfRule type="cellIs" dxfId="1505" priority="76" operator="equal">
      <formula>"CUMPLE"</formula>
    </cfRule>
    <cfRule type="cellIs" dxfId="1504" priority="77" operator="equal">
      <formula>"NO CUMPLE"</formula>
    </cfRule>
    <cfRule type="cellIs" dxfId="1503" priority="78" operator="equal">
      <formula>"""CUMPLE"""</formula>
    </cfRule>
  </conditionalFormatting>
  <conditionalFormatting sqref="L20">
    <cfRule type="cellIs" dxfId="1502" priority="58" operator="equal">
      <formula>"NO"</formula>
    </cfRule>
    <cfRule type="cellIs" dxfId="1501" priority="59" operator="equal">
      <formula>"SI"</formula>
    </cfRule>
  </conditionalFormatting>
  <dataValidations count="4">
    <dataValidation type="list" allowBlank="1" showInputMessage="1" showErrorMessage="1" sqref="D24:J26" xr:uid="{3D02F9F3-57D8-495D-A78F-528883BFAE25}">
      <formula1>$C$15:$C$19</formula1>
    </dataValidation>
    <dataValidation type="list" allowBlank="1" showInputMessage="1" showErrorMessage="1" sqref="L64:L69 L61" xr:uid="{8A84D2B8-3AC3-4B4C-8A46-2F78EF2B37DC}">
      <formula1>"0,1,2,3,4,5,6"</formula1>
    </dataValidation>
    <dataValidation type="list" allowBlank="1" showInputMessage="1" showErrorMessage="1" sqref="D73 F62:J67 J56:J60" xr:uid="{812100D3-F2CC-4BF6-826B-A75195506727}">
      <formula1>$A$50:$A$52</formula1>
    </dataValidation>
    <dataValidation type="list" allowBlank="1" showInputMessage="1" showErrorMessage="1" sqref="J48:J53" xr:uid="{94298D7E-13CD-4B91-9C73-F5E129FA1950}">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874FFE0-A4DC-40AE-87F4-915C3F116066}">
          <x14:formula1>
            <xm:f>'DATOS INICIALES'!$A$13:$A$43</xm:f>
          </x14:formula1>
          <xm:sqref>F31:I31</xm:sqref>
        </x14:dataValidation>
        <x14:dataValidation type="list" allowBlank="1" showInputMessage="1" showErrorMessage="1" xr:uid="{9F1082CA-4549-4384-B211-58970FA3BBC6}">
          <x14:formula1>
            <xm:f>'DATOS INICIALES'!$D$22:$D$26</xm:f>
          </x14:formula1>
          <xm:sqref>M48:M55</xm:sqref>
        </x14:dataValidation>
        <x14:dataValidation type="list" allowBlank="1" showInputMessage="1" showErrorMessage="1" xr:uid="{A055A605-E235-48F6-8635-646C5AD8B7E8}">
          <x14:formula1>
            <xm:f>'DATOS INICIALES'!$A$54:$A$59</xm:f>
          </x14:formula1>
          <xm:sqref>D23:I23</xm:sqref>
        </x14:dataValidation>
        <x14:dataValidation type="list" allowBlank="1" showInputMessage="1" showErrorMessage="1" xr:uid="{57A356EA-1D99-4D33-A4B7-42F8C6480669}">
          <x14:formula1>
            <xm:f>'DATOS INICIALES'!$C$45:$C$46</xm:f>
          </x14:formula1>
          <xm:sqref>F48:I54 D52:E54</xm:sqref>
        </x14:dataValidation>
        <x14:dataValidation type="list" allowBlank="1" showInputMessage="1" showErrorMessage="1" xr:uid="{6AD2D950-A751-4E8A-BE55-47D5B8964FF5}">
          <x14:formula1>
            <xm:f>'DATOS INICIALES'!$A$50:$A$51</xm:f>
          </x14:formula1>
          <xm:sqref>D69:J69 D47:J47</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74"/>
  <sheetViews>
    <sheetView view="pageBreakPreview" zoomScale="40" zoomScaleNormal="55" zoomScaleSheetLayoutView="40" workbookViewId="0">
      <pane ySplit="11" topLeftCell="A38" activePane="bottomLeft" state="frozenSplit"/>
      <selection activeCell="C9" sqref="C9:I9"/>
      <selection pane="bottomLeft" activeCell="D28" sqref="D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12</v>
      </c>
      <c r="B11" s="2" t="s">
        <v>24</v>
      </c>
      <c r="C11" s="342" t="str">
        <f>VLOOKUP(A11,PROPONENTES!A10:B46,2,FALSE)</f>
        <v>INGENIEROS CONSTRUCTORES Y ASESORES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3</v>
      </c>
      <c r="J14" s="169">
        <f>+L8</f>
        <v>405.24573153846154</v>
      </c>
      <c r="K14" s="169">
        <f>+E20</f>
        <v>2345.355</v>
      </c>
      <c r="L14" s="18" t="str">
        <f>IF(K14&gt;=J14,"CUMPLE","NO CUMPLE")</f>
        <v>CUMPLE</v>
      </c>
    </row>
    <row r="15" spans="1:12" ht="66.75" customHeight="1" x14ac:dyDescent="0.25">
      <c r="B15" s="314"/>
      <c r="C15" s="98" t="str">
        <f>IF(VLOOKUP(C11,PROPONENTES!B10:N46,2,FALSE)=0,"",VLOOKUP(C11,PROPONENTES!B10:N46,2,FALSE))</f>
        <v>INGENIEROS CONSTRUCTORES Y ASESORES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2345.355</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2345.355</v>
      </c>
      <c r="J16" s="169">
        <f>+L8*0.7</f>
        <v>283.67201207692307</v>
      </c>
      <c r="K16" s="18" t="str">
        <f>IF(I16&gt;=J16,"CUMPLE","NO CUMPLE")</f>
        <v>CUMPLE</v>
      </c>
      <c r="L16" s="305">
        <f>AVERAGEIF(D68:J68,"CUMPLE",D46:J46)</f>
        <v>781.78499999999997</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2345.355</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239</v>
      </c>
      <c r="E24" s="88" t="s">
        <v>239</v>
      </c>
      <c r="F24" s="88" t="s">
        <v>239</v>
      </c>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397</v>
      </c>
      <c r="E27" s="89" t="s">
        <v>398</v>
      </c>
      <c r="F27" s="89" t="s">
        <v>399</v>
      </c>
      <c r="G27" s="89"/>
      <c r="H27" s="89"/>
      <c r="I27" s="89"/>
      <c r="J27" s="89"/>
      <c r="K27" s="297"/>
      <c r="L27" s="298"/>
    </row>
    <row r="28" spans="2:14" ht="156.75" customHeight="1" x14ac:dyDescent="0.25">
      <c r="B28" s="319"/>
      <c r="C28" s="27" t="s">
        <v>36</v>
      </c>
      <c r="D28" s="89" t="s">
        <v>572</v>
      </c>
      <c r="E28" s="89" t="s">
        <v>573</v>
      </c>
      <c r="F28" s="89" t="s">
        <v>574</v>
      </c>
      <c r="G28" s="89"/>
      <c r="H28" s="89"/>
      <c r="I28" s="89"/>
      <c r="J28" s="89"/>
      <c r="K28" s="297"/>
      <c r="L28" s="298"/>
    </row>
    <row r="29" spans="2:14" ht="52.5" customHeight="1" x14ac:dyDescent="0.25">
      <c r="B29" s="319"/>
      <c r="C29" s="27" t="s">
        <v>165</v>
      </c>
      <c r="D29" s="93">
        <v>43628</v>
      </c>
      <c r="E29" s="93">
        <v>44372</v>
      </c>
      <c r="F29" s="93">
        <v>44502</v>
      </c>
      <c r="G29" s="93"/>
      <c r="H29" s="93"/>
      <c r="I29" s="93"/>
      <c r="J29" s="93"/>
      <c r="K29" s="297"/>
      <c r="L29" s="298"/>
    </row>
    <row r="30" spans="2:14" ht="54.75" customHeight="1" x14ac:dyDescent="0.25">
      <c r="B30" s="319"/>
      <c r="C30" s="27" t="s">
        <v>40</v>
      </c>
      <c r="D30" s="93">
        <v>44052</v>
      </c>
      <c r="E30" s="93">
        <v>44755</v>
      </c>
      <c r="F30" s="93">
        <v>44898</v>
      </c>
      <c r="G30" s="93"/>
      <c r="H30" s="93"/>
      <c r="I30" s="93"/>
      <c r="J30" s="93"/>
      <c r="K30" s="297"/>
      <c r="L30" s="298"/>
    </row>
    <row r="31" spans="2:14" ht="41.25" customHeight="1" x14ac:dyDescent="0.25">
      <c r="B31" s="319"/>
      <c r="C31" s="27" t="s">
        <v>37</v>
      </c>
      <c r="D31" s="90">
        <v>2020</v>
      </c>
      <c r="E31" s="90">
        <v>2022</v>
      </c>
      <c r="F31" s="90">
        <v>2022</v>
      </c>
      <c r="G31" s="90"/>
      <c r="H31" s="90"/>
      <c r="I31" s="90"/>
      <c r="J31" s="90"/>
      <c r="K31" s="297"/>
      <c r="L31" s="298"/>
    </row>
    <row r="32" spans="2:14" ht="63" customHeight="1" x14ac:dyDescent="0.25">
      <c r="B32" s="319"/>
      <c r="C32" s="27" t="s">
        <v>38</v>
      </c>
      <c r="D32" s="89" t="s">
        <v>400</v>
      </c>
      <c r="E32" s="89" t="s">
        <v>401</v>
      </c>
      <c r="F32" s="89" t="s">
        <v>401</v>
      </c>
      <c r="G32" s="89"/>
      <c r="H32" s="89"/>
      <c r="I32" s="89"/>
      <c r="J32" s="89"/>
      <c r="K32" s="297"/>
      <c r="L32" s="298"/>
    </row>
    <row r="33" spans="2:12" ht="46.5" customHeight="1" x14ac:dyDescent="0.25">
      <c r="B33" s="319"/>
      <c r="C33" s="27" t="s">
        <v>39</v>
      </c>
      <c r="D33" s="89" t="s">
        <v>402</v>
      </c>
      <c r="E33" s="89" t="s">
        <v>402</v>
      </c>
      <c r="F33" s="89" t="s">
        <v>403</v>
      </c>
      <c r="G33" s="89"/>
      <c r="H33" s="89"/>
      <c r="I33" s="89"/>
      <c r="J33" s="89"/>
      <c r="K33" s="297"/>
      <c r="L33" s="298"/>
    </row>
    <row r="34" spans="2:12" ht="27.75" customHeight="1" x14ac:dyDescent="0.25">
      <c r="B34" s="319"/>
      <c r="C34" s="28" t="s">
        <v>33</v>
      </c>
      <c r="D34" s="94">
        <v>24</v>
      </c>
      <c r="E34" s="94">
        <v>76</v>
      </c>
      <c r="F34" s="94">
        <v>78</v>
      </c>
      <c r="G34" s="95"/>
      <c r="H34" s="95"/>
      <c r="I34" s="95"/>
      <c r="J34" s="95"/>
      <c r="K34" s="297"/>
      <c r="L34" s="298"/>
    </row>
    <row r="35" spans="2:12" ht="102.75" customHeight="1" x14ac:dyDescent="0.25">
      <c r="B35" s="319"/>
      <c r="C35" s="27" t="s">
        <v>124</v>
      </c>
      <c r="D35" s="91">
        <v>1430.49</v>
      </c>
      <c r="E35" s="91">
        <v>629.80999999999995</v>
      </c>
      <c r="F35" s="91">
        <v>570.11</v>
      </c>
      <c r="G35" s="91"/>
      <c r="H35" s="91"/>
      <c r="I35" s="91"/>
      <c r="J35" s="91"/>
      <c r="K35" s="299"/>
      <c r="L35" s="300"/>
    </row>
    <row r="36" spans="2:12" ht="48" customHeight="1" x14ac:dyDescent="0.25">
      <c r="B36" s="319"/>
      <c r="C36" s="27" t="s">
        <v>72</v>
      </c>
      <c r="D36" s="103">
        <f>IFERROR(D35*VLOOKUP(D31,'DATOS INICIALES'!$A$12:$B$43,2,0),"0")</f>
        <v>1255688413.47</v>
      </c>
      <c r="E36" s="103">
        <f>IFERROR(E35*VLOOKUP(E31,'DATOS INICIALES'!$A$12:$B$43,2,0),"0")</f>
        <v>629810000</v>
      </c>
      <c r="F36" s="103">
        <f>IFERROR(F35*VLOOKUP(F31,'DATOS INICIALES'!$A$12:$B$43,2,0),"0")</f>
        <v>570110000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v>0.5</v>
      </c>
      <c r="G37" s="92"/>
      <c r="H37" s="92"/>
      <c r="I37" s="92"/>
      <c r="J37" s="92"/>
      <c r="K37" s="297"/>
      <c r="L37" s="298"/>
    </row>
    <row r="38" spans="2:12" ht="48.75" customHeight="1" x14ac:dyDescent="0.25">
      <c r="B38" s="319"/>
      <c r="C38" s="27" t="s">
        <v>131</v>
      </c>
      <c r="D38" s="103">
        <f t="shared" ref="D38:J38" si="0">IF(D24="","0",D37*D36)</f>
        <v>1255688413.47</v>
      </c>
      <c r="E38" s="103">
        <f t="shared" si="0"/>
        <v>629810000</v>
      </c>
      <c r="F38" s="103">
        <f t="shared" si="0"/>
        <v>285055000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1430.49</v>
      </c>
      <c r="E39" s="104">
        <f t="shared" si="1"/>
        <v>629.80999999999995</v>
      </c>
      <c r="F39" s="104">
        <f t="shared" si="1"/>
        <v>285.05500000000001</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1430.49</v>
      </c>
      <c r="E46" s="104">
        <f t="shared" ref="E46:G46" si="6">+E39+E42+E45</f>
        <v>629.80999999999995</v>
      </c>
      <c r="F46" s="104">
        <f t="shared" si="6"/>
        <v>285.05500000000001</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c r="H47" s="88"/>
      <c r="I47" s="88"/>
      <c r="J47" s="88"/>
      <c r="K47" s="297"/>
      <c r="L47" s="298"/>
    </row>
    <row r="48" spans="2:12" ht="24.75" customHeight="1" x14ac:dyDescent="0.25">
      <c r="B48" s="315" t="s">
        <v>34</v>
      </c>
      <c r="C48" s="29">
        <f>+'DATOS INICIALES'!D22</f>
        <v>81141500</v>
      </c>
      <c r="D48" s="94" t="s">
        <v>73</v>
      </c>
      <c r="E48" s="94" t="s">
        <v>73</v>
      </c>
      <c r="F48" s="94" t="s">
        <v>75</v>
      </c>
      <c r="G48" s="94"/>
      <c r="H48" s="94"/>
      <c r="I48" s="94"/>
      <c r="J48" s="95"/>
      <c r="K48" s="297"/>
      <c r="L48" s="298"/>
    </row>
    <row r="49" spans="2:12" ht="24.75" customHeight="1" x14ac:dyDescent="0.25">
      <c r="B49" s="316"/>
      <c r="C49" s="29">
        <f>+'DATOS INICIALES'!D23</f>
        <v>80101500</v>
      </c>
      <c r="D49" s="94" t="s">
        <v>75</v>
      </c>
      <c r="E49" s="94" t="s">
        <v>75</v>
      </c>
      <c r="F49" s="94" t="s">
        <v>75</v>
      </c>
      <c r="G49" s="94"/>
      <c r="H49" s="94"/>
      <c r="I49" s="94"/>
      <c r="J49" s="95"/>
      <c r="K49" s="297"/>
      <c r="L49" s="298"/>
    </row>
    <row r="50" spans="2:12" ht="24.75" customHeight="1" x14ac:dyDescent="0.25">
      <c r="B50" s="316"/>
      <c r="C50" s="29">
        <f>+'DATOS INICIALES'!D24</f>
        <v>80101600</v>
      </c>
      <c r="D50" s="94" t="s">
        <v>75</v>
      </c>
      <c r="E50" s="94" t="s">
        <v>75</v>
      </c>
      <c r="F50" s="94" t="s">
        <v>75</v>
      </c>
      <c r="G50" s="94"/>
      <c r="H50" s="94"/>
      <c r="I50" s="94"/>
      <c r="J50" s="95"/>
      <c r="K50" s="297"/>
      <c r="L50" s="298"/>
    </row>
    <row r="51" spans="2:12" ht="24.75" customHeight="1" x14ac:dyDescent="0.25">
      <c r="B51" s="316"/>
      <c r="C51" s="29">
        <f>+'DATOS INICIALES'!D25</f>
        <v>81101500</v>
      </c>
      <c r="D51" s="94" t="s">
        <v>73</v>
      </c>
      <c r="E51" s="94" t="s">
        <v>75</v>
      </c>
      <c r="F51" s="94" t="s">
        <v>75</v>
      </c>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14</v>
      </c>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c r="H61" s="88"/>
      <c r="I61" s="88"/>
      <c r="J61" s="88"/>
      <c r="K61" s="297"/>
      <c r="L61" s="298"/>
    </row>
    <row r="62" spans="2:12" ht="45" customHeight="1" x14ac:dyDescent="0.25">
      <c r="B62" s="290" t="s">
        <v>207</v>
      </c>
      <c r="C62" s="291"/>
      <c r="D62" s="88" t="s">
        <v>14</v>
      </c>
      <c r="E62" s="88" t="s">
        <v>14</v>
      </c>
      <c r="F62" s="88" t="s">
        <v>14</v>
      </c>
      <c r="G62" s="88"/>
      <c r="H62" s="88"/>
      <c r="I62" s="88"/>
      <c r="J62" s="88"/>
      <c r="K62" s="297"/>
      <c r="L62" s="298"/>
    </row>
    <row r="63" spans="2:12" ht="181.5" customHeight="1" x14ac:dyDescent="0.25">
      <c r="B63" s="290" t="s">
        <v>218</v>
      </c>
      <c r="C63" s="291"/>
      <c r="D63" s="88" t="s">
        <v>13</v>
      </c>
      <c r="E63" s="88" t="s">
        <v>13</v>
      </c>
      <c r="F63" s="88" t="s">
        <v>13</v>
      </c>
      <c r="G63" s="88"/>
      <c r="H63" s="88"/>
      <c r="I63" s="88"/>
      <c r="J63" s="88"/>
      <c r="K63" s="297"/>
      <c r="L63" s="298"/>
    </row>
    <row r="64" spans="2:12" ht="336" customHeight="1" x14ac:dyDescent="0.25">
      <c r="B64" s="242" t="s">
        <v>220</v>
      </c>
      <c r="C64" s="242"/>
      <c r="D64" s="88" t="s">
        <v>14</v>
      </c>
      <c r="E64" s="88" t="s">
        <v>14</v>
      </c>
      <c r="F64" s="88" t="s">
        <v>14</v>
      </c>
      <c r="G64" s="88"/>
      <c r="H64" s="88"/>
      <c r="I64" s="88"/>
      <c r="J64" s="88"/>
      <c r="K64" s="299"/>
      <c r="L64" s="300"/>
    </row>
    <row r="65" spans="2:12" ht="143.25" customHeight="1" x14ac:dyDescent="0.25">
      <c r="B65" s="293" t="s">
        <v>221</v>
      </c>
      <c r="C65" s="294"/>
      <c r="D65" s="88" t="s">
        <v>13</v>
      </c>
      <c r="E65" s="88" t="s">
        <v>13</v>
      </c>
      <c r="F65" s="88" t="s">
        <v>13</v>
      </c>
      <c r="G65" s="88"/>
      <c r="H65" s="88"/>
      <c r="I65" s="88"/>
      <c r="J65" s="88"/>
      <c r="K65" s="297"/>
      <c r="L65" s="298"/>
    </row>
    <row r="66" spans="2:12" ht="408.75" customHeight="1" x14ac:dyDescent="0.25">
      <c r="B66" s="292" t="s">
        <v>208</v>
      </c>
      <c r="C66" s="292"/>
      <c r="D66" s="88" t="s">
        <v>13</v>
      </c>
      <c r="E66" s="88" t="s">
        <v>13</v>
      </c>
      <c r="F66" s="88" t="s">
        <v>13</v>
      </c>
      <c r="G66" s="88"/>
      <c r="H66" s="88"/>
      <c r="I66" s="88"/>
      <c r="J66" s="88"/>
      <c r="K66" s="297"/>
      <c r="L66" s="298"/>
    </row>
    <row r="67" spans="2:12" ht="312.75" customHeight="1" x14ac:dyDescent="0.25">
      <c r="B67" s="242" t="s">
        <v>209</v>
      </c>
      <c r="C67" s="242"/>
      <c r="D67" s="88" t="s">
        <v>14</v>
      </c>
      <c r="E67" s="88" t="s">
        <v>14</v>
      </c>
      <c r="F67" s="88" t="s">
        <v>14</v>
      </c>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CUMPLE</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t="s">
        <v>14</v>
      </c>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notContainsErrors" dxfId="1500" priority="41">
      <formula>NOT(ISERROR(D73))</formula>
    </cfRule>
    <cfRule type="cellIs" dxfId="1499" priority="43" operator="equal">
      <formula>"CUMPLE"</formula>
    </cfRule>
    <cfRule type="cellIs" dxfId="1498" priority="42" operator="equal">
      <formula>"NO CUMPLE"</formula>
    </cfRule>
    <cfRule type="containsBlanks" dxfId="1497" priority="40">
      <formula>LEN(TRIM(D73))=0</formula>
    </cfRule>
  </conditionalFormatting>
  <conditionalFormatting sqref="D74">
    <cfRule type="cellIs" dxfId="1496" priority="45" operator="equal">
      <formula>"CUMPLE"</formula>
    </cfRule>
    <cfRule type="cellIs" dxfId="1495" priority="47" operator="equal">
      <formula>"""CUMPLE"""</formula>
    </cfRule>
    <cfRule type="cellIs" dxfId="1494" priority="44" operator="equal">
      <formula>"N/A"</formula>
    </cfRule>
    <cfRule type="cellIs" dxfId="1493" priority="46" operator="equal">
      <formula>"NO CUMPLE"</formula>
    </cfRule>
  </conditionalFormatting>
  <conditionalFormatting sqref="D25:J35">
    <cfRule type="notContainsErrors" dxfId="1492" priority="18">
      <formula>NOT(ISERROR(D25))</formula>
    </cfRule>
    <cfRule type="containsBlanks" dxfId="1491" priority="17">
      <formula>LEN(TRIM(D25))=0</formula>
    </cfRule>
  </conditionalFormatting>
  <conditionalFormatting sqref="D34:J34 D24:K24">
    <cfRule type="containsBlanks" dxfId="1490" priority="19">
      <formula>LEN(TRIM(D24))=0</formula>
    </cfRule>
  </conditionalFormatting>
  <conditionalFormatting sqref="D37:J37">
    <cfRule type="containsBlanks" dxfId="1489" priority="15">
      <formula>LEN(TRIM(D37))=0</formula>
    </cfRule>
    <cfRule type="notContainsErrors" dxfId="1488" priority="16">
      <formula>NOT(ISERROR(D37))</formula>
    </cfRule>
  </conditionalFormatting>
  <conditionalFormatting sqref="D40:J40 D43:J43 K68:L68">
    <cfRule type="notContainsErrors" dxfId="1487" priority="65">
      <formula>NOT(ISERROR(D40))</formula>
    </cfRule>
    <cfRule type="containsBlanks" dxfId="1486" priority="64">
      <formula>LEN(TRIM(D40))=0</formula>
    </cfRule>
  </conditionalFormatting>
  <conditionalFormatting sqref="D47:J54">
    <cfRule type="containsBlanks" dxfId="1485" priority="13">
      <formula>LEN(TRIM(D47))=0</formula>
    </cfRule>
    <cfRule type="notContainsErrors" dxfId="1484" priority="14">
      <formula>NOT(ISERROR(D47))</formula>
    </cfRule>
    <cfRule type="cellIs" dxfId="1483" priority="11" operator="equal">
      <formula>"NO CUMPLE"</formula>
    </cfRule>
    <cfRule type="cellIs" dxfId="1482" priority="12" operator="equal">
      <formula>"CUMPLE"</formula>
    </cfRule>
  </conditionalFormatting>
  <conditionalFormatting sqref="D55:J55">
    <cfRule type="cellIs" dxfId="1481" priority="71" operator="equal">
      <formula>"CUMPLE"</formula>
    </cfRule>
    <cfRule type="cellIs" dxfId="1480" priority="70" operator="equal">
      <formula>"N/A"</formula>
    </cfRule>
    <cfRule type="cellIs" dxfId="1479" priority="72" operator="equal">
      <formula>"NO CUMPLE"</formula>
    </cfRule>
    <cfRule type="cellIs" dxfId="1478" priority="73" operator="equal">
      <formula>"""CUMPLE"""</formula>
    </cfRule>
  </conditionalFormatting>
  <conditionalFormatting sqref="D56:J60">
    <cfRule type="notContainsErrors" dxfId="1477" priority="8">
      <formula>NOT(ISERROR(D56))</formula>
    </cfRule>
    <cfRule type="containsBlanks" dxfId="1476" priority="7">
      <formula>LEN(TRIM(D56))=0</formula>
    </cfRule>
  </conditionalFormatting>
  <conditionalFormatting sqref="D56:J67">
    <cfRule type="cellIs" dxfId="1475" priority="6" operator="equal">
      <formula>"CUMPLE"</formula>
    </cfRule>
    <cfRule type="cellIs" dxfId="1474" priority="5" operator="equal">
      <formula>"NO CUMPLE"</formula>
    </cfRule>
  </conditionalFormatting>
  <conditionalFormatting sqref="D68:J68">
    <cfRule type="cellIs" dxfId="1473" priority="67" operator="equal">
      <formula>"CUMPLE"</formula>
    </cfRule>
    <cfRule type="cellIs" dxfId="1472" priority="68" operator="equal">
      <formula>"NO CUMPLE"</formula>
    </cfRule>
    <cfRule type="cellIs" dxfId="1471" priority="69" operator="equal">
      <formula>"""CUMPLE"""</formula>
    </cfRule>
    <cfRule type="cellIs" dxfId="1470" priority="66" operator="equal">
      <formula>"N/A"</formula>
    </cfRule>
  </conditionalFormatting>
  <conditionalFormatting sqref="D69:J69">
    <cfRule type="cellIs" dxfId="1469" priority="2" operator="equal">
      <formula>"CUMPLE"</formula>
    </cfRule>
    <cfRule type="cellIs" dxfId="1468" priority="1" operator="equal">
      <formula>"NO CUMPLE"</formula>
    </cfRule>
  </conditionalFormatting>
  <conditionalFormatting sqref="D24:K24 D34:J34">
    <cfRule type="notContainsErrors" dxfId="1467" priority="20">
      <formula>NOT(ISERROR(D24))</formula>
    </cfRule>
  </conditionalFormatting>
  <conditionalFormatting sqref="D61:K67">
    <cfRule type="notContainsErrors" dxfId="1466" priority="10">
      <formula>NOT(ISERROR(D61))</formula>
    </cfRule>
    <cfRule type="containsBlanks" dxfId="1465" priority="9">
      <formula>LEN(TRIM(D61))=0</formula>
    </cfRule>
  </conditionalFormatting>
  <conditionalFormatting sqref="D69:K69">
    <cfRule type="containsBlanks" dxfId="1464" priority="3">
      <formula>LEN(TRIM(D69))=0</formula>
    </cfRule>
    <cfRule type="notContainsErrors" dxfId="1463" priority="4">
      <formula>NOT(ISERROR(D69))</formula>
    </cfRule>
  </conditionalFormatting>
  <conditionalFormatting sqref="E73:E74">
    <cfRule type="containsBlanks" dxfId="1462" priority="38">
      <formula>LEN(TRIM(E73))=0</formula>
    </cfRule>
    <cfRule type="notContainsErrors" dxfId="1461" priority="39">
      <formula>NOT(ISERROR(E73))</formula>
    </cfRule>
  </conditionalFormatting>
  <conditionalFormatting sqref="F20:H20">
    <cfRule type="cellIs" dxfId="1460" priority="77" operator="equal">
      <formula>"CUMPLE"</formula>
    </cfRule>
    <cfRule type="cellIs" dxfId="1459" priority="78" operator="equal">
      <formula>"NO CUMPLE"</formula>
    </cfRule>
    <cfRule type="cellIs" dxfId="1458" priority="79" operator="equal">
      <formula>"""CUMPLE"""</formula>
    </cfRule>
  </conditionalFormatting>
  <conditionalFormatting sqref="I11">
    <cfRule type="containsText" dxfId="1457" priority="83" operator="containsText" text="NO CUMPLE">
      <formula>NOT(ISERROR(SEARCH("NO CUMPLE",I11)))</formula>
    </cfRule>
    <cfRule type="containsText" dxfId="1456" priority="80" operator="containsText" text="INHABILITADO">
      <formula>NOT(ISERROR(SEARCH("INHABILITADO",I11)))</formula>
    </cfRule>
    <cfRule type="containsText" dxfId="1455" priority="81" operator="containsText" text="HABILITADO">
      <formula>NOT(ISERROR(SEARCH("HABILITADO",I11)))</formula>
    </cfRule>
    <cfRule type="containsText" dxfId="1454" priority="82" operator="containsText" text="HABILITADO">
      <formula>NOT(ISERROR(SEARCH("HABILITADO",I11)))</formula>
    </cfRule>
  </conditionalFormatting>
  <conditionalFormatting sqref="J20">
    <cfRule type="cellIs" dxfId="1453" priority="58" operator="equal">
      <formula>"NO"</formula>
    </cfRule>
    <cfRule type="cellIs" dxfId="1452" priority="59" operator="equal">
      <formula>"SI"</formula>
    </cfRule>
  </conditionalFormatting>
  <conditionalFormatting sqref="K16">
    <cfRule type="cellIs" dxfId="1451" priority="31" operator="equal">
      <formula>"CUMPLE"</formula>
    </cfRule>
    <cfRule type="cellIs" dxfId="1450" priority="32" operator="equal">
      <formula>"NO CUMPLE"</formula>
    </cfRule>
    <cfRule type="cellIs" dxfId="1449" priority="33" operator="equal">
      <formula>"""CUMPLE"""</formula>
    </cfRule>
  </conditionalFormatting>
  <conditionalFormatting sqref="K25:K60">
    <cfRule type="containsBlanks" dxfId="1448" priority="48">
      <formula>LEN(TRIM(K25))=0</formula>
    </cfRule>
    <cfRule type="notContainsErrors" dxfId="1447" priority="49">
      <formula>NOT(ISERROR(K25))</formula>
    </cfRule>
  </conditionalFormatting>
  <conditionalFormatting sqref="L14">
    <cfRule type="cellIs" dxfId="1446" priority="74" operator="equal">
      <formula>"CUMPLE"</formula>
    </cfRule>
    <cfRule type="cellIs" dxfId="1445" priority="75" operator="equal">
      <formula>"NO CUMPLE"</formula>
    </cfRule>
    <cfRule type="cellIs" dxfId="1444" priority="76" operator="equal">
      <formula>"""CUMPLE"""</formula>
    </cfRule>
  </conditionalFormatting>
  <conditionalFormatting sqref="L20">
    <cfRule type="cellIs" dxfId="1443" priority="56" operator="equal">
      <formula>"NO"</formula>
    </cfRule>
    <cfRule type="cellIs" dxfId="1442" priority="57" operator="equal">
      <formula>"SI"</formula>
    </cfRule>
  </conditionalFormatting>
  <dataValidations count="4">
    <dataValidation type="list" allowBlank="1" showInputMessage="1" showErrorMessage="1" sqref="J48:J53" xr:uid="{19D2C2AC-BA0A-4FD0-B679-D968C6ADD173}">
      <formula1>$C$45:$C$46</formula1>
    </dataValidation>
    <dataValidation type="list" allowBlank="1" showInputMessage="1" showErrorMessage="1" sqref="D73 J56:J60 G62:J67" xr:uid="{5547A729-F9F1-42C8-AE03-96A736BAF079}">
      <formula1>$A$50:$A$52</formula1>
    </dataValidation>
    <dataValidation type="list" allowBlank="1" showInputMessage="1" showErrorMessage="1" sqref="L61:L69" xr:uid="{9D4EABDB-FA54-4DE1-9714-2FEE8103FE98}">
      <formula1>"0,1,2,3,4,5,6"</formula1>
    </dataValidation>
    <dataValidation type="list" allowBlank="1" showInputMessage="1" showErrorMessage="1" sqref="D24:J26" xr:uid="{C93C4E79-EC4E-4296-BBB4-5C834DFD4014}">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606CD263-9F3F-4B89-9654-72C720D05E47}">
          <x14:formula1>
            <xm:f>'DATOS INICIALES'!$C$45:$C$46</xm:f>
          </x14:formula1>
          <xm:sqref>G48:I54 D52:F54</xm:sqref>
        </x14:dataValidation>
        <x14:dataValidation type="list" allowBlank="1" showInputMessage="1" showErrorMessage="1" xr:uid="{72395866-5D7D-4F4D-9A48-CC0AEA56E767}">
          <x14:formula1>
            <xm:f>'DATOS INICIALES'!$A$50:$A$52</xm:f>
          </x14:formula1>
          <xm:sqref>G56:I61</xm:sqref>
        </x14:dataValidation>
        <x14:dataValidation type="list" allowBlank="1" showInputMessage="1" showErrorMessage="1" xr:uid="{EDF85FB6-478D-4150-BE2C-80933705334A}">
          <x14:formula1>
            <xm:f>'DATOS INICIALES'!$A$54:$A$59</xm:f>
          </x14:formula1>
          <xm:sqref>D23:I23</xm:sqref>
        </x14:dataValidation>
        <x14:dataValidation type="list" allowBlank="1" showInputMessage="1" showErrorMessage="1" xr:uid="{BBD8AD18-1794-4CC5-94C9-5F9FC0D15ED2}">
          <x14:formula1>
            <xm:f>'DATOS INICIALES'!$D$22:$D$26</xm:f>
          </x14:formula1>
          <xm:sqref>M48:M55</xm:sqref>
        </x14:dataValidation>
        <x14:dataValidation type="list" allowBlank="1" showInputMessage="1" showErrorMessage="1" xr:uid="{A8C82D91-6EDD-4AAF-AB8B-FA931571A081}">
          <x14:formula1>
            <xm:f>'DATOS INICIALES'!$A$13:$A$43</xm:f>
          </x14:formula1>
          <xm:sqref>G31:I31</xm:sqref>
        </x14:dataValidation>
        <x14:dataValidation type="list" allowBlank="1" showInputMessage="1" showErrorMessage="1" xr:uid="{C7DD3909-1EAC-4A54-B222-82F9A9E52937}">
          <x14:formula1>
            <xm:f>'DATOS INICIALES'!$A$50:$A$51</xm:f>
          </x14:formula1>
          <xm:sqref>D47:J47 G69:J69</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C00000"/>
  </sheetPr>
  <dimension ref="A1:N74"/>
  <sheetViews>
    <sheetView view="pageBreakPreview" zoomScale="40" zoomScaleNormal="55" zoomScaleSheetLayoutView="40" workbookViewId="0">
      <pane ySplit="11" topLeftCell="A12" activePane="bottomLeft" state="frozenSplit"/>
      <selection activeCell="C9" sqref="C9:I9"/>
      <selection pane="bottomLeft" activeCell="E69" sqref="E69"/>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13</v>
      </c>
      <c r="B11" s="2" t="s">
        <v>24</v>
      </c>
      <c r="C11" s="342" t="str">
        <f>VLOOKUP(A11,PROPONENTES!A10:B46,2,FALSE)</f>
        <v>CONSORCIO INTERVENTOR ANFAO</v>
      </c>
      <c r="D11" s="342"/>
      <c r="E11" s="342"/>
      <c r="F11" s="342"/>
      <c r="G11" s="342"/>
      <c r="H11" s="144" t="s">
        <v>166</v>
      </c>
      <c r="I11" s="346" t="str">
        <f>IF(AND(F20="CUMPLE",G20="CUMPLE",H20="CUMPLE",L14="CUMPLE",D74="CUMPLE",K16="CUMPLE"),"CUMPLE","NO CUMPLE")</f>
        <v>NO 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0</v>
      </c>
      <c r="J14" s="169">
        <f>+L8</f>
        <v>405.24573153846154</v>
      </c>
      <c r="K14" s="169">
        <f>+E20</f>
        <v>0</v>
      </c>
      <c r="L14" s="18" t="str">
        <f>IF(K14&gt;=J14,"CUMPLE","NO CUMPLE")</f>
        <v>NO CUMPLE</v>
      </c>
    </row>
    <row r="15" spans="1:12" ht="66.75" customHeight="1" x14ac:dyDescent="0.25">
      <c r="B15" s="314"/>
      <c r="C15" s="98" t="str">
        <f>IF(VLOOKUP(C11,PROPONENTES!B10:N46,2,FALSE)=0,"",VLOOKUP(C11,PROPONENTES!B10:N46,2,FALSE))</f>
        <v xml:space="preserve">GRUPO FAO SAS </v>
      </c>
      <c r="D15" s="99">
        <f>IF(VLOOKUP(C11,PROPONENTES!B10:N46,3,FALSE)=0,"",VLOOKUP(C11,PROPONENTES!B10:N46,3,FALSE))</f>
        <v>0.9</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0</v>
      </c>
      <c r="F15" s="101" t="str">
        <f>IF(C15="","",IF(E15&gt;=$J$14*0.5,"SI","NO"))</f>
        <v>NO</v>
      </c>
      <c r="G15" s="102" t="str">
        <f>IF(C15="","",IF(E15&gt;=$J$14*0.05,"SI",IF(E15=0,"NO APORTA EXPERIENCIA",)))</f>
        <v>NO APORTA EXPERIENCIA</v>
      </c>
      <c r="H15" s="102" t="str">
        <f>IF(C15="","",IF(AND(G15="NO APORTA EXPERIENCIA",D15&lt;=10%),"SI",IF(G15="SI","NO APLICA","NO - PORCENTAJE MAYOR AL 10%")))</f>
        <v>NO - PORCENTAJE MAYOR AL 10%</v>
      </c>
      <c r="I15" s="68" t="s">
        <v>224</v>
      </c>
      <c r="J15" s="68" t="s">
        <v>223</v>
      </c>
      <c r="K15" s="68" t="s">
        <v>69</v>
      </c>
      <c r="L15" s="68" t="s">
        <v>205</v>
      </c>
    </row>
    <row r="16" spans="1:12" ht="33.75" customHeight="1" x14ac:dyDescent="0.25">
      <c r="B16" s="314"/>
      <c r="C16" s="98" t="str">
        <f>IF(VLOOKUP(C11,PROPONENTES!B10:N46,4,FALSE)=0,"",VLOOKUP(C11,PROPONENTES!B10:N46,4,FALSE))</f>
        <v>ANDINA DE CONSULTORÍA Y CONSTRUCCIONES SAS</v>
      </c>
      <c r="D16" s="99">
        <f>IF(VLOOKUP(C11,PROPONENTES!B10:N46,5,FALSE)=0,"",VLOOKUP(C11,PROPONENTES!B10:N46,5,FALSE))</f>
        <v>0.1</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SI</v>
      </c>
      <c r="I16" s="169">
        <f>SUMIF(D69:J69,"CUMPLE",D39:J39)+SUMIF(D69:J69,"CUMPLE",D42:J42)+SUMIF(D69:J69,"CUMPLE",D45:J45)</f>
        <v>0</v>
      </c>
      <c r="J16" s="169">
        <f>+L8*0.7</f>
        <v>283.67201207692307</v>
      </c>
      <c r="K16" s="18" t="str">
        <f>IF(I16&gt;=J16,"CUMPLE","NO CUMPLE")</f>
        <v>NO CUMPLE</v>
      </c>
      <c r="L16" s="305" t="e">
        <f>AVERAGEIF(D68:J68,"CUMPLE",D46:J46)</f>
        <v>#DIV/0!</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 HAY MAS DE UN (1) INTEGRANTE QUE NO APORTA EXPERIENCIA</v>
      </c>
      <c r="H20" s="18" t="str">
        <f>IF(COUNTIF(E15:E19,0)&gt;1,"NO CUMPLE, HAY MAS DE UN (1) INTEGRANTE QUE NO APORTA EXPERIENCIA",IF(AND(OR(H15="NO APLICA",H15="SI",H15=""),OR(H16="NO APLICA",H16="SI",H16=""),OR(H17="NO APLICA",H17="SI",H17=""),OR(H18="NO APLICA",H18="SI",H18=""),OR(H19="NO APLICA",H19="SI",H19="")),"CUMPLE","NO CUMPLE"))</f>
        <v>NO CUMPLE, HAY MAS DE UN (1) INTEGRANTE QUE NO APORTA EXPERIENCIA</v>
      </c>
      <c r="I20" s="68" t="s">
        <v>168</v>
      </c>
      <c r="J20" s="141" t="str">
        <f>IF(VLOOKUP(C11,PUNTAJE!B15:AD109,25,FALSE)=0.25,"SI","NO")</f>
        <v>NO</v>
      </c>
      <c r="K20" s="68" t="s">
        <v>167</v>
      </c>
      <c r="L20" s="141" t="str">
        <f>IF(VLOOKUP(C11,PUNTAJE!B15:AD109,29,FALSE)=0.25,"SI","NO")</f>
        <v>NO</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c r="E27" s="89"/>
      <c r="F27" s="89"/>
      <c r="G27" s="89"/>
      <c r="H27" s="89"/>
      <c r="I27" s="89"/>
      <c r="J27" s="89"/>
      <c r="K27" s="297"/>
      <c r="L27" s="298"/>
    </row>
    <row r="28" spans="2:14" ht="156.75" customHeight="1" x14ac:dyDescent="0.25">
      <c r="B28" s="319"/>
      <c r="C28" s="27" t="s">
        <v>36</v>
      </c>
      <c r="D28" s="89"/>
      <c r="E28" s="89"/>
      <c r="F28" s="89"/>
      <c r="G28" s="89"/>
      <c r="H28" s="89"/>
      <c r="I28" s="89"/>
      <c r="J28" s="89"/>
      <c r="K28" s="297"/>
      <c r="L28" s="298"/>
    </row>
    <row r="29" spans="2:14" ht="52.5" customHeight="1" x14ac:dyDescent="0.25">
      <c r="B29" s="319"/>
      <c r="C29" s="27" t="s">
        <v>165</v>
      </c>
      <c r="D29" s="93"/>
      <c r="E29" s="93"/>
      <c r="F29" s="93"/>
      <c r="G29" s="93"/>
      <c r="H29" s="93"/>
      <c r="I29" s="93"/>
      <c r="J29" s="93"/>
      <c r="K29" s="297"/>
      <c r="L29" s="298"/>
    </row>
    <row r="30" spans="2:14" ht="54.75" customHeight="1" x14ac:dyDescent="0.25">
      <c r="B30" s="319"/>
      <c r="C30" s="27" t="s">
        <v>40</v>
      </c>
      <c r="D30" s="93"/>
      <c r="E30" s="93"/>
      <c r="F30" s="93"/>
      <c r="G30" s="93"/>
      <c r="H30" s="93"/>
      <c r="I30" s="93"/>
      <c r="J30" s="93"/>
      <c r="K30" s="297"/>
      <c r="L30" s="298"/>
    </row>
    <row r="31" spans="2:14" ht="41.25" customHeight="1" x14ac:dyDescent="0.25">
      <c r="B31" s="319"/>
      <c r="C31" s="27" t="s">
        <v>37</v>
      </c>
      <c r="D31" s="90"/>
      <c r="E31" s="90"/>
      <c r="F31" s="90"/>
      <c r="G31" s="90"/>
      <c r="H31" s="90"/>
      <c r="I31" s="90"/>
      <c r="J31" s="90"/>
      <c r="K31" s="297"/>
      <c r="L31" s="298"/>
    </row>
    <row r="32" spans="2:14" ht="63" customHeight="1" x14ac:dyDescent="0.25">
      <c r="B32" s="319"/>
      <c r="C32" s="27" t="s">
        <v>38</v>
      </c>
      <c r="D32" s="89"/>
      <c r="E32" s="89"/>
      <c r="F32" s="89"/>
      <c r="G32" s="89"/>
      <c r="H32" s="89"/>
      <c r="I32" s="89"/>
      <c r="J32" s="89"/>
      <c r="K32" s="297"/>
      <c r="L32" s="298"/>
    </row>
    <row r="33" spans="2:12" ht="46.5" customHeight="1" x14ac:dyDescent="0.25">
      <c r="B33" s="319"/>
      <c r="C33" s="27" t="s">
        <v>39</v>
      </c>
      <c r="D33" s="89"/>
      <c r="E33" s="89"/>
      <c r="F33" s="89"/>
      <c r="G33" s="89"/>
      <c r="H33" s="89"/>
      <c r="I33" s="89"/>
      <c r="J33" s="89"/>
      <c r="K33" s="297"/>
      <c r="L33" s="298"/>
    </row>
    <row r="34" spans="2:12" ht="27.75" customHeight="1" x14ac:dyDescent="0.25">
      <c r="B34" s="319"/>
      <c r="C34" s="28" t="s">
        <v>33</v>
      </c>
      <c r="D34" s="94"/>
      <c r="E34" s="94"/>
      <c r="F34" s="94"/>
      <c r="G34" s="95"/>
      <c r="H34" s="95"/>
      <c r="I34" s="95"/>
      <c r="J34" s="95"/>
      <c r="K34" s="297"/>
      <c r="L34" s="298"/>
    </row>
    <row r="35" spans="2:12" ht="102.75" customHeight="1" x14ac:dyDescent="0.25">
      <c r="B35" s="319"/>
      <c r="C35" s="27" t="s">
        <v>124</v>
      </c>
      <c r="D35" s="91"/>
      <c r="E35" s="91"/>
      <c r="F35" s="91"/>
      <c r="G35" s="91"/>
      <c r="H35" s="91"/>
      <c r="I35" s="91"/>
      <c r="J35" s="91"/>
      <c r="K35" s="299"/>
      <c r="L35" s="300"/>
    </row>
    <row r="36" spans="2:12" ht="48" customHeight="1" x14ac:dyDescent="0.25">
      <c r="B36" s="319"/>
      <c r="C36" s="27" t="s">
        <v>72</v>
      </c>
      <c r="D36" s="103" t="str">
        <f>IFERROR(D35*VLOOKUP(D31,'DATOS INICIALES'!$A$12:$B$43,2,0),"0")</f>
        <v>0</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c r="E37" s="92"/>
      <c r="F37" s="92"/>
      <c r="G37" s="92"/>
      <c r="H37" s="92"/>
      <c r="I37" s="92"/>
      <c r="J37" s="92"/>
      <c r="K37" s="297"/>
      <c r="L37" s="298"/>
    </row>
    <row r="38" spans="2:12" ht="48.75" customHeight="1" x14ac:dyDescent="0.25">
      <c r="B38" s="319"/>
      <c r="C38" s="27" t="s">
        <v>131</v>
      </c>
      <c r="D38" s="103" t="str">
        <f t="shared" ref="D38:J38" si="0">IF(D24="","0",D37*D36)</f>
        <v>0</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0</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0</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c r="E47" s="88"/>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N/A</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c r="E61" s="88"/>
      <c r="F61" s="88"/>
      <c r="G61" s="88"/>
      <c r="H61" s="88"/>
      <c r="I61" s="88"/>
      <c r="J61" s="88"/>
      <c r="K61" s="297"/>
      <c r="L61" s="298"/>
    </row>
    <row r="62" spans="2:12" ht="45" customHeight="1" x14ac:dyDescent="0.25">
      <c r="B62" s="290" t="s">
        <v>207</v>
      </c>
      <c r="C62" s="291"/>
      <c r="D62" s="88"/>
      <c r="E62" s="88"/>
      <c r="F62" s="88"/>
      <c r="G62" s="88"/>
      <c r="H62" s="88"/>
      <c r="I62" s="88"/>
      <c r="J62" s="88"/>
      <c r="K62" s="297"/>
      <c r="L62" s="298"/>
    </row>
    <row r="63" spans="2:12" ht="181.5" customHeight="1" x14ac:dyDescent="0.25">
      <c r="B63" s="290" t="s">
        <v>218</v>
      </c>
      <c r="C63" s="291"/>
      <c r="D63" s="88"/>
      <c r="E63" s="88"/>
      <c r="F63" s="88"/>
      <c r="G63" s="88"/>
      <c r="H63" s="88"/>
      <c r="I63" s="88"/>
      <c r="J63" s="88"/>
      <c r="K63" s="297"/>
      <c r="L63" s="298"/>
    </row>
    <row r="64" spans="2:12" ht="336" customHeight="1" x14ac:dyDescent="0.25">
      <c r="B64" s="242" t="s">
        <v>220</v>
      </c>
      <c r="C64" s="242"/>
      <c r="D64" s="88"/>
      <c r="E64" s="88"/>
      <c r="F64" s="88"/>
      <c r="G64" s="88"/>
      <c r="H64" s="88"/>
      <c r="I64" s="88"/>
      <c r="J64" s="88"/>
      <c r="K64" s="299"/>
      <c r="L64" s="300"/>
    </row>
    <row r="65" spans="2:12" ht="143.25" customHeight="1" x14ac:dyDescent="0.25">
      <c r="B65" s="293" t="s">
        <v>221</v>
      </c>
      <c r="C65" s="294"/>
      <c r="D65" s="88"/>
      <c r="E65" s="88"/>
      <c r="F65" s="88"/>
      <c r="G65" s="88"/>
      <c r="H65" s="88"/>
      <c r="I65" s="88"/>
      <c r="J65" s="88"/>
      <c r="K65" s="297"/>
      <c r="L65" s="298"/>
    </row>
    <row r="66" spans="2:12" ht="408.75" customHeight="1" x14ac:dyDescent="0.25">
      <c r="B66" s="292" t="s">
        <v>208</v>
      </c>
      <c r="C66" s="292"/>
      <c r="D66" s="88"/>
      <c r="E66" s="88"/>
      <c r="F66" s="88"/>
      <c r="G66" s="88"/>
      <c r="H66" s="88"/>
      <c r="I66" s="88"/>
      <c r="J66" s="88"/>
      <c r="K66" s="297"/>
      <c r="L66" s="298"/>
    </row>
    <row r="67" spans="2:12" ht="312.75" customHeight="1" x14ac:dyDescent="0.25">
      <c r="B67" s="242" t="s">
        <v>209</v>
      </c>
      <c r="C67" s="242"/>
      <c r="D67" s="88"/>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N/A</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ellIs" dxfId="1441" priority="40" operator="equal">
      <formula>"NO CUMPLE"</formula>
    </cfRule>
    <cfRule type="notContainsErrors" dxfId="1440" priority="39">
      <formula>NOT(ISERROR(D73))</formula>
    </cfRule>
    <cfRule type="cellIs" dxfId="1439" priority="41" operator="equal">
      <formula>"CUMPLE"</formula>
    </cfRule>
    <cfRule type="containsBlanks" dxfId="1438" priority="38">
      <formula>LEN(TRIM(D73))=0</formula>
    </cfRule>
  </conditionalFormatting>
  <conditionalFormatting sqref="D74">
    <cfRule type="cellIs" dxfId="1437" priority="42" operator="equal">
      <formula>"N/A"</formula>
    </cfRule>
    <cfRule type="cellIs" dxfId="1436" priority="43" operator="equal">
      <formula>"CUMPLE"</formula>
    </cfRule>
    <cfRule type="cellIs" dxfId="1435" priority="44" operator="equal">
      <formula>"NO CUMPLE"</formula>
    </cfRule>
    <cfRule type="cellIs" dxfId="1434" priority="45" operator="equal">
      <formula>"""CUMPLE"""</formula>
    </cfRule>
  </conditionalFormatting>
  <conditionalFormatting sqref="D25:J35">
    <cfRule type="containsBlanks" dxfId="1433" priority="15">
      <formula>LEN(TRIM(D25))=0</formula>
    </cfRule>
    <cfRule type="notContainsErrors" dxfId="1432" priority="16">
      <formula>NOT(ISERROR(D25))</formula>
    </cfRule>
  </conditionalFormatting>
  <conditionalFormatting sqref="D34:J34 D24:K24">
    <cfRule type="containsBlanks" dxfId="1431" priority="17">
      <formula>LEN(TRIM(D24))=0</formula>
    </cfRule>
  </conditionalFormatting>
  <conditionalFormatting sqref="D37:J37">
    <cfRule type="containsBlanks" dxfId="1430" priority="13">
      <formula>LEN(TRIM(D37))=0</formula>
    </cfRule>
    <cfRule type="notContainsErrors" dxfId="1429" priority="14">
      <formula>NOT(ISERROR(D37))</formula>
    </cfRule>
  </conditionalFormatting>
  <conditionalFormatting sqref="D40:J40 D43:J43 K68:L68">
    <cfRule type="containsBlanks" dxfId="1428" priority="62">
      <formula>LEN(TRIM(D40))=0</formula>
    </cfRule>
    <cfRule type="notContainsErrors" dxfId="1427" priority="63">
      <formula>NOT(ISERROR(D40))</formula>
    </cfRule>
  </conditionalFormatting>
  <conditionalFormatting sqref="D47:J54">
    <cfRule type="cellIs" dxfId="1426" priority="9" operator="equal">
      <formula>"NO CUMPLE"</formula>
    </cfRule>
    <cfRule type="cellIs" dxfId="1425" priority="10" operator="equal">
      <formula>"CUMPLE"</formula>
    </cfRule>
    <cfRule type="containsBlanks" dxfId="1424" priority="11">
      <formula>LEN(TRIM(D47))=0</formula>
    </cfRule>
    <cfRule type="notContainsErrors" dxfId="1423" priority="12">
      <formula>NOT(ISERROR(D47))</formula>
    </cfRule>
  </conditionalFormatting>
  <conditionalFormatting sqref="D55:J55">
    <cfRule type="cellIs" dxfId="1422" priority="71" operator="equal">
      <formula>"""CUMPLE"""</formula>
    </cfRule>
    <cfRule type="cellIs" dxfId="1421" priority="68" operator="equal">
      <formula>"N/A"</formula>
    </cfRule>
    <cfRule type="cellIs" dxfId="1420" priority="69" operator="equal">
      <formula>"CUMPLE"</formula>
    </cfRule>
    <cfRule type="cellIs" dxfId="1419" priority="70" operator="equal">
      <formula>"NO CUMPLE"</formula>
    </cfRule>
  </conditionalFormatting>
  <conditionalFormatting sqref="D56:J60">
    <cfRule type="notContainsErrors" dxfId="1418" priority="6">
      <formula>NOT(ISERROR(D56))</formula>
    </cfRule>
    <cfRule type="containsBlanks" dxfId="1417" priority="5">
      <formula>LEN(TRIM(D56))=0</formula>
    </cfRule>
  </conditionalFormatting>
  <conditionalFormatting sqref="D56:J67">
    <cfRule type="cellIs" dxfId="1416" priority="4" operator="equal">
      <formula>"CUMPLE"</formula>
    </cfRule>
    <cfRule type="cellIs" dxfId="1415" priority="3" operator="equal">
      <formula>"NO CUMPLE"</formula>
    </cfRule>
  </conditionalFormatting>
  <conditionalFormatting sqref="D68:J68">
    <cfRule type="cellIs" dxfId="1414" priority="65" operator="equal">
      <formula>"CUMPLE"</formula>
    </cfRule>
    <cfRule type="cellIs" dxfId="1413" priority="64" operator="equal">
      <formula>"N/A"</formula>
    </cfRule>
    <cfRule type="cellIs" dxfId="1412" priority="66" operator="equal">
      <formula>"NO CUMPLE"</formula>
    </cfRule>
    <cfRule type="cellIs" dxfId="1411" priority="67" operator="equal">
      <formula>"""CUMPLE"""</formula>
    </cfRule>
  </conditionalFormatting>
  <conditionalFormatting sqref="D69:J69">
    <cfRule type="cellIs" dxfId="1410" priority="33" operator="equal">
      <formula>"CUMPLE"</formula>
    </cfRule>
    <cfRule type="cellIs" dxfId="1409" priority="32" operator="equal">
      <formula>"NO CUMPLE"</formula>
    </cfRule>
  </conditionalFormatting>
  <conditionalFormatting sqref="D24:K24 D34:J34">
    <cfRule type="notContainsErrors" dxfId="1408" priority="18">
      <formula>NOT(ISERROR(D24))</formula>
    </cfRule>
  </conditionalFormatting>
  <conditionalFormatting sqref="D61:K67">
    <cfRule type="containsBlanks" dxfId="1407" priority="7">
      <formula>LEN(TRIM(D61))=0</formula>
    </cfRule>
    <cfRule type="notContainsErrors" dxfId="1406" priority="8">
      <formula>NOT(ISERROR(D61))</formula>
    </cfRule>
  </conditionalFormatting>
  <conditionalFormatting sqref="D69:K69">
    <cfRule type="notContainsErrors" dxfId="1405" priority="35">
      <formula>NOT(ISERROR(D69))</formula>
    </cfRule>
    <cfRule type="containsBlanks" dxfId="1404" priority="34">
      <formula>LEN(TRIM(D69))=0</formula>
    </cfRule>
  </conditionalFormatting>
  <conditionalFormatting sqref="E73:E74">
    <cfRule type="notContainsErrors" dxfId="1403" priority="37">
      <formula>NOT(ISERROR(E73))</formula>
    </cfRule>
    <cfRule type="containsBlanks" dxfId="1402" priority="36">
      <formula>LEN(TRIM(E73))=0</formula>
    </cfRule>
  </conditionalFormatting>
  <conditionalFormatting sqref="F20:H20">
    <cfRule type="cellIs" dxfId="1401" priority="75" operator="equal">
      <formula>"CUMPLE"</formula>
    </cfRule>
    <cfRule type="cellIs" dxfId="1400" priority="76" operator="equal">
      <formula>"NO CUMPLE"</formula>
    </cfRule>
    <cfRule type="cellIs" dxfId="1399" priority="77" operator="equal">
      <formula>"""CUMPLE"""</formula>
    </cfRule>
  </conditionalFormatting>
  <conditionalFormatting sqref="I11">
    <cfRule type="containsText" dxfId="1398" priority="81" operator="containsText" text="NO CUMPLE">
      <formula>NOT(ISERROR(SEARCH("NO CUMPLE",I11)))</formula>
    </cfRule>
    <cfRule type="containsText" dxfId="1397" priority="78" operator="containsText" text="INHABILITADO">
      <formula>NOT(ISERROR(SEARCH("INHABILITADO",I11)))</formula>
    </cfRule>
    <cfRule type="containsText" dxfId="1396" priority="79" operator="containsText" text="HABILITADO">
      <formula>NOT(ISERROR(SEARCH("HABILITADO",I11)))</formula>
    </cfRule>
    <cfRule type="containsText" dxfId="1395" priority="80" operator="containsText" text="HABILITADO">
      <formula>NOT(ISERROR(SEARCH("HABILITADO",I11)))</formula>
    </cfRule>
  </conditionalFormatting>
  <conditionalFormatting sqref="J20">
    <cfRule type="cellIs" dxfId="1394" priority="56" operator="equal">
      <formula>"NO"</formula>
    </cfRule>
    <cfRule type="cellIs" dxfId="1393" priority="57" operator="equal">
      <formula>"SI"</formula>
    </cfRule>
  </conditionalFormatting>
  <conditionalFormatting sqref="K16">
    <cfRule type="cellIs" dxfId="1392" priority="30" operator="equal">
      <formula>"NO CUMPLE"</formula>
    </cfRule>
    <cfRule type="cellIs" dxfId="1391" priority="29" operator="equal">
      <formula>"CUMPLE"</formula>
    </cfRule>
    <cfRule type="cellIs" dxfId="1390" priority="31" operator="equal">
      <formula>"""CUMPLE"""</formula>
    </cfRule>
  </conditionalFormatting>
  <conditionalFormatting sqref="K25:K60">
    <cfRule type="containsBlanks" dxfId="1389" priority="1">
      <formula>LEN(TRIM(K25))=0</formula>
    </cfRule>
    <cfRule type="notContainsErrors" dxfId="1388" priority="2">
      <formula>NOT(ISERROR(K25))</formula>
    </cfRule>
  </conditionalFormatting>
  <conditionalFormatting sqref="L14">
    <cfRule type="cellIs" dxfId="1387" priority="72" operator="equal">
      <formula>"CUMPLE"</formula>
    </cfRule>
    <cfRule type="cellIs" dxfId="1386" priority="73" operator="equal">
      <formula>"NO CUMPLE"</formula>
    </cfRule>
    <cfRule type="cellIs" dxfId="1385" priority="74" operator="equal">
      <formula>"""CUMPLE"""</formula>
    </cfRule>
  </conditionalFormatting>
  <conditionalFormatting sqref="L20">
    <cfRule type="cellIs" dxfId="1384" priority="55" operator="equal">
      <formula>"SI"</formula>
    </cfRule>
    <cfRule type="cellIs" dxfId="1383" priority="54" operator="equal">
      <formula>"NO"</formula>
    </cfRule>
  </conditionalFormatting>
  <dataValidations count="4">
    <dataValidation type="list" allowBlank="1" showInputMessage="1" showErrorMessage="1" sqref="D24:J26" xr:uid="{18C95EA4-F54C-4489-9013-B90846FC2EC8}">
      <formula1>$C$15:$C$19</formula1>
    </dataValidation>
    <dataValidation type="list" allowBlank="1" showInputMessage="1" showErrorMessage="1" sqref="L61:L69" xr:uid="{1E61D0FC-432A-4C6D-A5B2-81961519C87F}">
      <formula1>"0,1,2,3,4,5,6"</formula1>
    </dataValidation>
    <dataValidation type="list" allowBlank="1" showInputMessage="1" showErrorMessage="1" sqref="D73 J56:J60 F62:J67" xr:uid="{99798BA1-461C-4ADF-AF62-126837376B7C}">
      <formula1>$A$50:$A$52</formula1>
    </dataValidation>
    <dataValidation type="list" allowBlank="1" showInputMessage="1" showErrorMessage="1" sqref="J48:J53" xr:uid="{A564B0E3-EF14-4417-AD42-F178546B2A24}">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A71F8E95-E4D7-4CAE-9EAD-C86E0FEA1722}">
          <x14:formula1>
            <xm:f>'DATOS INICIALES'!$A$13:$A$43</xm:f>
          </x14:formula1>
          <xm:sqref>F31:I31</xm:sqref>
        </x14:dataValidation>
        <x14:dataValidation type="list" allowBlank="1" showInputMessage="1" showErrorMessage="1" xr:uid="{2235FAD5-704B-4ABF-8360-69D20AA5D62F}">
          <x14:formula1>
            <xm:f>'DATOS INICIALES'!$D$22:$D$26</xm:f>
          </x14:formula1>
          <xm:sqref>M48:M55</xm:sqref>
        </x14:dataValidation>
        <x14:dataValidation type="list" allowBlank="1" showInputMessage="1" showErrorMessage="1" xr:uid="{8EC0BAD0-17F6-4523-BF63-40C73E4A2934}">
          <x14:formula1>
            <xm:f>'DATOS INICIALES'!$A$54:$A$59</xm:f>
          </x14:formula1>
          <xm:sqref>D23:I23</xm:sqref>
        </x14:dataValidation>
        <x14:dataValidation type="list" allowBlank="1" showInputMessage="1" showErrorMessage="1" xr:uid="{4F830F80-4785-4C9C-BE57-46C79BA894DA}">
          <x14:formula1>
            <xm:f>'DATOS INICIALES'!$C$45:$C$46</xm:f>
          </x14:formula1>
          <xm:sqref>F48:I54 D52:E54</xm:sqref>
        </x14:dataValidation>
        <x14:dataValidation type="list" allowBlank="1" showInputMessage="1" showErrorMessage="1" xr:uid="{A89DD57A-6095-4A77-8F48-E180CC897ACC}">
          <x14:formula1>
            <xm:f>'DATOS INICIALES'!$A$50:$A$51</xm:f>
          </x14:formula1>
          <xm:sqref>D69:J69 D47:J47</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74"/>
  <sheetViews>
    <sheetView view="pageBreakPreview" zoomScale="40" zoomScaleNormal="55" zoomScaleSheetLayoutView="40" workbookViewId="0">
      <pane ySplit="11" topLeftCell="A67" activePane="bottomLeft" state="frozenSplit"/>
      <selection activeCell="C9" sqref="C9:I9"/>
      <selection pane="bottomLeft" activeCell="E68" sqref="E6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14</v>
      </c>
      <c r="B11" s="2" t="s">
        <v>24</v>
      </c>
      <c r="C11" s="342" t="str">
        <f>VLOOKUP(A11,PROPONENTES!A10:B46,2,FALSE)</f>
        <v>GRUPO METRO COLOMBIA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1970.3520000000003</v>
      </c>
      <c r="L14" s="18" t="str">
        <f>IF(K14&gt;=J14,"CUMPLE","NO CUMPLE")</f>
        <v>CUMPLE</v>
      </c>
    </row>
    <row r="15" spans="1:12" ht="66.75" customHeight="1" x14ac:dyDescent="0.25">
      <c r="B15" s="314"/>
      <c r="C15" s="98" t="str">
        <f>IF(VLOOKUP(C11,PROPONENTES!B10:N46,2,FALSE)=0,"",VLOOKUP(C11,PROPONENTES!B10:N46,2,FALSE))</f>
        <v>GRUPO METRO COLOMBIA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1970.3520000000003</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1970.3520000000003</v>
      </c>
      <c r="J16" s="169">
        <f>+L8*0.7</f>
        <v>283.67201207692307</v>
      </c>
      <c r="K16" s="18" t="str">
        <f>IF(I16&gt;=J16,"CUMPLE","NO CUMPLE")</f>
        <v>CUMPLE</v>
      </c>
      <c r="L16" s="305">
        <f>AVERAGEIF(D68:J68,"CUMPLE",D46:J46)</f>
        <v>1970.3520000000003</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1970.3520000000003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243</v>
      </c>
      <c r="E24" s="88" t="s">
        <v>243</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404</v>
      </c>
      <c r="E27" s="89" t="s">
        <v>405</v>
      </c>
      <c r="F27" s="89"/>
      <c r="G27" s="89"/>
      <c r="H27" s="89"/>
      <c r="I27" s="89"/>
      <c r="J27" s="89"/>
      <c r="K27" s="297"/>
      <c r="L27" s="298"/>
    </row>
    <row r="28" spans="2:14" ht="156.75" customHeight="1" x14ac:dyDescent="0.25">
      <c r="B28" s="319"/>
      <c r="C28" s="27" t="s">
        <v>36</v>
      </c>
      <c r="D28" s="89" t="s">
        <v>406</v>
      </c>
      <c r="E28" s="89" t="s">
        <v>407</v>
      </c>
      <c r="F28" s="89"/>
      <c r="G28" s="89"/>
      <c r="H28" s="89"/>
      <c r="I28" s="89"/>
      <c r="J28" s="89"/>
      <c r="K28" s="297"/>
      <c r="L28" s="298"/>
    </row>
    <row r="29" spans="2:14" ht="52.5" customHeight="1" x14ac:dyDescent="0.25">
      <c r="B29" s="319"/>
      <c r="C29" s="27" t="s">
        <v>165</v>
      </c>
      <c r="D29" s="93">
        <v>40134</v>
      </c>
      <c r="E29" s="93">
        <v>41939</v>
      </c>
      <c r="F29" s="93"/>
      <c r="G29" s="93"/>
      <c r="H29" s="93"/>
      <c r="I29" s="93"/>
      <c r="J29" s="93"/>
      <c r="K29" s="297"/>
      <c r="L29" s="298"/>
    </row>
    <row r="30" spans="2:14" ht="54.75" customHeight="1" x14ac:dyDescent="0.25">
      <c r="B30" s="319"/>
      <c r="C30" s="27" t="s">
        <v>40</v>
      </c>
      <c r="D30" s="93">
        <v>40618</v>
      </c>
      <c r="E30" s="93">
        <v>42430</v>
      </c>
      <c r="F30" s="93"/>
      <c r="G30" s="93"/>
      <c r="H30" s="93"/>
      <c r="I30" s="93"/>
      <c r="J30" s="93"/>
      <c r="K30" s="297"/>
      <c r="L30" s="298"/>
    </row>
    <row r="31" spans="2:14" ht="41.25" customHeight="1" x14ac:dyDescent="0.25">
      <c r="B31" s="319"/>
      <c r="C31" s="27" t="s">
        <v>37</v>
      </c>
      <c r="D31" s="90">
        <v>2011</v>
      </c>
      <c r="E31" s="90">
        <v>2016</v>
      </c>
      <c r="F31" s="90"/>
      <c r="G31" s="90"/>
      <c r="H31" s="90"/>
      <c r="I31" s="90"/>
      <c r="J31" s="90"/>
      <c r="K31" s="297"/>
      <c r="L31" s="298"/>
    </row>
    <row r="32" spans="2:14" ht="63" customHeight="1" x14ac:dyDescent="0.25">
      <c r="B32" s="319"/>
      <c r="C32" s="27" t="s">
        <v>38</v>
      </c>
      <c r="D32" s="89" t="s">
        <v>408</v>
      </c>
      <c r="E32" s="89" t="s">
        <v>408</v>
      </c>
      <c r="F32" s="89"/>
      <c r="G32" s="89"/>
      <c r="H32" s="89"/>
      <c r="I32" s="89"/>
      <c r="J32" s="89"/>
      <c r="K32" s="297"/>
      <c r="L32" s="298"/>
    </row>
    <row r="33" spans="2:12" ht="46.5" customHeight="1" x14ac:dyDescent="0.25">
      <c r="B33" s="319"/>
      <c r="C33" s="27" t="s">
        <v>39</v>
      </c>
      <c r="D33" s="89" t="s">
        <v>409</v>
      </c>
      <c r="E33" s="89" t="s">
        <v>410</v>
      </c>
      <c r="F33" s="89"/>
      <c r="G33" s="89"/>
      <c r="H33" s="89"/>
      <c r="I33" s="89"/>
      <c r="J33" s="89"/>
      <c r="K33" s="297"/>
      <c r="L33" s="298"/>
    </row>
    <row r="34" spans="2:12" ht="27.75" customHeight="1" x14ac:dyDescent="0.25">
      <c r="B34" s="319"/>
      <c r="C34" s="28" t="s">
        <v>33</v>
      </c>
      <c r="D34" s="94">
        <v>40</v>
      </c>
      <c r="E34" s="94">
        <v>90</v>
      </c>
      <c r="F34" s="94"/>
      <c r="G34" s="95"/>
      <c r="H34" s="95"/>
      <c r="I34" s="95"/>
      <c r="J34" s="95"/>
      <c r="K34" s="297"/>
      <c r="L34" s="298"/>
    </row>
    <row r="35" spans="2:12" ht="102.75" customHeight="1" x14ac:dyDescent="0.25">
      <c r="B35" s="319"/>
      <c r="C35" s="27" t="s">
        <v>124</v>
      </c>
      <c r="D35" s="91">
        <v>2189.2800000000002</v>
      </c>
      <c r="E35" s="187">
        <v>1967.19</v>
      </c>
      <c r="F35" s="91"/>
      <c r="G35" s="91"/>
      <c r="H35" s="91"/>
      <c r="I35" s="91"/>
      <c r="J35" s="91"/>
      <c r="K35" s="299"/>
      <c r="L35" s="300"/>
    </row>
    <row r="36" spans="2:12" ht="48" customHeight="1" x14ac:dyDescent="0.25">
      <c r="B36" s="319"/>
      <c r="C36" s="27" t="s">
        <v>72</v>
      </c>
      <c r="D36" s="103">
        <f>IFERROR(D35*VLOOKUP(D31,'DATOS INICIALES'!$A$12:$B$43,2,0),"0")</f>
        <v>1172578368</v>
      </c>
      <c r="E36" s="103">
        <f>IFERROR(E35*VLOOKUP(E31,'DATOS INICIALES'!$A$12:$B$43,2,0),"0")</f>
        <v>1356288981.45</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0.9</v>
      </c>
      <c r="E37" s="92">
        <v>0.5</v>
      </c>
      <c r="F37" s="92"/>
      <c r="G37" s="92"/>
      <c r="H37" s="92"/>
      <c r="I37" s="92"/>
      <c r="J37" s="92"/>
      <c r="K37" s="297"/>
      <c r="L37" s="298"/>
    </row>
    <row r="38" spans="2:12" ht="48.75" customHeight="1" x14ac:dyDescent="0.25">
      <c r="B38" s="319"/>
      <c r="C38" s="27" t="s">
        <v>131</v>
      </c>
      <c r="D38" s="103">
        <f t="shared" ref="D38:J38" si="0">IF(D24="","0",D37*D36)</f>
        <v>1055320531.2</v>
      </c>
      <c r="E38" s="103">
        <f t="shared" si="0"/>
        <v>678144490.72500002</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1970.3520000000003</v>
      </c>
      <c r="E39" s="104">
        <f t="shared" si="1"/>
        <v>983.59500000000003</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1970.3520000000003</v>
      </c>
      <c r="E46" s="104">
        <f t="shared" ref="E46:G46" si="6">+E39+E42+E45</f>
        <v>983.59500000000003</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75</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15</v>
      </c>
      <c r="F56" s="88"/>
      <c r="G56" s="88"/>
      <c r="H56" s="88"/>
      <c r="I56" s="88"/>
      <c r="J56" s="88"/>
      <c r="K56" s="282" t="s">
        <v>575</v>
      </c>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NO 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15</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56:D67">
    <cfRule type="containsBlanks" dxfId="1382" priority="3">
      <formula>LEN(TRIM(D56))=0</formula>
    </cfRule>
    <cfRule type="notContainsErrors" dxfId="1381" priority="4">
      <formula>NOT(ISERROR(D56))</formula>
    </cfRule>
  </conditionalFormatting>
  <conditionalFormatting sqref="D73">
    <cfRule type="cellIs" dxfId="1380" priority="22" operator="equal">
      <formula>"NO CUMPLE"</formula>
    </cfRule>
    <cfRule type="cellIs" dxfId="1379" priority="23" operator="equal">
      <formula>"CUMPLE"</formula>
    </cfRule>
    <cfRule type="containsBlanks" dxfId="1378" priority="20">
      <formula>LEN(TRIM(D73))=0</formula>
    </cfRule>
    <cfRule type="notContainsErrors" dxfId="1377" priority="21">
      <formula>NOT(ISERROR(D73))</formula>
    </cfRule>
  </conditionalFormatting>
  <conditionalFormatting sqref="D74">
    <cfRule type="cellIs" dxfId="1376" priority="24" operator="equal">
      <formula>"N/A"</formula>
    </cfRule>
    <cfRule type="cellIs" dxfId="1375" priority="25" operator="equal">
      <formula>"CUMPLE"</formula>
    </cfRule>
    <cfRule type="cellIs" dxfId="1374" priority="26" operator="equal">
      <formula>"NO CUMPLE"</formula>
    </cfRule>
    <cfRule type="cellIs" dxfId="1373" priority="27" operator="equal">
      <formula>"""CUMPLE"""</formula>
    </cfRule>
  </conditionalFormatting>
  <conditionalFormatting sqref="D25:J35">
    <cfRule type="containsBlanks" dxfId="1372" priority="42">
      <formula>LEN(TRIM(D25))=0</formula>
    </cfRule>
    <cfRule type="notContainsErrors" dxfId="1371" priority="43">
      <formula>NOT(ISERROR(D25))</formula>
    </cfRule>
  </conditionalFormatting>
  <conditionalFormatting sqref="D34:J34 D24:K24 D37:J37 D40:J40 D43:J43 K68:L68">
    <cfRule type="containsBlanks" dxfId="1370" priority="44">
      <formula>LEN(TRIM(D24))=0</formula>
    </cfRule>
  </conditionalFormatting>
  <conditionalFormatting sqref="D47:J54">
    <cfRule type="cellIs" dxfId="1369" priority="8" operator="equal">
      <formula>"CUMPLE"</formula>
    </cfRule>
    <cfRule type="cellIs" dxfId="1368" priority="7" operator="equal">
      <formula>"NO CUMPLE"</formula>
    </cfRule>
    <cfRule type="containsBlanks" dxfId="1367" priority="9">
      <formula>LEN(TRIM(D47))=0</formula>
    </cfRule>
    <cfRule type="notContainsErrors" dxfId="1366" priority="10">
      <formula>NOT(ISERROR(D47))</formula>
    </cfRule>
  </conditionalFormatting>
  <conditionalFormatting sqref="D55:J55">
    <cfRule type="cellIs" dxfId="1365" priority="53" operator="equal">
      <formula>"""CUMPLE"""</formula>
    </cfRule>
    <cfRule type="cellIs" dxfId="1364" priority="52" operator="equal">
      <formula>"NO CUMPLE"</formula>
    </cfRule>
    <cfRule type="cellIs" dxfId="1363" priority="51" operator="equal">
      <formula>"CUMPLE"</formula>
    </cfRule>
    <cfRule type="cellIs" dxfId="1362" priority="50" operator="equal">
      <formula>"N/A"</formula>
    </cfRule>
  </conditionalFormatting>
  <conditionalFormatting sqref="D56:J67">
    <cfRule type="cellIs" dxfId="1361" priority="2" operator="equal">
      <formula>"CUMPLE"</formula>
    </cfRule>
    <cfRule type="cellIs" dxfId="1360" priority="1" operator="equal">
      <formula>"NO CUMPLE"</formula>
    </cfRule>
  </conditionalFormatting>
  <conditionalFormatting sqref="D68:J68">
    <cfRule type="cellIs" dxfId="1359" priority="47" operator="equal">
      <formula>"CUMPLE"</formula>
    </cfRule>
    <cfRule type="cellIs" dxfId="1358" priority="49" operator="equal">
      <formula>"""CUMPLE"""</formula>
    </cfRule>
    <cfRule type="cellIs" dxfId="1357" priority="48" operator="equal">
      <formula>"NO CUMPLE"</formula>
    </cfRule>
    <cfRule type="cellIs" dxfId="1356" priority="46" operator="equal">
      <formula>"N/A"</formula>
    </cfRule>
  </conditionalFormatting>
  <conditionalFormatting sqref="D69:J69">
    <cfRule type="cellIs" dxfId="1355" priority="15" operator="equal">
      <formula>"CUMPLE"</formula>
    </cfRule>
    <cfRule type="cellIs" dxfId="1354" priority="14" operator="equal">
      <formula>"NO CUMPLE"</formula>
    </cfRule>
  </conditionalFormatting>
  <conditionalFormatting sqref="D24:K24 D34:J34 D37:J37 D40:J40 D43:J43 K68:L68">
    <cfRule type="notContainsErrors" dxfId="1353" priority="45">
      <formula>NOT(ISERROR(D24))</formula>
    </cfRule>
  </conditionalFormatting>
  <conditionalFormatting sqref="D61:K67">
    <cfRule type="notContainsErrors" dxfId="1352" priority="6">
      <formula>NOT(ISERROR(D61))</formula>
    </cfRule>
    <cfRule type="containsBlanks" dxfId="1351" priority="5">
      <formula>LEN(TRIM(D61))=0</formula>
    </cfRule>
  </conditionalFormatting>
  <conditionalFormatting sqref="D69:K69">
    <cfRule type="notContainsErrors" dxfId="1350" priority="17">
      <formula>NOT(ISERROR(D69))</formula>
    </cfRule>
    <cfRule type="containsBlanks" dxfId="1349" priority="16">
      <formula>LEN(TRIM(D69))=0</formula>
    </cfRule>
  </conditionalFormatting>
  <conditionalFormatting sqref="E73:E74">
    <cfRule type="notContainsErrors" dxfId="1348" priority="19">
      <formula>NOT(ISERROR(E73))</formula>
    </cfRule>
    <cfRule type="containsBlanks" dxfId="1347" priority="18">
      <formula>LEN(TRIM(E73))=0</formula>
    </cfRule>
  </conditionalFormatting>
  <conditionalFormatting sqref="E56:J60">
    <cfRule type="containsBlanks" dxfId="1346" priority="32">
      <formula>LEN(TRIM(E56))=0</formula>
    </cfRule>
    <cfRule type="notContainsErrors" dxfId="1345" priority="33">
      <formula>NOT(ISERROR(E56))</formula>
    </cfRule>
  </conditionalFormatting>
  <conditionalFormatting sqref="F20:H20">
    <cfRule type="cellIs" dxfId="1344" priority="57" operator="equal">
      <formula>"CUMPLE"</formula>
    </cfRule>
    <cfRule type="cellIs" dxfId="1343" priority="58" operator="equal">
      <formula>"NO CUMPLE"</formula>
    </cfRule>
    <cfRule type="cellIs" dxfId="1342" priority="59" operator="equal">
      <formula>"""CUMPLE"""</formula>
    </cfRule>
  </conditionalFormatting>
  <conditionalFormatting sqref="I11">
    <cfRule type="containsText" dxfId="1341" priority="63" operator="containsText" text="NO CUMPLE">
      <formula>NOT(ISERROR(SEARCH("NO CUMPLE",I11)))</formula>
    </cfRule>
    <cfRule type="containsText" dxfId="1340" priority="60" operator="containsText" text="INHABILITADO">
      <formula>NOT(ISERROR(SEARCH("INHABILITADO",I11)))</formula>
    </cfRule>
    <cfRule type="containsText" dxfId="1339" priority="61" operator="containsText" text="HABILITADO">
      <formula>NOT(ISERROR(SEARCH("HABILITADO",I11)))</formula>
    </cfRule>
    <cfRule type="containsText" dxfId="1338" priority="62" operator="containsText" text="HABILITADO">
      <formula>NOT(ISERROR(SEARCH("HABILITADO",I11)))</formula>
    </cfRule>
  </conditionalFormatting>
  <conditionalFormatting sqref="J20">
    <cfRule type="cellIs" dxfId="1337" priority="38" operator="equal">
      <formula>"NO"</formula>
    </cfRule>
    <cfRule type="cellIs" dxfId="1336" priority="39" operator="equal">
      <formula>"SI"</formula>
    </cfRule>
  </conditionalFormatting>
  <conditionalFormatting sqref="K16">
    <cfRule type="cellIs" dxfId="1335" priority="11" operator="equal">
      <formula>"CUMPLE"</formula>
    </cfRule>
    <cfRule type="cellIs" dxfId="1334" priority="12" operator="equal">
      <formula>"NO CUMPLE"</formula>
    </cfRule>
    <cfRule type="cellIs" dxfId="1333" priority="13" operator="equal">
      <formula>"""CUMPLE"""</formula>
    </cfRule>
  </conditionalFormatting>
  <conditionalFormatting sqref="K25:K60">
    <cfRule type="containsBlanks" dxfId="1332" priority="28">
      <formula>LEN(TRIM(K25))=0</formula>
    </cfRule>
    <cfRule type="notContainsErrors" dxfId="1331" priority="29">
      <formula>NOT(ISERROR(K25))</formula>
    </cfRule>
  </conditionalFormatting>
  <conditionalFormatting sqref="L14">
    <cfRule type="cellIs" dxfId="1330" priority="54" operator="equal">
      <formula>"CUMPLE"</formula>
    </cfRule>
    <cfRule type="cellIs" dxfId="1329" priority="55" operator="equal">
      <formula>"NO CUMPLE"</formula>
    </cfRule>
    <cfRule type="cellIs" dxfId="1328" priority="56" operator="equal">
      <formula>"""CUMPLE"""</formula>
    </cfRule>
  </conditionalFormatting>
  <conditionalFormatting sqref="L20">
    <cfRule type="cellIs" dxfId="1327" priority="36" operator="equal">
      <formula>"NO"</formula>
    </cfRule>
    <cfRule type="cellIs" dxfId="1326" priority="37" operator="equal">
      <formula>"SI"</formula>
    </cfRule>
  </conditionalFormatting>
  <dataValidations count="4">
    <dataValidation type="list" allowBlank="1" showInputMessage="1" showErrorMessage="1" sqref="J48:J53" xr:uid="{BE1115F4-2A2C-4036-A16D-8FE82BE548F5}">
      <formula1>$C$45:$C$46</formula1>
    </dataValidation>
    <dataValidation type="list" allowBlank="1" showInputMessage="1" showErrorMessage="1" sqref="D73 J56:J60 E62:J67" xr:uid="{45CEFBB1-A5E8-40F4-9023-C3077597306A}">
      <formula1>$A$50:$A$52</formula1>
    </dataValidation>
    <dataValidation type="list" allowBlank="1" showInputMessage="1" showErrorMessage="1" sqref="L61:L69" xr:uid="{6842F9B9-9754-4A09-81AC-4CE9F74F3A7B}">
      <formula1>"0,1,2,3,4,5,6"</formula1>
    </dataValidation>
    <dataValidation type="list" allowBlank="1" showInputMessage="1" showErrorMessage="1" sqref="D24:J26" xr:uid="{C168C5D9-612D-4109-B69F-DCBAED6DE19D}">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3F2EE5BD-D728-4FCC-BD59-9A6DA6F28E4F}">
          <x14:formula1>
            <xm:f>'DATOS INICIALES'!$C$45:$C$46</xm:f>
          </x14:formula1>
          <xm:sqref>D48:I54</xm:sqref>
        </x14:dataValidation>
        <x14:dataValidation type="list" allowBlank="1" showInputMessage="1" showErrorMessage="1" xr:uid="{FD082C3F-D83C-483B-90CC-5B711E95FFE4}">
          <x14:formula1>
            <xm:f>'DATOS INICIALES'!$A$50:$A$52</xm:f>
          </x14:formula1>
          <xm:sqref>E56:I61 D56:D67</xm:sqref>
        </x14:dataValidation>
        <x14:dataValidation type="list" allowBlank="1" showInputMessage="1" showErrorMessage="1" xr:uid="{43AD7281-DD94-455E-8B5E-9B61A3B3AA74}">
          <x14:formula1>
            <xm:f>'DATOS INICIALES'!$A$54:$A$59</xm:f>
          </x14:formula1>
          <xm:sqref>D23:I23</xm:sqref>
        </x14:dataValidation>
        <x14:dataValidation type="list" allowBlank="1" showInputMessage="1" showErrorMessage="1" xr:uid="{9DF518A5-7DCE-4E0F-881A-8502F8D3DE40}">
          <x14:formula1>
            <xm:f>'DATOS INICIALES'!$D$22:$D$26</xm:f>
          </x14:formula1>
          <xm:sqref>M48:M55</xm:sqref>
        </x14:dataValidation>
        <x14:dataValidation type="list" allowBlank="1" showInputMessage="1" showErrorMessage="1" xr:uid="{8E443945-6FEF-41F1-A00F-4F8D377D80AD}">
          <x14:formula1>
            <xm:f>'DATOS INICIALES'!$A$13:$A$43</xm:f>
          </x14:formula1>
          <xm:sqref>D31:I31</xm:sqref>
        </x14:dataValidation>
        <x14:dataValidation type="list" allowBlank="1" showInputMessage="1" showErrorMessage="1" xr:uid="{AFCFE368-9900-4A7F-8D89-5BE92E559B71}">
          <x14:formula1>
            <xm:f>'DATOS INICIALES'!$A$50:$A$51</xm:f>
          </x14:formula1>
          <xm:sqref>D69:J69 D47:J47</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C00000"/>
  </sheetPr>
  <dimension ref="A1:N74"/>
  <sheetViews>
    <sheetView view="pageBreakPreview" zoomScale="70" zoomScaleNormal="55" zoomScaleSheetLayoutView="70" workbookViewId="0">
      <pane ySplit="11" topLeftCell="A28" activePane="bottomLeft" state="frozenSplit"/>
      <selection activeCell="C9" sqref="C9:I9"/>
      <selection pane="bottomLeft" activeCell="C9" sqref="C9:I9"/>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15</v>
      </c>
      <c r="B11" s="2" t="s">
        <v>24</v>
      </c>
      <c r="C11" s="342" t="str">
        <f>VLOOKUP(A11,PROPONENTES!A10:B46,2,FALSE)</f>
        <v>CONSORCIO INTERPROYECTOS CAREN</v>
      </c>
      <c r="D11" s="342"/>
      <c r="E11" s="342"/>
      <c r="F11" s="342"/>
      <c r="G11" s="342"/>
      <c r="H11" s="144" t="s">
        <v>166</v>
      </c>
      <c r="I11" s="346" t="str">
        <f>IF(AND(F20="CUMPLE",G20="CUMPLE",H20="CUMPLE",L14="CUMPLE",D74="CUMPLE",K16="CUMPLE"),"CUMPLE","NO CUMPLE")</f>
        <v>NO 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0</v>
      </c>
      <c r="J14" s="169">
        <f>+L8</f>
        <v>405.24573153846154</v>
      </c>
      <c r="K14" s="169">
        <f>+E20</f>
        <v>0</v>
      </c>
      <c r="L14" s="18" t="str">
        <f>IF(K14&gt;=J14,"CUMPLE","NO CUMPLE")</f>
        <v>NO CUMPLE</v>
      </c>
    </row>
    <row r="15" spans="1:12" ht="66.75" customHeight="1" x14ac:dyDescent="0.25">
      <c r="B15" s="314"/>
      <c r="C15" s="98" t="str">
        <f>IF(VLOOKUP(C11,PROPONENTES!B10:N46,2,FALSE)=0,"",VLOOKUP(C11,PROPONENTES!B10:N46,2,FALSE))</f>
        <v>COMPAÑÍA DE INTERVENTORIAS  Y CONSULTORIAS DE LA COSTA S.A.S.</v>
      </c>
      <c r="D15" s="99">
        <f>IF(VLOOKUP(C11,PROPONENTES!B10:N46,3,FALSE)=0,"",VLOOKUP(C11,PROPONENTES!B10:N46,3,FALSE))</f>
        <v>0.25</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0</v>
      </c>
      <c r="F15" s="101" t="str">
        <f>IF(C15="","",IF(E15&gt;=$J$14*0.5,"SI","NO"))</f>
        <v>NO</v>
      </c>
      <c r="G15" s="102" t="str">
        <f>IF(C15="","",IF(E15&gt;=$J$14*0.05,"SI",IF(E15=0,"NO APORTA EXPERIENCIA",)))</f>
        <v>NO APORTA EXPERIENCIA</v>
      </c>
      <c r="H15" s="102" t="str">
        <f>IF(C15="","",IF(AND(G15="NO APORTA EXPERIENCIA",D15&lt;=10%),"SI",IF(G15="SI","NO APLICA","NO - PORCENTAJE MAYOR AL 10%")))</f>
        <v>NO - PORCENTAJE MAYOR AL 10%</v>
      </c>
      <c r="I15" s="68" t="s">
        <v>224</v>
      </c>
      <c r="J15" s="68" t="s">
        <v>223</v>
      </c>
      <c r="K15" s="68" t="s">
        <v>69</v>
      </c>
      <c r="L15" s="68" t="s">
        <v>205</v>
      </c>
    </row>
    <row r="16" spans="1:12" ht="33.75" customHeight="1" x14ac:dyDescent="0.25">
      <c r="B16" s="314"/>
      <c r="C16" s="98" t="str">
        <f>IF(VLOOKUP(C11,PROPONENTES!B10:N46,4,FALSE)=0,"",VLOOKUP(C11,PROPONENTES!B10:N46,4,FALSE))</f>
        <v>AREN PROYECTOS &amp; CONSULTORIAS S.A.S.</v>
      </c>
      <c r="D16" s="99">
        <f>IF(VLOOKUP(C11,PROPONENTES!B10:N46,5,FALSE)=0,"",VLOOKUP(C11,PROPONENTES!B10:N46,5,FALSE))</f>
        <v>0.75</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NO - PORCENTAJE MAYOR AL 5%</v>
      </c>
      <c r="I16" s="169">
        <f>SUMIF(D69:J69,"CUMPLE",D39:J39)+SUMIF(D69:J69,"CUMPLE",D42:J42)+SUMIF(D69:J69,"CUMPLE",D45:J45)</f>
        <v>0</v>
      </c>
      <c r="J16" s="169">
        <f>+L8*0.7</f>
        <v>283.67201207692307</v>
      </c>
      <c r="K16" s="18" t="str">
        <f>IF(I16&gt;=J16,"CUMPLE","NO CUMPLE")</f>
        <v>NO CUMPLE</v>
      </c>
      <c r="L16" s="305" t="e">
        <f>AVERAGEIF(D68:J68,"CUMPLE",D46:J46)</f>
        <v>#DIV/0!</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 HAY MAS DE UN (1) INTEGRANTE QUE NO APORTA EXPERIENCIA</v>
      </c>
      <c r="H20" s="18" t="str">
        <f>IF(COUNTIF(E15:E19,0)&gt;1,"NO CUMPLE, HAY MAS DE UN (1) INTEGRANTE QUE NO APORTA EXPERIENCIA",IF(AND(OR(H15="NO APLICA",H15="SI",H15=""),OR(H16="NO APLICA",H16="SI",H16=""),OR(H17="NO APLICA",H17="SI",H17=""),OR(H18="NO APLICA",H18="SI",H18=""),OR(H19="NO APLICA",H19="SI",H19="")),"CUMPLE","NO CUMPLE"))</f>
        <v>NO CUMPLE, HAY MAS DE UN (1) INTEGRANTE QUE NO APORTA EXPERIENCIA</v>
      </c>
      <c r="I20" s="68" t="s">
        <v>168</v>
      </c>
      <c r="J20" s="141" t="str">
        <f>IF(VLOOKUP(C11,PUNTAJE!B15:AD109,25,FALSE)=0.25,"SI","NO")</f>
        <v>NO</v>
      </c>
      <c r="K20" s="68" t="s">
        <v>167</v>
      </c>
      <c r="L20" s="141" t="str">
        <f>IF(VLOOKUP(C11,PUNTAJE!B15:AD109,29,FALSE)=0.25,"SI","NO")</f>
        <v>NO</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c r="E27" s="89"/>
      <c r="F27" s="89"/>
      <c r="G27" s="89"/>
      <c r="H27" s="89"/>
      <c r="I27" s="89"/>
      <c r="J27" s="89"/>
      <c r="K27" s="297"/>
      <c r="L27" s="298"/>
    </row>
    <row r="28" spans="2:14" ht="156.75" customHeight="1" x14ac:dyDescent="0.25">
      <c r="B28" s="319"/>
      <c r="C28" s="27" t="s">
        <v>36</v>
      </c>
      <c r="D28" s="89"/>
      <c r="E28" s="89"/>
      <c r="F28" s="89"/>
      <c r="G28" s="89"/>
      <c r="H28" s="89"/>
      <c r="I28" s="89"/>
      <c r="J28" s="89"/>
      <c r="K28" s="297"/>
      <c r="L28" s="298"/>
    </row>
    <row r="29" spans="2:14" ht="52.5" customHeight="1" x14ac:dyDescent="0.25">
      <c r="B29" s="319"/>
      <c r="C29" s="27" t="s">
        <v>165</v>
      </c>
      <c r="D29" s="93"/>
      <c r="E29" s="93"/>
      <c r="F29" s="93"/>
      <c r="G29" s="93"/>
      <c r="H29" s="93"/>
      <c r="I29" s="93"/>
      <c r="J29" s="93"/>
      <c r="K29" s="297"/>
      <c r="L29" s="298"/>
    </row>
    <row r="30" spans="2:14" ht="54.75" customHeight="1" x14ac:dyDescent="0.25">
      <c r="B30" s="319"/>
      <c r="C30" s="27" t="s">
        <v>40</v>
      </c>
      <c r="D30" s="93"/>
      <c r="E30" s="93"/>
      <c r="F30" s="93"/>
      <c r="G30" s="93"/>
      <c r="H30" s="93"/>
      <c r="I30" s="93"/>
      <c r="J30" s="93"/>
      <c r="K30" s="297"/>
      <c r="L30" s="298"/>
    </row>
    <row r="31" spans="2:14" ht="41.25" customHeight="1" x14ac:dyDescent="0.25">
      <c r="B31" s="319"/>
      <c r="C31" s="27" t="s">
        <v>37</v>
      </c>
      <c r="D31" s="90"/>
      <c r="E31" s="90"/>
      <c r="F31" s="90"/>
      <c r="G31" s="90"/>
      <c r="H31" s="90"/>
      <c r="I31" s="90"/>
      <c r="J31" s="90"/>
      <c r="K31" s="297"/>
      <c r="L31" s="298"/>
    </row>
    <row r="32" spans="2:14" ht="63" customHeight="1" x14ac:dyDescent="0.25">
      <c r="B32" s="319"/>
      <c r="C32" s="27" t="s">
        <v>38</v>
      </c>
      <c r="D32" s="89"/>
      <c r="E32" s="89"/>
      <c r="F32" s="89"/>
      <c r="G32" s="89"/>
      <c r="H32" s="89"/>
      <c r="I32" s="89"/>
      <c r="J32" s="89"/>
      <c r="K32" s="297"/>
      <c r="L32" s="298"/>
    </row>
    <row r="33" spans="2:12" ht="46.5" customHeight="1" x14ac:dyDescent="0.25">
      <c r="B33" s="319"/>
      <c r="C33" s="27" t="s">
        <v>39</v>
      </c>
      <c r="D33" s="89"/>
      <c r="E33" s="89"/>
      <c r="F33" s="89"/>
      <c r="G33" s="89"/>
      <c r="H33" s="89"/>
      <c r="I33" s="89"/>
      <c r="J33" s="89"/>
      <c r="K33" s="297"/>
      <c r="L33" s="298"/>
    </row>
    <row r="34" spans="2:12" ht="27.75" customHeight="1" x14ac:dyDescent="0.25">
      <c r="B34" s="319"/>
      <c r="C34" s="28" t="s">
        <v>33</v>
      </c>
      <c r="D34" s="94"/>
      <c r="E34" s="94"/>
      <c r="F34" s="94"/>
      <c r="G34" s="95"/>
      <c r="H34" s="95"/>
      <c r="I34" s="95"/>
      <c r="J34" s="95"/>
      <c r="K34" s="297"/>
      <c r="L34" s="298"/>
    </row>
    <row r="35" spans="2:12" ht="102.75" customHeight="1" x14ac:dyDescent="0.25">
      <c r="B35" s="319"/>
      <c r="C35" s="27" t="s">
        <v>124</v>
      </c>
      <c r="D35" s="91"/>
      <c r="E35" s="187"/>
      <c r="F35" s="91"/>
      <c r="G35" s="91"/>
      <c r="H35" s="91"/>
      <c r="I35" s="91"/>
      <c r="J35" s="91"/>
      <c r="K35" s="299"/>
      <c r="L35" s="300"/>
    </row>
    <row r="36" spans="2:12" ht="48" customHeight="1" x14ac:dyDescent="0.25">
      <c r="B36" s="319"/>
      <c r="C36" s="27" t="s">
        <v>72</v>
      </c>
      <c r="D36" s="103" t="str">
        <f>IFERROR(D35*VLOOKUP(D31,'DATOS INICIALES'!$A$12:$B$43,2,0),"0")</f>
        <v>0</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c r="E37" s="92"/>
      <c r="F37" s="92"/>
      <c r="G37" s="92"/>
      <c r="H37" s="92"/>
      <c r="I37" s="92"/>
      <c r="J37" s="92"/>
      <c r="K37" s="297"/>
      <c r="L37" s="298"/>
    </row>
    <row r="38" spans="2:12" ht="48.75" customHeight="1" x14ac:dyDescent="0.25">
      <c r="B38" s="319"/>
      <c r="C38" s="27" t="s">
        <v>131</v>
      </c>
      <c r="D38" s="103" t="str">
        <f t="shared" ref="D38:J38" si="0">IF(D24="","0",D37*D36)</f>
        <v>0</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0</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0</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c r="E47" s="88"/>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N/A</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c r="E61" s="88"/>
      <c r="F61" s="88"/>
      <c r="G61" s="88"/>
      <c r="H61" s="88"/>
      <c r="I61" s="88"/>
      <c r="J61" s="88"/>
      <c r="K61" s="297"/>
      <c r="L61" s="298"/>
    </row>
    <row r="62" spans="2:12" ht="45" customHeight="1" x14ac:dyDescent="0.25">
      <c r="B62" s="290" t="s">
        <v>207</v>
      </c>
      <c r="C62" s="291"/>
      <c r="D62" s="88"/>
      <c r="E62" s="88"/>
      <c r="F62" s="88"/>
      <c r="G62" s="88"/>
      <c r="H62" s="88"/>
      <c r="I62" s="88"/>
      <c r="J62" s="88"/>
      <c r="K62" s="297"/>
      <c r="L62" s="298"/>
    </row>
    <row r="63" spans="2:12" ht="181.5" customHeight="1" x14ac:dyDescent="0.25">
      <c r="B63" s="290" t="s">
        <v>218</v>
      </c>
      <c r="C63" s="291"/>
      <c r="D63" s="88"/>
      <c r="E63" s="88"/>
      <c r="F63" s="88"/>
      <c r="G63" s="88"/>
      <c r="H63" s="88"/>
      <c r="I63" s="88"/>
      <c r="J63" s="88"/>
      <c r="K63" s="297"/>
      <c r="L63" s="298"/>
    </row>
    <row r="64" spans="2:12" ht="336" customHeight="1" x14ac:dyDescent="0.25">
      <c r="B64" s="242" t="s">
        <v>220</v>
      </c>
      <c r="C64" s="242"/>
      <c r="D64" s="88"/>
      <c r="E64" s="88"/>
      <c r="F64" s="88"/>
      <c r="G64" s="88"/>
      <c r="H64" s="88"/>
      <c r="I64" s="88"/>
      <c r="J64" s="88"/>
      <c r="K64" s="299"/>
      <c r="L64" s="300"/>
    </row>
    <row r="65" spans="2:12" ht="143.25" customHeight="1" x14ac:dyDescent="0.25">
      <c r="B65" s="293" t="s">
        <v>221</v>
      </c>
      <c r="C65" s="294"/>
      <c r="D65" s="88"/>
      <c r="E65" s="88"/>
      <c r="F65" s="88"/>
      <c r="G65" s="88"/>
      <c r="H65" s="88"/>
      <c r="I65" s="88"/>
      <c r="J65" s="88"/>
      <c r="K65" s="297"/>
      <c r="L65" s="298"/>
    </row>
    <row r="66" spans="2:12" ht="408.75" customHeight="1" x14ac:dyDescent="0.25">
      <c r="B66" s="292" t="s">
        <v>208</v>
      </c>
      <c r="C66" s="292"/>
      <c r="D66" s="88"/>
      <c r="E66" s="88"/>
      <c r="F66" s="88"/>
      <c r="G66" s="88"/>
      <c r="H66" s="88"/>
      <c r="I66" s="88"/>
      <c r="J66" s="88"/>
      <c r="K66" s="297"/>
      <c r="L66" s="298"/>
    </row>
    <row r="67" spans="2:12" ht="312.75" customHeight="1" x14ac:dyDescent="0.25">
      <c r="B67" s="242" t="s">
        <v>209</v>
      </c>
      <c r="C67" s="242"/>
      <c r="D67" s="88"/>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N/A</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56:D67">
    <cfRule type="containsBlanks" dxfId="1325" priority="3">
      <formula>LEN(TRIM(D56))=0</formula>
    </cfRule>
    <cfRule type="notContainsErrors" dxfId="1324" priority="4">
      <formula>NOT(ISERROR(D56))</formula>
    </cfRule>
  </conditionalFormatting>
  <conditionalFormatting sqref="D73">
    <cfRule type="cellIs" dxfId="1323" priority="22" operator="equal">
      <formula>"NO CUMPLE"</formula>
    </cfRule>
    <cfRule type="cellIs" dxfId="1322" priority="23" operator="equal">
      <formula>"CUMPLE"</formula>
    </cfRule>
    <cfRule type="containsBlanks" dxfId="1321" priority="20">
      <formula>LEN(TRIM(D73))=0</formula>
    </cfRule>
    <cfRule type="notContainsErrors" dxfId="1320" priority="21">
      <formula>NOT(ISERROR(D73))</formula>
    </cfRule>
  </conditionalFormatting>
  <conditionalFormatting sqref="D74">
    <cfRule type="cellIs" dxfId="1319" priority="24" operator="equal">
      <formula>"N/A"</formula>
    </cfRule>
    <cfRule type="cellIs" dxfId="1318" priority="25" operator="equal">
      <formula>"CUMPLE"</formula>
    </cfRule>
    <cfRule type="cellIs" dxfId="1317" priority="26" operator="equal">
      <formula>"NO CUMPLE"</formula>
    </cfRule>
    <cfRule type="cellIs" dxfId="1316" priority="27" operator="equal">
      <formula>"""CUMPLE"""</formula>
    </cfRule>
  </conditionalFormatting>
  <conditionalFormatting sqref="D25:J35">
    <cfRule type="containsBlanks" dxfId="1315" priority="42">
      <formula>LEN(TRIM(D25))=0</formula>
    </cfRule>
    <cfRule type="notContainsErrors" dxfId="1314" priority="43">
      <formula>NOT(ISERROR(D25))</formula>
    </cfRule>
  </conditionalFormatting>
  <conditionalFormatting sqref="D34:J34 D24:K24 D37:J37 D40:J40 D43:J43 K68:L68">
    <cfRule type="containsBlanks" dxfId="1313" priority="44">
      <formula>LEN(TRIM(D24))=0</formula>
    </cfRule>
  </conditionalFormatting>
  <conditionalFormatting sqref="D47:J54">
    <cfRule type="cellIs" dxfId="1312" priority="8" operator="equal">
      <formula>"CUMPLE"</formula>
    </cfRule>
    <cfRule type="cellIs" dxfId="1311" priority="7" operator="equal">
      <formula>"NO CUMPLE"</formula>
    </cfRule>
    <cfRule type="containsBlanks" dxfId="1310" priority="9">
      <formula>LEN(TRIM(D47))=0</formula>
    </cfRule>
    <cfRule type="notContainsErrors" dxfId="1309" priority="10">
      <formula>NOT(ISERROR(D47))</formula>
    </cfRule>
  </conditionalFormatting>
  <conditionalFormatting sqref="D55:J55">
    <cfRule type="cellIs" dxfId="1308" priority="53" operator="equal">
      <formula>"""CUMPLE"""</formula>
    </cfRule>
    <cfRule type="cellIs" dxfId="1307" priority="52" operator="equal">
      <formula>"NO CUMPLE"</formula>
    </cfRule>
    <cfRule type="cellIs" dxfId="1306" priority="51" operator="equal">
      <formula>"CUMPLE"</formula>
    </cfRule>
    <cfRule type="cellIs" dxfId="1305" priority="50" operator="equal">
      <formula>"N/A"</formula>
    </cfRule>
  </conditionalFormatting>
  <conditionalFormatting sqref="D56:J67">
    <cfRule type="cellIs" dxfId="1304" priority="2" operator="equal">
      <formula>"CUMPLE"</formula>
    </cfRule>
    <cfRule type="cellIs" dxfId="1303" priority="1" operator="equal">
      <formula>"NO CUMPLE"</formula>
    </cfRule>
  </conditionalFormatting>
  <conditionalFormatting sqref="D68:J68">
    <cfRule type="cellIs" dxfId="1302" priority="47" operator="equal">
      <formula>"CUMPLE"</formula>
    </cfRule>
    <cfRule type="cellIs" dxfId="1301" priority="49" operator="equal">
      <formula>"""CUMPLE"""</formula>
    </cfRule>
    <cfRule type="cellIs" dxfId="1300" priority="48" operator="equal">
      <formula>"NO CUMPLE"</formula>
    </cfRule>
    <cfRule type="cellIs" dxfId="1299" priority="46" operator="equal">
      <formula>"N/A"</formula>
    </cfRule>
  </conditionalFormatting>
  <conditionalFormatting sqref="D69:J69">
    <cfRule type="cellIs" dxfId="1298" priority="15" operator="equal">
      <formula>"CUMPLE"</formula>
    </cfRule>
    <cfRule type="cellIs" dxfId="1297" priority="14" operator="equal">
      <formula>"NO CUMPLE"</formula>
    </cfRule>
  </conditionalFormatting>
  <conditionalFormatting sqref="D24:K24 D34:J34 D37:J37 D40:J40 D43:J43 K68:L68">
    <cfRule type="notContainsErrors" dxfId="1296" priority="45">
      <formula>NOT(ISERROR(D24))</formula>
    </cfRule>
  </conditionalFormatting>
  <conditionalFormatting sqref="D61:K67">
    <cfRule type="notContainsErrors" dxfId="1295" priority="6">
      <formula>NOT(ISERROR(D61))</formula>
    </cfRule>
    <cfRule type="containsBlanks" dxfId="1294" priority="5">
      <formula>LEN(TRIM(D61))=0</formula>
    </cfRule>
  </conditionalFormatting>
  <conditionalFormatting sqref="D69:K69">
    <cfRule type="notContainsErrors" dxfId="1293" priority="17">
      <formula>NOT(ISERROR(D69))</formula>
    </cfRule>
    <cfRule type="containsBlanks" dxfId="1292" priority="16">
      <formula>LEN(TRIM(D69))=0</formula>
    </cfRule>
  </conditionalFormatting>
  <conditionalFormatting sqref="E73:E74">
    <cfRule type="notContainsErrors" dxfId="1291" priority="19">
      <formula>NOT(ISERROR(E73))</formula>
    </cfRule>
    <cfRule type="containsBlanks" dxfId="1290" priority="18">
      <formula>LEN(TRIM(E73))=0</formula>
    </cfRule>
  </conditionalFormatting>
  <conditionalFormatting sqref="E56:J60">
    <cfRule type="containsBlanks" dxfId="1289" priority="32">
      <formula>LEN(TRIM(E56))=0</formula>
    </cfRule>
    <cfRule type="notContainsErrors" dxfId="1288" priority="33">
      <formula>NOT(ISERROR(E56))</formula>
    </cfRule>
  </conditionalFormatting>
  <conditionalFormatting sqref="F20:H20">
    <cfRule type="cellIs" dxfId="1287" priority="57" operator="equal">
      <formula>"CUMPLE"</formula>
    </cfRule>
    <cfRule type="cellIs" dxfId="1286" priority="58" operator="equal">
      <formula>"NO CUMPLE"</formula>
    </cfRule>
    <cfRule type="cellIs" dxfId="1285" priority="59" operator="equal">
      <formula>"""CUMPLE"""</formula>
    </cfRule>
  </conditionalFormatting>
  <conditionalFormatting sqref="I11">
    <cfRule type="containsText" dxfId="1284" priority="63" operator="containsText" text="NO CUMPLE">
      <formula>NOT(ISERROR(SEARCH("NO CUMPLE",I11)))</formula>
    </cfRule>
    <cfRule type="containsText" dxfId="1283" priority="60" operator="containsText" text="INHABILITADO">
      <formula>NOT(ISERROR(SEARCH("INHABILITADO",I11)))</formula>
    </cfRule>
    <cfRule type="containsText" dxfId="1282" priority="61" operator="containsText" text="HABILITADO">
      <formula>NOT(ISERROR(SEARCH("HABILITADO",I11)))</formula>
    </cfRule>
    <cfRule type="containsText" dxfId="1281" priority="62" operator="containsText" text="HABILITADO">
      <formula>NOT(ISERROR(SEARCH("HABILITADO",I11)))</formula>
    </cfRule>
  </conditionalFormatting>
  <conditionalFormatting sqref="J20">
    <cfRule type="cellIs" dxfId="1280" priority="38" operator="equal">
      <formula>"NO"</formula>
    </cfRule>
    <cfRule type="cellIs" dxfId="1279" priority="39" operator="equal">
      <formula>"SI"</formula>
    </cfRule>
  </conditionalFormatting>
  <conditionalFormatting sqref="K16">
    <cfRule type="cellIs" dxfId="1278" priority="11" operator="equal">
      <formula>"CUMPLE"</formula>
    </cfRule>
    <cfRule type="cellIs" dxfId="1277" priority="12" operator="equal">
      <formula>"NO CUMPLE"</formula>
    </cfRule>
    <cfRule type="cellIs" dxfId="1276" priority="13" operator="equal">
      <formula>"""CUMPLE"""</formula>
    </cfRule>
  </conditionalFormatting>
  <conditionalFormatting sqref="K25:K60">
    <cfRule type="containsBlanks" dxfId="1275" priority="28">
      <formula>LEN(TRIM(K25))=0</formula>
    </cfRule>
    <cfRule type="notContainsErrors" dxfId="1274" priority="29">
      <formula>NOT(ISERROR(K25))</formula>
    </cfRule>
  </conditionalFormatting>
  <conditionalFormatting sqref="L14">
    <cfRule type="cellIs" dxfId="1273" priority="54" operator="equal">
      <formula>"CUMPLE"</formula>
    </cfRule>
    <cfRule type="cellIs" dxfId="1272" priority="55" operator="equal">
      <formula>"NO CUMPLE"</formula>
    </cfRule>
    <cfRule type="cellIs" dxfId="1271" priority="56" operator="equal">
      <formula>"""CUMPLE"""</formula>
    </cfRule>
  </conditionalFormatting>
  <conditionalFormatting sqref="L20">
    <cfRule type="cellIs" dxfId="1270" priority="36" operator="equal">
      <formula>"NO"</formula>
    </cfRule>
    <cfRule type="cellIs" dxfId="1269" priority="37" operator="equal">
      <formula>"SI"</formula>
    </cfRule>
  </conditionalFormatting>
  <dataValidations count="4">
    <dataValidation type="list" allowBlank="1" showInputMessage="1" showErrorMessage="1" sqref="D24:J26" xr:uid="{10C53274-E977-407B-97A0-DDB61C605BD0}">
      <formula1>$C$15:$C$19</formula1>
    </dataValidation>
    <dataValidation type="list" allowBlank="1" showInputMessage="1" showErrorMessage="1" sqref="L61:L69" xr:uid="{7C47AFC1-C084-4946-AA5A-0C124E020767}">
      <formula1>"0,1,2,3,4,5,6"</formula1>
    </dataValidation>
    <dataValidation type="list" allowBlank="1" showInputMessage="1" showErrorMessage="1" sqref="D73 J56:J60 E62:J67" xr:uid="{6EDA59AC-116A-4632-9DB2-528EB39CBA49}">
      <formula1>$A$50:$A$52</formula1>
    </dataValidation>
    <dataValidation type="list" allowBlank="1" showInputMessage="1" showErrorMessage="1" sqref="J48:J53" xr:uid="{33B6642C-A75E-4CF4-A1A6-A6C4F4618C7E}">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489C818-8186-417D-9F05-91EC57464C47}">
          <x14:formula1>
            <xm:f>'DATOS INICIALES'!$A$13:$A$43</xm:f>
          </x14:formula1>
          <xm:sqref>D31:I31</xm:sqref>
        </x14:dataValidation>
        <x14:dataValidation type="list" allowBlank="1" showInputMessage="1" showErrorMessage="1" xr:uid="{4DA3B2B4-0BCA-4A6F-ACAE-F78E14AB9C0D}">
          <x14:formula1>
            <xm:f>'DATOS INICIALES'!$D$22:$D$26</xm:f>
          </x14:formula1>
          <xm:sqref>M48:M55</xm:sqref>
        </x14:dataValidation>
        <x14:dataValidation type="list" allowBlank="1" showInputMessage="1" showErrorMessage="1" xr:uid="{34795C5E-70C2-423C-991D-752BC8C75CD2}">
          <x14:formula1>
            <xm:f>'DATOS INICIALES'!$A$54:$A$59</xm:f>
          </x14:formula1>
          <xm:sqref>D23:I23</xm:sqref>
        </x14:dataValidation>
        <x14:dataValidation type="list" allowBlank="1" showInputMessage="1" showErrorMessage="1" xr:uid="{AE489E18-8967-4440-A47D-5BDFCD3FF5DC}">
          <x14:formula1>
            <xm:f>'DATOS INICIALES'!$A$50:$A$52</xm:f>
          </x14:formula1>
          <xm:sqref>E56:I61 D56:D67</xm:sqref>
        </x14:dataValidation>
        <x14:dataValidation type="list" allowBlank="1" showInputMessage="1" showErrorMessage="1" xr:uid="{3E3FA335-50CC-4B87-A700-8573A5509C27}">
          <x14:formula1>
            <xm:f>'DATOS INICIALES'!$C$45:$C$46</xm:f>
          </x14:formula1>
          <xm:sqref>D48:I54</xm:sqref>
        </x14:dataValidation>
        <x14:dataValidation type="list" allowBlank="1" showInputMessage="1" showErrorMessage="1" xr:uid="{E45F46F0-988C-4398-BBC4-F972B9C8FAB0}">
          <x14:formula1>
            <xm:f>'DATOS INICIALES'!$A$50:$A$51</xm:f>
          </x14:formula1>
          <xm:sqref>D69:J69 D47:J47</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C00000"/>
  </sheetPr>
  <dimension ref="A1:N74"/>
  <sheetViews>
    <sheetView view="pageBreakPreview" zoomScale="40" zoomScaleNormal="55" zoomScaleSheetLayoutView="40" workbookViewId="0">
      <pane ySplit="11" topLeftCell="A23" activePane="bottomLeft" state="frozenSplit"/>
      <selection activeCell="C9" sqref="C9:I9"/>
      <selection pane="bottomLeft" activeCell="C9" sqref="C9:I9"/>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16</v>
      </c>
      <c r="B11" s="2" t="s">
        <v>24</v>
      </c>
      <c r="C11" s="342" t="str">
        <f>VLOOKUP(A11,PROPONENTES!A10:B46,2,FALSE)</f>
        <v>CONSORCIO INTER PARQUES IYC 2024</v>
      </c>
      <c r="D11" s="342"/>
      <c r="E11" s="342"/>
      <c r="F11" s="342"/>
      <c r="G11" s="342"/>
      <c r="H11" s="144" t="s">
        <v>166</v>
      </c>
      <c r="I11" s="346" t="str">
        <f>IF(AND(F20="CUMPLE",G20="CUMPLE",H20="CUMPLE",L14="CUMPLE",D74="CUMPLE",K16="CUMPLE"),"CUMPLE","NO CUMPLE")</f>
        <v>NO 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0</v>
      </c>
      <c r="J14" s="169">
        <f>+L8</f>
        <v>405.24573153846154</v>
      </c>
      <c r="K14" s="169">
        <f>+E20</f>
        <v>0</v>
      </c>
      <c r="L14" s="18" t="str">
        <f>IF(K14&gt;=J14,"CUMPLE","NO CUMPLE")</f>
        <v>NO CUMPLE</v>
      </c>
    </row>
    <row r="15" spans="1:12" ht="66.75" customHeight="1" x14ac:dyDescent="0.25">
      <c r="B15" s="314"/>
      <c r="C15" s="98" t="str">
        <f>IF(VLOOKUP(C11,PROPONENTES!B10:N46,2,FALSE)=0,"",VLOOKUP(C11,PROPONENTES!B10:N46,2,FALSE))</f>
        <v>INTERVENTORIA Y CONSTRUCIVILES SAS</v>
      </c>
      <c r="D15" s="99">
        <f>IF(VLOOKUP(C11,PROPONENTES!B10:N46,3,FALSE)=0,"",VLOOKUP(C11,PROPONENTES!B10:N46,3,FALSE))</f>
        <v>0.5</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0</v>
      </c>
      <c r="F15" s="101" t="str">
        <f>IF(C15="","",IF(E15&gt;=$J$14*0.5,"SI","NO"))</f>
        <v>NO</v>
      </c>
      <c r="G15" s="102" t="str">
        <f>IF(C15="","",IF(E15&gt;=$J$14*0.05,"SI",IF(E15=0,"NO APORTA EXPERIENCIA",)))</f>
        <v>NO APORTA EXPERIENCIA</v>
      </c>
      <c r="H15" s="102" t="str">
        <f>IF(C15="","",IF(AND(G15="NO APORTA EXPERIENCIA",D15&lt;=10%),"SI",IF(G15="SI","NO APLICA","NO - PORCENTAJE MAYOR AL 10%")))</f>
        <v>NO - PORCENTAJE MAYOR AL 10%</v>
      </c>
      <c r="I15" s="68" t="s">
        <v>224</v>
      </c>
      <c r="J15" s="68" t="s">
        <v>223</v>
      </c>
      <c r="K15" s="68" t="s">
        <v>69</v>
      </c>
      <c r="L15" s="68" t="s">
        <v>205</v>
      </c>
    </row>
    <row r="16" spans="1:12" ht="33.75" customHeight="1" x14ac:dyDescent="0.25">
      <c r="B16" s="314"/>
      <c r="C16" s="98" t="str">
        <f>IF(VLOOKUP(C11,PROPONENTES!B10:N46,4,FALSE)=0,"",VLOOKUP(C11,PROPONENTES!B10:N46,4,FALSE))</f>
        <v xml:space="preserve">2L PROYECTOS S.A.S. BIC </v>
      </c>
      <c r="D16" s="99">
        <f>IF(VLOOKUP(C11,PROPONENTES!B10:N46,5,FALSE)=0,"",VLOOKUP(C11,PROPONENTES!B10:N46,5,FALSE))</f>
        <v>0.5</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NO - PORCENTAJE MAYOR AL 5%</v>
      </c>
      <c r="I16" s="169">
        <f>SUMIF(D69:J69,"CUMPLE",D39:J39)+SUMIF(D69:J69,"CUMPLE",D42:J42)+SUMIF(D69:J69,"CUMPLE",D45:J45)</f>
        <v>0</v>
      </c>
      <c r="J16" s="169">
        <f>+L8*0.7</f>
        <v>283.67201207692307</v>
      </c>
      <c r="K16" s="18" t="str">
        <f>IF(I16&gt;=J16,"CUMPLE","NO CUMPLE")</f>
        <v>NO CUMPLE</v>
      </c>
      <c r="L16" s="305" t="e">
        <f>AVERAGEIF(D68:J68,"CUMPLE",D46:J46)</f>
        <v>#DIV/0!</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 HAY MAS DE UN (1) INTEGRANTE QUE NO APORTA EXPERIENCIA</v>
      </c>
      <c r="H20" s="18" t="str">
        <f>IF(COUNTIF(E15:E19,0)&gt;1,"NO CUMPLE, HAY MAS DE UN (1) INTEGRANTE QUE NO APORTA EXPERIENCIA",IF(AND(OR(H15="NO APLICA",H15="SI",H15=""),OR(H16="NO APLICA",H16="SI",H16=""),OR(H17="NO APLICA",H17="SI",H17=""),OR(H18="NO APLICA",H18="SI",H18=""),OR(H19="NO APLICA",H19="SI",H19="")),"CUMPLE","NO CUMPLE"))</f>
        <v>NO CUMPLE, HAY MAS DE UN (1) INTEGRANTE QUE NO APORTA EXPERIENCIA</v>
      </c>
      <c r="I20" s="68" t="s">
        <v>168</v>
      </c>
      <c r="J20" s="141" t="str">
        <f>IF(VLOOKUP(C11,PUNTAJE!B15:AD109,25,FALSE)=0.25,"SI","NO")</f>
        <v>NO</v>
      </c>
      <c r="K20" s="68" t="s">
        <v>167</v>
      </c>
      <c r="L20" s="141" t="str">
        <f>IF(VLOOKUP(C11,PUNTAJE!B15:AD109,29,FALSE)=0.25,"SI","NO")</f>
        <v>NO</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c r="E27" s="89"/>
      <c r="F27" s="89"/>
      <c r="G27" s="89"/>
      <c r="H27" s="89"/>
      <c r="I27" s="89"/>
      <c r="J27" s="89"/>
      <c r="K27" s="297"/>
      <c r="L27" s="298"/>
    </row>
    <row r="28" spans="2:14" ht="156.75" customHeight="1" x14ac:dyDescent="0.25">
      <c r="B28" s="319"/>
      <c r="C28" s="27" t="s">
        <v>36</v>
      </c>
      <c r="D28" s="89"/>
      <c r="E28" s="89"/>
      <c r="F28" s="89"/>
      <c r="G28" s="89"/>
      <c r="H28" s="89"/>
      <c r="I28" s="89"/>
      <c r="J28" s="89"/>
      <c r="K28" s="297"/>
      <c r="L28" s="298"/>
    </row>
    <row r="29" spans="2:14" ht="52.5" customHeight="1" x14ac:dyDescent="0.25">
      <c r="B29" s="319"/>
      <c r="C29" s="27" t="s">
        <v>165</v>
      </c>
      <c r="D29" s="93"/>
      <c r="E29" s="93"/>
      <c r="F29" s="93"/>
      <c r="G29" s="93"/>
      <c r="H29" s="93"/>
      <c r="I29" s="93"/>
      <c r="J29" s="93"/>
      <c r="K29" s="297"/>
      <c r="L29" s="298"/>
    </row>
    <row r="30" spans="2:14" ht="54.75" customHeight="1" x14ac:dyDescent="0.25">
      <c r="B30" s="319"/>
      <c r="C30" s="27" t="s">
        <v>40</v>
      </c>
      <c r="D30" s="93"/>
      <c r="E30" s="93"/>
      <c r="F30" s="93"/>
      <c r="G30" s="93"/>
      <c r="H30" s="93"/>
      <c r="I30" s="93"/>
      <c r="J30" s="93"/>
      <c r="K30" s="297"/>
      <c r="L30" s="298"/>
    </row>
    <row r="31" spans="2:14" ht="41.25" customHeight="1" x14ac:dyDescent="0.25">
      <c r="B31" s="319"/>
      <c r="C31" s="27" t="s">
        <v>37</v>
      </c>
      <c r="D31" s="90"/>
      <c r="E31" s="90"/>
      <c r="F31" s="90"/>
      <c r="G31" s="90"/>
      <c r="H31" s="90"/>
      <c r="I31" s="90"/>
      <c r="J31" s="90"/>
      <c r="K31" s="297"/>
      <c r="L31" s="298"/>
    </row>
    <row r="32" spans="2:14" ht="63" customHeight="1" x14ac:dyDescent="0.25">
      <c r="B32" s="319"/>
      <c r="C32" s="27" t="s">
        <v>38</v>
      </c>
      <c r="D32" s="89"/>
      <c r="E32" s="89"/>
      <c r="F32" s="89"/>
      <c r="G32" s="89"/>
      <c r="H32" s="89"/>
      <c r="I32" s="89"/>
      <c r="J32" s="89"/>
      <c r="K32" s="297"/>
      <c r="L32" s="298"/>
    </row>
    <row r="33" spans="2:12" ht="46.5" customHeight="1" x14ac:dyDescent="0.25">
      <c r="B33" s="319"/>
      <c r="C33" s="27" t="s">
        <v>39</v>
      </c>
      <c r="D33" s="89"/>
      <c r="E33" s="89"/>
      <c r="F33" s="89"/>
      <c r="G33" s="89"/>
      <c r="H33" s="89"/>
      <c r="I33" s="89"/>
      <c r="J33" s="89"/>
      <c r="K33" s="297"/>
      <c r="L33" s="298"/>
    </row>
    <row r="34" spans="2:12" ht="27.75" customHeight="1" x14ac:dyDescent="0.25">
      <c r="B34" s="319"/>
      <c r="C34" s="28" t="s">
        <v>33</v>
      </c>
      <c r="D34" s="94"/>
      <c r="E34" s="94"/>
      <c r="F34" s="94"/>
      <c r="G34" s="95"/>
      <c r="H34" s="95"/>
      <c r="I34" s="95"/>
      <c r="J34" s="95"/>
      <c r="K34" s="297"/>
      <c r="L34" s="298"/>
    </row>
    <row r="35" spans="2:12" ht="102.75" customHeight="1" x14ac:dyDescent="0.25">
      <c r="B35" s="319"/>
      <c r="C35" s="27" t="s">
        <v>124</v>
      </c>
      <c r="D35" s="91"/>
      <c r="E35" s="187"/>
      <c r="F35" s="91"/>
      <c r="G35" s="91"/>
      <c r="H35" s="91"/>
      <c r="I35" s="91"/>
      <c r="J35" s="91"/>
      <c r="K35" s="299"/>
      <c r="L35" s="300"/>
    </row>
    <row r="36" spans="2:12" ht="48" customHeight="1" x14ac:dyDescent="0.25">
      <c r="B36" s="319"/>
      <c r="C36" s="27" t="s">
        <v>72</v>
      </c>
      <c r="D36" s="103" t="str">
        <f>IFERROR(D35*VLOOKUP(D31,'DATOS INICIALES'!$A$12:$B$43,2,0),"0")</f>
        <v>0</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c r="E37" s="92"/>
      <c r="F37" s="92"/>
      <c r="G37" s="92"/>
      <c r="H37" s="92"/>
      <c r="I37" s="92"/>
      <c r="J37" s="92"/>
      <c r="K37" s="297"/>
      <c r="L37" s="298"/>
    </row>
    <row r="38" spans="2:12" ht="48.75" customHeight="1" x14ac:dyDescent="0.25">
      <c r="B38" s="319"/>
      <c r="C38" s="27" t="s">
        <v>131</v>
      </c>
      <c r="D38" s="103" t="str">
        <f t="shared" ref="D38:J38" si="0">IF(D24="","0",D37*D36)</f>
        <v>0</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0</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0</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c r="E47" s="88"/>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N/A</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c r="E61" s="88"/>
      <c r="F61" s="88"/>
      <c r="G61" s="88"/>
      <c r="H61" s="88"/>
      <c r="I61" s="88"/>
      <c r="J61" s="88"/>
      <c r="K61" s="297"/>
      <c r="L61" s="298"/>
    </row>
    <row r="62" spans="2:12" ht="45" customHeight="1" x14ac:dyDescent="0.25">
      <c r="B62" s="290" t="s">
        <v>207</v>
      </c>
      <c r="C62" s="291"/>
      <c r="D62" s="88"/>
      <c r="E62" s="88"/>
      <c r="F62" s="88"/>
      <c r="G62" s="88"/>
      <c r="H62" s="88"/>
      <c r="I62" s="88"/>
      <c r="J62" s="88"/>
      <c r="K62" s="297"/>
      <c r="L62" s="298"/>
    </row>
    <row r="63" spans="2:12" ht="181.5" customHeight="1" x14ac:dyDescent="0.25">
      <c r="B63" s="290" t="s">
        <v>218</v>
      </c>
      <c r="C63" s="291"/>
      <c r="D63" s="88"/>
      <c r="E63" s="88"/>
      <c r="F63" s="88"/>
      <c r="G63" s="88"/>
      <c r="H63" s="88"/>
      <c r="I63" s="88"/>
      <c r="J63" s="88"/>
      <c r="K63" s="297"/>
      <c r="L63" s="298"/>
    </row>
    <row r="64" spans="2:12" ht="336" customHeight="1" x14ac:dyDescent="0.25">
      <c r="B64" s="242" t="s">
        <v>220</v>
      </c>
      <c r="C64" s="242"/>
      <c r="D64" s="88"/>
      <c r="E64" s="88"/>
      <c r="F64" s="88"/>
      <c r="G64" s="88"/>
      <c r="H64" s="88"/>
      <c r="I64" s="88"/>
      <c r="J64" s="88"/>
      <c r="K64" s="299"/>
      <c r="L64" s="300"/>
    </row>
    <row r="65" spans="2:12" ht="143.25" customHeight="1" x14ac:dyDescent="0.25">
      <c r="B65" s="293" t="s">
        <v>221</v>
      </c>
      <c r="C65" s="294"/>
      <c r="D65" s="88"/>
      <c r="E65" s="88"/>
      <c r="F65" s="88"/>
      <c r="G65" s="88"/>
      <c r="H65" s="88"/>
      <c r="I65" s="88"/>
      <c r="J65" s="88"/>
      <c r="K65" s="297"/>
      <c r="L65" s="298"/>
    </row>
    <row r="66" spans="2:12" ht="408.75" customHeight="1" x14ac:dyDescent="0.25">
      <c r="B66" s="292" t="s">
        <v>208</v>
      </c>
      <c r="C66" s="292"/>
      <c r="D66" s="88"/>
      <c r="E66" s="88"/>
      <c r="F66" s="88"/>
      <c r="G66" s="88"/>
      <c r="H66" s="88"/>
      <c r="I66" s="88"/>
      <c r="J66" s="88"/>
      <c r="K66" s="297"/>
      <c r="L66" s="298"/>
    </row>
    <row r="67" spans="2:12" ht="312.75" customHeight="1" x14ac:dyDescent="0.25">
      <c r="B67" s="242" t="s">
        <v>209</v>
      </c>
      <c r="C67" s="242"/>
      <c r="D67" s="88"/>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N/A</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56:D67">
    <cfRule type="containsBlanks" dxfId="1268" priority="3">
      <formula>LEN(TRIM(D56))=0</formula>
    </cfRule>
    <cfRule type="notContainsErrors" dxfId="1267" priority="4">
      <formula>NOT(ISERROR(D56))</formula>
    </cfRule>
  </conditionalFormatting>
  <conditionalFormatting sqref="D73">
    <cfRule type="cellIs" dxfId="1266" priority="22" operator="equal">
      <formula>"NO CUMPLE"</formula>
    </cfRule>
    <cfRule type="cellIs" dxfId="1265" priority="23" operator="equal">
      <formula>"CUMPLE"</formula>
    </cfRule>
    <cfRule type="containsBlanks" dxfId="1264" priority="20">
      <formula>LEN(TRIM(D73))=0</formula>
    </cfRule>
    <cfRule type="notContainsErrors" dxfId="1263" priority="21">
      <formula>NOT(ISERROR(D73))</formula>
    </cfRule>
  </conditionalFormatting>
  <conditionalFormatting sqref="D74">
    <cfRule type="cellIs" dxfId="1262" priority="24" operator="equal">
      <formula>"N/A"</formula>
    </cfRule>
    <cfRule type="cellIs" dxfId="1261" priority="25" operator="equal">
      <formula>"CUMPLE"</formula>
    </cfRule>
    <cfRule type="cellIs" dxfId="1260" priority="26" operator="equal">
      <formula>"NO CUMPLE"</formula>
    </cfRule>
    <cfRule type="cellIs" dxfId="1259" priority="27" operator="equal">
      <formula>"""CUMPLE"""</formula>
    </cfRule>
  </conditionalFormatting>
  <conditionalFormatting sqref="D25:J35">
    <cfRule type="containsBlanks" dxfId="1258" priority="42">
      <formula>LEN(TRIM(D25))=0</formula>
    </cfRule>
    <cfRule type="notContainsErrors" dxfId="1257" priority="43">
      <formula>NOT(ISERROR(D25))</formula>
    </cfRule>
  </conditionalFormatting>
  <conditionalFormatting sqref="D34:J34 D24:K24 D37:J37 D40:J40 D43:J43 K68:L68">
    <cfRule type="containsBlanks" dxfId="1256" priority="44">
      <formula>LEN(TRIM(D24))=0</formula>
    </cfRule>
  </conditionalFormatting>
  <conditionalFormatting sqref="D47:J54">
    <cfRule type="cellIs" dxfId="1255" priority="8" operator="equal">
      <formula>"CUMPLE"</formula>
    </cfRule>
    <cfRule type="cellIs" dxfId="1254" priority="7" operator="equal">
      <formula>"NO CUMPLE"</formula>
    </cfRule>
    <cfRule type="containsBlanks" dxfId="1253" priority="9">
      <formula>LEN(TRIM(D47))=0</formula>
    </cfRule>
    <cfRule type="notContainsErrors" dxfId="1252" priority="10">
      <formula>NOT(ISERROR(D47))</formula>
    </cfRule>
  </conditionalFormatting>
  <conditionalFormatting sqref="D55:J55">
    <cfRule type="cellIs" dxfId="1251" priority="53" operator="equal">
      <formula>"""CUMPLE"""</formula>
    </cfRule>
    <cfRule type="cellIs" dxfId="1250" priority="52" operator="equal">
      <formula>"NO CUMPLE"</formula>
    </cfRule>
    <cfRule type="cellIs" dxfId="1249" priority="51" operator="equal">
      <formula>"CUMPLE"</formula>
    </cfRule>
    <cfRule type="cellIs" dxfId="1248" priority="50" operator="equal">
      <formula>"N/A"</formula>
    </cfRule>
  </conditionalFormatting>
  <conditionalFormatting sqref="D56:J67">
    <cfRule type="cellIs" dxfId="1247" priority="2" operator="equal">
      <formula>"CUMPLE"</formula>
    </cfRule>
    <cfRule type="cellIs" dxfId="1246" priority="1" operator="equal">
      <formula>"NO CUMPLE"</formula>
    </cfRule>
  </conditionalFormatting>
  <conditionalFormatting sqref="D68:J68">
    <cfRule type="cellIs" dxfId="1245" priority="47" operator="equal">
      <formula>"CUMPLE"</formula>
    </cfRule>
    <cfRule type="cellIs" dxfId="1244" priority="49" operator="equal">
      <formula>"""CUMPLE"""</formula>
    </cfRule>
    <cfRule type="cellIs" dxfId="1243" priority="48" operator="equal">
      <formula>"NO CUMPLE"</formula>
    </cfRule>
    <cfRule type="cellIs" dxfId="1242" priority="46" operator="equal">
      <formula>"N/A"</formula>
    </cfRule>
  </conditionalFormatting>
  <conditionalFormatting sqref="D69:J69">
    <cfRule type="cellIs" dxfId="1241" priority="15" operator="equal">
      <formula>"CUMPLE"</formula>
    </cfRule>
    <cfRule type="cellIs" dxfId="1240" priority="14" operator="equal">
      <formula>"NO CUMPLE"</formula>
    </cfRule>
  </conditionalFormatting>
  <conditionalFormatting sqref="D24:K24 D34:J34 D37:J37 D40:J40 D43:J43 K68:L68">
    <cfRule type="notContainsErrors" dxfId="1239" priority="45">
      <formula>NOT(ISERROR(D24))</formula>
    </cfRule>
  </conditionalFormatting>
  <conditionalFormatting sqref="D61:K67">
    <cfRule type="notContainsErrors" dxfId="1238" priority="6">
      <formula>NOT(ISERROR(D61))</formula>
    </cfRule>
    <cfRule type="containsBlanks" dxfId="1237" priority="5">
      <formula>LEN(TRIM(D61))=0</formula>
    </cfRule>
  </conditionalFormatting>
  <conditionalFormatting sqref="D69:K69">
    <cfRule type="notContainsErrors" dxfId="1236" priority="17">
      <formula>NOT(ISERROR(D69))</formula>
    </cfRule>
    <cfRule type="containsBlanks" dxfId="1235" priority="16">
      <formula>LEN(TRIM(D69))=0</formula>
    </cfRule>
  </conditionalFormatting>
  <conditionalFormatting sqref="E73:E74">
    <cfRule type="notContainsErrors" dxfId="1234" priority="19">
      <formula>NOT(ISERROR(E73))</formula>
    </cfRule>
    <cfRule type="containsBlanks" dxfId="1233" priority="18">
      <formula>LEN(TRIM(E73))=0</formula>
    </cfRule>
  </conditionalFormatting>
  <conditionalFormatting sqref="E56:J60">
    <cfRule type="containsBlanks" dxfId="1232" priority="32">
      <formula>LEN(TRIM(E56))=0</formula>
    </cfRule>
    <cfRule type="notContainsErrors" dxfId="1231" priority="33">
      <formula>NOT(ISERROR(E56))</formula>
    </cfRule>
  </conditionalFormatting>
  <conditionalFormatting sqref="F20:H20">
    <cfRule type="cellIs" dxfId="1230" priority="57" operator="equal">
      <formula>"CUMPLE"</formula>
    </cfRule>
    <cfRule type="cellIs" dxfId="1229" priority="58" operator="equal">
      <formula>"NO CUMPLE"</formula>
    </cfRule>
    <cfRule type="cellIs" dxfId="1228" priority="59" operator="equal">
      <formula>"""CUMPLE"""</formula>
    </cfRule>
  </conditionalFormatting>
  <conditionalFormatting sqref="I11">
    <cfRule type="containsText" dxfId="1227" priority="63" operator="containsText" text="NO CUMPLE">
      <formula>NOT(ISERROR(SEARCH("NO CUMPLE",I11)))</formula>
    </cfRule>
    <cfRule type="containsText" dxfId="1226" priority="60" operator="containsText" text="INHABILITADO">
      <formula>NOT(ISERROR(SEARCH("INHABILITADO",I11)))</formula>
    </cfRule>
    <cfRule type="containsText" dxfId="1225" priority="61" operator="containsText" text="HABILITADO">
      <formula>NOT(ISERROR(SEARCH("HABILITADO",I11)))</formula>
    </cfRule>
    <cfRule type="containsText" dxfId="1224" priority="62" operator="containsText" text="HABILITADO">
      <formula>NOT(ISERROR(SEARCH("HABILITADO",I11)))</formula>
    </cfRule>
  </conditionalFormatting>
  <conditionalFormatting sqref="J20">
    <cfRule type="cellIs" dxfId="1223" priority="38" operator="equal">
      <formula>"NO"</formula>
    </cfRule>
    <cfRule type="cellIs" dxfId="1222" priority="39" operator="equal">
      <formula>"SI"</formula>
    </cfRule>
  </conditionalFormatting>
  <conditionalFormatting sqref="K16">
    <cfRule type="cellIs" dxfId="1221" priority="11" operator="equal">
      <formula>"CUMPLE"</formula>
    </cfRule>
    <cfRule type="cellIs" dxfId="1220" priority="12" operator="equal">
      <formula>"NO CUMPLE"</formula>
    </cfRule>
    <cfRule type="cellIs" dxfId="1219" priority="13" operator="equal">
      <formula>"""CUMPLE"""</formula>
    </cfRule>
  </conditionalFormatting>
  <conditionalFormatting sqref="K25:K60">
    <cfRule type="containsBlanks" dxfId="1218" priority="28">
      <formula>LEN(TRIM(K25))=0</formula>
    </cfRule>
    <cfRule type="notContainsErrors" dxfId="1217" priority="29">
      <formula>NOT(ISERROR(K25))</formula>
    </cfRule>
  </conditionalFormatting>
  <conditionalFormatting sqref="L14">
    <cfRule type="cellIs" dxfId="1216" priority="54" operator="equal">
      <formula>"CUMPLE"</formula>
    </cfRule>
    <cfRule type="cellIs" dxfId="1215" priority="55" operator="equal">
      <formula>"NO CUMPLE"</formula>
    </cfRule>
    <cfRule type="cellIs" dxfId="1214" priority="56" operator="equal">
      <formula>"""CUMPLE"""</formula>
    </cfRule>
  </conditionalFormatting>
  <conditionalFormatting sqref="L20">
    <cfRule type="cellIs" dxfId="1213" priority="36" operator="equal">
      <formula>"NO"</formula>
    </cfRule>
    <cfRule type="cellIs" dxfId="1212" priority="37" operator="equal">
      <formula>"SI"</formula>
    </cfRule>
  </conditionalFormatting>
  <dataValidations count="4">
    <dataValidation type="list" allowBlank="1" showInputMessage="1" showErrorMessage="1" sqref="J48:J53" xr:uid="{2AE2776F-6226-4EAC-B0F8-3A08D893D075}">
      <formula1>$C$45:$C$46</formula1>
    </dataValidation>
    <dataValidation type="list" allowBlank="1" showInputMessage="1" showErrorMessage="1" sqref="D73 J56:J60 E62:J67" xr:uid="{A55D8C1D-775B-4F68-A068-0AA30506D377}">
      <formula1>$A$50:$A$52</formula1>
    </dataValidation>
    <dataValidation type="list" allowBlank="1" showInputMessage="1" showErrorMessage="1" sqref="L61:L69" xr:uid="{6634C56F-8CBF-4A07-B9ED-A6445F70A645}">
      <formula1>"0,1,2,3,4,5,6"</formula1>
    </dataValidation>
    <dataValidation type="list" allowBlank="1" showInputMessage="1" showErrorMessage="1" sqref="D24:J26" xr:uid="{9F74D364-284B-4BE2-A248-8FE897CBD11F}">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B7F2D616-CF7E-4B97-934D-7367A36F2BD2}">
          <x14:formula1>
            <xm:f>'DATOS INICIALES'!$C$45:$C$46</xm:f>
          </x14:formula1>
          <xm:sqref>D48:I54</xm:sqref>
        </x14:dataValidation>
        <x14:dataValidation type="list" allowBlank="1" showInputMessage="1" showErrorMessage="1" xr:uid="{EE43A729-DEE0-4E89-9183-CF276DD783C3}">
          <x14:formula1>
            <xm:f>'DATOS INICIALES'!$A$50:$A$52</xm:f>
          </x14:formula1>
          <xm:sqref>E56:I61 D56:D67</xm:sqref>
        </x14:dataValidation>
        <x14:dataValidation type="list" allowBlank="1" showInputMessage="1" showErrorMessage="1" xr:uid="{503C493C-A194-4D6B-832D-3DC1CEF4A4F9}">
          <x14:formula1>
            <xm:f>'DATOS INICIALES'!$A$54:$A$59</xm:f>
          </x14:formula1>
          <xm:sqref>D23:I23</xm:sqref>
        </x14:dataValidation>
        <x14:dataValidation type="list" allowBlank="1" showInputMessage="1" showErrorMessage="1" xr:uid="{BF69272D-A4D7-4FFA-8726-FE72899F3EB8}">
          <x14:formula1>
            <xm:f>'DATOS INICIALES'!$D$22:$D$26</xm:f>
          </x14:formula1>
          <xm:sqref>M48:M55</xm:sqref>
        </x14:dataValidation>
        <x14:dataValidation type="list" allowBlank="1" showInputMessage="1" showErrorMessage="1" xr:uid="{AE715FA4-D2ED-4D36-836F-AA503338F579}">
          <x14:formula1>
            <xm:f>'DATOS INICIALES'!$A$13:$A$43</xm:f>
          </x14:formula1>
          <xm:sqref>D31:I31</xm:sqref>
        </x14:dataValidation>
        <x14:dataValidation type="list" allowBlank="1" showInputMessage="1" showErrorMessage="1" xr:uid="{9964F5FD-6442-4342-AE70-7763C10365F8}">
          <x14:formula1>
            <xm:f>'DATOS INICIALES'!$A$50:$A$51</xm:f>
          </x14:formula1>
          <xm:sqref>D69:J69 D47:J47</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74"/>
  <sheetViews>
    <sheetView view="pageBreakPreview" zoomScale="40" zoomScaleNormal="55" zoomScaleSheetLayoutView="40" workbookViewId="0">
      <pane ySplit="11" topLeftCell="A66" activePane="bottomLeft" state="frozenSplit"/>
      <selection activeCell="C9" sqref="C9:I9"/>
      <selection pane="bottomLeft" activeCell="D28" sqref="D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17</v>
      </c>
      <c r="B11" s="2" t="s">
        <v>24</v>
      </c>
      <c r="C11" s="342" t="str">
        <f>VLOOKUP(A11,PROPONENTES!A10:B46,2,FALSE)</f>
        <v>CONSORCIO-INTER-P-KENEDY</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671.04499999999996</v>
      </c>
      <c r="L14" s="18" t="str">
        <f>IF(K14&gt;=J14,"CUMPLE","NO CUMPLE")</f>
        <v>CUMPLE</v>
      </c>
    </row>
    <row r="15" spans="1:12" ht="66.75" customHeight="1" x14ac:dyDescent="0.25">
      <c r="B15" s="314"/>
      <c r="C15" s="98" t="str">
        <f>IF(VLOOKUP(C11,PROPONENTES!B10:N46,2,FALSE)=0,"",VLOOKUP(C11,PROPONENTES!B10:N46,2,FALSE))</f>
        <v>ENVIRONMENTAL AND GEOMECHANICAL SOLUTIONS EGS SAS</v>
      </c>
      <c r="D15" s="99">
        <f>IF(VLOOKUP(C11,PROPONENTES!B10:N46,3,FALSE)=0,"",VLOOKUP(C11,PROPONENTES!B10:N46,3,FALSE))</f>
        <v>0.9</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671.04499999999996</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JAPG INGENIERIA SAS</v>
      </c>
      <c r="D16" s="99">
        <f>IF(VLOOKUP(C11,PROPONENTES!B10:N46,5,FALSE)=0,"",VLOOKUP(C11,PROPONENTES!B10:N46,5,FALSE))</f>
        <v>0.1</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SI</v>
      </c>
      <c r="I16" s="169">
        <f>SUMIF(D69:J69,"CUMPLE",D39:J39)+SUMIF(D69:J69,"CUMPLE",D42:J42)+SUMIF(D69:J69,"CUMPLE",D45:J45)</f>
        <v>671.04499999999996</v>
      </c>
      <c r="J16" s="169">
        <f>+L8*0.7</f>
        <v>283.67201207692307</v>
      </c>
      <c r="K16" s="18" t="str">
        <f>IF(I16&gt;=J16,"CUMPLE","NO CUMPLE")</f>
        <v>CUMPLE</v>
      </c>
      <c r="L16" s="305">
        <f>AVERAGEIF(D68:J68,"CUMPLE",D46:J46)</f>
        <v>671.04499999999996</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671.04499999999996</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251</v>
      </c>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307</v>
      </c>
      <c r="E27" s="89"/>
      <c r="F27" s="89"/>
      <c r="G27" s="89"/>
      <c r="H27" s="89"/>
      <c r="I27" s="89"/>
      <c r="J27" s="89"/>
      <c r="K27" s="297"/>
      <c r="L27" s="298"/>
    </row>
    <row r="28" spans="2:14" ht="156.75" customHeight="1" x14ac:dyDescent="0.25">
      <c r="B28" s="319"/>
      <c r="C28" s="27" t="s">
        <v>36</v>
      </c>
      <c r="D28" s="89" t="s">
        <v>305</v>
      </c>
      <c r="E28" s="89"/>
      <c r="F28" s="89"/>
      <c r="G28" s="89"/>
      <c r="H28" s="89"/>
      <c r="I28" s="89"/>
      <c r="J28" s="89"/>
      <c r="K28" s="297"/>
      <c r="L28" s="298"/>
    </row>
    <row r="29" spans="2:14" ht="52.5" customHeight="1" x14ac:dyDescent="0.25">
      <c r="B29" s="319"/>
      <c r="C29" s="27" t="s">
        <v>165</v>
      </c>
      <c r="D29" s="93">
        <v>42758</v>
      </c>
      <c r="E29" s="93"/>
      <c r="F29" s="93"/>
      <c r="G29" s="93"/>
      <c r="H29" s="93"/>
      <c r="I29" s="93"/>
      <c r="J29" s="93"/>
      <c r="K29" s="297"/>
      <c r="L29" s="298"/>
    </row>
    <row r="30" spans="2:14" ht="54.75" customHeight="1" x14ac:dyDescent="0.25">
      <c r="B30" s="319"/>
      <c r="C30" s="27" t="s">
        <v>40</v>
      </c>
      <c r="D30" s="93">
        <v>43236</v>
      </c>
      <c r="E30" s="93"/>
      <c r="F30" s="93"/>
      <c r="G30" s="93"/>
      <c r="H30" s="93"/>
      <c r="I30" s="93"/>
      <c r="J30" s="93"/>
      <c r="K30" s="297"/>
      <c r="L30" s="298"/>
    </row>
    <row r="31" spans="2:14" ht="41.25" customHeight="1" x14ac:dyDescent="0.25">
      <c r="B31" s="319"/>
      <c r="C31" s="27" t="s">
        <v>37</v>
      </c>
      <c r="D31" s="90">
        <v>2018</v>
      </c>
      <c r="E31" s="90"/>
      <c r="F31" s="90"/>
      <c r="G31" s="90"/>
      <c r="H31" s="90"/>
      <c r="I31" s="90"/>
      <c r="J31" s="90"/>
      <c r="K31" s="297"/>
      <c r="L31" s="298"/>
    </row>
    <row r="32" spans="2:14" ht="63" customHeight="1" x14ac:dyDescent="0.25">
      <c r="B32" s="319"/>
      <c r="C32" s="27" t="s">
        <v>38</v>
      </c>
      <c r="D32" s="89" t="s">
        <v>306</v>
      </c>
      <c r="E32" s="89"/>
      <c r="F32" s="89"/>
      <c r="G32" s="89"/>
      <c r="H32" s="89"/>
      <c r="I32" s="89"/>
      <c r="J32" s="89"/>
      <c r="K32" s="297"/>
      <c r="L32" s="298"/>
    </row>
    <row r="33" spans="2:12" ht="46.5" customHeight="1" x14ac:dyDescent="0.25">
      <c r="B33" s="319"/>
      <c r="C33" s="27" t="s">
        <v>39</v>
      </c>
      <c r="D33" s="89" t="s">
        <v>308</v>
      </c>
      <c r="E33" s="89"/>
      <c r="F33" s="89"/>
      <c r="G33" s="89"/>
      <c r="H33" s="89"/>
      <c r="I33" s="89"/>
      <c r="J33" s="89"/>
      <c r="K33" s="297"/>
      <c r="L33" s="298"/>
    </row>
    <row r="34" spans="2:12" ht="27.75" customHeight="1" x14ac:dyDescent="0.25">
      <c r="B34" s="319"/>
      <c r="C34" s="28" t="s">
        <v>33</v>
      </c>
      <c r="D34" s="94">
        <v>19</v>
      </c>
      <c r="E34" s="94"/>
      <c r="F34" s="94"/>
      <c r="G34" s="95"/>
      <c r="H34" s="95"/>
      <c r="I34" s="95"/>
      <c r="J34" s="95"/>
      <c r="K34" s="297"/>
      <c r="L34" s="298"/>
    </row>
    <row r="35" spans="2:12" ht="102.75" customHeight="1" x14ac:dyDescent="0.25">
      <c r="B35" s="319"/>
      <c r="C35" s="27" t="s">
        <v>124</v>
      </c>
      <c r="D35" s="91">
        <v>1342.09</v>
      </c>
      <c r="E35" s="187"/>
      <c r="F35" s="91"/>
      <c r="G35" s="91"/>
      <c r="H35" s="91"/>
      <c r="I35" s="91"/>
      <c r="J35" s="91"/>
      <c r="K35" s="299"/>
      <c r="L35" s="300"/>
    </row>
    <row r="36" spans="2:12" ht="48" customHeight="1" x14ac:dyDescent="0.25">
      <c r="B36" s="319"/>
      <c r="C36" s="27" t="s">
        <v>72</v>
      </c>
      <c r="D36" s="103">
        <f>IFERROR(D35*VLOOKUP(D31,'DATOS INICIALES'!$A$12:$B$43,2,0),"0")</f>
        <v>1048497075.78</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0.5</v>
      </c>
      <c r="E37" s="92"/>
      <c r="F37" s="92"/>
      <c r="G37" s="92"/>
      <c r="H37" s="92"/>
      <c r="I37" s="92"/>
      <c r="J37" s="92"/>
      <c r="K37" s="297"/>
      <c r="L37" s="298"/>
    </row>
    <row r="38" spans="2:12" ht="48.75" customHeight="1" x14ac:dyDescent="0.25">
      <c r="B38" s="319"/>
      <c r="C38" s="27" t="s">
        <v>131</v>
      </c>
      <c r="D38" s="103">
        <f t="shared" ref="D38:J38" si="0">IF(D24="","0",D37*D36)</f>
        <v>524248537.88999999</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671.04499999999996</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671.04499999999996</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c r="F47" s="88"/>
      <c r="G47" s="88"/>
      <c r="H47" s="88"/>
      <c r="I47" s="88"/>
      <c r="J47" s="88"/>
      <c r="K47" s="297"/>
      <c r="L47" s="298"/>
    </row>
    <row r="48" spans="2:12" ht="24.75" customHeight="1" x14ac:dyDescent="0.25">
      <c r="B48" s="315" t="s">
        <v>34</v>
      </c>
      <c r="C48" s="29">
        <f>+'DATOS INICIALES'!D22</f>
        <v>81141500</v>
      </c>
      <c r="D48" s="94" t="s">
        <v>75</v>
      </c>
      <c r="E48" s="94"/>
      <c r="F48" s="94"/>
      <c r="G48" s="94"/>
      <c r="H48" s="94"/>
      <c r="I48" s="94"/>
      <c r="J48" s="95"/>
      <c r="K48" s="297"/>
      <c r="L48" s="298"/>
    </row>
    <row r="49" spans="2:12" ht="24.75" customHeight="1" x14ac:dyDescent="0.25">
      <c r="B49" s="316"/>
      <c r="C49" s="29">
        <f>+'DATOS INICIALES'!D23</f>
        <v>80101500</v>
      </c>
      <c r="D49" s="94" t="s">
        <v>75</v>
      </c>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c r="F61" s="88"/>
      <c r="G61" s="88"/>
      <c r="H61" s="88"/>
      <c r="I61" s="88"/>
      <c r="J61" s="88"/>
      <c r="K61" s="297"/>
      <c r="L61" s="298"/>
    </row>
    <row r="62" spans="2:12" ht="45" customHeight="1" x14ac:dyDescent="0.25">
      <c r="B62" s="290" t="s">
        <v>207</v>
      </c>
      <c r="C62" s="291"/>
      <c r="D62" s="88" t="s">
        <v>14</v>
      </c>
      <c r="E62" s="88"/>
      <c r="F62" s="88"/>
      <c r="G62" s="88"/>
      <c r="H62" s="88"/>
      <c r="I62" s="88"/>
      <c r="J62" s="88"/>
      <c r="K62" s="297"/>
      <c r="L62" s="298"/>
    </row>
    <row r="63" spans="2:12" ht="181.5" customHeight="1" x14ac:dyDescent="0.25">
      <c r="B63" s="290" t="s">
        <v>218</v>
      </c>
      <c r="C63" s="291"/>
      <c r="D63" s="88" t="s">
        <v>13</v>
      </c>
      <c r="E63" s="88"/>
      <c r="F63" s="88"/>
      <c r="G63" s="88"/>
      <c r="H63" s="88"/>
      <c r="I63" s="88"/>
      <c r="J63" s="88"/>
      <c r="K63" s="297"/>
      <c r="L63" s="298"/>
    </row>
    <row r="64" spans="2:12" ht="336" customHeight="1" x14ac:dyDescent="0.25">
      <c r="B64" s="242" t="s">
        <v>220</v>
      </c>
      <c r="C64" s="242"/>
      <c r="D64" s="88" t="s">
        <v>14</v>
      </c>
      <c r="E64" s="88"/>
      <c r="F64" s="88"/>
      <c r="G64" s="88"/>
      <c r="H64" s="88"/>
      <c r="I64" s="88"/>
      <c r="J64" s="88"/>
      <c r="K64" s="299"/>
      <c r="L64" s="300"/>
    </row>
    <row r="65" spans="2:12" ht="143.25" customHeight="1" x14ac:dyDescent="0.25">
      <c r="B65" s="293" t="s">
        <v>221</v>
      </c>
      <c r="C65" s="294"/>
      <c r="D65" s="88" t="s">
        <v>13</v>
      </c>
      <c r="E65" s="88"/>
      <c r="F65" s="88"/>
      <c r="G65" s="88"/>
      <c r="H65" s="88"/>
      <c r="I65" s="88"/>
      <c r="J65" s="88"/>
      <c r="K65" s="297"/>
      <c r="L65" s="298"/>
    </row>
    <row r="66" spans="2:12" ht="408.75" customHeight="1" x14ac:dyDescent="0.25">
      <c r="B66" s="292" t="s">
        <v>208</v>
      </c>
      <c r="C66" s="292"/>
      <c r="D66" s="88" t="s">
        <v>13</v>
      </c>
      <c r="E66" s="88"/>
      <c r="F66" s="88"/>
      <c r="G66" s="88"/>
      <c r="H66" s="88"/>
      <c r="I66" s="88"/>
      <c r="J66" s="88"/>
      <c r="K66" s="297"/>
      <c r="L66" s="298"/>
    </row>
    <row r="67" spans="2:12" ht="312.75" customHeight="1" x14ac:dyDescent="0.25">
      <c r="B67" s="242" t="s">
        <v>209</v>
      </c>
      <c r="C67" s="242"/>
      <c r="D67" s="88" t="s">
        <v>14</v>
      </c>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notContainsErrors" dxfId="1211" priority="8">
      <formula>NOT(ISERROR(D73))</formula>
    </cfRule>
    <cfRule type="cellIs" dxfId="1210" priority="5" operator="equal">
      <formula>"NO CUMPLE"</formula>
    </cfRule>
    <cfRule type="cellIs" dxfId="1209" priority="6" operator="equal">
      <formula>"CUMPLE"</formula>
    </cfRule>
    <cfRule type="containsBlanks" dxfId="1208" priority="7">
      <formula>LEN(TRIM(D73))=0</formula>
    </cfRule>
  </conditionalFormatting>
  <conditionalFormatting sqref="D74">
    <cfRule type="cellIs" dxfId="1207" priority="30" operator="equal">
      <formula>"N/A"</formula>
    </cfRule>
    <cfRule type="cellIs" dxfId="1206" priority="31" operator="equal">
      <formula>"CUMPLE"</formula>
    </cfRule>
    <cfRule type="cellIs" dxfId="1205" priority="32" operator="equal">
      <formula>"NO CUMPLE"</formula>
    </cfRule>
    <cfRule type="cellIs" dxfId="1204" priority="33" operator="equal">
      <formula>"""CUMPLE"""</formula>
    </cfRule>
  </conditionalFormatting>
  <conditionalFormatting sqref="D56:I67">
    <cfRule type="containsBlanks" dxfId="1203" priority="3">
      <formula>LEN(TRIM(D56))=0</formula>
    </cfRule>
    <cfRule type="notContainsErrors" dxfId="1202" priority="4">
      <formula>NOT(ISERROR(D56))</formula>
    </cfRule>
  </conditionalFormatting>
  <conditionalFormatting sqref="D25:J35">
    <cfRule type="containsBlanks" dxfId="1201" priority="48">
      <formula>LEN(TRIM(D25))=0</formula>
    </cfRule>
    <cfRule type="notContainsErrors" dxfId="1200" priority="49">
      <formula>NOT(ISERROR(D25))</formula>
    </cfRule>
  </conditionalFormatting>
  <conditionalFormatting sqref="D34:J34 D24:K24 D37:J37 D40:J40 D43:J43 K68:L68">
    <cfRule type="containsBlanks" dxfId="1199" priority="50">
      <formula>LEN(TRIM(D24))=0</formula>
    </cfRule>
  </conditionalFormatting>
  <conditionalFormatting sqref="D47:J54">
    <cfRule type="cellIs" dxfId="1198" priority="13" operator="equal">
      <formula>"NO CUMPLE"</formula>
    </cfRule>
    <cfRule type="cellIs" dxfId="1197" priority="14" operator="equal">
      <formula>"CUMPLE"</formula>
    </cfRule>
    <cfRule type="containsBlanks" dxfId="1196" priority="15">
      <formula>LEN(TRIM(D47))=0</formula>
    </cfRule>
    <cfRule type="notContainsErrors" dxfId="1195" priority="16">
      <formula>NOT(ISERROR(D47))</formula>
    </cfRule>
  </conditionalFormatting>
  <conditionalFormatting sqref="D55:J55">
    <cfRule type="cellIs" dxfId="1194" priority="56" operator="equal">
      <formula>"N/A"</formula>
    </cfRule>
    <cfRule type="cellIs" dxfId="1193" priority="59" operator="equal">
      <formula>"""CUMPLE"""</formula>
    </cfRule>
    <cfRule type="cellIs" dxfId="1192" priority="58" operator="equal">
      <formula>"NO CUMPLE"</formula>
    </cfRule>
    <cfRule type="cellIs" dxfId="1191" priority="57" operator="equal">
      <formula>"CUMPLE"</formula>
    </cfRule>
  </conditionalFormatting>
  <conditionalFormatting sqref="D56:J67">
    <cfRule type="cellIs" dxfId="1190" priority="2" operator="equal">
      <formula>"CUMPLE"</formula>
    </cfRule>
    <cfRule type="cellIs" dxfId="1189" priority="1" operator="equal">
      <formula>"NO CUMPLE"</formula>
    </cfRule>
  </conditionalFormatting>
  <conditionalFormatting sqref="D68:J68">
    <cfRule type="cellIs" dxfId="1188" priority="53" operator="equal">
      <formula>"CUMPLE"</formula>
    </cfRule>
    <cfRule type="cellIs" dxfId="1187" priority="52" operator="equal">
      <formula>"N/A"</formula>
    </cfRule>
    <cfRule type="cellIs" dxfId="1186" priority="55" operator="equal">
      <formula>"""CUMPLE"""</formula>
    </cfRule>
    <cfRule type="cellIs" dxfId="1185" priority="54" operator="equal">
      <formula>"NO CUMPLE"</formula>
    </cfRule>
  </conditionalFormatting>
  <conditionalFormatting sqref="D69:J69">
    <cfRule type="cellIs" dxfId="1184" priority="20" operator="equal">
      <formula>"NO CUMPLE"</formula>
    </cfRule>
    <cfRule type="cellIs" dxfId="1183" priority="21" operator="equal">
      <formula>"CUMPLE"</formula>
    </cfRule>
  </conditionalFormatting>
  <conditionalFormatting sqref="D24:K24 D34:J34 D37:J37 D40:J40 D43:J43 K68:L68">
    <cfRule type="notContainsErrors" dxfId="1182" priority="51">
      <formula>NOT(ISERROR(D24))</formula>
    </cfRule>
  </conditionalFormatting>
  <conditionalFormatting sqref="D69:K69">
    <cfRule type="containsBlanks" dxfId="1181" priority="22">
      <formula>LEN(TRIM(D69))=0</formula>
    </cfRule>
    <cfRule type="notContainsErrors" dxfId="1180" priority="23">
      <formula>NOT(ISERROR(D69))</formula>
    </cfRule>
  </conditionalFormatting>
  <conditionalFormatting sqref="E73:E74">
    <cfRule type="notContainsErrors" dxfId="1179" priority="25">
      <formula>NOT(ISERROR(E73))</formula>
    </cfRule>
    <cfRule type="containsBlanks" dxfId="1178" priority="24">
      <formula>LEN(TRIM(E73))=0</formula>
    </cfRule>
  </conditionalFormatting>
  <conditionalFormatting sqref="F20:H20">
    <cfRule type="cellIs" dxfId="1177" priority="63" operator="equal">
      <formula>"CUMPLE"</formula>
    </cfRule>
    <cfRule type="cellIs" dxfId="1176" priority="64" operator="equal">
      <formula>"NO CUMPLE"</formula>
    </cfRule>
    <cfRule type="cellIs" dxfId="1175" priority="65" operator="equal">
      <formula>"""CUMPLE"""</formula>
    </cfRule>
  </conditionalFormatting>
  <conditionalFormatting sqref="I11">
    <cfRule type="containsText" dxfId="1174" priority="69" operator="containsText" text="NO CUMPLE">
      <formula>NOT(ISERROR(SEARCH("NO CUMPLE",I11)))</formula>
    </cfRule>
    <cfRule type="containsText" dxfId="1173" priority="66" operator="containsText" text="INHABILITADO">
      <formula>NOT(ISERROR(SEARCH("INHABILITADO",I11)))</formula>
    </cfRule>
    <cfRule type="containsText" dxfId="1172" priority="67" operator="containsText" text="HABILITADO">
      <formula>NOT(ISERROR(SEARCH("HABILITADO",I11)))</formula>
    </cfRule>
    <cfRule type="containsText" dxfId="1171" priority="68" operator="containsText" text="HABILITADO">
      <formula>NOT(ISERROR(SEARCH("HABILITADO",I11)))</formula>
    </cfRule>
  </conditionalFormatting>
  <conditionalFormatting sqref="J20">
    <cfRule type="cellIs" dxfId="1170" priority="44" operator="equal">
      <formula>"NO"</formula>
    </cfRule>
    <cfRule type="cellIs" dxfId="1169" priority="45" operator="equal">
      <formula>"SI"</formula>
    </cfRule>
  </conditionalFormatting>
  <conditionalFormatting sqref="J56:J60">
    <cfRule type="notContainsErrors" dxfId="1168" priority="39">
      <formula>NOT(ISERROR(J56))</formula>
    </cfRule>
    <cfRule type="containsBlanks" dxfId="1167" priority="38">
      <formula>LEN(TRIM(J56))=0</formula>
    </cfRule>
  </conditionalFormatting>
  <conditionalFormatting sqref="J61:K67">
    <cfRule type="containsBlanks" dxfId="1166" priority="40">
      <formula>LEN(TRIM(J61))=0</formula>
    </cfRule>
    <cfRule type="notContainsErrors" dxfId="1165" priority="41">
      <formula>NOT(ISERROR(J61))</formula>
    </cfRule>
  </conditionalFormatting>
  <conditionalFormatting sqref="K16">
    <cfRule type="cellIs" dxfId="1164" priority="18" operator="equal">
      <formula>"NO CUMPLE"</formula>
    </cfRule>
    <cfRule type="cellIs" dxfId="1163" priority="19" operator="equal">
      <formula>"""CUMPLE"""</formula>
    </cfRule>
    <cfRule type="cellIs" dxfId="1162" priority="17" operator="equal">
      <formula>"CUMPLE"</formula>
    </cfRule>
  </conditionalFormatting>
  <conditionalFormatting sqref="K25:K60">
    <cfRule type="notContainsErrors" dxfId="1161" priority="35">
      <formula>NOT(ISERROR(K25))</formula>
    </cfRule>
    <cfRule type="containsBlanks" dxfId="1160" priority="34">
      <formula>LEN(TRIM(K25))=0</formula>
    </cfRule>
  </conditionalFormatting>
  <conditionalFormatting sqref="L14">
    <cfRule type="cellIs" dxfId="1159" priority="60" operator="equal">
      <formula>"CUMPLE"</formula>
    </cfRule>
    <cfRule type="cellIs" dxfId="1158" priority="61" operator="equal">
      <formula>"NO CUMPLE"</formula>
    </cfRule>
    <cfRule type="cellIs" dxfId="1157" priority="62" operator="equal">
      <formula>"""CUMPLE"""</formula>
    </cfRule>
  </conditionalFormatting>
  <conditionalFormatting sqref="L20">
    <cfRule type="cellIs" dxfId="1156" priority="42" operator="equal">
      <formula>"NO"</formula>
    </cfRule>
    <cfRule type="cellIs" dxfId="1155" priority="43" operator="equal">
      <formula>"SI"</formula>
    </cfRule>
  </conditionalFormatting>
  <dataValidations count="4">
    <dataValidation type="list" allowBlank="1" showInputMessage="1" showErrorMessage="1" sqref="D24:J26" xr:uid="{AAD63C69-A68F-458F-A183-A75C485756E6}">
      <formula1>$C$15:$C$19</formula1>
    </dataValidation>
    <dataValidation type="list" allowBlank="1" showInputMessage="1" showErrorMessage="1" sqref="L61:L69" xr:uid="{3D55AF23-A6D3-4BA4-9820-D48F75939463}">
      <formula1>"0,1,2,3,4,5,6"</formula1>
    </dataValidation>
    <dataValidation type="list" allowBlank="1" showInputMessage="1" showErrorMessage="1" sqref="J56:J60 J62:J67" xr:uid="{0F65CEBC-B48A-402E-959F-FE492598B876}">
      <formula1>$A$50:$A$52</formula1>
    </dataValidation>
    <dataValidation type="list" allowBlank="1" showInputMessage="1" showErrorMessage="1" sqref="J48:J53" xr:uid="{20EC7E82-275E-42C2-885A-33B376968277}">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15CB5CC7-ACFE-4971-BAFF-2886E1978568}">
          <x14:formula1>
            <xm:f>'DATOS INICIALES'!$A$13:$A$43</xm:f>
          </x14:formula1>
          <xm:sqref>D31:I31</xm:sqref>
        </x14:dataValidation>
        <x14:dataValidation type="list" allowBlank="1" showInputMessage="1" showErrorMessage="1" xr:uid="{F952E039-80D1-4E36-8236-8F524AE539E8}">
          <x14:formula1>
            <xm:f>'DATOS INICIALES'!$D$22:$D$26</xm:f>
          </x14:formula1>
          <xm:sqref>M48:M55</xm:sqref>
        </x14:dataValidation>
        <x14:dataValidation type="list" allowBlank="1" showInputMessage="1" showErrorMessage="1" xr:uid="{23A0FEAD-E130-4D6F-A07F-7FBA31DD19B7}">
          <x14:formula1>
            <xm:f>'DATOS INICIALES'!$A$54:$A$59</xm:f>
          </x14:formula1>
          <xm:sqref>D23:I23</xm:sqref>
        </x14:dataValidation>
        <x14:dataValidation type="list" allowBlank="1" showInputMessage="1" showErrorMessage="1" xr:uid="{C72E4824-8803-4063-B35A-7389C74811E1}">
          <x14:formula1>
            <xm:f>'DATOS INICIALES'!$A$50:$A$52</xm:f>
          </x14:formula1>
          <xm:sqref>D73 D56:I67</xm:sqref>
        </x14:dataValidation>
        <x14:dataValidation type="list" allowBlank="1" showInputMessage="1" showErrorMessage="1" xr:uid="{D6354DA9-7343-44E2-8CCB-5666C947B2CC}">
          <x14:formula1>
            <xm:f>'DATOS INICIALES'!$C$45:$C$46</xm:f>
          </x14:formula1>
          <xm:sqref>D48:I54</xm:sqref>
        </x14:dataValidation>
        <x14:dataValidation type="list" allowBlank="1" showInputMessage="1" showErrorMessage="1" xr:uid="{7A2EF94B-2573-422F-BE05-A057F70002D7}">
          <x14:formula1>
            <xm:f>'DATOS INICIALES'!$A$50:$A$51</xm:f>
          </x14:formula1>
          <xm:sqref>D69:J69 D47:J47</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C00000"/>
  </sheetPr>
  <dimension ref="A1:N74"/>
  <sheetViews>
    <sheetView view="pageBreakPreview" zoomScale="55" zoomScaleNormal="55" zoomScaleSheetLayoutView="55" workbookViewId="0">
      <pane ySplit="11" topLeftCell="A18" activePane="bottomLeft" state="frozenSplit"/>
      <selection activeCell="C9" sqref="C9:I9"/>
      <selection pane="bottomLeft" activeCell="C9" sqref="C9:I9"/>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18</v>
      </c>
      <c r="B11" s="2" t="s">
        <v>24</v>
      </c>
      <c r="C11" s="342" t="str">
        <f>VLOOKUP(A11,PROPONENTES!A10:B46,2,FALSE)</f>
        <v>CONSORCIO INTERPARQUES BOGOTÁ</v>
      </c>
      <c r="D11" s="342"/>
      <c r="E11" s="342"/>
      <c r="F11" s="342"/>
      <c r="G11" s="342"/>
      <c r="H11" s="144" t="s">
        <v>166</v>
      </c>
      <c r="I11" s="346" t="str">
        <f>IF(AND(F20="CUMPLE",G20="CUMPLE",H20="CUMPLE",L14="CUMPLE",D74="CUMPLE",K16="CUMPLE"),"CUMPLE","NO CUMPLE")</f>
        <v>NO 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0</v>
      </c>
      <c r="J14" s="169">
        <f>+L8</f>
        <v>405.24573153846154</v>
      </c>
      <c r="K14" s="169">
        <f>+E20</f>
        <v>0</v>
      </c>
      <c r="L14" s="18" t="str">
        <f>IF(K14&gt;=J14,"CUMPLE","NO CUMPLE")</f>
        <v>NO CUMPLE</v>
      </c>
    </row>
    <row r="15" spans="1:12" ht="66.75" customHeight="1" x14ac:dyDescent="0.25">
      <c r="B15" s="314"/>
      <c r="C15" s="98" t="str">
        <f>IF(VLOOKUP(C11,PROPONENTES!B10:N46,2,FALSE)=0,"",VLOOKUP(C11,PROPONENTES!B10:N46,2,FALSE))</f>
        <v>CITPRO CONSULTORES S.A.S. ZOMAC</v>
      </c>
      <c r="D15" s="99">
        <f>IF(VLOOKUP(C11,PROPONENTES!B10:N46,3,FALSE)=0,"",VLOOKUP(C11,PROPONENTES!B10:N46,3,FALSE))</f>
        <v>0.3</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0</v>
      </c>
      <c r="F15" s="101" t="str">
        <f>IF(C15="","",IF(E15&gt;=$J$14*0.5,"SI","NO"))</f>
        <v>NO</v>
      </c>
      <c r="G15" s="102" t="str">
        <f>IF(C15="","",IF(E15&gt;=$J$14*0.05,"SI",IF(E15=0,"NO APORTA EXPERIENCIA",)))</f>
        <v>NO APORTA EXPERIENCIA</v>
      </c>
      <c r="H15" s="102" t="str">
        <f>IF(C15="","",IF(AND(G15="NO APORTA EXPERIENCIA",D15&lt;=10%),"SI",IF(G15="SI","NO APLICA","NO - PORCENTAJE MAYOR AL 10%")))</f>
        <v>NO - PORCENTAJE MAYOR AL 10%</v>
      </c>
      <c r="I15" s="68" t="s">
        <v>224</v>
      </c>
      <c r="J15" s="68" t="s">
        <v>223</v>
      </c>
      <c r="K15" s="68" t="s">
        <v>69</v>
      </c>
      <c r="L15" s="68" t="s">
        <v>205</v>
      </c>
    </row>
    <row r="16" spans="1:12" ht="33.75" customHeight="1" x14ac:dyDescent="0.25">
      <c r="B16" s="314"/>
      <c r="C16" s="98" t="str">
        <f>IF(VLOOKUP(C11,PROPONENTES!B10:N46,4,FALSE)=0,"",VLOOKUP(C11,PROPONENTES!B10:N46,4,FALSE))</f>
        <v xml:space="preserve">HG INGENIERIA Y DESARROLLO S.A.S </v>
      </c>
      <c r="D16" s="99">
        <f>IF(VLOOKUP(C11,PROPONENTES!B10:N46,5,FALSE)=0,"",VLOOKUP(C11,PROPONENTES!B10:N46,5,FALSE))</f>
        <v>0.7</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NO - PORCENTAJE MAYOR AL 5%</v>
      </c>
      <c r="I16" s="169">
        <f>SUMIF(D69:J69,"CUMPLE",D39:J39)+SUMIF(D69:J69,"CUMPLE",D42:J42)+SUMIF(D69:J69,"CUMPLE",D45:J45)</f>
        <v>0</v>
      </c>
      <c r="J16" s="169">
        <f>+L8*0.7</f>
        <v>283.67201207692307</v>
      </c>
      <c r="K16" s="18" t="str">
        <f>IF(I16&gt;=J16,"CUMPLE","NO CUMPLE")</f>
        <v>NO CUMPLE</v>
      </c>
      <c r="L16" s="305" t="e">
        <f>AVERAGEIF(D68:J68,"CUMPLE",D46:J46)</f>
        <v>#DIV/0!</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 HAY MAS DE UN (1) INTEGRANTE QUE NO APORTA EXPERIENCIA</v>
      </c>
      <c r="H20" s="18" t="str">
        <f>IF(COUNTIF(E15:E19,0)&gt;1,"NO CUMPLE, HAY MAS DE UN (1) INTEGRANTE QUE NO APORTA EXPERIENCIA",IF(AND(OR(H15="NO APLICA",H15="SI",H15=""),OR(H16="NO APLICA",H16="SI",H16=""),OR(H17="NO APLICA",H17="SI",H17=""),OR(H18="NO APLICA",H18="SI",H18=""),OR(H19="NO APLICA",H19="SI",H19="")),"CUMPLE","NO CUMPLE"))</f>
        <v>NO CUMPLE, HAY MAS DE UN (1) INTEGRANTE QUE NO APORTA EXPERIENCIA</v>
      </c>
      <c r="I20" s="68" t="s">
        <v>168</v>
      </c>
      <c r="J20" s="141" t="str">
        <f>IF(VLOOKUP(C11,PUNTAJE!B15:AD109,25,FALSE)=0.25,"SI","NO")</f>
        <v>NO</v>
      </c>
      <c r="K20" s="68" t="s">
        <v>167</v>
      </c>
      <c r="L20" s="141" t="str">
        <f>IF(VLOOKUP(C11,PUNTAJE!B15:AD109,29,FALSE)=0.25,"SI","NO")</f>
        <v>NO</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c r="E27" s="89"/>
      <c r="F27" s="89"/>
      <c r="G27" s="89"/>
      <c r="H27" s="89"/>
      <c r="I27" s="89"/>
      <c r="J27" s="89"/>
      <c r="K27" s="297"/>
      <c r="L27" s="298"/>
    </row>
    <row r="28" spans="2:14" ht="156.75" customHeight="1" x14ac:dyDescent="0.25">
      <c r="B28" s="319"/>
      <c r="C28" s="27" t="s">
        <v>36</v>
      </c>
      <c r="D28" s="89"/>
      <c r="E28" s="89"/>
      <c r="F28" s="89"/>
      <c r="G28" s="89"/>
      <c r="H28" s="89"/>
      <c r="I28" s="89"/>
      <c r="J28" s="89"/>
      <c r="K28" s="297"/>
      <c r="L28" s="298"/>
    </row>
    <row r="29" spans="2:14" ht="52.5" customHeight="1" x14ac:dyDescent="0.25">
      <c r="B29" s="319"/>
      <c r="C29" s="27" t="s">
        <v>165</v>
      </c>
      <c r="D29" s="93"/>
      <c r="E29" s="93"/>
      <c r="F29" s="93"/>
      <c r="G29" s="93"/>
      <c r="H29" s="93"/>
      <c r="I29" s="93"/>
      <c r="J29" s="93"/>
      <c r="K29" s="297"/>
      <c r="L29" s="298"/>
    </row>
    <row r="30" spans="2:14" ht="54.75" customHeight="1" x14ac:dyDescent="0.25">
      <c r="B30" s="319"/>
      <c r="C30" s="27" t="s">
        <v>40</v>
      </c>
      <c r="D30" s="93"/>
      <c r="E30" s="93"/>
      <c r="F30" s="93"/>
      <c r="G30" s="93"/>
      <c r="H30" s="93"/>
      <c r="I30" s="93"/>
      <c r="J30" s="93"/>
      <c r="K30" s="297"/>
      <c r="L30" s="298"/>
    </row>
    <row r="31" spans="2:14" ht="41.25" customHeight="1" x14ac:dyDescent="0.25">
      <c r="B31" s="319"/>
      <c r="C31" s="27" t="s">
        <v>37</v>
      </c>
      <c r="D31" s="90"/>
      <c r="E31" s="90"/>
      <c r="F31" s="90"/>
      <c r="G31" s="90"/>
      <c r="H31" s="90"/>
      <c r="I31" s="90"/>
      <c r="J31" s="90"/>
      <c r="K31" s="297"/>
      <c r="L31" s="298"/>
    </row>
    <row r="32" spans="2:14" ht="63" customHeight="1" x14ac:dyDescent="0.25">
      <c r="B32" s="319"/>
      <c r="C32" s="27" t="s">
        <v>38</v>
      </c>
      <c r="D32" s="89"/>
      <c r="E32" s="89"/>
      <c r="F32" s="89"/>
      <c r="G32" s="89"/>
      <c r="H32" s="89"/>
      <c r="I32" s="89"/>
      <c r="J32" s="89"/>
      <c r="K32" s="297"/>
      <c r="L32" s="298"/>
    </row>
    <row r="33" spans="2:12" ht="46.5" customHeight="1" x14ac:dyDescent="0.25">
      <c r="B33" s="319"/>
      <c r="C33" s="27" t="s">
        <v>39</v>
      </c>
      <c r="D33" s="89"/>
      <c r="E33" s="89"/>
      <c r="F33" s="89"/>
      <c r="G33" s="89"/>
      <c r="H33" s="89"/>
      <c r="I33" s="89"/>
      <c r="J33" s="89"/>
      <c r="K33" s="297"/>
      <c r="L33" s="298"/>
    </row>
    <row r="34" spans="2:12" ht="27.75" customHeight="1" x14ac:dyDescent="0.25">
      <c r="B34" s="319"/>
      <c r="C34" s="28" t="s">
        <v>33</v>
      </c>
      <c r="D34" s="94"/>
      <c r="E34" s="94"/>
      <c r="F34" s="94"/>
      <c r="G34" s="95"/>
      <c r="H34" s="95"/>
      <c r="I34" s="95"/>
      <c r="J34" s="95"/>
      <c r="K34" s="297"/>
      <c r="L34" s="298"/>
    </row>
    <row r="35" spans="2:12" ht="102.75" customHeight="1" x14ac:dyDescent="0.25">
      <c r="B35" s="319"/>
      <c r="C35" s="27" t="s">
        <v>124</v>
      </c>
      <c r="D35" s="91"/>
      <c r="E35" s="187"/>
      <c r="F35" s="91"/>
      <c r="G35" s="91"/>
      <c r="H35" s="91"/>
      <c r="I35" s="91"/>
      <c r="J35" s="91"/>
      <c r="K35" s="299"/>
      <c r="L35" s="300"/>
    </row>
    <row r="36" spans="2:12" ht="48" customHeight="1" x14ac:dyDescent="0.25">
      <c r="B36" s="319"/>
      <c r="C36" s="27" t="s">
        <v>72</v>
      </c>
      <c r="D36" s="103" t="str">
        <f>IFERROR(D35*VLOOKUP(D31,'DATOS INICIALES'!$A$12:$B$43,2,0),"0")</f>
        <v>0</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c r="E37" s="92"/>
      <c r="F37" s="92"/>
      <c r="G37" s="92"/>
      <c r="H37" s="92"/>
      <c r="I37" s="92"/>
      <c r="J37" s="92"/>
      <c r="K37" s="297"/>
      <c r="L37" s="298"/>
    </row>
    <row r="38" spans="2:12" ht="48.75" customHeight="1" x14ac:dyDescent="0.25">
      <c r="B38" s="319"/>
      <c r="C38" s="27" t="s">
        <v>131</v>
      </c>
      <c r="D38" s="103" t="str">
        <f t="shared" ref="D38:J38" si="0">IF(D24="","0",D37*D36)</f>
        <v>0</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0</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0</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c r="E47" s="88"/>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N/A</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c r="E61" s="88"/>
      <c r="F61" s="88"/>
      <c r="G61" s="88"/>
      <c r="H61" s="88"/>
      <c r="I61" s="88"/>
      <c r="J61" s="88"/>
      <c r="K61" s="297"/>
      <c r="L61" s="298"/>
    </row>
    <row r="62" spans="2:12" ht="45" customHeight="1" x14ac:dyDescent="0.25">
      <c r="B62" s="290" t="s">
        <v>207</v>
      </c>
      <c r="C62" s="291"/>
      <c r="D62" s="88"/>
      <c r="E62" s="88"/>
      <c r="F62" s="88"/>
      <c r="G62" s="88"/>
      <c r="H62" s="88"/>
      <c r="I62" s="88"/>
      <c r="J62" s="88"/>
      <c r="K62" s="297"/>
      <c r="L62" s="298"/>
    </row>
    <row r="63" spans="2:12" ht="181.5" customHeight="1" x14ac:dyDescent="0.25">
      <c r="B63" s="290" t="s">
        <v>218</v>
      </c>
      <c r="C63" s="291"/>
      <c r="D63" s="88"/>
      <c r="E63" s="88"/>
      <c r="F63" s="88"/>
      <c r="G63" s="88"/>
      <c r="H63" s="88"/>
      <c r="I63" s="88"/>
      <c r="J63" s="88"/>
      <c r="K63" s="297"/>
      <c r="L63" s="298"/>
    </row>
    <row r="64" spans="2:12" ht="336" customHeight="1" x14ac:dyDescent="0.25">
      <c r="B64" s="242" t="s">
        <v>220</v>
      </c>
      <c r="C64" s="242"/>
      <c r="D64" s="88"/>
      <c r="E64" s="88"/>
      <c r="F64" s="88"/>
      <c r="G64" s="88"/>
      <c r="H64" s="88"/>
      <c r="I64" s="88"/>
      <c r="J64" s="88"/>
      <c r="K64" s="299"/>
      <c r="L64" s="300"/>
    </row>
    <row r="65" spans="2:12" ht="143.25" customHeight="1" x14ac:dyDescent="0.25">
      <c r="B65" s="293" t="s">
        <v>221</v>
      </c>
      <c r="C65" s="294"/>
      <c r="D65" s="88"/>
      <c r="E65" s="88"/>
      <c r="F65" s="88"/>
      <c r="G65" s="88"/>
      <c r="H65" s="88"/>
      <c r="I65" s="88"/>
      <c r="J65" s="88"/>
      <c r="K65" s="297"/>
      <c r="L65" s="298"/>
    </row>
    <row r="66" spans="2:12" ht="408.75" customHeight="1" x14ac:dyDescent="0.25">
      <c r="B66" s="292" t="s">
        <v>208</v>
      </c>
      <c r="C66" s="292"/>
      <c r="D66" s="88"/>
      <c r="E66" s="88"/>
      <c r="F66" s="88"/>
      <c r="G66" s="88"/>
      <c r="H66" s="88"/>
      <c r="I66" s="88"/>
      <c r="J66" s="88"/>
      <c r="K66" s="297"/>
      <c r="L66" s="298"/>
    </row>
    <row r="67" spans="2:12" ht="312.75" customHeight="1" x14ac:dyDescent="0.25">
      <c r="B67" s="242" t="s">
        <v>209</v>
      </c>
      <c r="C67" s="242"/>
      <c r="D67" s="88"/>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N/A</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1154" priority="14">
      <formula>LEN(TRIM(D73))=0</formula>
    </cfRule>
    <cfRule type="notContainsErrors" dxfId="1153" priority="15">
      <formula>NOT(ISERROR(D73))</formula>
    </cfRule>
    <cfRule type="cellIs" dxfId="1152" priority="16" operator="equal">
      <formula>"NO CUMPLE"</formula>
    </cfRule>
    <cfRule type="cellIs" dxfId="1151" priority="17" operator="equal">
      <formula>"CUMPLE"</formula>
    </cfRule>
  </conditionalFormatting>
  <conditionalFormatting sqref="D74">
    <cfRule type="cellIs" dxfId="1150" priority="18" operator="equal">
      <formula>"N/A"</formula>
    </cfRule>
    <cfRule type="cellIs" dxfId="1149" priority="19" operator="equal">
      <formula>"CUMPLE"</formula>
    </cfRule>
    <cfRule type="cellIs" dxfId="1148" priority="21" operator="equal">
      <formula>"""CUMPLE"""</formula>
    </cfRule>
    <cfRule type="cellIs" dxfId="1147" priority="20" operator="equal">
      <formula>"NO CUMPLE"</formula>
    </cfRule>
  </conditionalFormatting>
  <conditionalFormatting sqref="D25:J35">
    <cfRule type="notContainsErrors" dxfId="1146" priority="37">
      <formula>NOT(ISERROR(D25))</formula>
    </cfRule>
    <cfRule type="containsBlanks" dxfId="1145" priority="36">
      <formula>LEN(TRIM(D25))=0</formula>
    </cfRule>
  </conditionalFormatting>
  <conditionalFormatting sqref="D34:J34 D24:K24 D37:J37 D40:J40 D43:J43 K68:L68">
    <cfRule type="containsBlanks" dxfId="1144" priority="38">
      <formula>LEN(TRIM(D24))=0</formula>
    </cfRule>
  </conditionalFormatting>
  <conditionalFormatting sqref="D47:J54">
    <cfRule type="cellIs" dxfId="1143" priority="2" operator="equal">
      <formula>"CUMPLE"</formula>
    </cfRule>
    <cfRule type="containsBlanks" dxfId="1142" priority="3">
      <formula>LEN(TRIM(D47))=0</formula>
    </cfRule>
    <cfRule type="notContainsErrors" dxfId="1141" priority="4">
      <formula>NOT(ISERROR(D47))</formula>
    </cfRule>
    <cfRule type="cellIs" dxfId="1140" priority="1" operator="equal">
      <formula>"NO CUMPLE"</formula>
    </cfRule>
  </conditionalFormatting>
  <conditionalFormatting sqref="D55:J55">
    <cfRule type="cellIs" dxfId="1139" priority="44" operator="equal">
      <formula>"N/A"</formula>
    </cfRule>
    <cfRule type="cellIs" dxfId="1138" priority="45" operator="equal">
      <formula>"CUMPLE"</formula>
    </cfRule>
    <cfRule type="cellIs" dxfId="1137" priority="46" operator="equal">
      <formula>"NO CUMPLE"</formula>
    </cfRule>
    <cfRule type="cellIs" dxfId="1136" priority="47" operator="equal">
      <formula>"""CUMPLE"""</formula>
    </cfRule>
  </conditionalFormatting>
  <conditionalFormatting sqref="D56:J60">
    <cfRule type="notContainsErrors" dxfId="1135" priority="27">
      <formula>NOT(ISERROR(D56))</formula>
    </cfRule>
    <cfRule type="containsBlanks" dxfId="1134" priority="26">
      <formula>LEN(TRIM(D56))=0</formula>
    </cfRule>
  </conditionalFormatting>
  <conditionalFormatting sqref="D56:J67">
    <cfRule type="cellIs" dxfId="1133" priority="24" operator="equal">
      <formula>"NO CUMPLE"</formula>
    </cfRule>
    <cfRule type="cellIs" dxfId="1132" priority="25" operator="equal">
      <formula>"CUMPLE"</formula>
    </cfRule>
  </conditionalFormatting>
  <conditionalFormatting sqref="D68:J68">
    <cfRule type="cellIs" dxfId="1131" priority="40" operator="equal">
      <formula>"N/A"</formula>
    </cfRule>
    <cfRule type="cellIs" dxfId="1130" priority="41" operator="equal">
      <formula>"CUMPLE"</formula>
    </cfRule>
    <cfRule type="cellIs" dxfId="1129" priority="42" operator="equal">
      <formula>"NO CUMPLE"</formula>
    </cfRule>
    <cfRule type="cellIs" dxfId="1128" priority="43" operator="equal">
      <formula>"""CUMPLE"""</formula>
    </cfRule>
  </conditionalFormatting>
  <conditionalFormatting sqref="D69:J69">
    <cfRule type="cellIs" dxfId="1127" priority="8" operator="equal">
      <formula>"NO CUMPLE"</formula>
    </cfRule>
    <cfRule type="cellIs" dxfId="1126" priority="9" operator="equal">
      <formula>"CUMPLE"</formula>
    </cfRule>
  </conditionalFormatting>
  <conditionalFormatting sqref="D24:K24 D34:J34 D37:J37 D40:J40 D43:J43 K68:L68">
    <cfRule type="notContainsErrors" dxfId="1125" priority="39">
      <formula>NOT(ISERROR(D24))</formula>
    </cfRule>
  </conditionalFormatting>
  <conditionalFormatting sqref="D61:K67">
    <cfRule type="containsBlanks" dxfId="1124" priority="28">
      <formula>LEN(TRIM(D61))=0</formula>
    </cfRule>
    <cfRule type="notContainsErrors" dxfId="1123" priority="29">
      <formula>NOT(ISERROR(D61))</formula>
    </cfRule>
  </conditionalFormatting>
  <conditionalFormatting sqref="D69:K69">
    <cfRule type="notContainsErrors" dxfId="1122" priority="11">
      <formula>NOT(ISERROR(D69))</formula>
    </cfRule>
    <cfRule type="containsBlanks" dxfId="1121" priority="10">
      <formula>LEN(TRIM(D69))=0</formula>
    </cfRule>
  </conditionalFormatting>
  <conditionalFormatting sqref="E73:E74">
    <cfRule type="containsBlanks" dxfId="1120" priority="12">
      <formula>LEN(TRIM(E73))=0</formula>
    </cfRule>
    <cfRule type="notContainsErrors" dxfId="1119" priority="13">
      <formula>NOT(ISERROR(E73))</formula>
    </cfRule>
  </conditionalFormatting>
  <conditionalFormatting sqref="F20:H20">
    <cfRule type="cellIs" dxfId="1118" priority="51" operator="equal">
      <formula>"CUMPLE"</formula>
    </cfRule>
    <cfRule type="cellIs" dxfId="1117" priority="52" operator="equal">
      <formula>"NO CUMPLE"</formula>
    </cfRule>
    <cfRule type="cellIs" dxfId="1116" priority="53" operator="equal">
      <formula>"""CUMPLE"""</formula>
    </cfRule>
  </conditionalFormatting>
  <conditionalFormatting sqref="I11">
    <cfRule type="containsText" dxfId="1115" priority="54" operator="containsText" text="INHABILITADO">
      <formula>NOT(ISERROR(SEARCH("INHABILITADO",I11)))</formula>
    </cfRule>
    <cfRule type="containsText" dxfId="1114" priority="55" operator="containsText" text="HABILITADO">
      <formula>NOT(ISERROR(SEARCH("HABILITADO",I11)))</formula>
    </cfRule>
    <cfRule type="containsText" dxfId="1113" priority="56" operator="containsText" text="HABILITADO">
      <formula>NOT(ISERROR(SEARCH("HABILITADO",I11)))</formula>
    </cfRule>
    <cfRule type="containsText" dxfId="1112" priority="57" operator="containsText" text="NO CUMPLE">
      <formula>NOT(ISERROR(SEARCH("NO CUMPLE",I11)))</formula>
    </cfRule>
  </conditionalFormatting>
  <conditionalFormatting sqref="J20">
    <cfRule type="cellIs" dxfId="1111" priority="32" operator="equal">
      <formula>"NO"</formula>
    </cfRule>
    <cfRule type="cellIs" dxfId="1110" priority="33" operator="equal">
      <formula>"SI"</formula>
    </cfRule>
  </conditionalFormatting>
  <conditionalFormatting sqref="K16">
    <cfRule type="cellIs" dxfId="1109" priority="5" operator="equal">
      <formula>"CUMPLE"</formula>
    </cfRule>
    <cfRule type="cellIs" dxfId="1108" priority="7" operator="equal">
      <formula>"""CUMPLE"""</formula>
    </cfRule>
    <cfRule type="cellIs" dxfId="1107" priority="6" operator="equal">
      <formula>"NO CUMPLE"</formula>
    </cfRule>
  </conditionalFormatting>
  <conditionalFormatting sqref="K25:K60">
    <cfRule type="notContainsErrors" dxfId="1106" priority="23">
      <formula>NOT(ISERROR(K25))</formula>
    </cfRule>
    <cfRule type="containsBlanks" dxfId="1105" priority="22">
      <formula>LEN(TRIM(K25))=0</formula>
    </cfRule>
  </conditionalFormatting>
  <conditionalFormatting sqref="L14">
    <cfRule type="cellIs" dxfId="1104" priority="48" operator="equal">
      <formula>"CUMPLE"</formula>
    </cfRule>
    <cfRule type="cellIs" dxfId="1103" priority="49" operator="equal">
      <formula>"NO CUMPLE"</formula>
    </cfRule>
    <cfRule type="cellIs" dxfId="1102" priority="50" operator="equal">
      <formula>"""CUMPLE"""</formula>
    </cfRule>
  </conditionalFormatting>
  <conditionalFormatting sqref="L20">
    <cfRule type="cellIs" dxfId="1101" priority="30" operator="equal">
      <formula>"NO"</formula>
    </cfRule>
    <cfRule type="cellIs" dxfId="1100" priority="31" operator="equal">
      <formula>"SI"</formula>
    </cfRule>
  </conditionalFormatting>
  <dataValidations count="4">
    <dataValidation type="list" allowBlank="1" showInputMessage="1" showErrorMessage="1" sqref="J48:J53" xr:uid="{2708CBFD-2015-4290-96A3-63601E5050B3}">
      <formula1>$C$45:$C$46</formula1>
    </dataValidation>
    <dataValidation type="list" allowBlank="1" showInputMessage="1" showErrorMessage="1" sqref="D73 D62:J67 J56:J60" xr:uid="{5A8BC915-8F67-4EDC-B5BB-5186EED7C8CF}">
      <formula1>$A$50:$A$52</formula1>
    </dataValidation>
    <dataValidation type="list" allowBlank="1" showInputMessage="1" showErrorMessage="1" sqref="L61:L69" xr:uid="{ADEFD108-E9CB-49B1-B330-5C0E1F4BF160}">
      <formula1>"0,1,2,3,4,5,6"</formula1>
    </dataValidation>
    <dataValidation type="list" allowBlank="1" showInputMessage="1" showErrorMessage="1" sqref="D24:J26" xr:uid="{71FE0D7D-91F0-4A4A-AA41-21BA7C214869}">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AF1F22DD-855C-4611-83B2-3D54A32EDE2F}">
          <x14:formula1>
            <xm:f>'DATOS INICIALES'!$C$45:$C$46</xm:f>
          </x14:formula1>
          <xm:sqref>D48:I54</xm:sqref>
        </x14:dataValidation>
        <x14:dataValidation type="list" allowBlank="1" showInputMessage="1" showErrorMessage="1" xr:uid="{7B9E0AB7-BB26-4D14-83C3-36F8B7706397}">
          <x14:formula1>
            <xm:f>'DATOS INICIALES'!$A$50:$A$52</xm:f>
          </x14:formula1>
          <xm:sqref>D56:I61</xm:sqref>
        </x14:dataValidation>
        <x14:dataValidation type="list" allowBlank="1" showInputMessage="1" showErrorMessage="1" xr:uid="{7F8E6503-5425-4E80-9158-D16B4A767EEA}">
          <x14:formula1>
            <xm:f>'DATOS INICIALES'!$A$54:$A$59</xm:f>
          </x14:formula1>
          <xm:sqref>D23:I23</xm:sqref>
        </x14:dataValidation>
        <x14:dataValidation type="list" allowBlank="1" showInputMessage="1" showErrorMessage="1" xr:uid="{35E725B4-72C1-4EB7-884A-E5403FF58F3F}">
          <x14:formula1>
            <xm:f>'DATOS INICIALES'!$D$22:$D$26</xm:f>
          </x14:formula1>
          <xm:sqref>M48:M55</xm:sqref>
        </x14:dataValidation>
        <x14:dataValidation type="list" allowBlank="1" showInputMessage="1" showErrorMessage="1" xr:uid="{047092EC-0D3D-4E6B-93F9-A947F8931AAA}">
          <x14:formula1>
            <xm:f>'DATOS INICIALES'!$A$13:$A$43</xm:f>
          </x14:formula1>
          <xm:sqref>D31:I31</xm:sqref>
        </x14:dataValidation>
        <x14:dataValidation type="list" allowBlank="1" showInputMessage="1" showErrorMessage="1" xr:uid="{FCA53876-84E8-42B5-A1EC-80D337EFE992}">
          <x14:formula1>
            <xm:f>'DATOS INICIALES'!$A$50:$A$51</xm:f>
          </x14:formula1>
          <xm:sqref>D69:J69 D47:J47</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N74"/>
  <sheetViews>
    <sheetView view="pageBreakPreview" zoomScale="40" zoomScaleNormal="55" zoomScaleSheetLayoutView="40" workbookViewId="0">
      <pane ySplit="11" topLeftCell="A66" activePane="bottomLeft" state="frozenSplit"/>
      <selection activeCell="J14" sqref="J14"/>
      <selection pane="bottomLeft" activeCell="K62" sqref="K62:L62"/>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19</v>
      </c>
      <c r="B11" s="2" t="s">
        <v>24</v>
      </c>
      <c r="C11" s="342" t="str">
        <f>VLOOKUP(A11,PROPONENTES!A10:B46,2,FALSE)</f>
        <v xml:space="preserve">CONSORCIO PARQUES VECINALES 2025 </v>
      </c>
      <c r="D11" s="342"/>
      <c r="E11" s="342"/>
      <c r="F11" s="342"/>
      <c r="G11" s="342"/>
      <c r="H11" s="144" t="s">
        <v>166</v>
      </c>
      <c r="I11" s="346" t="str">
        <f>IF(AND(F20="CUMPLE",G20="CUMPLE",H20="CUMPLE",L14="CUMPLE",D74="CUMPLE",K16="CUMPLE"),"CUMPLE","NO CUMPLE")</f>
        <v>NO 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224.07499999999999</v>
      </c>
      <c r="L14" s="18" t="str">
        <f>IF(K14&gt;=J14,"CUMPLE","NO CUMPLE")</f>
        <v>NO CUMPLE</v>
      </c>
    </row>
    <row r="15" spans="1:12" ht="66.75" customHeight="1" x14ac:dyDescent="0.25">
      <c r="B15" s="314"/>
      <c r="C15" s="98" t="str">
        <f>IF(VLOOKUP(C11,PROPONENTES!B10:N46,2,FALSE)=0,"",VLOOKUP(C11,PROPONENTES!B10:N46,2,FALSE))</f>
        <v xml:space="preserve">RAZING SAS </v>
      </c>
      <c r="D15" s="99">
        <f>IF(VLOOKUP(C11,PROPONENTES!B10:N46,3,FALSE)=0,"",VLOOKUP(C11,PROPONENTES!B10:N46,3,FALSE))</f>
        <v>0.1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0</v>
      </c>
      <c r="F15" s="101" t="str">
        <f>IF(C15="","",IF(E15&gt;=$J$14*0.5,"SI","NO"))</f>
        <v>NO</v>
      </c>
      <c r="G15" s="102" t="str">
        <f>IF(C15="","",IF(E15&gt;=$J$14*0.05,"SI",IF(E15=0,"NO APORTA EXPERIENCIA",)))</f>
        <v>NO APORTA EXPERIENCIA</v>
      </c>
      <c r="H15" s="102" t="str">
        <f>IF(C15="","",IF(AND(G15="NO APORTA EXPERIENCIA",D15&lt;=10%),"SI",IF(G15="SI","NO APLICA","NO - PORCENTAJE MAYOR AL 10%")))</f>
        <v>SI</v>
      </c>
      <c r="I15" s="68" t="s">
        <v>224</v>
      </c>
      <c r="J15" s="68" t="s">
        <v>223</v>
      </c>
      <c r="K15" s="68" t="s">
        <v>69</v>
      </c>
      <c r="L15" s="68" t="s">
        <v>205</v>
      </c>
    </row>
    <row r="16" spans="1:12" ht="33.75" customHeight="1" x14ac:dyDescent="0.25">
      <c r="B16" s="314"/>
      <c r="C16" s="98" t="str">
        <f>IF(VLOOKUP(C11,PROPONENTES!B10:N46,4,FALSE)=0,"",VLOOKUP(C11,PROPONENTES!B10:N46,4,FALSE))</f>
        <v>SUMMA PROYECTOS E INGENIERIA SOCIEDAD POR ACCIONES SIMPLIFICADA</v>
      </c>
      <c r="D16" s="99">
        <f>IF(VLOOKUP(C11,PROPONENTES!B10:N46,5,FALSE)=0,"",VLOOKUP(C11,PROPONENTES!B10:N46,5,FALSE))</f>
        <v>0.9</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224.07499999999999</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224.07499999999999</v>
      </c>
      <c r="J16" s="169">
        <f>+L8*0.7</f>
        <v>283.67201207692307</v>
      </c>
      <c r="K16" s="18" t="str">
        <f>IF(I16&gt;=J16,"CUMPLE","NO CUMPLE")</f>
        <v>NO CUMPLE</v>
      </c>
      <c r="L16" s="305">
        <f>AVERAGEIF(D68:J68,"CUMPLE",D46:J46)</f>
        <v>224.07499999999999</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224.07499999999999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IF(VLOOKUP(C11,PUNTAJE!B15:AD109,25,FALSE)=0.25,"SI","NO")</f>
        <v>SI</v>
      </c>
      <c r="K20" s="68" t="s">
        <v>167</v>
      </c>
      <c r="L20" s="141" t="str">
        <f>IF(VLOOKUP(C11,PUNTAJE!B15:AD109,29,FALSE)=0.25,"SI","NO")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258</v>
      </c>
      <c r="E24" s="88" t="s">
        <v>258</v>
      </c>
      <c r="F24" s="88" t="s">
        <v>258</v>
      </c>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318</v>
      </c>
      <c r="E27" s="89" t="s">
        <v>319</v>
      </c>
      <c r="F27" s="89" t="s">
        <v>317</v>
      </c>
      <c r="G27" s="89"/>
      <c r="H27" s="89"/>
      <c r="I27" s="89"/>
      <c r="J27" s="89"/>
      <c r="K27" s="297"/>
      <c r="L27" s="298"/>
    </row>
    <row r="28" spans="2:14" ht="156.75" customHeight="1" x14ac:dyDescent="0.25">
      <c r="B28" s="319"/>
      <c r="C28" s="27" t="s">
        <v>36</v>
      </c>
      <c r="D28" s="89" t="s">
        <v>310</v>
      </c>
      <c r="E28" s="89" t="s">
        <v>311</v>
      </c>
      <c r="F28" s="89" t="s">
        <v>316</v>
      </c>
      <c r="G28" s="89"/>
      <c r="H28" s="89"/>
      <c r="I28" s="89"/>
      <c r="J28" s="89"/>
      <c r="K28" s="297"/>
      <c r="L28" s="298"/>
    </row>
    <row r="29" spans="2:14" ht="52.5" customHeight="1" x14ac:dyDescent="0.25">
      <c r="B29" s="319"/>
      <c r="C29" s="27" t="s">
        <v>165</v>
      </c>
      <c r="D29" s="93">
        <v>43159</v>
      </c>
      <c r="E29" s="93">
        <v>43147</v>
      </c>
      <c r="F29" s="93">
        <v>43896</v>
      </c>
      <c r="G29" s="93"/>
      <c r="H29" s="93"/>
      <c r="I29" s="93"/>
      <c r="J29" s="93"/>
      <c r="K29" s="297"/>
      <c r="L29" s="298"/>
    </row>
    <row r="30" spans="2:14" ht="54.75" customHeight="1" x14ac:dyDescent="0.25">
      <c r="B30" s="319"/>
      <c r="C30" s="27" t="s">
        <v>40</v>
      </c>
      <c r="D30" s="93">
        <v>43612</v>
      </c>
      <c r="E30" s="93">
        <v>43372</v>
      </c>
      <c r="F30" s="93">
        <v>44610</v>
      </c>
      <c r="G30" s="93"/>
      <c r="H30" s="93"/>
      <c r="I30" s="93"/>
      <c r="J30" s="93"/>
      <c r="K30" s="297"/>
      <c r="L30" s="298"/>
    </row>
    <row r="31" spans="2:14" ht="41.25" customHeight="1" x14ac:dyDescent="0.25">
      <c r="B31" s="319"/>
      <c r="C31" s="27" t="s">
        <v>37</v>
      </c>
      <c r="D31" s="90">
        <v>2019</v>
      </c>
      <c r="E31" s="90">
        <v>2018</v>
      </c>
      <c r="F31" s="90">
        <v>2022</v>
      </c>
      <c r="G31" s="90"/>
      <c r="H31" s="90"/>
      <c r="I31" s="90"/>
      <c r="J31" s="90"/>
      <c r="K31" s="297"/>
      <c r="L31" s="298"/>
    </row>
    <row r="32" spans="2:14" ht="63" customHeight="1" x14ac:dyDescent="0.25">
      <c r="B32" s="319"/>
      <c r="C32" s="27" t="s">
        <v>38</v>
      </c>
      <c r="D32" s="89" t="s">
        <v>306</v>
      </c>
      <c r="E32" s="89" t="s">
        <v>312</v>
      </c>
      <c r="F32" s="89" t="s">
        <v>312</v>
      </c>
      <c r="G32" s="89"/>
      <c r="H32" s="89"/>
      <c r="I32" s="89"/>
      <c r="J32" s="89"/>
      <c r="K32" s="297"/>
      <c r="L32" s="298"/>
    </row>
    <row r="33" spans="2:12" ht="46.5" customHeight="1" x14ac:dyDescent="0.25">
      <c r="B33" s="319"/>
      <c r="C33" s="27" t="s">
        <v>39</v>
      </c>
      <c r="D33" s="89" t="s">
        <v>313</v>
      </c>
      <c r="E33" s="89" t="s">
        <v>315</v>
      </c>
      <c r="F33" s="89" t="s">
        <v>315</v>
      </c>
      <c r="G33" s="89"/>
      <c r="H33" s="89"/>
      <c r="I33" s="89"/>
      <c r="J33" s="89"/>
      <c r="K33" s="297"/>
      <c r="L33" s="298"/>
    </row>
    <row r="34" spans="2:12" ht="27.75" customHeight="1" x14ac:dyDescent="0.25">
      <c r="B34" s="319"/>
      <c r="C34" s="28" t="s">
        <v>33</v>
      </c>
      <c r="D34" s="94">
        <v>172</v>
      </c>
      <c r="E34" s="94">
        <v>169</v>
      </c>
      <c r="F34" s="94">
        <v>189</v>
      </c>
      <c r="G34" s="95"/>
      <c r="H34" s="95"/>
      <c r="I34" s="95"/>
      <c r="J34" s="95"/>
      <c r="K34" s="297"/>
      <c r="L34" s="298"/>
    </row>
    <row r="35" spans="2:12" ht="102.75" customHeight="1" x14ac:dyDescent="0.25">
      <c r="B35" s="319"/>
      <c r="C35" s="27" t="s">
        <v>124</v>
      </c>
      <c r="D35" s="91">
        <v>1461.1</v>
      </c>
      <c r="E35" s="187">
        <v>448.15</v>
      </c>
      <c r="F35" s="91">
        <v>507.59</v>
      </c>
      <c r="G35" s="91"/>
      <c r="H35" s="91"/>
      <c r="I35" s="91"/>
      <c r="J35" s="91"/>
      <c r="K35" s="299"/>
      <c r="L35" s="300"/>
    </row>
    <row r="36" spans="2:12" ht="48" customHeight="1" x14ac:dyDescent="0.25">
      <c r="B36" s="319"/>
      <c r="C36" s="27" t="s">
        <v>72</v>
      </c>
      <c r="D36" s="103">
        <f>IFERROR(D35*VLOOKUP(D31,'DATOS INICIALES'!$A$12:$B$43,2,0),"0")</f>
        <v>1209960287.5999999</v>
      </c>
      <c r="E36" s="103">
        <f>IFERROR(E35*VLOOKUP(E31,'DATOS INICIALES'!$A$12:$B$43,2,0),"0")</f>
        <v>350113602.30000001</v>
      </c>
      <c r="F36" s="103">
        <f>IFERROR(F35*VLOOKUP(F31,'DATOS INICIALES'!$A$12:$B$43,2,0),"0")</f>
        <v>507590000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0.5</v>
      </c>
      <c r="F37" s="92">
        <v>0.5</v>
      </c>
      <c r="G37" s="92"/>
      <c r="H37" s="92"/>
      <c r="I37" s="92"/>
      <c r="J37" s="92"/>
      <c r="K37" s="297"/>
      <c r="L37" s="298"/>
    </row>
    <row r="38" spans="2:12" ht="48.75" customHeight="1" x14ac:dyDescent="0.25">
      <c r="B38" s="319"/>
      <c r="C38" s="27" t="s">
        <v>131</v>
      </c>
      <c r="D38" s="103">
        <f t="shared" ref="D38:J38" si="0">IF(D24="","0",D37*D36)</f>
        <v>1209960287.5999999</v>
      </c>
      <c r="E38" s="103">
        <f t="shared" si="0"/>
        <v>175056801.15000001</v>
      </c>
      <c r="F38" s="103">
        <f t="shared" si="0"/>
        <v>253795000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1461.1</v>
      </c>
      <c r="E39" s="104">
        <f t="shared" si="1"/>
        <v>224.07499999999999</v>
      </c>
      <c r="F39" s="104">
        <f t="shared" si="1"/>
        <v>253.79499999999999</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1461.1</v>
      </c>
      <c r="E46" s="104">
        <f t="shared" ref="E46:G46" si="6">+E39+E42+E45</f>
        <v>224.07499999999999</v>
      </c>
      <c r="F46" s="104">
        <f t="shared" si="6"/>
        <v>253.79499999999999</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c r="H47" s="88"/>
      <c r="I47" s="88"/>
      <c r="J47" s="88"/>
      <c r="K47" s="297"/>
      <c r="L47" s="298"/>
    </row>
    <row r="48" spans="2:12" ht="24.75" customHeight="1" x14ac:dyDescent="0.25">
      <c r="B48" s="315" t="s">
        <v>34</v>
      </c>
      <c r="C48" s="29">
        <f>+'DATOS INICIALES'!D22</f>
        <v>81141500</v>
      </c>
      <c r="D48" s="94" t="s">
        <v>75</v>
      </c>
      <c r="E48" s="94" t="s">
        <v>75</v>
      </c>
      <c r="F48" s="94" t="s">
        <v>75</v>
      </c>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15</v>
      </c>
      <c r="E56" s="88" t="s">
        <v>14</v>
      </c>
      <c r="F56" s="88" t="s">
        <v>15</v>
      </c>
      <c r="G56" s="88"/>
      <c r="H56" s="88"/>
      <c r="I56" s="88"/>
      <c r="J56" s="88"/>
      <c r="K56" s="282" t="s">
        <v>314</v>
      </c>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c r="H61" s="88"/>
      <c r="I61" s="88"/>
      <c r="J61" s="88"/>
      <c r="K61" s="297"/>
      <c r="L61" s="298"/>
    </row>
    <row r="62" spans="2:12" ht="45" customHeight="1" x14ac:dyDescent="0.25">
      <c r="B62" s="290" t="s">
        <v>207</v>
      </c>
      <c r="C62" s="291"/>
      <c r="D62" s="88" t="s">
        <v>14</v>
      </c>
      <c r="E62" s="88" t="s">
        <v>14</v>
      </c>
      <c r="F62" s="88" t="s">
        <v>15</v>
      </c>
      <c r="G62" s="88"/>
      <c r="H62" s="88"/>
      <c r="I62" s="88"/>
      <c r="J62" s="88"/>
      <c r="K62" s="392" t="s">
        <v>320</v>
      </c>
      <c r="L62" s="390"/>
    </row>
    <row r="63" spans="2:12" ht="181.5" customHeight="1" x14ac:dyDescent="0.25">
      <c r="B63" s="290" t="s">
        <v>218</v>
      </c>
      <c r="C63" s="291"/>
      <c r="D63" s="88" t="s">
        <v>13</v>
      </c>
      <c r="E63" s="88" t="s">
        <v>13</v>
      </c>
      <c r="F63" s="88" t="s">
        <v>13</v>
      </c>
      <c r="G63" s="88"/>
      <c r="H63" s="88"/>
      <c r="I63" s="88"/>
      <c r="J63" s="88"/>
      <c r="K63" s="297"/>
      <c r="L63" s="298"/>
    </row>
    <row r="64" spans="2:12" ht="336" customHeight="1" x14ac:dyDescent="0.25">
      <c r="B64" s="242" t="s">
        <v>220</v>
      </c>
      <c r="C64" s="242"/>
      <c r="D64" s="88" t="s">
        <v>14</v>
      </c>
      <c r="E64" s="88" t="s">
        <v>14</v>
      </c>
      <c r="F64" s="88" t="s">
        <v>15</v>
      </c>
      <c r="G64" s="88"/>
      <c r="H64" s="88"/>
      <c r="I64" s="88"/>
      <c r="J64" s="88"/>
      <c r="K64" s="299" t="s">
        <v>321</v>
      </c>
      <c r="L64" s="300"/>
    </row>
    <row r="65" spans="2:12" ht="143.25" customHeight="1" x14ac:dyDescent="0.25">
      <c r="B65" s="293" t="s">
        <v>221</v>
      </c>
      <c r="C65" s="294"/>
      <c r="D65" s="88" t="s">
        <v>13</v>
      </c>
      <c r="E65" s="88" t="s">
        <v>13</v>
      </c>
      <c r="F65" s="88" t="s">
        <v>13</v>
      </c>
      <c r="G65" s="88"/>
      <c r="H65" s="88"/>
      <c r="I65" s="88"/>
      <c r="J65" s="88"/>
      <c r="K65" s="297"/>
      <c r="L65" s="298"/>
    </row>
    <row r="66" spans="2:12" ht="408.75" customHeight="1" x14ac:dyDescent="0.25">
      <c r="B66" s="292" t="s">
        <v>208</v>
      </c>
      <c r="C66" s="292"/>
      <c r="D66" s="88" t="s">
        <v>13</v>
      </c>
      <c r="E66" s="88" t="s">
        <v>13</v>
      </c>
      <c r="F66" s="88" t="s">
        <v>13</v>
      </c>
      <c r="G66" s="88"/>
      <c r="H66" s="88"/>
      <c r="I66" s="88"/>
      <c r="J66" s="88"/>
      <c r="K66" s="297"/>
      <c r="L66" s="298"/>
    </row>
    <row r="67" spans="2:12" ht="312.75" customHeight="1" x14ac:dyDescent="0.25">
      <c r="B67" s="242" t="s">
        <v>209</v>
      </c>
      <c r="C67" s="242"/>
      <c r="D67" s="88" t="s">
        <v>15</v>
      </c>
      <c r="E67" s="88" t="s">
        <v>14</v>
      </c>
      <c r="F67" s="88" t="s">
        <v>15</v>
      </c>
      <c r="G67" s="88"/>
      <c r="H67" s="88"/>
      <c r="I67" s="88"/>
      <c r="J67" s="88"/>
      <c r="K67" s="282" t="s">
        <v>322</v>
      </c>
      <c r="L67" s="283"/>
    </row>
    <row r="68" spans="2:12" ht="70.5" customHeight="1" x14ac:dyDescent="0.25">
      <c r="B68" s="289" t="s">
        <v>76</v>
      </c>
      <c r="C68" s="289"/>
      <c r="D68" s="18" t="str">
        <f t="shared" ref="D68:J68" si="9">IF(D24="","N/A",IF(AND(D47="CUMPLE",D55="CUMPLE",D56="CUMPLE",D61="CUMPLE",D62="CUMPLE",OR(D63="CUMPLE",D63="N/A"),D64="CUMPLE",OR(D65="CUMPLE",D65="N/A"),D67="CUMPLE",OR(D66="CUMPLE",D66="N/A")),"CUMPLE","NO CUMPLE"))</f>
        <v>NO CUMPLE</v>
      </c>
      <c r="E68" s="18" t="str">
        <f t="shared" si="9"/>
        <v>CUMPLE</v>
      </c>
      <c r="F68" s="18" t="str">
        <f t="shared" si="9"/>
        <v>NO CUMPLE</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15</v>
      </c>
      <c r="E69" s="88" t="s">
        <v>14</v>
      </c>
      <c r="F69" s="88" t="s">
        <v>15</v>
      </c>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ellIs" dxfId="1099" priority="18" operator="equal">
      <formula>"NO CUMPLE"</formula>
    </cfRule>
    <cfRule type="containsBlanks" dxfId="1098" priority="16">
      <formula>LEN(TRIM(D73))=0</formula>
    </cfRule>
    <cfRule type="notContainsErrors" dxfId="1097" priority="17">
      <formula>NOT(ISERROR(D73))</formula>
    </cfRule>
    <cfRule type="cellIs" dxfId="1096" priority="19" operator="equal">
      <formula>"CUMPLE"</formula>
    </cfRule>
  </conditionalFormatting>
  <conditionalFormatting sqref="D74">
    <cfRule type="cellIs" dxfId="1095" priority="23" operator="equal">
      <formula>"""CUMPLE"""</formula>
    </cfRule>
    <cfRule type="cellIs" dxfId="1094" priority="22" operator="equal">
      <formula>"NO CUMPLE"</formula>
    </cfRule>
    <cfRule type="cellIs" dxfId="1093" priority="21" operator="equal">
      <formula>"CUMPLE"</formula>
    </cfRule>
    <cfRule type="cellIs" dxfId="1092" priority="20" operator="equal">
      <formula>"N/A"</formula>
    </cfRule>
  </conditionalFormatting>
  <conditionalFormatting sqref="D25:J35">
    <cfRule type="containsBlanks" dxfId="1091" priority="38">
      <formula>LEN(TRIM(D25))=0</formula>
    </cfRule>
    <cfRule type="notContainsErrors" dxfId="1090" priority="39">
      <formula>NOT(ISERROR(D25))</formula>
    </cfRule>
  </conditionalFormatting>
  <conditionalFormatting sqref="D34:J34 D24:K24 D37:J37 D40:J40 D43:J43 K68:L68">
    <cfRule type="containsBlanks" dxfId="1089" priority="40">
      <formula>LEN(TRIM(D24))=0</formula>
    </cfRule>
  </conditionalFormatting>
  <conditionalFormatting sqref="D47:J54">
    <cfRule type="cellIs" dxfId="1088" priority="3" operator="equal">
      <formula>"NO CUMPLE"</formula>
    </cfRule>
    <cfRule type="cellIs" dxfId="1087" priority="4" operator="equal">
      <formula>"CUMPLE"</formula>
    </cfRule>
    <cfRule type="containsBlanks" dxfId="1086" priority="5">
      <formula>LEN(TRIM(D47))=0</formula>
    </cfRule>
    <cfRule type="notContainsErrors" dxfId="1085" priority="6">
      <formula>NOT(ISERROR(D47))</formula>
    </cfRule>
  </conditionalFormatting>
  <conditionalFormatting sqref="D55:J55">
    <cfRule type="cellIs" dxfId="1084" priority="47" operator="equal">
      <formula>"CUMPLE"</formula>
    </cfRule>
    <cfRule type="cellIs" dxfId="1083" priority="48" operator="equal">
      <formula>"NO CUMPLE"</formula>
    </cfRule>
    <cfRule type="cellIs" dxfId="1082" priority="49" operator="equal">
      <formula>"""CUMPLE"""</formula>
    </cfRule>
    <cfRule type="cellIs" dxfId="1081" priority="46" operator="equal">
      <formula>"N/A"</formula>
    </cfRule>
  </conditionalFormatting>
  <conditionalFormatting sqref="D56:J60">
    <cfRule type="notContainsErrors" dxfId="1080" priority="29">
      <formula>NOT(ISERROR(D56))</formula>
    </cfRule>
    <cfRule type="containsBlanks" dxfId="1079" priority="28">
      <formula>LEN(TRIM(D56))=0</formula>
    </cfRule>
  </conditionalFormatting>
  <conditionalFormatting sqref="D56:J67">
    <cfRule type="cellIs" dxfId="1078" priority="26" operator="equal">
      <formula>"NO CUMPLE"</formula>
    </cfRule>
    <cfRule type="cellIs" dxfId="1077" priority="27" operator="equal">
      <formula>"CUMPLE"</formula>
    </cfRule>
  </conditionalFormatting>
  <conditionalFormatting sqref="D68:J68">
    <cfRule type="cellIs" dxfId="1076" priority="42" operator="equal">
      <formula>"N/A"</formula>
    </cfRule>
    <cfRule type="cellIs" dxfId="1075" priority="43" operator="equal">
      <formula>"CUMPLE"</formula>
    </cfRule>
    <cfRule type="cellIs" dxfId="1074" priority="44" operator="equal">
      <formula>"NO CUMPLE"</formula>
    </cfRule>
    <cfRule type="cellIs" dxfId="1073" priority="45" operator="equal">
      <formula>"""CUMPLE"""</formula>
    </cfRule>
  </conditionalFormatting>
  <conditionalFormatting sqref="D69:J69">
    <cfRule type="cellIs" dxfId="1072" priority="11" operator="equal">
      <formula>"CUMPLE"</formula>
    </cfRule>
    <cfRule type="cellIs" dxfId="1071" priority="10" operator="equal">
      <formula>"NO CUMPLE"</formula>
    </cfRule>
  </conditionalFormatting>
  <conditionalFormatting sqref="D24:K24 D34:J34 D37:J37 D40:J40 D43:J43 K68:L68">
    <cfRule type="notContainsErrors" dxfId="1070" priority="41">
      <formula>NOT(ISERROR(D24))</formula>
    </cfRule>
  </conditionalFormatting>
  <conditionalFormatting sqref="D61:K66 E62:F67 D67:J67">
    <cfRule type="notContainsErrors" dxfId="1069" priority="31">
      <formula>NOT(ISERROR(D61))</formula>
    </cfRule>
  </conditionalFormatting>
  <conditionalFormatting sqref="D61:K67">
    <cfRule type="containsBlanks" dxfId="1068" priority="1">
      <formula>LEN(TRIM(D61))=0</formula>
    </cfRule>
  </conditionalFormatting>
  <conditionalFormatting sqref="D69:K69">
    <cfRule type="notContainsErrors" dxfId="1067" priority="13">
      <formula>NOT(ISERROR(D69))</formula>
    </cfRule>
    <cfRule type="containsBlanks" dxfId="1066" priority="12">
      <formula>LEN(TRIM(D69))=0</formula>
    </cfRule>
  </conditionalFormatting>
  <conditionalFormatting sqref="E73:E74">
    <cfRule type="notContainsErrors" dxfId="1065" priority="15">
      <formula>NOT(ISERROR(E73))</formula>
    </cfRule>
    <cfRule type="containsBlanks" dxfId="1064" priority="14">
      <formula>LEN(TRIM(E73))=0</formula>
    </cfRule>
  </conditionalFormatting>
  <conditionalFormatting sqref="E62:F67">
    <cfRule type="containsBlanks" dxfId="1063" priority="30">
      <formula>LEN(TRIM(E62))=0</formula>
    </cfRule>
  </conditionalFormatting>
  <conditionalFormatting sqref="F20:H20">
    <cfRule type="cellIs" dxfId="1062" priority="53" operator="equal">
      <formula>"CUMPLE"</formula>
    </cfRule>
    <cfRule type="cellIs" dxfId="1061" priority="54" operator="equal">
      <formula>"NO CUMPLE"</formula>
    </cfRule>
    <cfRule type="cellIs" dxfId="1060" priority="55" operator="equal">
      <formula>"""CUMPLE"""</formula>
    </cfRule>
  </conditionalFormatting>
  <conditionalFormatting sqref="I11">
    <cfRule type="containsText" dxfId="1059" priority="59" operator="containsText" text="NO CUMPLE">
      <formula>NOT(ISERROR(SEARCH("NO CUMPLE",I11)))</formula>
    </cfRule>
    <cfRule type="containsText" dxfId="1058" priority="56" operator="containsText" text="INHABILITADO">
      <formula>NOT(ISERROR(SEARCH("INHABILITADO",I11)))</formula>
    </cfRule>
    <cfRule type="containsText" dxfId="1057" priority="57" operator="containsText" text="HABILITADO">
      <formula>NOT(ISERROR(SEARCH("HABILITADO",I11)))</formula>
    </cfRule>
    <cfRule type="containsText" dxfId="1056" priority="58" operator="containsText" text="HABILITADO">
      <formula>NOT(ISERROR(SEARCH("HABILITADO",I11)))</formula>
    </cfRule>
  </conditionalFormatting>
  <conditionalFormatting sqref="J20">
    <cfRule type="cellIs" dxfId="1055" priority="34" operator="equal">
      <formula>"NO"</formula>
    </cfRule>
    <cfRule type="cellIs" dxfId="1054" priority="35" operator="equal">
      <formula>"SI"</formula>
    </cfRule>
  </conditionalFormatting>
  <conditionalFormatting sqref="K16">
    <cfRule type="cellIs" dxfId="1053" priority="8" operator="equal">
      <formula>"NO CUMPLE"</formula>
    </cfRule>
    <cfRule type="cellIs" dxfId="1052" priority="9" operator="equal">
      <formula>"""CUMPLE"""</formula>
    </cfRule>
    <cfRule type="cellIs" dxfId="1051" priority="7" operator="equal">
      <formula>"CUMPLE"</formula>
    </cfRule>
  </conditionalFormatting>
  <conditionalFormatting sqref="K25:K60">
    <cfRule type="notContainsErrors" dxfId="1050" priority="25">
      <formula>NOT(ISERROR(K25))</formula>
    </cfRule>
    <cfRule type="containsBlanks" dxfId="1049" priority="24">
      <formula>LEN(TRIM(K25))=0</formula>
    </cfRule>
  </conditionalFormatting>
  <conditionalFormatting sqref="K67">
    <cfRule type="notContainsErrors" dxfId="1048" priority="2">
      <formula>NOT(ISERROR(K67))</formula>
    </cfRule>
  </conditionalFormatting>
  <conditionalFormatting sqref="L14">
    <cfRule type="cellIs" dxfId="1047" priority="50" operator="equal">
      <formula>"CUMPLE"</formula>
    </cfRule>
    <cfRule type="cellIs" dxfId="1046" priority="51" operator="equal">
      <formula>"NO CUMPLE"</formula>
    </cfRule>
    <cfRule type="cellIs" dxfId="1045" priority="52" operator="equal">
      <formula>"""CUMPLE"""</formula>
    </cfRule>
  </conditionalFormatting>
  <conditionalFormatting sqref="L20">
    <cfRule type="cellIs" dxfId="1044" priority="32" operator="equal">
      <formula>"NO"</formula>
    </cfRule>
    <cfRule type="cellIs" dxfId="1043" priority="33" operator="equal">
      <formula>"SI"</formula>
    </cfRule>
  </conditionalFormatting>
  <dataValidations count="4">
    <dataValidation type="list" allowBlank="1" showInputMessage="1" showErrorMessage="1" sqref="D24:J26" xr:uid="{74F9A334-921E-44EA-A757-3AD27E251F90}">
      <formula1>$C$15:$C$19</formula1>
    </dataValidation>
    <dataValidation type="list" allowBlank="1" showInputMessage="1" showErrorMessage="1" sqref="L61:L66 L68:L69" xr:uid="{4DD6C4DD-D52B-4735-9518-0583547654CE}">
      <formula1>"0,1,2,3,4,5,6"</formula1>
    </dataValidation>
    <dataValidation type="list" allowBlank="1" showInputMessage="1" showErrorMessage="1" sqref="D73 J56:J60 G62:J67" xr:uid="{8B721D80-0B70-4395-B860-D7F69CC94520}">
      <formula1>$A$50:$A$52</formula1>
    </dataValidation>
    <dataValidation type="list" allowBlank="1" showInputMessage="1" showErrorMessage="1" sqref="J48:J53" xr:uid="{7E649D09-0B9D-4366-85F9-6A2214E2FEC7}">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24BF909E-C321-4431-A8A3-4A7603498D41}">
          <x14:formula1>
            <xm:f>'DATOS INICIALES'!$A$13:$A$43</xm:f>
          </x14:formula1>
          <xm:sqref>D31:I31</xm:sqref>
        </x14:dataValidation>
        <x14:dataValidation type="list" allowBlank="1" showInputMessage="1" showErrorMessage="1" xr:uid="{203E6A04-09BB-4230-BFF9-F642AE687B6B}">
          <x14:formula1>
            <xm:f>'DATOS INICIALES'!$D$22:$D$26</xm:f>
          </x14:formula1>
          <xm:sqref>M48:M55</xm:sqref>
        </x14:dataValidation>
        <x14:dataValidation type="list" allowBlank="1" showInputMessage="1" showErrorMessage="1" xr:uid="{F2C5CBA4-26CC-46E8-8EC3-D64CEE6BD677}">
          <x14:formula1>
            <xm:f>'DATOS INICIALES'!$A$54:$A$59</xm:f>
          </x14:formula1>
          <xm:sqref>D23:I23</xm:sqref>
        </x14:dataValidation>
        <x14:dataValidation type="list" allowBlank="1" showInputMessage="1" showErrorMessage="1" xr:uid="{FAA9F7BA-E6DF-44FD-A70B-2614E145CE19}">
          <x14:formula1>
            <xm:f>'DATOS INICIALES'!$A$50:$A$52</xm:f>
          </x14:formula1>
          <xm:sqref>D56:I61 D62:F67</xm:sqref>
        </x14:dataValidation>
        <x14:dataValidation type="list" allowBlank="1" showInputMessage="1" showErrorMessage="1" xr:uid="{6736565A-A380-40D7-AFCF-AB88255A3A22}">
          <x14:formula1>
            <xm:f>'DATOS INICIALES'!$C$45:$C$46</xm:f>
          </x14:formula1>
          <xm:sqref>D48:I54</xm:sqref>
        </x14:dataValidation>
        <x14:dataValidation type="list" allowBlank="1" showInputMessage="1" showErrorMessage="1" xr:uid="{F71A3689-3F93-4E3D-B7D0-79308A04B30B}">
          <x14:formula1>
            <xm:f>'DATOS INICIALES'!$A$50:$A$51</xm:f>
          </x14:formula1>
          <xm:sqref>D69:J69 D47:J47</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N74"/>
  <sheetViews>
    <sheetView view="pageBreakPreview" zoomScale="40" zoomScaleNormal="55" zoomScaleSheetLayoutView="40" workbookViewId="0">
      <pane ySplit="11" topLeftCell="A25" activePane="bottomLeft" state="frozenSplit"/>
      <selection activeCell="J14" sqref="J14"/>
      <selection pane="bottomLeft" activeCell="G28" sqref="G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20</v>
      </c>
      <c r="B11" s="2" t="s">
        <v>24</v>
      </c>
      <c r="C11" s="342" t="str">
        <f>VLOOKUP(A11,PROPONENTES!A10:B46,2,FALSE)</f>
        <v>DF CONSULTORIA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3</v>
      </c>
      <c r="J14" s="169">
        <f>+L8</f>
        <v>405.24573153846154</v>
      </c>
      <c r="K14" s="169">
        <f>+E20</f>
        <v>3720.4950000000003</v>
      </c>
      <c r="L14" s="18" t="str">
        <f>IF(K14&gt;=J14,"CUMPLE","NO CUMPLE")</f>
        <v>CUMPLE</v>
      </c>
    </row>
    <row r="15" spans="1:12" ht="66.75" customHeight="1" x14ac:dyDescent="0.25">
      <c r="B15" s="314"/>
      <c r="C15" s="98" t="str">
        <f>IF(VLOOKUP(C11,PROPONENTES!B10:N46,2,FALSE)=0,"",VLOOKUP(C11,PROPONENTES!B10:N46,2,FALSE))</f>
        <v>DF CONSULTORIA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3720.4950000000003</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3657.11</v>
      </c>
      <c r="J16" s="169">
        <f>+L8*0.7</f>
        <v>283.67201207692307</v>
      </c>
      <c r="K16" s="18" t="str">
        <f>IF(I16&gt;=J16,"CUMPLE","NO CUMPLE")</f>
        <v>CUMPLE</v>
      </c>
      <c r="L16" s="305">
        <f>AVERAGEIF(D68:J68,"CUMPLE",D46:J46)</f>
        <v>1240.1650000000002</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3720.4950000000003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259</v>
      </c>
      <c r="E24" s="88" t="s">
        <v>259</v>
      </c>
      <c r="F24" s="88" t="s">
        <v>259</v>
      </c>
      <c r="G24" s="88" t="s">
        <v>259</v>
      </c>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411</v>
      </c>
      <c r="E27" s="89" t="s">
        <v>412</v>
      </c>
      <c r="F27" s="89" t="s">
        <v>413</v>
      </c>
      <c r="G27" s="89" t="s">
        <v>414</v>
      </c>
      <c r="H27" s="89"/>
      <c r="I27" s="89"/>
      <c r="J27" s="89"/>
      <c r="K27" s="297"/>
      <c r="L27" s="298"/>
    </row>
    <row r="28" spans="2:14" ht="156.75" customHeight="1" x14ac:dyDescent="0.25">
      <c r="B28" s="319"/>
      <c r="C28" s="27" t="s">
        <v>36</v>
      </c>
      <c r="D28" s="89" t="s">
        <v>415</v>
      </c>
      <c r="E28" s="89" t="s">
        <v>416</v>
      </c>
      <c r="F28" s="89" t="s">
        <v>417</v>
      </c>
      <c r="G28" s="89" t="s">
        <v>418</v>
      </c>
      <c r="H28" s="89"/>
      <c r="I28" s="89"/>
      <c r="J28" s="89"/>
      <c r="K28" s="297"/>
      <c r="L28" s="298"/>
    </row>
    <row r="29" spans="2:14" ht="52.5" customHeight="1" x14ac:dyDescent="0.25">
      <c r="B29" s="319"/>
      <c r="C29" s="27" t="s">
        <v>165</v>
      </c>
      <c r="D29" s="201">
        <v>40177</v>
      </c>
      <c r="E29" s="201">
        <v>41948</v>
      </c>
      <c r="F29" s="201">
        <v>36626</v>
      </c>
      <c r="G29" s="201">
        <v>37385</v>
      </c>
      <c r="H29" s="93"/>
      <c r="I29" s="93"/>
      <c r="J29" s="93"/>
      <c r="K29" s="297"/>
      <c r="L29" s="298"/>
    </row>
    <row r="30" spans="2:14" ht="54.75" customHeight="1" x14ac:dyDescent="0.25">
      <c r="B30" s="319"/>
      <c r="C30" s="27" t="s">
        <v>40</v>
      </c>
      <c r="D30" s="201">
        <v>40542</v>
      </c>
      <c r="E30" s="201">
        <v>42689</v>
      </c>
      <c r="F30" s="201">
        <v>36937</v>
      </c>
      <c r="G30" s="201">
        <v>37630</v>
      </c>
      <c r="H30" s="93"/>
      <c r="I30" s="93"/>
      <c r="J30" s="93"/>
      <c r="K30" s="297"/>
      <c r="L30" s="298"/>
    </row>
    <row r="31" spans="2:14" ht="41.25" customHeight="1" x14ac:dyDescent="0.25">
      <c r="B31" s="319"/>
      <c r="C31" s="27" t="s">
        <v>37</v>
      </c>
      <c r="D31" s="90">
        <v>2010</v>
      </c>
      <c r="E31" s="90">
        <v>2016</v>
      </c>
      <c r="F31" s="90">
        <v>2001</v>
      </c>
      <c r="G31" s="90">
        <v>2003</v>
      </c>
      <c r="H31" s="90"/>
      <c r="I31" s="90"/>
      <c r="J31" s="90"/>
      <c r="K31" s="297"/>
      <c r="L31" s="298"/>
    </row>
    <row r="32" spans="2:14" ht="63" customHeight="1" x14ac:dyDescent="0.25">
      <c r="B32" s="319"/>
      <c r="C32" s="27" t="s">
        <v>38</v>
      </c>
      <c r="D32" s="89" t="s">
        <v>419</v>
      </c>
      <c r="E32" s="89" t="s">
        <v>408</v>
      </c>
      <c r="F32" s="89" t="s">
        <v>408</v>
      </c>
      <c r="G32" s="89" t="s">
        <v>408</v>
      </c>
      <c r="H32" s="89"/>
      <c r="I32" s="89"/>
      <c r="J32" s="89"/>
      <c r="K32" s="297"/>
      <c r="L32" s="298"/>
    </row>
    <row r="33" spans="2:12" ht="46.5" customHeight="1" x14ac:dyDescent="0.25">
      <c r="B33" s="319"/>
      <c r="C33" s="27" t="s">
        <v>39</v>
      </c>
      <c r="D33" s="89" t="s">
        <v>420</v>
      </c>
      <c r="E33" s="89" t="s">
        <v>259</v>
      </c>
      <c r="F33" s="89" t="s">
        <v>421</v>
      </c>
      <c r="G33" s="89" t="s">
        <v>421</v>
      </c>
      <c r="H33" s="89"/>
      <c r="I33" s="89"/>
      <c r="J33" s="89"/>
      <c r="K33" s="297"/>
      <c r="L33" s="298"/>
    </row>
    <row r="34" spans="2:12" ht="27.75" customHeight="1" x14ac:dyDescent="0.25">
      <c r="B34" s="319"/>
      <c r="C34" s="28" t="s">
        <v>33</v>
      </c>
      <c r="D34" s="94">
        <v>1</v>
      </c>
      <c r="E34" s="94">
        <v>9</v>
      </c>
      <c r="F34" s="94">
        <v>32</v>
      </c>
      <c r="G34" s="95">
        <v>53</v>
      </c>
      <c r="H34" s="95"/>
      <c r="I34" s="95"/>
      <c r="J34" s="95"/>
      <c r="K34" s="297"/>
      <c r="L34" s="298"/>
    </row>
    <row r="35" spans="2:12" ht="102.75" customHeight="1" x14ac:dyDescent="0.25">
      <c r="B35" s="319"/>
      <c r="C35" s="27" t="s">
        <v>124</v>
      </c>
      <c r="D35" s="91">
        <v>159.02000000000001</v>
      </c>
      <c r="E35" s="187">
        <v>3577.6</v>
      </c>
      <c r="F35" s="91">
        <v>967</v>
      </c>
      <c r="G35" s="91">
        <v>126.77</v>
      </c>
      <c r="H35" s="91"/>
      <c r="I35" s="91"/>
      <c r="J35" s="91"/>
      <c r="K35" s="299"/>
      <c r="L35" s="300"/>
    </row>
    <row r="36" spans="2:12" ht="48" customHeight="1" x14ac:dyDescent="0.25">
      <c r="B36" s="319"/>
      <c r="C36" s="27" t="s">
        <v>72</v>
      </c>
      <c r="D36" s="103">
        <f>IFERROR(D35*VLOOKUP(D31,'DATOS INICIALES'!$A$12:$B$43,2,0),"0")</f>
        <v>81895300</v>
      </c>
      <c r="E36" s="103">
        <f>IFERROR(E35*VLOOKUP(E31,'DATOS INICIALES'!$A$12:$B$43,2,0),"0")</f>
        <v>2466594208</v>
      </c>
      <c r="F36" s="103">
        <f>IFERROR(F35*VLOOKUP(F31,'DATOS INICIALES'!$A$12:$B$43,2,0),"0")</f>
        <v>276562000</v>
      </c>
      <c r="G36" s="103">
        <f>IFERROR(G35*VLOOKUP(G31,'DATOS INICIALES'!$A$12:$B$43,2,0),"0")</f>
        <v>42087640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0.5</v>
      </c>
      <c r="E37" s="92">
        <v>1</v>
      </c>
      <c r="F37" s="92">
        <v>0.5</v>
      </c>
      <c r="G37" s="92">
        <v>0.5</v>
      </c>
      <c r="H37" s="92"/>
      <c r="I37" s="92"/>
      <c r="J37" s="92"/>
      <c r="K37" s="297"/>
      <c r="L37" s="298"/>
    </row>
    <row r="38" spans="2:12" ht="48.75" customHeight="1" x14ac:dyDescent="0.25">
      <c r="B38" s="319"/>
      <c r="C38" s="27" t="s">
        <v>131</v>
      </c>
      <c r="D38" s="103">
        <f t="shared" ref="D38:J38" si="0">IF(D24="","0",D37*D36)</f>
        <v>40947650</v>
      </c>
      <c r="E38" s="103">
        <f t="shared" si="0"/>
        <v>2466594208</v>
      </c>
      <c r="F38" s="103">
        <f t="shared" si="0"/>
        <v>138281000</v>
      </c>
      <c r="G38" s="103">
        <f t="shared" si="0"/>
        <v>21043820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79.510000000000005</v>
      </c>
      <c r="E39" s="104">
        <f t="shared" si="1"/>
        <v>3577.6</v>
      </c>
      <c r="F39" s="104">
        <f t="shared" si="1"/>
        <v>483.5</v>
      </c>
      <c r="G39" s="104">
        <f t="shared" si="1"/>
        <v>63.384999999999998</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79.510000000000005</v>
      </c>
      <c r="E46" s="104">
        <f t="shared" ref="E46:G46" si="6">+E39+E42+E45</f>
        <v>3577.6</v>
      </c>
      <c r="F46" s="104">
        <f t="shared" si="6"/>
        <v>483.5</v>
      </c>
      <c r="G46" s="104">
        <f t="shared" si="6"/>
        <v>63.384999999999998</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t="s">
        <v>14</v>
      </c>
      <c r="H47" s="88"/>
      <c r="I47" s="88"/>
      <c r="J47" s="88"/>
      <c r="K47" s="297"/>
      <c r="L47" s="298"/>
    </row>
    <row r="48" spans="2:12" ht="24.75" customHeight="1" x14ac:dyDescent="0.25">
      <c r="B48" s="315" t="s">
        <v>34</v>
      </c>
      <c r="C48" s="29">
        <f>+'DATOS INICIALES'!D22</f>
        <v>81141500</v>
      </c>
      <c r="D48" s="94" t="s">
        <v>73</v>
      </c>
      <c r="E48" s="94" t="s">
        <v>73</v>
      </c>
      <c r="F48" s="94" t="s">
        <v>73</v>
      </c>
      <c r="G48" s="94" t="s">
        <v>73</v>
      </c>
      <c r="H48" s="94"/>
      <c r="I48" s="94"/>
      <c r="J48" s="95"/>
      <c r="K48" s="297"/>
      <c r="L48" s="298"/>
    </row>
    <row r="49" spans="2:12" ht="24.75" customHeight="1" x14ac:dyDescent="0.25">
      <c r="B49" s="316"/>
      <c r="C49" s="29">
        <f>+'DATOS INICIALES'!D23</f>
        <v>80101500</v>
      </c>
      <c r="D49" s="94" t="s">
        <v>75</v>
      </c>
      <c r="E49" s="94" t="s">
        <v>75</v>
      </c>
      <c r="F49" s="94" t="s">
        <v>75</v>
      </c>
      <c r="G49" s="94" t="s">
        <v>75</v>
      </c>
      <c r="H49" s="94"/>
      <c r="I49" s="94"/>
      <c r="J49" s="95"/>
      <c r="K49" s="297"/>
      <c r="L49" s="298"/>
    </row>
    <row r="50" spans="2:12" ht="24.75" customHeight="1" x14ac:dyDescent="0.25">
      <c r="B50" s="316"/>
      <c r="C50" s="29">
        <f>+'DATOS INICIALES'!D24</f>
        <v>80101600</v>
      </c>
      <c r="D50" s="94" t="s">
        <v>75</v>
      </c>
      <c r="E50" s="94" t="s">
        <v>75</v>
      </c>
      <c r="F50" s="94" t="s">
        <v>75</v>
      </c>
      <c r="G50" s="94" t="s">
        <v>75</v>
      </c>
      <c r="H50" s="94"/>
      <c r="I50" s="94"/>
      <c r="J50" s="95"/>
      <c r="K50" s="297"/>
      <c r="L50" s="298"/>
    </row>
    <row r="51" spans="2:12" ht="24.75" customHeight="1" x14ac:dyDescent="0.25">
      <c r="B51" s="316"/>
      <c r="C51" s="29">
        <f>+'DATOS INICIALES'!D25</f>
        <v>81101500</v>
      </c>
      <c r="D51" s="94" t="s">
        <v>75</v>
      </c>
      <c r="E51" s="94" t="s">
        <v>75</v>
      </c>
      <c r="F51" s="94" t="s">
        <v>75</v>
      </c>
      <c r="G51" s="94" t="s">
        <v>75</v>
      </c>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CUMPLE</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15</v>
      </c>
      <c r="G56" s="88" t="s">
        <v>14</v>
      </c>
      <c r="H56" s="88"/>
      <c r="I56" s="88"/>
      <c r="J56" s="88"/>
      <c r="K56" s="282" t="s">
        <v>576</v>
      </c>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t="s">
        <v>14</v>
      </c>
      <c r="H61" s="88"/>
      <c r="I61" s="88"/>
      <c r="J61" s="88"/>
      <c r="K61" s="297"/>
      <c r="L61" s="298"/>
    </row>
    <row r="62" spans="2:12" ht="45" customHeight="1" x14ac:dyDescent="0.25">
      <c r="B62" s="290" t="s">
        <v>207</v>
      </c>
      <c r="C62" s="291"/>
      <c r="D62" s="88" t="s">
        <v>14</v>
      </c>
      <c r="E62" s="88" t="s">
        <v>14</v>
      </c>
      <c r="F62" s="88" t="s">
        <v>14</v>
      </c>
      <c r="G62" s="88" t="s">
        <v>14</v>
      </c>
      <c r="H62" s="88"/>
      <c r="I62" s="88"/>
      <c r="J62" s="88"/>
      <c r="K62" s="297"/>
      <c r="L62" s="298"/>
    </row>
    <row r="63" spans="2:12" ht="181.5" customHeight="1" x14ac:dyDescent="0.25">
      <c r="B63" s="290" t="s">
        <v>218</v>
      </c>
      <c r="C63" s="291"/>
      <c r="D63" s="88" t="s">
        <v>13</v>
      </c>
      <c r="E63" s="88" t="s">
        <v>13</v>
      </c>
      <c r="F63" s="88" t="s">
        <v>13</v>
      </c>
      <c r="G63" s="88" t="s">
        <v>13</v>
      </c>
      <c r="H63" s="88"/>
      <c r="I63" s="88"/>
      <c r="J63" s="88"/>
      <c r="K63" s="297"/>
      <c r="L63" s="298"/>
    </row>
    <row r="64" spans="2:12" ht="336" customHeight="1" x14ac:dyDescent="0.25">
      <c r="B64" s="242" t="s">
        <v>220</v>
      </c>
      <c r="C64" s="242"/>
      <c r="D64" s="88" t="s">
        <v>14</v>
      </c>
      <c r="E64" s="88" t="s">
        <v>14</v>
      </c>
      <c r="F64" s="88" t="s">
        <v>14</v>
      </c>
      <c r="G64" s="88" t="s">
        <v>14</v>
      </c>
      <c r="H64" s="88"/>
      <c r="I64" s="88"/>
      <c r="J64" s="88"/>
      <c r="K64" s="299"/>
      <c r="L64" s="300"/>
    </row>
    <row r="65" spans="2:12" ht="143.25" customHeight="1" x14ac:dyDescent="0.25">
      <c r="B65" s="293" t="s">
        <v>221</v>
      </c>
      <c r="C65" s="294"/>
      <c r="D65" s="88" t="s">
        <v>13</v>
      </c>
      <c r="E65" s="88" t="s">
        <v>13</v>
      </c>
      <c r="F65" s="88" t="s">
        <v>13</v>
      </c>
      <c r="G65" s="88" t="s">
        <v>13</v>
      </c>
      <c r="H65" s="88"/>
      <c r="I65" s="88"/>
      <c r="J65" s="88"/>
      <c r="K65" s="297"/>
      <c r="L65" s="298"/>
    </row>
    <row r="66" spans="2:12" ht="408.75" customHeight="1" x14ac:dyDescent="0.25">
      <c r="B66" s="292" t="s">
        <v>208</v>
      </c>
      <c r="C66" s="292"/>
      <c r="D66" s="88" t="s">
        <v>13</v>
      </c>
      <c r="E66" s="88" t="s">
        <v>13</v>
      </c>
      <c r="F66" s="88" t="s">
        <v>13</v>
      </c>
      <c r="G66" s="88" t="s">
        <v>13</v>
      </c>
      <c r="H66" s="88"/>
      <c r="I66" s="88"/>
      <c r="J66" s="88"/>
      <c r="K66" s="297"/>
      <c r="L66" s="298"/>
    </row>
    <row r="67" spans="2:12" ht="312.75" customHeight="1" x14ac:dyDescent="0.25">
      <c r="B67" s="242" t="s">
        <v>209</v>
      </c>
      <c r="C67" s="242"/>
      <c r="D67" s="88" t="s">
        <v>14</v>
      </c>
      <c r="E67" s="88" t="s">
        <v>14</v>
      </c>
      <c r="F67" s="88" t="s">
        <v>14</v>
      </c>
      <c r="G67" s="88" t="s">
        <v>14</v>
      </c>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NO CUMPLE</v>
      </c>
      <c r="G68" s="18" t="str">
        <f t="shared" si="9"/>
        <v>CUMPLE</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B48:B55"/>
    <mergeCell ref="K48:L48"/>
    <mergeCell ref="K49:L49"/>
    <mergeCell ref="K50:L50"/>
    <mergeCell ref="K51:L51"/>
    <mergeCell ref="K56:L56"/>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ellIs" dxfId="1042" priority="18" operator="equal">
      <formula>"NO CUMPLE"</formula>
    </cfRule>
    <cfRule type="cellIs" dxfId="1041" priority="19" operator="equal">
      <formula>"CUMPLE"</formula>
    </cfRule>
    <cfRule type="notContainsErrors" dxfId="1040" priority="17">
      <formula>NOT(ISERROR(D73))</formula>
    </cfRule>
    <cfRule type="containsBlanks" dxfId="1039" priority="16">
      <formula>LEN(TRIM(D73))=0</formula>
    </cfRule>
  </conditionalFormatting>
  <conditionalFormatting sqref="D74">
    <cfRule type="cellIs" dxfId="1038" priority="23" operator="equal">
      <formula>"""CUMPLE"""</formula>
    </cfRule>
    <cfRule type="cellIs" dxfId="1037" priority="20" operator="equal">
      <formula>"N/A"</formula>
    </cfRule>
    <cfRule type="cellIs" dxfId="1036" priority="21" operator="equal">
      <formula>"CUMPLE"</formula>
    </cfRule>
    <cfRule type="cellIs" dxfId="1035" priority="22" operator="equal">
      <formula>"NO CUMPLE"</formula>
    </cfRule>
  </conditionalFormatting>
  <conditionalFormatting sqref="D25:J35">
    <cfRule type="containsBlanks" dxfId="1034" priority="38">
      <formula>LEN(TRIM(D25))=0</formula>
    </cfRule>
    <cfRule type="notContainsErrors" dxfId="1033" priority="39">
      <formula>NOT(ISERROR(D25))</formula>
    </cfRule>
  </conditionalFormatting>
  <conditionalFormatting sqref="D34:J34 D24:K24 D37:J37 D40:J40 D43:J43 K68:L68">
    <cfRule type="containsBlanks" dxfId="1032" priority="40">
      <formula>LEN(TRIM(D24))=0</formula>
    </cfRule>
  </conditionalFormatting>
  <conditionalFormatting sqref="D47:J54">
    <cfRule type="cellIs" dxfId="1031" priority="3" operator="equal">
      <formula>"NO CUMPLE"</formula>
    </cfRule>
    <cfRule type="cellIs" dxfId="1030" priority="4" operator="equal">
      <formula>"CUMPLE"</formula>
    </cfRule>
    <cfRule type="containsBlanks" dxfId="1029" priority="5">
      <formula>LEN(TRIM(D47))=0</formula>
    </cfRule>
    <cfRule type="notContainsErrors" dxfId="1028" priority="6">
      <formula>NOT(ISERROR(D47))</formula>
    </cfRule>
  </conditionalFormatting>
  <conditionalFormatting sqref="D55:J55">
    <cfRule type="cellIs" dxfId="1027" priority="46" operator="equal">
      <formula>"N/A"</formula>
    </cfRule>
    <cfRule type="cellIs" dxfId="1026" priority="47" operator="equal">
      <formula>"CUMPLE"</formula>
    </cfRule>
    <cfRule type="cellIs" dxfId="1025" priority="48" operator="equal">
      <formula>"NO CUMPLE"</formula>
    </cfRule>
    <cfRule type="cellIs" dxfId="1024" priority="49" operator="equal">
      <formula>"""CUMPLE"""</formula>
    </cfRule>
  </conditionalFormatting>
  <conditionalFormatting sqref="D56:J67">
    <cfRule type="notContainsErrors" dxfId="1023" priority="29">
      <formula>NOT(ISERROR(D56))</formula>
    </cfRule>
    <cfRule type="cellIs" dxfId="1022" priority="26" operator="equal">
      <formula>"NO CUMPLE"</formula>
    </cfRule>
    <cfRule type="cellIs" dxfId="1021" priority="27" operator="equal">
      <formula>"CUMPLE"</formula>
    </cfRule>
    <cfRule type="containsBlanks" dxfId="1020" priority="28">
      <formula>LEN(TRIM(D56))=0</formula>
    </cfRule>
  </conditionalFormatting>
  <conditionalFormatting sqref="D68:J68">
    <cfRule type="cellIs" dxfId="1019" priority="42" operator="equal">
      <formula>"N/A"</formula>
    </cfRule>
    <cfRule type="cellIs" dxfId="1018" priority="43" operator="equal">
      <formula>"CUMPLE"</formula>
    </cfRule>
    <cfRule type="cellIs" dxfId="1017" priority="44" operator="equal">
      <formula>"NO CUMPLE"</formula>
    </cfRule>
    <cfRule type="cellIs" dxfId="1016" priority="45" operator="equal">
      <formula>"""CUMPLE"""</formula>
    </cfRule>
  </conditionalFormatting>
  <conditionalFormatting sqref="D69:J69">
    <cfRule type="cellIs" dxfId="1015" priority="10" operator="equal">
      <formula>"NO CUMPLE"</formula>
    </cfRule>
    <cfRule type="cellIs" dxfId="1014" priority="11" operator="equal">
      <formula>"CUMPLE"</formula>
    </cfRule>
  </conditionalFormatting>
  <conditionalFormatting sqref="D24:K24 D34:J34 D37:J37 D40:J40 D43:J43 K68:L68">
    <cfRule type="notContainsErrors" dxfId="1013" priority="41">
      <formula>NOT(ISERROR(D24))</formula>
    </cfRule>
  </conditionalFormatting>
  <conditionalFormatting sqref="D61:K67">
    <cfRule type="notContainsErrors" dxfId="1012" priority="31">
      <formula>NOT(ISERROR(D61))</formula>
    </cfRule>
    <cfRule type="containsBlanks" dxfId="1011" priority="30">
      <formula>LEN(TRIM(D61))=0</formula>
    </cfRule>
  </conditionalFormatting>
  <conditionalFormatting sqref="D69:K69">
    <cfRule type="containsBlanks" dxfId="1010" priority="12">
      <formula>LEN(TRIM(D69))=0</formula>
    </cfRule>
    <cfRule type="notContainsErrors" dxfId="1009" priority="13">
      <formula>NOT(ISERROR(D69))</formula>
    </cfRule>
  </conditionalFormatting>
  <conditionalFormatting sqref="E73:E74">
    <cfRule type="containsBlanks" dxfId="1008" priority="14">
      <formula>LEN(TRIM(E73))=0</formula>
    </cfRule>
    <cfRule type="notContainsErrors" dxfId="1007" priority="15">
      <formula>NOT(ISERROR(E73))</formula>
    </cfRule>
  </conditionalFormatting>
  <conditionalFormatting sqref="F20:H20">
    <cfRule type="cellIs" dxfId="1006" priority="53" operator="equal">
      <formula>"CUMPLE"</formula>
    </cfRule>
    <cfRule type="cellIs" dxfId="1005" priority="54" operator="equal">
      <formula>"NO CUMPLE"</formula>
    </cfRule>
    <cfRule type="cellIs" dxfId="1004" priority="55" operator="equal">
      <formula>"""CUMPLE"""</formula>
    </cfRule>
  </conditionalFormatting>
  <conditionalFormatting sqref="I11">
    <cfRule type="containsText" dxfId="1003" priority="59" operator="containsText" text="NO CUMPLE">
      <formula>NOT(ISERROR(SEARCH("NO CUMPLE",I11)))</formula>
    </cfRule>
    <cfRule type="containsText" dxfId="1002" priority="56" operator="containsText" text="INHABILITADO">
      <formula>NOT(ISERROR(SEARCH("INHABILITADO",I11)))</formula>
    </cfRule>
    <cfRule type="containsText" dxfId="1001" priority="57" operator="containsText" text="HABILITADO">
      <formula>NOT(ISERROR(SEARCH("HABILITADO",I11)))</formula>
    </cfRule>
    <cfRule type="containsText" dxfId="1000" priority="58" operator="containsText" text="HABILITADO">
      <formula>NOT(ISERROR(SEARCH("HABILITADO",I11)))</formula>
    </cfRule>
  </conditionalFormatting>
  <conditionalFormatting sqref="J20">
    <cfRule type="cellIs" dxfId="999" priority="34" operator="equal">
      <formula>"NO"</formula>
    </cfRule>
    <cfRule type="cellIs" dxfId="998" priority="35" operator="equal">
      <formula>"SI"</formula>
    </cfRule>
  </conditionalFormatting>
  <conditionalFormatting sqref="K16">
    <cfRule type="cellIs" dxfId="997" priority="9" operator="equal">
      <formula>"""CUMPLE"""</formula>
    </cfRule>
    <cfRule type="cellIs" dxfId="996" priority="8" operator="equal">
      <formula>"NO CUMPLE"</formula>
    </cfRule>
    <cfRule type="cellIs" dxfId="995" priority="7" operator="equal">
      <formula>"CUMPLE"</formula>
    </cfRule>
  </conditionalFormatting>
  <conditionalFormatting sqref="K25:K60">
    <cfRule type="containsBlanks" dxfId="994" priority="1">
      <formula>LEN(TRIM(K25))=0</formula>
    </cfRule>
    <cfRule type="notContainsErrors" dxfId="993" priority="2">
      <formula>NOT(ISERROR(K25))</formula>
    </cfRule>
  </conditionalFormatting>
  <conditionalFormatting sqref="L14">
    <cfRule type="cellIs" dxfId="992" priority="50" operator="equal">
      <formula>"CUMPLE"</formula>
    </cfRule>
    <cfRule type="cellIs" dxfId="991" priority="51" operator="equal">
      <formula>"NO CUMPLE"</formula>
    </cfRule>
    <cfRule type="cellIs" dxfId="990" priority="52" operator="equal">
      <formula>"""CUMPLE"""</formula>
    </cfRule>
  </conditionalFormatting>
  <conditionalFormatting sqref="L20">
    <cfRule type="cellIs" dxfId="989" priority="32" operator="equal">
      <formula>"NO"</formula>
    </cfRule>
    <cfRule type="cellIs" dxfId="988" priority="33" operator="equal">
      <formula>"SI"</formula>
    </cfRule>
  </conditionalFormatting>
  <dataValidations count="4">
    <dataValidation type="list" allowBlank="1" showInputMessage="1" showErrorMessage="1" sqref="J48:J53" xr:uid="{E2A1857F-497C-4FA6-84B3-8B71A42856B6}">
      <formula1>$C$45:$C$46</formula1>
    </dataValidation>
    <dataValidation type="list" allowBlank="1" showInputMessage="1" showErrorMessage="1" sqref="D73" xr:uid="{6417CC39-2442-42E9-AF69-4AE3222021B7}">
      <formula1>$A$50:$A$52</formula1>
    </dataValidation>
    <dataValidation type="list" allowBlank="1" showInputMessage="1" showErrorMessage="1" sqref="L61:L69" xr:uid="{6B7EB25D-421A-4B94-9608-5B838664EB42}">
      <formula1>"0,1,2,3,4,5,6"</formula1>
    </dataValidation>
    <dataValidation type="list" allowBlank="1" showInputMessage="1" showErrorMessage="1" sqref="D24:J26" xr:uid="{4AF91767-01DE-4161-8F33-F77A500D6AE3}">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FAB608A7-73E8-44CB-8064-B37222937086}">
          <x14:formula1>
            <xm:f>'DATOS INICIALES'!$C$45:$C$46</xm:f>
          </x14:formula1>
          <xm:sqref>D48:I54</xm:sqref>
        </x14:dataValidation>
        <x14:dataValidation type="list" allowBlank="1" showInputMessage="1" showErrorMessage="1" xr:uid="{381A6E32-F744-4343-B1E4-A241E804032B}">
          <x14:formula1>
            <xm:f>'DATOS INICIALES'!$A$50:$A$52</xm:f>
          </x14:formula1>
          <xm:sqref>D56:J67</xm:sqref>
        </x14:dataValidation>
        <x14:dataValidation type="list" allowBlank="1" showInputMessage="1" showErrorMessage="1" xr:uid="{669BDC9F-724F-4E60-8F5A-70EE596EA214}">
          <x14:formula1>
            <xm:f>'DATOS INICIALES'!$A$54:$A$59</xm:f>
          </x14:formula1>
          <xm:sqref>D23:I23</xm:sqref>
        </x14:dataValidation>
        <x14:dataValidation type="list" allowBlank="1" showInputMessage="1" showErrorMessage="1" xr:uid="{0364312F-5705-4080-B40F-96D5FB9261B1}">
          <x14:formula1>
            <xm:f>'DATOS INICIALES'!$D$22:$D$26</xm:f>
          </x14:formula1>
          <xm:sqref>M48:M55</xm:sqref>
        </x14:dataValidation>
        <x14:dataValidation type="list" allowBlank="1" showInputMessage="1" showErrorMessage="1" xr:uid="{DBE313A2-FE8D-4672-ABAE-AE533B1AB7BD}">
          <x14:formula1>
            <xm:f>'DATOS INICIALES'!$A$13:$A$43</xm:f>
          </x14:formula1>
          <xm:sqref>D31:I31</xm:sqref>
        </x14:dataValidation>
        <x14:dataValidation type="list" allowBlank="1" showInputMessage="1" showErrorMessage="1" xr:uid="{97B3240F-1004-4E6F-840E-8D8AC27FDD26}">
          <x14:formula1>
            <xm:f>'DATOS INICIALES'!$A$50:$A$51</xm:f>
          </x14:formula1>
          <xm:sqref>D69:J69 D47:J47</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74"/>
  <sheetViews>
    <sheetView view="pageBreakPreview" zoomScale="55" zoomScaleNormal="55" zoomScaleSheetLayoutView="55" workbookViewId="0">
      <pane ySplit="11" topLeftCell="A73" activePane="bottomLeft" state="frozenSplit"/>
      <selection activeCell="J14" sqref="J14"/>
      <selection pane="bottomLeft" activeCell="F28" sqref="F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21</v>
      </c>
      <c r="B11" s="2" t="s">
        <v>24</v>
      </c>
      <c r="C11" s="342" t="str">
        <f>VLOOKUP(A11,PROPONENTES!A10:B46,2,FALSE)</f>
        <v>CONSORCIO COMODORO</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5</v>
      </c>
      <c r="J14" s="169">
        <f>+L8</f>
        <v>405.24573153846154</v>
      </c>
      <c r="K14" s="169">
        <f>+E20</f>
        <v>3485.2274000000002</v>
      </c>
      <c r="L14" s="18" t="str">
        <f>IF(K14&gt;=J14,"CUMPLE","NO CUMPLE")</f>
        <v>CUMPLE</v>
      </c>
    </row>
    <row r="15" spans="1:12" ht="66.75" customHeight="1" x14ac:dyDescent="0.25">
      <c r="B15" s="314"/>
      <c r="C15" s="98" t="str">
        <f>IF(VLOOKUP(C11,PROPONENTES!B10:N46,2,FALSE)=0,"",VLOOKUP(C11,PROPONENTES!B10:N46,2,FALSE))</f>
        <v xml:space="preserve">ARQUITECTURA Y URBANISMO SXXI SAS </v>
      </c>
      <c r="D15" s="99">
        <f>IF(VLOOKUP(C11,PROPONENTES!B10:N46,3,FALSE)=0,"",VLOOKUP(C11,PROPONENTES!B10:N46,3,FALSE))</f>
        <v>0.34</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726.46</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xml:space="preserve">J. FELIPE ARDILA V. &amp; CIA SAS </v>
      </c>
      <c r="D16" s="99">
        <f>IF(VLOOKUP(C11,PROPONENTES!B10:N46,5,FALSE)=0,"",VLOOKUP(C11,PROPONENTES!B10:N46,5,FALSE))</f>
        <v>0.33</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1876.0900000000001</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1876.0900000000001</v>
      </c>
      <c r="J16" s="169">
        <f>+L8*0.7</f>
        <v>283.67201207692307</v>
      </c>
      <c r="K16" s="18" t="str">
        <f>IF(I16&gt;=J16,"CUMPLE","NO CUMPLE")</f>
        <v>CUMPLE</v>
      </c>
      <c r="L16" s="305">
        <f>AVERAGEIF(D68:J68,"CUMPLE",D46:J46)</f>
        <v>697.04548</v>
      </c>
    </row>
    <row r="17" spans="2:14" ht="33.75" customHeight="1" x14ac:dyDescent="0.25">
      <c r="B17" s="314"/>
      <c r="C17" s="98" t="str">
        <f>IF(VLOOKUP(C11,PROPONENTES!B10:N46,6,FALSE)=0,"",VLOOKUP(C11,PROPONENTES!B10:N46,6,FALSE))</f>
        <v xml:space="preserve">INGEPLAN.CO SAS BIC </v>
      </c>
      <c r="D17" s="99">
        <f>IF(VLOOKUP(C11,PROPONENTES!B10:N46,7,FALSE)=0,"",VLOOKUP(C11,PROPONENTES!B10:N46,7,FALSE))</f>
        <v>0.33</v>
      </c>
      <c r="E17" s="100">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882.67740000000015</v>
      </c>
      <c r="F17" s="101" t="str">
        <f>IF(C17="","",IF(E17&gt;=$J$14*0.5,"SI","NO"))</f>
        <v>SI</v>
      </c>
      <c r="G17" s="102" t="str">
        <f>IF(C17="","",IF(E17&gt;=$J$14*0.05,"SI",IF(E17=0,"NO APORTA EXPERIENCIA",)))</f>
        <v>SI</v>
      </c>
      <c r="H17" s="102" t="str">
        <f>IF(C17="","",IF(AND(G17="NO APORTA EXPERIENCIA",D17&lt;=10%),"SI",IF(G17="SI","NO APLICA","NO - PORCENTAJE MAYOR AL 5%")))</f>
        <v>NO APLICA</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3</v>
      </c>
      <c r="D20" s="99">
        <f>+VLOOKUP(C11,PROPONENTES!B10:N46,13,FALSE)</f>
        <v>1</v>
      </c>
      <c r="E20" s="35">
        <f>SUM(E15:E19)</f>
        <v>3485.2274000000002</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262</v>
      </c>
      <c r="E24" s="88" t="s">
        <v>262</v>
      </c>
      <c r="F24" s="88" t="s">
        <v>261</v>
      </c>
      <c r="G24" s="88" t="s">
        <v>262</v>
      </c>
      <c r="H24" s="88" t="s">
        <v>263</v>
      </c>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422</v>
      </c>
      <c r="E27" s="89" t="s">
        <v>423</v>
      </c>
      <c r="F27" s="89" t="s">
        <v>424</v>
      </c>
      <c r="G27" s="89" t="s">
        <v>425</v>
      </c>
      <c r="H27" s="89" t="s">
        <v>426</v>
      </c>
      <c r="I27" s="89"/>
      <c r="J27" s="89"/>
      <c r="K27" s="297"/>
      <c r="L27" s="298"/>
    </row>
    <row r="28" spans="2:14" ht="156.75" customHeight="1" x14ac:dyDescent="0.25">
      <c r="B28" s="319"/>
      <c r="C28" s="27" t="s">
        <v>36</v>
      </c>
      <c r="D28" s="89" t="s">
        <v>427</v>
      </c>
      <c r="E28" s="89" t="s">
        <v>428</v>
      </c>
      <c r="F28" s="89" t="s">
        <v>429</v>
      </c>
      <c r="G28" s="89" t="s">
        <v>430</v>
      </c>
      <c r="H28" s="89" t="s">
        <v>431</v>
      </c>
      <c r="I28" s="89"/>
      <c r="J28" s="89"/>
      <c r="K28" s="297"/>
      <c r="L28" s="298"/>
    </row>
    <row r="29" spans="2:14" ht="52.5" customHeight="1" x14ac:dyDescent="0.25">
      <c r="B29" s="319"/>
      <c r="C29" s="27" t="s">
        <v>165</v>
      </c>
      <c r="D29" s="201">
        <v>36215</v>
      </c>
      <c r="E29" s="201">
        <v>36395</v>
      </c>
      <c r="F29" s="201">
        <v>42128</v>
      </c>
      <c r="G29" s="201">
        <v>36911</v>
      </c>
      <c r="H29" s="201">
        <v>44874</v>
      </c>
      <c r="I29" s="93"/>
      <c r="J29" s="93"/>
      <c r="K29" s="297"/>
      <c r="L29" s="298"/>
    </row>
    <row r="30" spans="2:14" ht="54.75" customHeight="1" x14ac:dyDescent="0.25">
      <c r="B30" s="319"/>
      <c r="C30" s="27" t="s">
        <v>40</v>
      </c>
      <c r="D30" s="201">
        <v>36463</v>
      </c>
      <c r="E30" s="201">
        <v>36689</v>
      </c>
      <c r="F30" s="201">
        <v>42552</v>
      </c>
      <c r="G30" s="201">
        <v>37194</v>
      </c>
      <c r="H30" s="201">
        <v>45208</v>
      </c>
      <c r="I30" s="93"/>
      <c r="J30" s="93"/>
      <c r="K30" s="297"/>
      <c r="L30" s="298"/>
    </row>
    <row r="31" spans="2:14" ht="41.25" customHeight="1" x14ac:dyDescent="0.25">
      <c r="B31" s="319"/>
      <c r="C31" s="27" t="s">
        <v>37</v>
      </c>
      <c r="D31" s="90">
        <v>1999</v>
      </c>
      <c r="E31" s="90">
        <v>2000</v>
      </c>
      <c r="F31" s="90">
        <v>2016</v>
      </c>
      <c r="G31" s="90">
        <v>2001</v>
      </c>
      <c r="H31" s="90">
        <v>2023</v>
      </c>
      <c r="I31" s="90"/>
      <c r="J31" s="90"/>
      <c r="K31" s="297"/>
      <c r="L31" s="298"/>
    </row>
    <row r="32" spans="2:14" ht="63" customHeight="1" x14ac:dyDescent="0.25">
      <c r="B32" s="319"/>
      <c r="C32" s="27" t="s">
        <v>38</v>
      </c>
      <c r="D32" s="89" t="s">
        <v>325</v>
      </c>
      <c r="E32" s="89" t="s">
        <v>325</v>
      </c>
      <c r="F32" s="89" t="s">
        <v>432</v>
      </c>
      <c r="G32" s="89" t="s">
        <v>433</v>
      </c>
      <c r="H32" s="89" t="s">
        <v>434</v>
      </c>
      <c r="I32" s="89"/>
      <c r="J32" s="89"/>
      <c r="K32" s="297"/>
      <c r="L32" s="298"/>
    </row>
    <row r="33" spans="2:12" ht="46.5" customHeight="1" x14ac:dyDescent="0.25">
      <c r="B33" s="319"/>
      <c r="C33" s="27" t="s">
        <v>39</v>
      </c>
      <c r="D33" s="89" t="s">
        <v>262</v>
      </c>
      <c r="E33" s="89" t="s">
        <v>262</v>
      </c>
      <c r="F33" s="89" t="s">
        <v>435</v>
      </c>
      <c r="G33" s="89" t="s">
        <v>262</v>
      </c>
      <c r="H33" s="89" t="s">
        <v>436</v>
      </c>
      <c r="I33" s="89"/>
      <c r="J33" s="89"/>
      <c r="K33" s="297"/>
      <c r="L33" s="298"/>
    </row>
    <row r="34" spans="2:12" ht="27.75" customHeight="1" x14ac:dyDescent="0.25">
      <c r="B34" s="319"/>
      <c r="C34" s="28" t="s">
        <v>33</v>
      </c>
      <c r="D34" s="94">
        <v>25</v>
      </c>
      <c r="E34" s="94">
        <v>29</v>
      </c>
      <c r="F34" s="94">
        <v>45</v>
      </c>
      <c r="G34" s="95">
        <v>83</v>
      </c>
      <c r="H34" s="95">
        <v>114</v>
      </c>
      <c r="I34" s="95"/>
      <c r="J34" s="95"/>
      <c r="K34" s="297"/>
      <c r="L34" s="298"/>
    </row>
    <row r="35" spans="2:12" ht="102.75" customHeight="1" x14ac:dyDescent="0.25">
      <c r="B35" s="319"/>
      <c r="C35" s="27" t="s">
        <v>124</v>
      </c>
      <c r="D35" s="91">
        <v>1523.42</v>
      </c>
      <c r="E35" s="187">
        <v>352.67</v>
      </c>
      <c r="F35" s="91">
        <v>726.46</v>
      </c>
      <c r="G35" s="89" t="s">
        <v>437</v>
      </c>
      <c r="H35" s="91">
        <v>2596.11</v>
      </c>
      <c r="I35" s="91"/>
      <c r="J35" s="91"/>
      <c r="K35" s="299"/>
      <c r="L35" s="300"/>
    </row>
    <row r="36" spans="2:12" ht="48" customHeight="1" x14ac:dyDescent="0.25">
      <c r="B36" s="319"/>
      <c r="C36" s="27" t="s">
        <v>72</v>
      </c>
      <c r="D36" s="103">
        <f>IFERROR(D35*VLOOKUP(D31,'DATOS INICIALES'!$A$12:$B$43,2,0),"0")</f>
        <v>360227893.19999999</v>
      </c>
      <c r="E36" s="103">
        <f>IFERROR(E35*VLOOKUP(E31,'DATOS INICIALES'!$A$12:$B$43,2,0),"0")</f>
        <v>91729467</v>
      </c>
      <c r="F36" s="103">
        <f>IFERROR(F35*VLOOKUP(F31,'DATOS INICIALES'!$A$12:$B$43,2,0),"0")</f>
        <v>500861479.30000001</v>
      </c>
      <c r="G36" s="103" t="str">
        <f>IFERROR(G35*VLOOKUP(G31,'DATOS INICIALES'!$A$12:$B$43,2,0),"0")</f>
        <v>0</v>
      </c>
      <c r="H36" s="103">
        <f>IFERROR(H35*VLOOKUP(H31,'DATOS INICIALES'!$A$12:$B$43,2,0),"0")</f>
        <v>3011487600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v>1</v>
      </c>
      <c r="G37" s="92">
        <v>1</v>
      </c>
      <c r="H37" s="92">
        <v>0.34</v>
      </c>
      <c r="I37" s="92"/>
      <c r="J37" s="92"/>
      <c r="K37" s="297"/>
      <c r="L37" s="298"/>
    </row>
    <row r="38" spans="2:12" ht="48.75" customHeight="1" x14ac:dyDescent="0.25">
      <c r="B38" s="319"/>
      <c r="C38" s="27" t="s">
        <v>131</v>
      </c>
      <c r="D38" s="103">
        <f t="shared" ref="D38:J38" si="0">IF(D24="","0",D37*D36)</f>
        <v>360227893.19999999</v>
      </c>
      <c r="E38" s="103">
        <f t="shared" si="0"/>
        <v>91729467</v>
      </c>
      <c r="F38" s="103">
        <f t="shared" si="0"/>
        <v>500861479.30000001</v>
      </c>
      <c r="G38" s="103">
        <f t="shared" si="0"/>
        <v>0</v>
      </c>
      <c r="H38" s="103">
        <f t="shared" si="0"/>
        <v>1023905784.0000001</v>
      </c>
      <c r="I38" s="103" t="str">
        <f t="shared" si="0"/>
        <v>0</v>
      </c>
      <c r="J38" s="103" t="str">
        <f t="shared" si="0"/>
        <v>0</v>
      </c>
      <c r="K38" s="297"/>
      <c r="L38" s="298"/>
    </row>
    <row r="39" spans="2:12" ht="65.25" customHeight="1" x14ac:dyDescent="0.25">
      <c r="B39" s="319"/>
      <c r="C39" s="27" t="s">
        <v>126</v>
      </c>
      <c r="D39" s="104">
        <f t="shared" ref="D39:J39" si="1">IFERROR(D35*D37,"0")</f>
        <v>1523.42</v>
      </c>
      <c r="E39" s="104">
        <f t="shared" si="1"/>
        <v>352.67</v>
      </c>
      <c r="F39" s="104">
        <f t="shared" si="1"/>
        <v>726.46</v>
      </c>
      <c r="G39" s="104" t="str">
        <f t="shared" si="1"/>
        <v>0</v>
      </c>
      <c r="H39" s="104">
        <f t="shared" si="1"/>
        <v>882.67740000000015</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1523.42</v>
      </c>
      <c r="E46" s="104">
        <f t="shared" ref="E46:G46" si="6">+E39+E42+E45</f>
        <v>352.67</v>
      </c>
      <c r="F46" s="104">
        <f t="shared" si="6"/>
        <v>726.46</v>
      </c>
      <c r="G46" s="104">
        <f t="shared" si="6"/>
        <v>0</v>
      </c>
      <c r="H46" s="104">
        <f>+H39+H42+H45</f>
        <v>882.67740000000015</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t="s">
        <v>14</v>
      </c>
      <c r="H47" s="88" t="s">
        <v>14</v>
      </c>
      <c r="I47" s="88"/>
      <c r="J47" s="88"/>
      <c r="K47" s="297"/>
      <c r="L47" s="298"/>
    </row>
    <row r="48" spans="2:12" ht="24.75" customHeight="1" x14ac:dyDescent="0.25">
      <c r="B48" s="315" t="s">
        <v>34</v>
      </c>
      <c r="C48" s="29">
        <f>+'DATOS INICIALES'!D22</f>
        <v>81141500</v>
      </c>
      <c r="D48" s="94" t="s">
        <v>73</v>
      </c>
      <c r="E48" s="94" t="s">
        <v>73</v>
      </c>
      <c r="F48" s="94" t="s">
        <v>75</v>
      </c>
      <c r="G48" s="94" t="s">
        <v>73</v>
      </c>
      <c r="H48" s="94" t="s">
        <v>73</v>
      </c>
      <c r="I48" s="94"/>
      <c r="J48" s="95"/>
      <c r="K48" s="297"/>
      <c r="L48" s="298"/>
    </row>
    <row r="49" spans="2:12" ht="24.75" customHeight="1" x14ac:dyDescent="0.25">
      <c r="B49" s="316"/>
      <c r="C49" s="29">
        <f>+'DATOS INICIALES'!D23</f>
        <v>80101500</v>
      </c>
      <c r="D49" s="94" t="s">
        <v>75</v>
      </c>
      <c r="E49" s="94" t="s">
        <v>73</v>
      </c>
      <c r="F49" s="94" t="s">
        <v>75</v>
      </c>
      <c r="G49" s="94" t="s">
        <v>73</v>
      </c>
      <c r="H49" s="94" t="s">
        <v>75</v>
      </c>
      <c r="I49" s="94"/>
      <c r="J49" s="95"/>
      <c r="K49" s="297"/>
      <c r="L49" s="298"/>
    </row>
    <row r="50" spans="2:12" ht="24.75" customHeight="1" x14ac:dyDescent="0.25">
      <c r="B50" s="316"/>
      <c r="C50" s="29">
        <f>+'DATOS INICIALES'!D24</f>
        <v>80101600</v>
      </c>
      <c r="D50" s="94" t="s">
        <v>73</v>
      </c>
      <c r="E50" s="94" t="s">
        <v>75</v>
      </c>
      <c r="F50" s="94" t="s">
        <v>75</v>
      </c>
      <c r="G50" s="94" t="s">
        <v>75</v>
      </c>
      <c r="H50" s="94" t="s">
        <v>75</v>
      </c>
      <c r="I50" s="94"/>
      <c r="J50" s="95"/>
      <c r="K50" s="297"/>
      <c r="L50" s="298"/>
    </row>
    <row r="51" spans="2:12" ht="24.75" customHeight="1" x14ac:dyDescent="0.25">
      <c r="B51" s="316"/>
      <c r="C51" s="29">
        <f>+'DATOS INICIALES'!D25</f>
        <v>81101500</v>
      </c>
      <c r="D51" s="94" t="s">
        <v>75</v>
      </c>
      <c r="E51" s="94" t="s">
        <v>75</v>
      </c>
      <c r="F51" s="94" t="s">
        <v>73</v>
      </c>
      <c r="G51" s="94" t="s">
        <v>75</v>
      </c>
      <c r="H51" s="94" t="s">
        <v>75</v>
      </c>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CUMPLE</v>
      </c>
      <c r="H55" s="18" t="str">
        <f t="shared" si="8"/>
        <v>CUMPLE</v>
      </c>
      <c r="I55" s="18" t="str">
        <f t="shared" si="8"/>
        <v>N/A</v>
      </c>
      <c r="J55" s="18" t="str">
        <f t="shared" si="8"/>
        <v>N/A</v>
      </c>
      <c r="K55" s="297"/>
      <c r="L55" s="298"/>
    </row>
    <row r="56" spans="2:12" ht="295.5" customHeight="1" x14ac:dyDescent="0.25">
      <c r="B56" s="295" t="s">
        <v>217</v>
      </c>
      <c r="C56" s="296"/>
      <c r="D56" s="88" t="s">
        <v>14</v>
      </c>
      <c r="E56" s="88" t="s">
        <v>14</v>
      </c>
      <c r="F56" s="88" t="s">
        <v>14</v>
      </c>
      <c r="G56" s="88" t="s">
        <v>14</v>
      </c>
      <c r="H56" s="88" t="s">
        <v>14</v>
      </c>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t="s">
        <v>14</v>
      </c>
      <c r="H61" s="88" t="s">
        <v>14</v>
      </c>
      <c r="I61" s="88"/>
      <c r="J61" s="88"/>
      <c r="K61" s="297"/>
      <c r="L61" s="298"/>
    </row>
    <row r="62" spans="2:12" ht="45" customHeight="1" x14ac:dyDescent="0.25">
      <c r="B62" s="290" t="s">
        <v>207</v>
      </c>
      <c r="C62" s="291"/>
      <c r="D62" s="88" t="s">
        <v>14</v>
      </c>
      <c r="E62" s="88" t="s">
        <v>14</v>
      </c>
      <c r="F62" s="88" t="s">
        <v>14</v>
      </c>
      <c r="G62" s="88" t="s">
        <v>14</v>
      </c>
      <c r="H62" s="88" t="s">
        <v>14</v>
      </c>
      <c r="I62" s="88"/>
      <c r="J62" s="88"/>
      <c r="K62" s="297"/>
      <c r="L62" s="298"/>
    </row>
    <row r="63" spans="2:12" ht="181.5" customHeight="1" x14ac:dyDescent="0.25">
      <c r="B63" s="290" t="s">
        <v>218</v>
      </c>
      <c r="C63" s="291"/>
      <c r="D63" s="88" t="s">
        <v>13</v>
      </c>
      <c r="E63" s="88" t="s">
        <v>13</v>
      </c>
      <c r="F63" s="88" t="s">
        <v>13</v>
      </c>
      <c r="G63" s="88" t="s">
        <v>13</v>
      </c>
      <c r="H63" s="88" t="s">
        <v>13</v>
      </c>
      <c r="I63" s="88"/>
      <c r="J63" s="88"/>
      <c r="K63" s="297"/>
      <c r="L63" s="298"/>
    </row>
    <row r="64" spans="2:12" ht="336" customHeight="1" x14ac:dyDescent="0.25">
      <c r="B64" s="242" t="s">
        <v>220</v>
      </c>
      <c r="C64" s="242"/>
      <c r="D64" s="88" t="s">
        <v>14</v>
      </c>
      <c r="E64" s="88" t="s">
        <v>14</v>
      </c>
      <c r="F64" s="88" t="s">
        <v>14</v>
      </c>
      <c r="G64" s="88" t="s">
        <v>14</v>
      </c>
      <c r="H64" s="88" t="s">
        <v>14</v>
      </c>
      <c r="I64" s="88"/>
      <c r="J64" s="88"/>
      <c r="K64" s="299"/>
      <c r="L64" s="300"/>
    </row>
    <row r="65" spans="2:12" ht="143.25" customHeight="1" x14ac:dyDescent="0.25">
      <c r="B65" s="293" t="s">
        <v>221</v>
      </c>
      <c r="C65" s="294"/>
      <c r="D65" s="88" t="s">
        <v>13</v>
      </c>
      <c r="E65" s="88" t="s">
        <v>13</v>
      </c>
      <c r="F65" s="88" t="s">
        <v>13</v>
      </c>
      <c r="G65" s="88" t="s">
        <v>13</v>
      </c>
      <c r="H65" s="88" t="s">
        <v>13</v>
      </c>
      <c r="I65" s="88"/>
      <c r="J65" s="88"/>
      <c r="K65" s="297"/>
      <c r="L65" s="298"/>
    </row>
    <row r="66" spans="2:12" ht="408.75" customHeight="1" x14ac:dyDescent="0.25">
      <c r="B66" s="292" t="s">
        <v>208</v>
      </c>
      <c r="C66" s="292"/>
      <c r="D66" s="88" t="s">
        <v>13</v>
      </c>
      <c r="E66" s="88" t="s">
        <v>13</v>
      </c>
      <c r="F66" s="88" t="s">
        <v>13</v>
      </c>
      <c r="G66" s="88" t="s">
        <v>13</v>
      </c>
      <c r="H66" s="88" t="s">
        <v>13</v>
      </c>
      <c r="I66" s="88"/>
      <c r="J66" s="88"/>
      <c r="K66" s="297"/>
      <c r="L66" s="298"/>
    </row>
    <row r="67" spans="2:12" ht="312.75" customHeight="1" x14ac:dyDescent="0.25">
      <c r="B67" s="242" t="s">
        <v>209</v>
      </c>
      <c r="C67" s="242"/>
      <c r="D67" s="88" t="s">
        <v>14</v>
      </c>
      <c r="E67" s="88" t="s">
        <v>14</v>
      </c>
      <c r="F67" s="88" t="s">
        <v>14</v>
      </c>
      <c r="G67" s="88" t="s">
        <v>14</v>
      </c>
      <c r="H67" s="88" t="s">
        <v>14</v>
      </c>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CUMPLE</v>
      </c>
      <c r="G68" s="18" t="str">
        <f t="shared" si="9"/>
        <v>CUMPLE</v>
      </c>
      <c r="H68" s="18" t="str">
        <f t="shared" si="9"/>
        <v>CUMPLE</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987" priority="20">
      <formula>LEN(TRIM(D73))=0</formula>
    </cfRule>
    <cfRule type="notContainsErrors" dxfId="986" priority="21">
      <formula>NOT(ISERROR(D73))</formula>
    </cfRule>
    <cfRule type="cellIs" dxfId="985" priority="22" operator="equal">
      <formula>"NO CUMPLE"</formula>
    </cfRule>
    <cfRule type="cellIs" dxfId="984" priority="23" operator="equal">
      <formula>"CUMPLE"</formula>
    </cfRule>
  </conditionalFormatting>
  <conditionalFormatting sqref="D74">
    <cfRule type="cellIs" dxfId="983" priority="24" operator="equal">
      <formula>"N/A"</formula>
    </cfRule>
    <cfRule type="cellIs" dxfId="982" priority="25" operator="equal">
      <formula>"CUMPLE"</formula>
    </cfRule>
    <cfRule type="cellIs" dxfId="981" priority="26" operator="equal">
      <formula>"NO CUMPLE"</formula>
    </cfRule>
    <cfRule type="cellIs" dxfId="980" priority="27" operator="equal">
      <formula>"""CUMPLE"""</formula>
    </cfRule>
  </conditionalFormatting>
  <conditionalFormatting sqref="D25:J35">
    <cfRule type="containsBlanks" dxfId="979" priority="42">
      <formula>LEN(TRIM(D25))=0</formula>
    </cfRule>
    <cfRule type="notContainsErrors" dxfId="978" priority="43">
      <formula>NOT(ISERROR(D25))</formula>
    </cfRule>
  </conditionalFormatting>
  <conditionalFormatting sqref="D34:J34 D24:K24 D37:J37 D40:J40 D43:J43 K68:L68">
    <cfRule type="containsBlanks" dxfId="977" priority="44">
      <formula>LEN(TRIM(D24))=0</formula>
    </cfRule>
  </conditionalFormatting>
  <conditionalFormatting sqref="D47:J54">
    <cfRule type="cellIs" dxfId="976" priority="7" operator="equal">
      <formula>"NO CUMPLE"</formula>
    </cfRule>
    <cfRule type="cellIs" dxfId="975" priority="8" operator="equal">
      <formula>"CUMPLE"</formula>
    </cfRule>
    <cfRule type="containsBlanks" dxfId="974" priority="9">
      <formula>LEN(TRIM(D47))=0</formula>
    </cfRule>
    <cfRule type="notContainsErrors" dxfId="973" priority="10">
      <formula>NOT(ISERROR(D47))</formula>
    </cfRule>
  </conditionalFormatting>
  <conditionalFormatting sqref="D55:J55">
    <cfRule type="cellIs" dxfId="972" priority="53" operator="equal">
      <formula>"""CUMPLE"""</formula>
    </cfRule>
    <cfRule type="cellIs" dxfId="971" priority="52" operator="equal">
      <formula>"NO CUMPLE"</formula>
    </cfRule>
    <cfRule type="cellIs" dxfId="970" priority="51" operator="equal">
      <formula>"CUMPLE"</formula>
    </cfRule>
    <cfRule type="cellIs" dxfId="969" priority="50" operator="equal">
      <formula>"N/A"</formula>
    </cfRule>
  </conditionalFormatting>
  <conditionalFormatting sqref="D56:J67">
    <cfRule type="cellIs" dxfId="968" priority="2" operator="equal">
      <formula>"CUMPLE"</formula>
    </cfRule>
    <cfRule type="containsBlanks" dxfId="967" priority="3">
      <formula>LEN(TRIM(D56))=0</formula>
    </cfRule>
    <cfRule type="notContainsErrors" dxfId="966" priority="4">
      <formula>NOT(ISERROR(D56))</formula>
    </cfRule>
    <cfRule type="cellIs" dxfId="965" priority="1" operator="equal">
      <formula>"NO CUMPLE"</formula>
    </cfRule>
  </conditionalFormatting>
  <conditionalFormatting sqref="D61:J67">
    <cfRule type="containsBlanks" dxfId="964" priority="5">
      <formula>LEN(TRIM(D61))=0</formula>
    </cfRule>
    <cfRule type="notContainsErrors" dxfId="963" priority="6">
      <formula>NOT(ISERROR(D61))</formula>
    </cfRule>
  </conditionalFormatting>
  <conditionalFormatting sqref="D68:J68">
    <cfRule type="cellIs" dxfId="962" priority="46" operator="equal">
      <formula>"N/A"</formula>
    </cfRule>
    <cfRule type="cellIs" dxfId="961" priority="47" operator="equal">
      <formula>"CUMPLE"</formula>
    </cfRule>
    <cfRule type="cellIs" dxfId="960" priority="48" operator="equal">
      <formula>"NO CUMPLE"</formula>
    </cfRule>
    <cfRule type="cellIs" dxfId="959" priority="49" operator="equal">
      <formula>"""CUMPLE"""</formula>
    </cfRule>
  </conditionalFormatting>
  <conditionalFormatting sqref="D69:J69">
    <cfRule type="cellIs" dxfId="958" priority="15" operator="equal">
      <formula>"CUMPLE"</formula>
    </cfRule>
    <cfRule type="cellIs" dxfId="957" priority="14" operator="equal">
      <formula>"NO CUMPLE"</formula>
    </cfRule>
  </conditionalFormatting>
  <conditionalFormatting sqref="D24:K24 D34:J34 D37:J37 D40:J40 D43:J43 K68:L68">
    <cfRule type="notContainsErrors" dxfId="956" priority="45">
      <formula>NOT(ISERROR(D24))</formula>
    </cfRule>
  </conditionalFormatting>
  <conditionalFormatting sqref="D69:K69">
    <cfRule type="notContainsErrors" dxfId="955" priority="17">
      <formula>NOT(ISERROR(D69))</formula>
    </cfRule>
    <cfRule type="containsBlanks" dxfId="954" priority="16">
      <formula>LEN(TRIM(D69))=0</formula>
    </cfRule>
  </conditionalFormatting>
  <conditionalFormatting sqref="E73:E74">
    <cfRule type="notContainsErrors" dxfId="953" priority="19">
      <formula>NOT(ISERROR(E73))</formula>
    </cfRule>
    <cfRule type="containsBlanks" dxfId="952" priority="18">
      <formula>LEN(TRIM(E73))=0</formula>
    </cfRule>
  </conditionalFormatting>
  <conditionalFormatting sqref="F20:H20">
    <cfRule type="cellIs" dxfId="951" priority="57" operator="equal">
      <formula>"CUMPLE"</formula>
    </cfRule>
    <cfRule type="cellIs" dxfId="950" priority="58" operator="equal">
      <formula>"NO CUMPLE"</formula>
    </cfRule>
    <cfRule type="cellIs" dxfId="949" priority="59" operator="equal">
      <formula>"""CUMPLE"""</formula>
    </cfRule>
  </conditionalFormatting>
  <conditionalFormatting sqref="I11">
    <cfRule type="containsText" dxfId="948" priority="60" operator="containsText" text="INHABILITADO">
      <formula>NOT(ISERROR(SEARCH("INHABILITADO",I11)))</formula>
    </cfRule>
    <cfRule type="containsText" dxfId="947" priority="61" operator="containsText" text="HABILITADO">
      <formula>NOT(ISERROR(SEARCH("HABILITADO",I11)))</formula>
    </cfRule>
    <cfRule type="containsText" dxfId="946" priority="62" operator="containsText" text="HABILITADO">
      <formula>NOT(ISERROR(SEARCH("HABILITADO",I11)))</formula>
    </cfRule>
    <cfRule type="containsText" dxfId="945" priority="63" operator="containsText" text="NO CUMPLE">
      <formula>NOT(ISERROR(SEARCH("NO CUMPLE",I11)))</formula>
    </cfRule>
  </conditionalFormatting>
  <conditionalFormatting sqref="J20">
    <cfRule type="cellIs" dxfId="944" priority="38" operator="equal">
      <formula>"NO"</formula>
    </cfRule>
    <cfRule type="cellIs" dxfId="943" priority="39" operator="equal">
      <formula>"SI"</formula>
    </cfRule>
  </conditionalFormatting>
  <conditionalFormatting sqref="K16">
    <cfRule type="cellIs" dxfId="942" priority="11" operator="equal">
      <formula>"CUMPLE"</formula>
    </cfRule>
    <cfRule type="cellIs" dxfId="941" priority="12" operator="equal">
      <formula>"NO CUMPLE"</formula>
    </cfRule>
    <cfRule type="cellIs" dxfId="940" priority="13" operator="equal">
      <formula>"""CUMPLE"""</formula>
    </cfRule>
  </conditionalFormatting>
  <conditionalFormatting sqref="K25:K67">
    <cfRule type="notContainsErrors" dxfId="939" priority="29">
      <formula>NOT(ISERROR(K25))</formula>
    </cfRule>
    <cfRule type="containsBlanks" dxfId="938" priority="28">
      <formula>LEN(TRIM(K25))=0</formula>
    </cfRule>
  </conditionalFormatting>
  <conditionalFormatting sqref="L14">
    <cfRule type="cellIs" dxfId="937" priority="54" operator="equal">
      <formula>"CUMPLE"</formula>
    </cfRule>
    <cfRule type="cellIs" dxfId="936" priority="55" operator="equal">
      <formula>"NO CUMPLE"</formula>
    </cfRule>
    <cfRule type="cellIs" dxfId="935" priority="56" operator="equal">
      <formula>"""CUMPLE"""</formula>
    </cfRule>
  </conditionalFormatting>
  <conditionalFormatting sqref="L20">
    <cfRule type="cellIs" dxfId="934" priority="36" operator="equal">
      <formula>"NO"</formula>
    </cfRule>
    <cfRule type="cellIs" dxfId="933" priority="37" operator="equal">
      <formula>"SI"</formula>
    </cfRule>
  </conditionalFormatting>
  <dataValidations count="4">
    <dataValidation type="list" allowBlank="1" showInputMessage="1" showErrorMessage="1" sqref="D24:J26" xr:uid="{5F870544-21AD-4778-A36D-926CA140D330}">
      <formula1>$C$15:$C$19</formula1>
    </dataValidation>
    <dataValidation type="list" allowBlank="1" showInputMessage="1" showErrorMessage="1" sqref="L61:L69" xr:uid="{031733A6-4482-48E7-AC0A-C0664E285167}">
      <formula1>"0,1,2,3,4,5,6"</formula1>
    </dataValidation>
    <dataValidation type="list" allowBlank="1" showInputMessage="1" showErrorMessage="1" sqref="D73" xr:uid="{E05A4D14-5572-4901-AD91-E6708CB53072}">
      <formula1>$A$50:$A$52</formula1>
    </dataValidation>
    <dataValidation type="list" allowBlank="1" showInputMessage="1" showErrorMessage="1" sqref="J48:J53" xr:uid="{9C9AE616-F826-42D9-BD55-AC5368550B1B}">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530AC1D1-81D3-4086-98A0-699884E24F99}">
          <x14:formula1>
            <xm:f>'DATOS INICIALES'!$A$13:$A$43</xm:f>
          </x14:formula1>
          <xm:sqref>D31:I31</xm:sqref>
        </x14:dataValidation>
        <x14:dataValidation type="list" allowBlank="1" showInputMessage="1" showErrorMessage="1" xr:uid="{7C47836A-A48A-4CF5-81BA-999C5459CFA7}">
          <x14:formula1>
            <xm:f>'DATOS INICIALES'!$D$22:$D$26</xm:f>
          </x14:formula1>
          <xm:sqref>M48:M55</xm:sqref>
        </x14:dataValidation>
        <x14:dataValidation type="list" allowBlank="1" showInputMessage="1" showErrorMessage="1" xr:uid="{AAB086DA-A02A-4E05-A1F9-5BFEC20FD64F}">
          <x14:formula1>
            <xm:f>'DATOS INICIALES'!$A$54:$A$59</xm:f>
          </x14:formula1>
          <xm:sqref>D23:I23</xm:sqref>
        </x14:dataValidation>
        <x14:dataValidation type="list" allowBlank="1" showInputMessage="1" showErrorMessage="1" xr:uid="{E9D5BCDC-D437-4A03-B71D-5447219EE3BA}">
          <x14:formula1>
            <xm:f>'DATOS INICIALES'!$A$50:$A$52</xm:f>
          </x14:formula1>
          <xm:sqref>D56:J67</xm:sqref>
        </x14:dataValidation>
        <x14:dataValidation type="list" allowBlank="1" showInputMessage="1" showErrorMessage="1" xr:uid="{47728DFD-49D4-41B8-88ED-7BC0110B911D}">
          <x14:formula1>
            <xm:f>'DATOS INICIALES'!$C$45:$C$46</xm:f>
          </x14:formula1>
          <xm:sqref>D48:I54</xm:sqref>
        </x14:dataValidation>
        <x14:dataValidation type="list" allowBlank="1" showInputMessage="1" showErrorMessage="1" xr:uid="{496352A4-6B55-40FB-BC1F-D1306133E441}">
          <x14:formula1>
            <xm:f>'DATOS INICIALES'!$A$50:$A$51</xm:f>
          </x14:formula1>
          <xm:sqref>D69:J69 D47:J47</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N74"/>
  <sheetViews>
    <sheetView view="pageBreakPreview" zoomScale="40" zoomScaleNormal="55" zoomScaleSheetLayoutView="40" workbookViewId="0">
      <pane ySplit="11" topLeftCell="A28" activePane="bottomLeft" state="frozenSplit"/>
      <selection activeCell="J14" sqref="J14"/>
      <selection pane="bottomLeft" activeCell="K56" sqref="K56:L56"/>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22</v>
      </c>
      <c r="B11" s="2" t="s">
        <v>24</v>
      </c>
      <c r="C11" s="342" t="str">
        <f>VLOOKUP(A11,PROPONENTES!A10:B46,2,FALSE)</f>
        <v>CONSORCIO PRO_CARING</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3</v>
      </c>
      <c r="J14" s="169">
        <f>+L8</f>
        <v>405.24573153846154</v>
      </c>
      <c r="K14" s="169">
        <f>+E20</f>
        <v>3477.4549999999999</v>
      </c>
      <c r="L14" s="18" t="str">
        <f>IF(K14&gt;=J14,"CUMPLE","NO CUMPLE")</f>
        <v>CUMPLE</v>
      </c>
    </row>
    <row r="15" spans="1:12" ht="66.75" customHeight="1" x14ac:dyDescent="0.25">
      <c r="B15" s="314"/>
      <c r="C15" s="98" t="str">
        <f>IF(VLOOKUP(C11,PROPONENTES!B10:N46,2,FALSE)=0,"",VLOOKUP(C11,PROPONENTES!B10:N46,2,FALSE))</f>
        <v xml:space="preserve">CARING S.A.S </v>
      </c>
      <c r="D15" s="99">
        <f>IF(VLOOKUP(C11,PROPONENTES!B10:N46,3,FALSE)=0,"",VLOOKUP(C11,PROPONENTES!B10:N46,3,FALSE))</f>
        <v>0.5</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219.22199999999998</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xml:space="preserve">PROYECTOS E INTERVENTORÍAS S.A.S </v>
      </c>
      <c r="D16" s="99">
        <f>IF(VLOOKUP(C11,PROPONENTES!B10:N46,5,FALSE)=0,"",VLOOKUP(C11,PROPONENTES!B10:N46,5,FALSE))</f>
        <v>0.5</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3258.2330000000002</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1577.6869999999999</v>
      </c>
      <c r="J16" s="169">
        <f>+L8*0.7</f>
        <v>283.67201207692307</v>
      </c>
      <c r="K16" s="18" t="str">
        <f>IF(I16&gt;=J16,"CUMPLE","NO CUMPLE")</f>
        <v>CUMPLE</v>
      </c>
      <c r="L16" s="305">
        <f>AVERAGEIF(D68:J68,"CUMPLE",D46:J46)</f>
        <v>1159.1516666666666</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3477.4549999999999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266</v>
      </c>
      <c r="E24" s="88" t="s">
        <v>266</v>
      </c>
      <c r="F24" s="88" t="s">
        <v>265</v>
      </c>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438</v>
      </c>
      <c r="E27" s="89" t="s">
        <v>439</v>
      </c>
      <c r="F27" s="89" t="s">
        <v>440</v>
      </c>
      <c r="G27" s="89"/>
      <c r="H27" s="89"/>
      <c r="I27" s="89"/>
      <c r="J27" s="89"/>
      <c r="K27" s="297"/>
      <c r="L27" s="298"/>
    </row>
    <row r="28" spans="2:14" ht="156.75" customHeight="1" x14ac:dyDescent="0.25">
      <c r="B28" s="319"/>
      <c r="C28" s="27" t="s">
        <v>36</v>
      </c>
      <c r="D28" s="89" t="s">
        <v>441</v>
      </c>
      <c r="E28" s="89" t="s">
        <v>442</v>
      </c>
      <c r="F28" s="89" t="s">
        <v>443</v>
      </c>
      <c r="G28" s="89"/>
      <c r="H28" s="89"/>
      <c r="I28" s="89"/>
      <c r="J28" s="89"/>
      <c r="K28" s="297"/>
      <c r="L28" s="298"/>
    </row>
    <row r="29" spans="2:14" ht="52.5" customHeight="1" x14ac:dyDescent="0.25">
      <c r="B29" s="319"/>
      <c r="C29" s="27" t="s">
        <v>165</v>
      </c>
      <c r="D29" s="201">
        <v>42019</v>
      </c>
      <c r="E29" s="201">
        <v>42928</v>
      </c>
      <c r="F29" s="201">
        <v>45041</v>
      </c>
      <c r="G29" s="93"/>
      <c r="H29" s="93"/>
      <c r="I29" s="93"/>
      <c r="J29" s="93"/>
      <c r="K29" s="297"/>
      <c r="L29" s="298"/>
    </row>
    <row r="30" spans="2:14" ht="54.75" customHeight="1" x14ac:dyDescent="0.25">
      <c r="B30" s="319"/>
      <c r="C30" s="27" t="s">
        <v>40</v>
      </c>
      <c r="D30" s="201">
        <v>42730</v>
      </c>
      <c r="E30" s="201">
        <v>44188</v>
      </c>
      <c r="F30" s="201">
        <v>45391</v>
      </c>
      <c r="G30" s="93"/>
      <c r="H30" s="93"/>
      <c r="I30" s="93"/>
      <c r="J30" s="93"/>
      <c r="K30" s="297"/>
      <c r="L30" s="298"/>
    </row>
    <row r="31" spans="2:14" ht="41.25" customHeight="1" x14ac:dyDescent="0.25">
      <c r="B31" s="319"/>
      <c r="C31" s="27" t="s">
        <v>37</v>
      </c>
      <c r="D31" s="90">
        <v>2016</v>
      </c>
      <c r="E31" s="90">
        <v>2020</v>
      </c>
      <c r="F31" s="90">
        <v>2023</v>
      </c>
      <c r="G31" s="90"/>
      <c r="H31" s="90"/>
      <c r="I31" s="90"/>
      <c r="J31" s="90"/>
      <c r="K31" s="297"/>
      <c r="L31" s="298"/>
    </row>
    <row r="32" spans="2:14" ht="63" customHeight="1" x14ac:dyDescent="0.25">
      <c r="B32" s="319"/>
      <c r="C32" s="27" t="s">
        <v>38</v>
      </c>
      <c r="D32" s="89" t="s">
        <v>444</v>
      </c>
      <c r="E32" s="89" t="s">
        <v>445</v>
      </c>
      <c r="F32" s="89" t="s">
        <v>446</v>
      </c>
      <c r="G32" s="89"/>
      <c r="H32" s="89"/>
      <c r="I32" s="89"/>
      <c r="J32" s="89"/>
      <c r="K32" s="297"/>
      <c r="L32" s="298"/>
    </row>
    <row r="33" spans="2:12" ht="46.5" customHeight="1" x14ac:dyDescent="0.25">
      <c r="B33" s="319"/>
      <c r="C33" s="27" t="s">
        <v>39</v>
      </c>
      <c r="D33" s="89" t="s">
        <v>447</v>
      </c>
      <c r="E33" s="89" t="s">
        <v>448</v>
      </c>
      <c r="F33" s="89" t="s">
        <v>449</v>
      </c>
      <c r="G33" s="89"/>
      <c r="H33" s="89"/>
      <c r="I33" s="89"/>
      <c r="J33" s="89"/>
      <c r="K33" s="297"/>
      <c r="L33" s="298"/>
    </row>
    <row r="34" spans="2:12" ht="27.75" customHeight="1" x14ac:dyDescent="0.25">
      <c r="B34" s="319"/>
      <c r="C34" s="28" t="s">
        <v>33</v>
      </c>
      <c r="D34" s="94">
        <v>3</v>
      </c>
      <c r="E34" s="94">
        <v>73</v>
      </c>
      <c r="F34" s="94">
        <v>100</v>
      </c>
      <c r="G34" s="95"/>
      <c r="H34" s="95"/>
      <c r="I34" s="95"/>
      <c r="J34" s="95"/>
      <c r="K34" s="297"/>
      <c r="L34" s="298"/>
    </row>
    <row r="35" spans="2:12" ht="102.75" customHeight="1" x14ac:dyDescent="0.25">
      <c r="B35" s="319"/>
      <c r="C35" s="27" t="s">
        <v>124</v>
      </c>
      <c r="D35" s="91">
        <v>3166.28</v>
      </c>
      <c r="E35" s="187">
        <v>2716.93</v>
      </c>
      <c r="F35" s="91">
        <v>230.76</v>
      </c>
      <c r="G35" s="91"/>
      <c r="H35" s="91"/>
      <c r="I35" s="91"/>
      <c r="J35" s="91"/>
      <c r="K35" s="299"/>
      <c r="L35" s="300"/>
    </row>
    <row r="36" spans="2:12" ht="48" customHeight="1" x14ac:dyDescent="0.25">
      <c r="B36" s="319"/>
      <c r="C36" s="27" t="s">
        <v>72</v>
      </c>
      <c r="D36" s="103">
        <f>IFERROR(D35*VLOOKUP(D31,'DATOS INICIALES'!$A$12:$B$43,2,0),"0")</f>
        <v>2183007577.4000001</v>
      </c>
      <c r="E36" s="103">
        <f>IFERROR(E35*VLOOKUP(E31,'DATOS INICIALES'!$A$12:$B$43,2,0),"0")</f>
        <v>2384929304.79</v>
      </c>
      <c r="F36" s="103">
        <f>IFERROR(F35*VLOOKUP(F31,'DATOS INICIALES'!$A$12:$B$43,2,0),"0")</f>
        <v>267681600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0.6</v>
      </c>
      <c r="E37" s="92">
        <v>0.5</v>
      </c>
      <c r="F37" s="92">
        <v>0.95</v>
      </c>
      <c r="G37" s="92"/>
      <c r="H37" s="92"/>
      <c r="I37" s="92"/>
      <c r="J37" s="92"/>
      <c r="K37" s="297"/>
      <c r="L37" s="298"/>
    </row>
    <row r="38" spans="2:12" ht="48.75" customHeight="1" x14ac:dyDescent="0.25">
      <c r="B38" s="319"/>
      <c r="C38" s="27" t="s">
        <v>131</v>
      </c>
      <c r="D38" s="103">
        <f t="shared" ref="D38:J38" si="0">IF(D24="","0",D37*D36)</f>
        <v>1309804546.4400001</v>
      </c>
      <c r="E38" s="103">
        <f t="shared" si="0"/>
        <v>1192464652.395</v>
      </c>
      <c r="F38" s="103">
        <f t="shared" si="0"/>
        <v>254297520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1899.768</v>
      </c>
      <c r="E39" s="104">
        <f t="shared" si="1"/>
        <v>1358.4649999999999</v>
      </c>
      <c r="F39" s="104">
        <f t="shared" si="1"/>
        <v>219.22199999999998</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1899.768</v>
      </c>
      <c r="E46" s="104">
        <f t="shared" ref="E46:G46" si="6">+E39+E42+E45</f>
        <v>1358.4649999999999</v>
      </c>
      <c r="F46" s="104">
        <f t="shared" si="6"/>
        <v>219.22199999999998</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c r="H47" s="88"/>
      <c r="I47" s="88"/>
      <c r="J47" s="88"/>
      <c r="K47" s="297"/>
      <c r="L47" s="298"/>
    </row>
    <row r="48" spans="2:12" ht="24.75" customHeight="1" x14ac:dyDescent="0.25">
      <c r="B48" s="315" t="s">
        <v>34</v>
      </c>
      <c r="C48" s="29">
        <f>+'DATOS INICIALES'!D22</f>
        <v>81141500</v>
      </c>
      <c r="D48" s="94" t="s">
        <v>75</v>
      </c>
      <c r="E48" s="94" t="s">
        <v>73</v>
      </c>
      <c r="F48" s="94" t="s">
        <v>75</v>
      </c>
      <c r="G48" s="94"/>
      <c r="H48" s="94"/>
      <c r="I48" s="94"/>
      <c r="J48" s="95"/>
      <c r="K48" s="297"/>
      <c r="L48" s="298"/>
    </row>
    <row r="49" spans="2:12" ht="24.75" customHeight="1" x14ac:dyDescent="0.25">
      <c r="B49" s="316"/>
      <c r="C49" s="29">
        <f>+'DATOS INICIALES'!D23</f>
        <v>80101500</v>
      </c>
      <c r="D49" s="94" t="s">
        <v>75</v>
      </c>
      <c r="E49" s="94" t="s">
        <v>73</v>
      </c>
      <c r="F49" s="94" t="s">
        <v>75</v>
      </c>
      <c r="G49" s="94"/>
      <c r="H49" s="94"/>
      <c r="I49" s="94"/>
      <c r="J49" s="95"/>
      <c r="K49" s="297"/>
      <c r="L49" s="298"/>
    </row>
    <row r="50" spans="2:12" ht="24.75" customHeight="1" x14ac:dyDescent="0.25">
      <c r="B50" s="316"/>
      <c r="C50" s="29">
        <f>+'DATOS INICIALES'!D24</f>
        <v>80101600</v>
      </c>
      <c r="D50" s="94" t="s">
        <v>75</v>
      </c>
      <c r="E50" s="94" t="s">
        <v>75</v>
      </c>
      <c r="F50" s="94" t="s">
        <v>75</v>
      </c>
      <c r="G50" s="94"/>
      <c r="H50" s="94"/>
      <c r="I50" s="94"/>
      <c r="J50" s="95"/>
      <c r="K50" s="297"/>
      <c r="L50" s="298"/>
    </row>
    <row r="51" spans="2:12" ht="24.75" customHeight="1" x14ac:dyDescent="0.25">
      <c r="B51" s="316"/>
      <c r="C51" s="29">
        <f>+'DATOS INICIALES'!D25</f>
        <v>81101500</v>
      </c>
      <c r="D51" s="94" t="s">
        <v>75</v>
      </c>
      <c r="E51" s="94" t="s">
        <v>75</v>
      </c>
      <c r="F51" s="94" t="s">
        <v>75</v>
      </c>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14</v>
      </c>
      <c r="G56" s="88"/>
      <c r="H56" s="88"/>
      <c r="I56" s="88"/>
      <c r="J56" s="88"/>
      <c r="K56" s="299"/>
      <c r="L56" s="390"/>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c r="H61" s="88"/>
      <c r="I61" s="88"/>
      <c r="J61" s="88"/>
      <c r="K61" s="297"/>
      <c r="L61" s="298"/>
    </row>
    <row r="62" spans="2:12" ht="45" customHeight="1" x14ac:dyDescent="0.25">
      <c r="B62" s="290" t="s">
        <v>207</v>
      </c>
      <c r="C62" s="291"/>
      <c r="D62" s="88" t="s">
        <v>14</v>
      </c>
      <c r="E62" s="88" t="s">
        <v>14</v>
      </c>
      <c r="F62" s="88" t="s">
        <v>14</v>
      </c>
      <c r="G62" s="88"/>
      <c r="H62" s="88"/>
      <c r="I62" s="88"/>
      <c r="J62" s="88"/>
      <c r="K62" s="297"/>
      <c r="L62" s="298"/>
    </row>
    <row r="63" spans="2:12" ht="181.5" customHeight="1" x14ac:dyDescent="0.25">
      <c r="B63" s="290" t="s">
        <v>218</v>
      </c>
      <c r="C63" s="291"/>
      <c r="D63" s="88" t="s">
        <v>13</v>
      </c>
      <c r="E63" s="88" t="s">
        <v>13</v>
      </c>
      <c r="F63" s="88" t="s">
        <v>13</v>
      </c>
      <c r="G63" s="88"/>
      <c r="H63" s="88"/>
      <c r="I63" s="88"/>
      <c r="J63" s="88"/>
      <c r="K63" s="297"/>
      <c r="L63" s="298"/>
    </row>
    <row r="64" spans="2:12" ht="336" customHeight="1" x14ac:dyDescent="0.25">
      <c r="B64" s="242" t="s">
        <v>220</v>
      </c>
      <c r="C64" s="242"/>
      <c r="D64" s="88" t="s">
        <v>14</v>
      </c>
      <c r="E64" s="88" t="s">
        <v>14</v>
      </c>
      <c r="F64" s="88" t="s">
        <v>14</v>
      </c>
      <c r="G64" s="88"/>
      <c r="H64" s="88"/>
      <c r="I64" s="88"/>
      <c r="J64" s="88"/>
      <c r="K64" s="299"/>
      <c r="L64" s="300"/>
    </row>
    <row r="65" spans="2:12" ht="143.25" customHeight="1" x14ac:dyDescent="0.25">
      <c r="B65" s="293" t="s">
        <v>221</v>
      </c>
      <c r="C65" s="294"/>
      <c r="D65" s="88" t="s">
        <v>13</v>
      </c>
      <c r="E65" s="88" t="s">
        <v>13</v>
      </c>
      <c r="F65" s="88" t="s">
        <v>13</v>
      </c>
      <c r="G65" s="88"/>
      <c r="H65" s="88"/>
      <c r="I65" s="88"/>
      <c r="J65" s="88"/>
      <c r="K65" s="297"/>
      <c r="L65" s="298"/>
    </row>
    <row r="66" spans="2:12" ht="408.75" customHeight="1" x14ac:dyDescent="0.25">
      <c r="B66" s="292" t="s">
        <v>208</v>
      </c>
      <c r="C66" s="292"/>
      <c r="D66" s="88" t="s">
        <v>13</v>
      </c>
      <c r="E66" s="88" t="s">
        <v>13</v>
      </c>
      <c r="F66" s="88" t="s">
        <v>13</v>
      </c>
      <c r="G66" s="88"/>
      <c r="H66" s="88"/>
      <c r="I66" s="88"/>
      <c r="J66" s="88"/>
      <c r="K66" s="297"/>
      <c r="L66" s="298"/>
    </row>
    <row r="67" spans="2:12" ht="312.75" customHeight="1" x14ac:dyDescent="0.25">
      <c r="B67" s="242" t="s">
        <v>209</v>
      </c>
      <c r="C67" s="242"/>
      <c r="D67" s="88" t="s">
        <v>14</v>
      </c>
      <c r="E67" s="88" t="s">
        <v>14</v>
      </c>
      <c r="F67" s="88" t="s">
        <v>14</v>
      </c>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CUMPLE</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c r="E69" s="88" t="s">
        <v>14</v>
      </c>
      <c r="F69" s="88" t="s">
        <v>14</v>
      </c>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B67:C67"/>
    <mergeCell ref="B68:C68"/>
    <mergeCell ref="B69:C69"/>
    <mergeCell ref="K69:L69"/>
    <mergeCell ref="B71:E71"/>
    <mergeCell ref="K66:L66"/>
    <mergeCell ref="K67:L67"/>
    <mergeCell ref="B63:C63"/>
    <mergeCell ref="B64:C64"/>
    <mergeCell ref="B65:C65"/>
    <mergeCell ref="K63:L63"/>
    <mergeCell ref="K64:L64"/>
    <mergeCell ref="K65:L65"/>
    <mergeCell ref="B60:C60"/>
    <mergeCell ref="B61:C61"/>
    <mergeCell ref="B62:C62"/>
    <mergeCell ref="K60:L60"/>
    <mergeCell ref="K61:L61"/>
    <mergeCell ref="K62:L62"/>
    <mergeCell ref="B57:C57"/>
    <mergeCell ref="B58:C58"/>
    <mergeCell ref="B59:C59"/>
    <mergeCell ref="K57:L57"/>
    <mergeCell ref="K58:L58"/>
    <mergeCell ref="K59:L59"/>
    <mergeCell ref="K53:L53"/>
    <mergeCell ref="K54:L54"/>
    <mergeCell ref="K55:L55"/>
    <mergeCell ref="B56:C56"/>
    <mergeCell ref="B48:B55"/>
    <mergeCell ref="K48:L48"/>
    <mergeCell ref="K49:L49"/>
    <mergeCell ref="K50:L50"/>
    <mergeCell ref="K51:L51"/>
    <mergeCell ref="K56:L56"/>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932" priority="20">
      <formula>LEN(TRIM(D73))=0</formula>
    </cfRule>
    <cfRule type="notContainsErrors" dxfId="931" priority="21">
      <formula>NOT(ISERROR(D73))</formula>
    </cfRule>
    <cfRule type="cellIs" dxfId="930" priority="22" operator="equal">
      <formula>"NO CUMPLE"</formula>
    </cfRule>
    <cfRule type="cellIs" dxfId="929" priority="23" operator="equal">
      <formula>"CUMPLE"</formula>
    </cfRule>
  </conditionalFormatting>
  <conditionalFormatting sqref="D74">
    <cfRule type="cellIs" dxfId="928" priority="24" operator="equal">
      <formula>"N/A"</formula>
    </cfRule>
    <cfRule type="cellIs" dxfId="927" priority="25" operator="equal">
      <formula>"CUMPLE"</formula>
    </cfRule>
    <cfRule type="cellIs" dxfId="926" priority="26" operator="equal">
      <formula>"NO CUMPLE"</formula>
    </cfRule>
    <cfRule type="cellIs" dxfId="925" priority="27" operator="equal">
      <formula>"""CUMPLE"""</formula>
    </cfRule>
  </conditionalFormatting>
  <conditionalFormatting sqref="D25:J35">
    <cfRule type="containsBlanks" dxfId="924" priority="42">
      <formula>LEN(TRIM(D25))=0</formula>
    </cfRule>
    <cfRule type="notContainsErrors" dxfId="923" priority="43">
      <formula>NOT(ISERROR(D25))</formula>
    </cfRule>
  </conditionalFormatting>
  <conditionalFormatting sqref="D34:J34 D24:K24 D37:J37 D40:J40 D43:J43 K68:L68">
    <cfRule type="containsBlanks" dxfId="922" priority="44">
      <formula>LEN(TRIM(D24))=0</formula>
    </cfRule>
  </conditionalFormatting>
  <conditionalFormatting sqref="D47:J54">
    <cfRule type="cellIs" dxfId="921" priority="7" operator="equal">
      <formula>"NO CUMPLE"</formula>
    </cfRule>
    <cfRule type="cellIs" dxfId="920" priority="8" operator="equal">
      <formula>"CUMPLE"</formula>
    </cfRule>
    <cfRule type="containsBlanks" dxfId="919" priority="9">
      <formula>LEN(TRIM(D47))=0</formula>
    </cfRule>
    <cfRule type="notContainsErrors" dxfId="918" priority="10">
      <formula>NOT(ISERROR(D47))</formula>
    </cfRule>
  </conditionalFormatting>
  <conditionalFormatting sqref="D55:J55">
    <cfRule type="cellIs" dxfId="917" priority="53" operator="equal">
      <formula>"""CUMPLE"""</formula>
    </cfRule>
    <cfRule type="cellIs" dxfId="916" priority="52" operator="equal">
      <formula>"NO CUMPLE"</formula>
    </cfRule>
    <cfRule type="cellIs" dxfId="915" priority="51" operator="equal">
      <formula>"CUMPLE"</formula>
    </cfRule>
    <cfRule type="cellIs" dxfId="914" priority="50" operator="equal">
      <formula>"N/A"</formula>
    </cfRule>
  </conditionalFormatting>
  <conditionalFormatting sqref="D56:J67">
    <cfRule type="cellIs" dxfId="913" priority="2" operator="equal">
      <formula>"CUMPLE"</formula>
    </cfRule>
    <cfRule type="containsBlanks" dxfId="912" priority="3">
      <formula>LEN(TRIM(D56))=0</formula>
    </cfRule>
    <cfRule type="notContainsErrors" dxfId="911" priority="4">
      <formula>NOT(ISERROR(D56))</formula>
    </cfRule>
    <cfRule type="cellIs" dxfId="910" priority="1" operator="equal">
      <formula>"NO CUMPLE"</formula>
    </cfRule>
  </conditionalFormatting>
  <conditionalFormatting sqref="D61:J67">
    <cfRule type="containsBlanks" dxfId="909" priority="5">
      <formula>LEN(TRIM(D61))=0</formula>
    </cfRule>
    <cfRule type="notContainsErrors" dxfId="908" priority="6">
      <formula>NOT(ISERROR(D61))</formula>
    </cfRule>
  </conditionalFormatting>
  <conditionalFormatting sqref="D68:J68">
    <cfRule type="cellIs" dxfId="907" priority="46" operator="equal">
      <formula>"N/A"</formula>
    </cfRule>
    <cfRule type="cellIs" dxfId="906" priority="47" operator="equal">
      <formula>"CUMPLE"</formula>
    </cfRule>
    <cfRule type="cellIs" dxfId="905" priority="48" operator="equal">
      <formula>"NO CUMPLE"</formula>
    </cfRule>
    <cfRule type="cellIs" dxfId="904" priority="49" operator="equal">
      <formula>"""CUMPLE"""</formula>
    </cfRule>
  </conditionalFormatting>
  <conditionalFormatting sqref="D69:J69">
    <cfRule type="cellIs" dxfId="903" priority="15" operator="equal">
      <formula>"CUMPLE"</formula>
    </cfRule>
    <cfRule type="cellIs" dxfId="902" priority="14" operator="equal">
      <formula>"NO CUMPLE"</formula>
    </cfRule>
  </conditionalFormatting>
  <conditionalFormatting sqref="D24:K24 D34:J34 D37:J37 D40:J40 D43:J43 K68:L68">
    <cfRule type="notContainsErrors" dxfId="901" priority="45">
      <formula>NOT(ISERROR(D24))</formula>
    </cfRule>
  </conditionalFormatting>
  <conditionalFormatting sqref="D69:K69">
    <cfRule type="notContainsErrors" dxfId="900" priority="17">
      <formula>NOT(ISERROR(D69))</formula>
    </cfRule>
    <cfRule type="containsBlanks" dxfId="899" priority="16">
      <formula>LEN(TRIM(D69))=0</formula>
    </cfRule>
  </conditionalFormatting>
  <conditionalFormatting sqref="E73:E74">
    <cfRule type="notContainsErrors" dxfId="898" priority="19">
      <formula>NOT(ISERROR(E73))</formula>
    </cfRule>
    <cfRule type="containsBlanks" dxfId="897" priority="18">
      <formula>LEN(TRIM(E73))=0</formula>
    </cfRule>
  </conditionalFormatting>
  <conditionalFormatting sqref="F20:H20">
    <cfRule type="cellIs" dxfId="896" priority="57" operator="equal">
      <formula>"CUMPLE"</formula>
    </cfRule>
    <cfRule type="cellIs" dxfId="895" priority="58" operator="equal">
      <formula>"NO CUMPLE"</formula>
    </cfRule>
    <cfRule type="cellIs" dxfId="894" priority="59" operator="equal">
      <formula>"""CUMPLE"""</formula>
    </cfRule>
  </conditionalFormatting>
  <conditionalFormatting sqref="I11">
    <cfRule type="containsText" dxfId="893" priority="60" operator="containsText" text="INHABILITADO">
      <formula>NOT(ISERROR(SEARCH("INHABILITADO",I11)))</formula>
    </cfRule>
    <cfRule type="containsText" dxfId="892" priority="61" operator="containsText" text="HABILITADO">
      <formula>NOT(ISERROR(SEARCH("HABILITADO",I11)))</formula>
    </cfRule>
    <cfRule type="containsText" dxfId="891" priority="62" operator="containsText" text="HABILITADO">
      <formula>NOT(ISERROR(SEARCH("HABILITADO",I11)))</formula>
    </cfRule>
    <cfRule type="containsText" dxfId="890" priority="63" operator="containsText" text="NO CUMPLE">
      <formula>NOT(ISERROR(SEARCH("NO CUMPLE",I11)))</formula>
    </cfRule>
  </conditionalFormatting>
  <conditionalFormatting sqref="J20">
    <cfRule type="cellIs" dxfId="889" priority="38" operator="equal">
      <formula>"NO"</formula>
    </cfRule>
    <cfRule type="cellIs" dxfId="888" priority="39" operator="equal">
      <formula>"SI"</formula>
    </cfRule>
  </conditionalFormatting>
  <conditionalFormatting sqref="K16">
    <cfRule type="cellIs" dxfId="887" priority="11" operator="equal">
      <formula>"CUMPLE"</formula>
    </cfRule>
    <cfRule type="cellIs" dxfId="886" priority="12" operator="equal">
      <formula>"NO CUMPLE"</formula>
    </cfRule>
    <cfRule type="cellIs" dxfId="885" priority="13" operator="equal">
      <formula>"""CUMPLE"""</formula>
    </cfRule>
  </conditionalFormatting>
  <conditionalFormatting sqref="K25:K67">
    <cfRule type="notContainsErrors" dxfId="884" priority="29">
      <formula>NOT(ISERROR(K25))</formula>
    </cfRule>
    <cfRule type="containsBlanks" dxfId="883" priority="28">
      <formula>LEN(TRIM(K25))=0</formula>
    </cfRule>
  </conditionalFormatting>
  <conditionalFormatting sqref="L14">
    <cfRule type="cellIs" dxfId="882" priority="54" operator="equal">
      <formula>"CUMPLE"</formula>
    </cfRule>
    <cfRule type="cellIs" dxfId="881" priority="55" operator="equal">
      <formula>"NO CUMPLE"</formula>
    </cfRule>
    <cfRule type="cellIs" dxfId="880" priority="56" operator="equal">
      <formula>"""CUMPLE"""</formula>
    </cfRule>
  </conditionalFormatting>
  <conditionalFormatting sqref="L20">
    <cfRule type="cellIs" dxfId="879" priority="36" operator="equal">
      <formula>"NO"</formula>
    </cfRule>
    <cfRule type="cellIs" dxfId="878" priority="37" operator="equal">
      <formula>"SI"</formula>
    </cfRule>
  </conditionalFormatting>
  <dataValidations count="4">
    <dataValidation type="list" allowBlank="1" showInputMessage="1" showErrorMessage="1" sqref="J48:J53" xr:uid="{C0EB88A0-B518-4F40-8FE4-873ACB79BC04}">
      <formula1>$C$45:$C$46</formula1>
    </dataValidation>
    <dataValidation type="list" allowBlank="1" showInputMessage="1" showErrorMessage="1" sqref="D73" xr:uid="{FADEDF1F-A548-49E2-89C8-ECE59B72E2C1}">
      <formula1>$A$50:$A$52</formula1>
    </dataValidation>
    <dataValidation type="list" allowBlank="1" showInputMessage="1" showErrorMessage="1" sqref="L61:L69" xr:uid="{57DE67E6-E810-410D-9C44-57A399460CC9}">
      <formula1>"0,1,2,3,4,5,6"</formula1>
    </dataValidation>
    <dataValidation type="list" allowBlank="1" showInputMessage="1" showErrorMessage="1" sqref="D24:J26" xr:uid="{25BD9CA6-8F5C-4942-A962-483260E2F1F7}">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3560485F-5702-44CB-B9A6-B392EA41C7FE}">
          <x14:formula1>
            <xm:f>'DATOS INICIALES'!$C$45:$C$46</xm:f>
          </x14:formula1>
          <xm:sqref>D48:I54</xm:sqref>
        </x14:dataValidation>
        <x14:dataValidation type="list" allowBlank="1" showInputMessage="1" showErrorMessage="1" xr:uid="{618DD766-176F-4746-A019-85FE51E798AB}">
          <x14:formula1>
            <xm:f>'DATOS INICIALES'!$A$50:$A$52</xm:f>
          </x14:formula1>
          <xm:sqref>D56:J67</xm:sqref>
        </x14:dataValidation>
        <x14:dataValidation type="list" allowBlank="1" showInputMessage="1" showErrorMessage="1" xr:uid="{638BE4D5-41DF-455A-B96A-9FE70C9B6E61}">
          <x14:formula1>
            <xm:f>'DATOS INICIALES'!$A$54:$A$59</xm:f>
          </x14:formula1>
          <xm:sqref>D23:I23</xm:sqref>
        </x14:dataValidation>
        <x14:dataValidation type="list" allowBlank="1" showInputMessage="1" showErrorMessage="1" xr:uid="{C03025BC-66B6-4B4E-A2A3-C54FB3BABF8B}">
          <x14:formula1>
            <xm:f>'DATOS INICIALES'!$D$22:$D$26</xm:f>
          </x14:formula1>
          <xm:sqref>M48:M55</xm:sqref>
        </x14:dataValidation>
        <x14:dataValidation type="list" allowBlank="1" showInputMessage="1" showErrorMessage="1" xr:uid="{E379EE4E-5929-44B3-86B1-30317BCC4F45}">
          <x14:formula1>
            <xm:f>'DATOS INICIALES'!$A$13:$A$43</xm:f>
          </x14:formula1>
          <xm:sqref>D31:I31</xm:sqref>
        </x14:dataValidation>
        <x14:dataValidation type="list" allowBlank="1" showInputMessage="1" showErrorMessage="1" xr:uid="{E0D14230-3B2D-4E08-A584-4A2EE6CC9B46}">
          <x14:formula1>
            <xm:f>'DATOS INICIALES'!$A$50:$A$51</xm:f>
          </x14:formula1>
          <xm:sqref>D69:J69 D47:J47</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74"/>
  <sheetViews>
    <sheetView view="pageBreakPreview" zoomScale="40" zoomScaleNormal="55" zoomScaleSheetLayoutView="40" workbookViewId="0">
      <pane ySplit="11" topLeftCell="A27" activePane="bottomLeft" state="frozenSplit"/>
      <selection activeCell="D56" sqref="D56:J67"/>
      <selection pane="bottomLeft" activeCell="E28" sqref="E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23</v>
      </c>
      <c r="B11" s="2" t="s">
        <v>24</v>
      </c>
      <c r="C11" s="342" t="str">
        <f>VLOOKUP(A11,PROPONENTES!A10:B46,2,FALSE)</f>
        <v xml:space="preserve"> SOLUCIONES PARA LA INGENIERÍA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1657.4499999999998</v>
      </c>
      <c r="L14" s="18" t="str">
        <f>IF(K14&gt;=J14,"CUMPLE","NO CUMPLE")</f>
        <v>CUMPLE</v>
      </c>
    </row>
    <row r="15" spans="1:12" ht="66.75" customHeight="1" x14ac:dyDescent="0.25">
      <c r="B15" s="314"/>
      <c r="C15" s="98" t="str">
        <f>IF(VLOOKUP(C11,PROPONENTES!B10:N46,2,FALSE)=0,"",VLOOKUP(C11,PROPONENTES!B10:N46,2,FALSE))</f>
        <v xml:space="preserve"> SOLUCIONES PARA LA INGENIERÍA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1657.4499999999998</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1657.4499999999998</v>
      </c>
      <c r="J16" s="169">
        <f>+L8*0.7</f>
        <v>283.67201207692307</v>
      </c>
      <c r="K16" s="18" t="str">
        <f>IF(I16&gt;=J16,"CUMPLE","NO CUMPLE")</f>
        <v>CUMPLE</v>
      </c>
      <c r="L16" s="305">
        <f>AVERAGEIF(D68:J68,"CUMPLE",D46:J46)</f>
        <v>828.72499999999991</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1657.4499999999998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267</v>
      </c>
      <c r="E24" s="88" t="s">
        <v>267</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450</v>
      </c>
      <c r="E27" s="89" t="s">
        <v>451</v>
      </c>
      <c r="F27" s="89"/>
      <c r="G27" s="89"/>
      <c r="H27" s="89"/>
      <c r="I27" s="89"/>
      <c r="J27" s="89"/>
      <c r="K27" s="297"/>
      <c r="L27" s="298"/>
    </row>
    <row r="28" spans="2:14" ht="156.75" customHeight="1" x14ac:dyDescent="0.25">
      <c r="B28" s="319"/>
      <c r="C28" s="27" t="s">
        <v>36</v>
      </c>
      <c r="D28" s="89" t="s">
        <v>452</v>
      </c>
      <c r="E28" s="89" t="s">
        <v>453</v>
      </c>
      <c r="F28" s="89"/>
      <c r="G28" s="89"/>
      <c r="H28" s="89"/>
      <c r="I28" s="89"/>
      <c r="J28" s="89"/>
      <c r="K28" s="297"/>
      <c r="L28" s="298"/>
    </row>
    <row r="29" spans="2:14" ht="52.5" customHeight="1" x14ac:dyDescent="0.25">
      <c r="B29" s="319"/>
      <c r="C29" s="27" t="s">
        <v>165</v>
      </c>
      <c r="D29" s="93">
        <v>43003</v>
      </c>
      <c r="E29" s="93">
        <v>43900</v>
      </c>
      <c r="F29" s="93"/>
      <c r="G29" s="93"/>
      <c r="H29" s="93"/>
      <c r="I29" s="93"/>
      <c r="J29" s="93"/>
      <c r="K29" s="297"/>
      <c r="L29" s="298"/>
    </row>
    <row r="30" spans="2:14" ht="54.75" customHeight="1" x14ac:dyDescent="0.25">
      <c r="B30" s="319"/>
      <c r="C30" s="27" t="s">
        <v>40</v>
      </c>
      <c r="D30" s="93">
        <v>43521</v>
      </c>
      <c r="E30" s="93">
        <v>44365</v>
      </c>
      <c r="F30" s="93"/>
      <c r="G30" s="93"/>
      <c r="H30" s="93"/>
      <c r="I30" s="93"/>
      <c r="J30" s="93"/>
      <c r="K30" s="297"/>
      <c r="L30" s="298"/>
    </row>
    <row r="31" spans="2:14" ht="41.25" customHeight="1" x14ac:dyDescent="0.25">
      <c r="B31" s="319"/>
      <c r="C31" s="27" t="s">
        <v>37</v>
      </c>
      <c r="D31" s="90">
        <v>2019</v>
      </c>
      <c r="E31" s="90">
        <v>2021</v>
      </c>
      <c r="F31" s="90"/>
      <c r="G31" s="90"/>
      <c r="H31" s="90"/>
      <c r="I31" s="90"/>
      <c r="J31" s="90"/>
      <c r="K31" s="297"/>
      <c r="L31" s="298"/>
    </row>
    <row r="32" spans="2:14" ht="63" customHeight="1" x14ac:dyDescent="0.25">
      <c r="B32" s="319"/>
      <c r="C32" s="27" t="s">
        <v>38</v>
      </c>
      <c r="D32" s="89" t="s">
        <v>454</v>
      </c>
      <c r="E32" s="89" t="s">
        <v>455</v>
      </c>
      <c r="F32" s="89"/>
      <c r="G32" s="89"/>
      <c r="H32" s="89"/>
      <c r="I32" s="89"/>
      <c r="J32" s="89"/>
      <c r="K32" s="297"/>
      <c r="L32" s="298"/>
    </row>
    <row r="33" spans="2:12" ht="46.5" customHeight="1" x14ac:dyDescent="0.25">
      <c r="B33" s="319"/>
      <c r="C33" s="27" t="s">
        <v>39</v>
      </c>
      <c r="D33" s="89" t="s">
        <v>456</v>
      </c>
      <c r="E33" s="89" t="s">
        <v>457</v>
      </c>
      <c r="F33" s="89"/>
      <c r="G33" s="89"/>
      <c r="H33" s="89"/>
      <c r="I33" s="89"/>
      <c r="J33" s="89"/>
      <c r="K33" s="297"/>
      <c r="L33" s="298"/>
    </row>
    <row r="34" spans="2:12" ht="27.75" customHeight="1" x14ac:dyDescent="0.25">
      <c r="B34" s="319"/>
      <c r="C34" s="28" t="s">
        <v>33</v>
      </c>
      <c r="D34" s="94">
        <v>8</v>
      </c>
      <c r="E34" s="94">
        <v>13</v>
      </c>
      <c r="F34" s="94"/>
      <c r="G34" s="95"/>
      <c r="H34" s="95"/>
      <c r="I34" s="95"/>
      <c r="J34" s="95"/>
      <c r="K34" s="297"/>
      <c r="L34" s="298"/>
    </row>
    <row r="35" spans="2:12" ht="102.75" customHeight="1" x14ac:dyDescent="0.25">
      <c r="B35" s="319"/>
      <c r="C35" s="27" t="s">
        <v>124</v>
      </c>
      <c r="D35" s="91">
        <v>1421.6</v>
      </c>
      <c r="E35" s="187">
        <v>235.85</v>
      </c>
      <c r="F35" s="91"/>
      <c r="G35" s="91"/>
      <c r="H35" s="91"/>
      <c r="I35" s="91"/>
      <c r="J35" s="91"/>
      <c r="K35" s="299"/>
      <c r="L35" s="300"/>
    </row>
    <row r="36" spans="2:12" ht="48" customHeight="1" x14ac:dyDescent="0.25">
      <c r="B36" s="319"/>
      <c r="C36" s="27" t="s">
        <v>72</v>
      </c>
      <c r="D36" s="103">
        <f>IFERROR(D35*VLOOKUP(D31,'DATOS INICIALES'!$A$12:$B$43,2,0),"0")</f>
        <v>1177249705.5999999</v>
      </c>
      <c r="E36" s="103">
        <f>IFERROR(E35*VLOOKUP(E31,'DATOS INICIALES'!$A$12:$B$43,2,0),"0")</f>
        <v>214275857.09999999</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c r="G37" s="92"/>
      <c r="H37" s="92"/>
      <c r="I37" s="92"/>
      <c r="J37" s="92"/>
      <c r="K37" s="297"/>
      <c r="L37" s="298"/>
    </row>
    <row r="38" spans="2:12" ht="48.75" customHeight="1" x14ac:dyDescent="0.25">
      <c r="B38" s="319"/>
      <c r="C38" s="27" t="s">
        <v>131</v>
      </c>
      <c r="D38" s="103">
        <f t="shared" ref="D38:J38" si="0">IF(D24="","0",D37*D36)</f>
        <v>1177249705.5999999</v>
      </c>
      <c r="E38" s="103">
        <f t="shared" si="0"/>
        <v>214275857.09999999</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1421.6</v>
      </c>
      <c r="E39" s="104">
        <f t="shared" si="1"/>
        <v>235.85</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1421.6</v>
      </c>
      <c r="E46" s="104">
        <f t="shared" ref="E46:G46" si="6">+E39+E42+E45</f>
        <v>235.85</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73</v>
      </c>
      <c r="F48" s="94"/>
      <c r="G48" s="94"/>
      <c r="H48" s="94"/>
      <c r="I48" s="94"/>
      <c r="J48" s="95"/>
      <c r="K48" s="297"/>
      <c r="L48" s="298"/>
    </row>
    <row r="49" spans="2:12" ht="24.75" customHeight="1" x14ac:dyDescent="0.25">
      <c r="B49" s="316"/>
      <c r="C49" s="29">
        <f>+'DATOS INICIALES'!D23</f>
        <v>80101500</v>
      </c>
      <c r="D49" s="94" t="s">
        <v>75</v>
      </c>
      <c r="E49" s="94" t="s">
        <v>75</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877" priority="20">
      <formula>LEN(TRIM(D73))=0</formula>
    </cfRule>
    <cfRule type="notContainsErrors" dxfId="876" priority="21">
      <formula>NOT(ISERROR(D73))</formula>
    </cfRule>
    <cfRule type="cellIs" dxfId="875" priority="22" operator="equal">
      <formula>"NO CUMPLE"</formula>
    </cfRule>
    <cfRule type="cellIs" dxfId="874" priority="23" operator="equal">
      <formula>"CUMPLE"</formula>
    </cfRule>
  </conditionalFormatting>
  <conditionalFormatting sqref="D74">
    <cfRule type="cellIs" dxfId="873" priority="24" operator="equal">
      <formula>"N/A"</formula>
    </cfRule>
    <cfRule type="cellIs" dxfId="872" priority="25" operator="equal">
      <formula>"CUMPLE"</formula>
    </cfRule>
    <cfRule type="cellIs" dxfId="871" priority="26" operator="equal">
      <formula>"NO CUMPLE"</formula>
    </cfRule>
    <cfRule type="cellIs" dxfId="870" priority="27" operator="equal">
      <formula>"""CUMPLE"""</formula>
    </cfRule>
  </conditionalFormatting>
  <conditionalFormatting sqref="D25:J35">
    <cfRule type="containsBlanks" dxfId="869" priority="42">
      <formula>LEN(TRIM(D25))=0</formula>
    </cfRule>
    <cfRule type="notContainsErrors" dxfId="868" priority="43">
      <formula>NOT(ISERROR(D25))</formula>
    </cfRule>
  </conditionalFormatting>
  <conditionalFormatting sqref="D34:J34 D24:K24 D37:J37 D40:J40 D43:J43 K68:L68">
    <cfRule type="containsBlanks" dxfId="867" priority="44">
      <formula>LEN(TRIM(D24))=0</formula>
    </cfRule>
  </conditionalFormatting>
  <conditionalFormatting sqref="D47:J54">
    <cfRule type="cellIs" dxfId="866" priority="7" operator="equal">
      <formula>"NO CUMPLE"</formula>
    </cfRule>
    <cfRule type="cellIs" dxfId="865" priority="8" operator="equal">
      <formula>"CUMPLE"</formula>
    </cfRule>
    <cfRule type="containsBlanks" dxfId="864" priority="9">
      <formula>LEN(TRIM(D47))=0</formula>
    </cfRule>
    <cfRule type="notContainsErrors" dxfId="863" priority="10">
      <formula>NOT(ISERROR(D47))</formula>
    </cfRule>
  </conditionalFormatting>
  <conditionalFormatting sqref="D55:J55">
    <cfRule type="cellIs" dxfId="862" priority="53" operator="equal">
      <formula>"""CUMPLE"""</formula>
    </cfRule>
    <cfRule type="cellIs" dxfId="861" priority="52" operator="equal">
      <formula>"NO CUMPLE"</formula>
    </cfRule>
    <cfRule type="cellIs" dxfId="860" priority="51" operator="equal">
      <formula>"CUMPLE"</formula>
    </cfRule>
    <cfRule type="cellIs" dxfId="859" priority="50" operator="equal">
      <formula>"N/A"</formula>
    </cfRule>
  </conditionalFormatting>
  <conditionalFormatting sqref="D56:J67">
    <cfRule type="cellIs" dxfId="858" priority="2" operator="equal">
      <formula>"CUMPLE"</formula>
    </cfRule>
    <cfRule type="containsBlanks" dxfId="857" priority="3">
      <formula>LEN(TRIM(D56))=0</formula>
    </cfRule>
    <cfRule type="notContainsErrors" dxfId="856" priority="4">
      <formula>NOT(ISERROR(D56))</formula>
    </cfRule>
    <cfRule type="cellIs" dxfId="855" priority="1" operator="equal">
      <formula>"NO CUMPLE"</formula>
    </cfRule>
  </conditionalFormatting>
  <conditionalFormatting sqref="D61:J67">
    <cfRule type="containsBlanks" dxfId="854" priority="5">
      <formula>LEN(TRIM(D61))=0</formula>
    </cfRule>
    <cfRule type="notContainsErrors" dxfId="853" priority="6">
      <formula>NOT(ISERROR(D61))</formula>
    </cfRule>
  </conditionalFormatting>
  <conditionalFormatting sqref="D68:J68">
    <cfRule type="cellIs" dxfId="852" priority="46" operator="equal">
      <formula>"N/A"</formula>
    </cfRule>
    <cfRule type="cellIs" dxfId="851" priority="47" operator="equal">
      <formula>"CUMPLE"</formula>
    </cfRule>
    <cfRule type="cellIs" dxfId="850" priority="48" operator="equal">
      <formula>"NO CUMPLE"</formula>
    </cfRule>
    <cfRule type="cellIs" dxfId="849" priority="49" operator="equal">
      <formula>"""CUMPLE"""</formula>
    </cfRule>
  </conditionalFormatting>
  <conditionalFormatting sqref="D69:J69">
    <cfRule type="cellIs" dxfId="848" priority="15" operator="equal">
      <formula>"CUMPLE"</formula>
    </cfRule>
    <cfRule type="cellIs" dxfId="847" priority="14" operator="equal">
      <formula>"NO CUMPLE"</formula>
    </cfRule>
  </conditionalFormatting>
  <conditionalFormatting sqref="D24:K24 D34:J34 D37:J37 D40:J40 D43:J43 K68:L68">
    <cfRule type="notContainsErrors" dxfId="846" priority="45">
      <formula>NOT(ISERROR(D24))</formula>
    </cfRule>
  </conditionalFormatting>
  <conditionalFormatting sqref="D69:K69">
    <cfRule type="notContainsErrors" dxfId="845" priority="17">
      <formula>NOT(ISERROR(D69))</formula>
    </cfRule>
    <cfRule type="containsBlanks" dxfId="844" priority="16">
      <formula>LEN(TRIM(D69))=0</formula>
    </cfRule>
  </conditionalFormatting>
  <conditionalFormatting sqref="E73:E74">
    <cfRule type="notContainsErrors" dxfId="843" priority="19">
      <formula>NOT(ISERROR(E73))</formula>
    </cfRule>
    <cfRule type="containsBlanks" dxfId="842" priority="18">
      <formula>LEN(TRIM(E73))=0</formula>
    </cfRule>
  </conditionalFormatting>
  <conditionalFormatting sqref="F20:H20">
    <cfRule type="cellIs" dxfId="841" priority="57" operator="equal">
      <formula>"CUMPLE"</formula>
    </cfRule>
    <cfRule type="cellIs" dxfId="840" priority="58" operator="equal">
      <formula>"NO CUMPLE"</formula>
    </cfRule>
    <cfRule type="cellIs" dxfId="839" priority="59" operator="equal">
      <formula>"""CUMPLE"""</formula>
    </cfRule>
  </conditionalFormatting>
  <conditionalFormatting sqref="I11">
    <cfRule type="containsText" dxfId="838" priority="60" operator="containsText" text="INHABILITADO">
      <formula>NOT(ISERROR(SEARCH("INHABILITADO",I11)))</formula>
    </cfRule>
    <cfRule type="containsText" dxfId="837" priority="61" operator="containsText" text="HABILITADO">
      <formula>NOT(ISERROR(SEARCH("HABILITADO",I11)))</formula>
    </cfRule>
    <cfRule type="containsText" dxfId="836" priority="62" operator="containsText" text="HABILITADO">
      <formula>NOT(ISERROR(SEARCH("HABILITADO",I11)))</formula>
    </cfRule>
    <cfRule type="containsText" dxfId="835" priority="63" operator="containsText" text="NO CUMPLE">
      <formula>NOT(ISERROR(SEARCH("NO CUMPLE",I11)))</formula>
    </cfRule>
  </conditionalFormatting>
  <conditionalFormatting sqref="J20">
    <cfRule type="cellIs" dxfId="834" priority="38" operator="equal">
      <formula>"NO"</formula>
    </cfRule>
    <cfRule type="cellIs" dxfId="833" priority="39" operator="equal">
      <formula>"SI"</formula>
    </cfRule>
  </conditionalFormatting>
  <conditionalFormatting sqref="K16">
    <cfRule type="cellIs" dxfId="832" priority="11" operator="equal">
      <formula>"CUMPLE"</formula>
    </cfRule>
    <cfRule type="cellIs" dxfId="831" priority="12" operator="equal">
      <formula>"NO CUMPLE"</formula>
    </cfRule>
    <cfRule type="cellIs" dxfId="830" priority="13" operator="equal">
      <formula>"""CUMPLE"""</formula>
    </cfRule>
  </conditionalFormatting>
  <conditionalFormatting sqref="K25:K67">
    <cfRule type="notContainsErrors" dxfId="829" priority="29">
      <formula>NOT(ISERROR(K25))</formula>
    </cfRule>
    <cfRule type="containsBlanks" dxfId="828" priority="28">
      <formula>LEN(TRIM(K25))=0</formula>
    </cfRule>
  </conditionalFormatting>
  <conditionalFormatting sqref="L14">
    <cfRule type="cellIs" dxfId="827" priority="54" operator="equal">
      <formula>"CUMPLE"</formula>
    </cfRule>
    <cfRule type="cellIs" dxfId="826" priority="55" operator="equal">
      <formula>"NO CUMPLE"</formula>
    </cfRule>
    <cfRule type="cellIs" dxfId="825" priority="56" operator="equal">
      <formula>"""CUMPLE"""</formula>
    </cfRule>
  </conditionalFormatting>
  <conditionalFormatting sqref="L20">
    <cfRule type="cellIs" dxfId="824" priority="36" operator="equal">
      <formula>"NO"</formula>
    </cfRule>
    <cfRule type="cellIs" dxfId="823" priority="37" operator="equal">
      <formula>"SI"</formula>
    </cfRule>
  </conditionalFormatting>
  <dataValidations count="4">
    <dataValidation type="list" allowBlank="1" showInputMessage="1" showErrorMessage="1" sqref="D24:J26" xr:uid="{365A8007-DB9B-4EED-9BEE-2F4C884D6302}">
      <formula1>$C$15:$C$19</formula1>
    </dataValidation>
    <dataValidation type="list" allowBlank="1" showInputMessage="1" showErrorMessage="1" sqref="L61:L69" xr:uid="{A28DA251-3C8F-4D67-A19F-22A5E2221351}">
      <formula1>"0,1,2,3,4,5,6"</formula1>
    </dataValidation>
    <dataValidation type="list" allowBlank="1" showInputMessage="1" showErrorMessage="1" sqref="D73" xr:uid="{488B7578-2D3B-45AD-AE0E-5512B234B149}">
      <formula1>$A$50:$A$52</formula1>
    </dataValidation>
    <dataValidation type="list" allowBlank="1" showInputMessage="1" showErrorMessage="1" sqref="J48:J53" xr:uid="{491613F6-E12D-46EB-8D15-A7F25F1EBAE4}">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57A1D3B0-FECD-43D8-A2F6-636358A38FB9}">
          <x14:formula1>
            <xm:f>'DATOS INICIALES'!$A$13:$A$43</xm:f>
          </x14:formula1>
          <xm:sqref>D31:I31</xm:sqref>
        </x14:dataValidation>
        <x14:dataValidation type="list" allowBlank="1" showInputMessage="1" showErrorMessage="1" xr:uid="{DACA49A2-9100-4E67-8041-7F6FFDDAA789}">
          <x14:formula1>
            <xm:f>'DATOS INICIALES'!$D$22:$D$26</xm:f>
          </x14:formula1>
          <xm:sqref>M48:M55</xm:sqref>
        </x14:dataValidation>
        <x14:dataValidation type="list" allowBlank="1" showInputMessage="1" showErrorMessage="1" xr:uid="{1BE2C4ED-3C81-4F16-88B9-717F31BF1E1D}">
          <x14:formula1>
            <xm:f>'DATOS INICIALES'!$A$54:$A$59</xm:f>
          </x14:formula1>
          <xm:sqref>D23:I23</xm:sqref>
        </x14:dataValidation>
        <x14:dataValidation type="list" allowBlank="1" showInputMessage="1" showErrorMessage="1" xr:uid="{696BC5FA-642C-4950-B82B-8A6C44EE5586}">
          <x14:formula1>
            <xm:f>'DATOS INICIALES'!$A$50:$A$52</xm:f>
          </x14:formula1>
          <xm:sqref>D56:J67</xm:sqref>
        </x14:dataValidation>
        <x14:dataValidation type="list" allowBlank="1" showInputMessage="1" showErrorMessage="1" xr:uid="{A952733E-C0C1-477A-934D-141019387867}">
          <x14:formula1>
            <xm:f>'DATOS INICIALES'!$C$45:$C$46</xm:f>
          </x14:formula1>
          <xm:sqref>D48:I54</xm:sqref>
        </x14:dataValidation>
        <x14:dataValidation type="list" allowBlank="1" showInputMessage="1" showErrorMessage="1" xr:uid="{95E97532-7673-4E05-A376-7D3B31E144A2}">
          <x14:formula1>
            <xm:f>'DATOS INICIALES'!$A$50:$A$51</xm:f>
          </x14:formula1>
          <xm:sqref>D69:J69 D47:J47</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74"/>
  <sheetViews>
    <sheetView view="pageBreakPreview" zoomScale="40" zoomScaleNormal="55" zoomScaleSheetLayoutView="40" workbookViewId="0">
      <pane ySplit="11" topLeftCell="A24" activePane="bottomLeft" state="frozenSplit"/>
      <selection activeCell="D56" sqref="D56:J67"/>
      <selection pane="bottomLeft" activeCell="D28" sqref="D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24</v>
      </c>
      <c r="B11" s="2" t="s">
        <v>24</v>
      </c>
      <c r="C11" s="342" t="str">
        <f>VLOOKUP(A11,PROPONENTES!A10:B46,2,FALSE)</f>
        <v>CONSORCIO ARALEP 003</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988.49</v>
      </c>
      <c r="L14" s="18" t="str">
        <f>IF(K14&gt;=J14,"CUMPLE","NO CUMPLE")</f>
        <v>CUMPLE</v>
      </c>
    </row>
    <row r="15" spans="1:12" ht="66.75" customHeight="1" x14ac:dyDescent="0.25">
      <c r="B15" s="314"/>
      <c r="C15" s="98" t="str">
        <f>IF(VLOOKUP(C11,PROPONENTES!B10:N46,2,FALSE)=0,"",VLOOKUP(C11,PROPONENTES!B10:N46,2,FALSE))</f>
        <v>ARA INGENIERIA S.A.S.</v>
      </c>
      <c r="D15" s="99">
        <f>IF(VLOOKUP(C11,PROPONENTES!B10:N46,3,FALSE)=0,"",VLOOKUP(C11,PROPONENTES!B10:N46,3,FALSE))</f>
        <v>0.51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504.12990000000002</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LEP INGENIEROS S.A.S.</v>
      </c>
      <c r="D16" s="99">
        <f>IF(VLOOKUP(C11,PROPONENTES!B10:N46,5,FALSE)=0,"",VLOOKUP(C11,PROPONENTES!B10:N46,5,FALSE))</f>
        <v>0.49</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484.36009999999999</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988.49</v>
      </c>
      <c r="J16" s="169">
        <f>+L8*0.7</f>
        <v>283.67201207692307</v>
      </c>
      <c r="K16" s="18" t="str">
        <f>IF(I16&gt;=J16,"CUMPLE","NO CUMPLE")</f>
        <v>CUMPLE</v>
      </c>
      <c r="L16" s="305">
        <f>AVERAGEIF(D68:J68,"CUMPLE",D46:J46)</f>
        <v>988.49</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988.49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269</v>
      </c>
      <c r="E24" s="88"/>
      <c r="F24" s="88"/>
      <c r="G24" s="88"/>
      <c r="H24" s="88"/>
      <c r="I24" s="88"/>
      <c r="J24" s="88"/>
      <c r="K24" s="297"/>
      <c r="L24" s="298"/>
    </row>
    <row r="25" spans="2:14" ht="39.75" customHeight="1" x14ac:dyDescent="0.25">
      <c r="B25" s="303" t="s">
        <v>122</v>
      </c>
      <c r="C25" s="304"/>
      <c r="D25" s="88" t="s">
        <v>270</v>
      </c>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458</v>
      </c>
      <c r="E27" s="89"/>
      <c r="F27" s="89"/>
      <c r="G27" s="89"/>
      <c r="H27" s="89"/>
      <c r="I27" s="89"/>
      <c r="J27" s="89"/>
      <c r="K27" s="297"/>
      <c r="L27" s="298"/>
    </row>
    <row r="28" spans="2:14" ht="156.75" customHeight="1" x14ac:dyDescent="0.25">
      <c r="B28" s="319"/>
      <c r="C28" s="27" t="s">
        <v>36</v>
      </c>
      <c r="D28" s="89" t="s">
        <v>459</v>
      </c>
      <c r="E28" s="89"/>
      <c r="F28" s="89"/>
      <c r="G28" s="89"/>
      <c r="H28" s="89"/>
      <c r="I28" s="89"/>
      <c r="J28" s="89"/>
      <c r="K28" s="297"/>
      <c r="L28" s="298"/>
    </row>
    <row r="29" spans="2:14" ht="52.5" customHeight="1" x14ac:dyDescent="0.25">
      <c r="B29" s="319"/>
      <c r="C29" s="27" t="s">
        <v>165</v>
      </c>
      <c r="D29" s="93">
        <v>43270</v>
      </c>
      <c r="E29" s="93"/>
      <c r="F29" s="93"/>
      <c r="G29" s="93"/>
      <c r="H29" s="93"/>
      <c r="I29" s="93"/>
      <c r="J29" s="93"/>
      <c r="K29" s="297"/>
      <c r="L29" s="298"/>
    </row>
    <row r="30" spans="2:14" ht="54.75" customHeight="1" x14ac:dyDescent="0.25">
      <c r="B30" s="319"/>
      <c r="C30" s="27" t="s">
        <v>40</v>
      </c>
      <c r="D30" s="93">
        <v>43750</v>
      </c>
      <c r="E30" s="93"/>
      <c r="F30" s="93"/>
      <c r="G30" s="93"/>
      <c r="H30" s="93"/>
      <c r="I30" s="93"/>
      <c r="J30" s="93"/>
      <c r="K30" s="297"/>
      <c r="L30" s="298"/>
    </row>
    <row r="31" spans="2:14" ht="41.25" customHeight="1" x14ac:dyDescent="0.25">
      <c r="B31" s="319"/>
      <c r="C31" s="27" t="s">
        <v>37</v>
      </c>
      <c r="D31" s="90">
        <v>2019</v>
      </c>
      <c r="E31" s="90"/>
      <c r="F31" s="90"/>
      <c r="G31" s="90"/>
      <c r="H31" s="90"/>
      <c r="I31" s="90"/>
      <c r="J31" s="90"/>
      <c r="K31" s="297"/>
      <c r="L31" s="298"/>
    </row>
    <row r="32" spans="2:14" ht="63" customHeight="1" x14ac:dyDescent="0.25">
      <c r="B32" s="319"/>
      <c r="C32" s="27" t="s">
        <v>38</v>
      </c>
      <c r="D32" s="89" t="s">
        <v>460</v>
      </c>
      <c r="E32" s="89"/>
      <c r="F32" s="89"/>
      <c r="G32" s="89"/>
      <c r="H32" s="89"/>
      <c r="I32" s="89"/>
      <c r="J32" s="89"/>
      <c r="K32" s="297"/>
      <c r="L32" s="298"/>
    </row>
    <row r="33" spans="2:12" ht="46.5" customHeight="1" x14ac:dyDescent="0.25">
      <c r="B33" s="319"/>
      <c r="C33" s="27" t="s">
        <v>39</v>
      </c>
      <c r="D33" s="89" t="s">
        <v>461</v>
      </c>
      <c r="E33" s="89"/>
      <c r="F33" s="89"/>
      <c r="G33" s="89"/>
      <c r="H33" s="89"/>
      <c r="I33" s="89"/>
      <c r="J33" s="89"/>
      <c r="K33" s="297"/>
      <c r="L33" s="298"/>
    </row>
    <row r="34" spans="2:12" ht="27.75" customHeight="1" x14ac:dyDescent="0.25">
      <c r="B34" s="319"/>
      <c r="C34" s="28" t="s">
        <v>33</v>
      </c>
      <c r="D34" s="94" t="s">
        <v>462</v>
      </c>
      <c r="E34" s="94"/>
      <c r="F34" s="94"/>
      <c r="G34" s="95"/>
      <c r="H34" s="95"/>
      <c r="I34" s="95"/>
      <c r="J34" s="95"/>
      <c r="K34" s="297"/>
      <c r="L34" s="298"/>
    </row>
    <row r="35" spans="2:12" ht="102.75" customHeight="1" x14ac:dyDescent="0.25">
      <c r="B35" s="319"/>
      <c r="C35" s="27" t="s">
        <v>124</v>
      </c>
      <c r="D35" s="91">
        <v>988.49</v>
      </c>
      <c r="E35" s="187"/>
      <c r="F35" s="91"/>
      <c r="G35" s="91"/>
      <c r="H35" s="91"/>
      <c r="I35" s="91"/>
      <c r="J35" s="91"/>
      <c r="K35" s="299"/>
      <c r="L35" s="300"/>
    </row>
    <row r="36" spans="2:12" ht="48" customHeight="1" x14ac:dyDescent="0.25">
      <c r="B36" s="319"/>
      <c r="C36" s="27" t="s">
        <v>72</v>
      </c>
      <c r="D36" s="103">
        <f>IFERROR(D35*VLOOKUP(D31,'DATOS INICIALES'!$A$12:$B$43,2,0),"0")</f>
        <v>818584384.84000003</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0.51</v>
      </c>
      <c r="E37" s="92"/>
      <c r="F37" s="92"/>
      <c r="G37" s="92"/>
      <c r="H37" s="92"/>
      <c r="I37" s="92"/>
      <c r="J37" s="92"/>
      <c r="K37" s="297"/>
      <c r="L37" s="298"/>
    </row>
    <row r="38" spans="2:12" ht="48.75" customHeight="1" x14ac:dyDescent="0.25">
      <c r="B38" s="319"/>
      <c r="C38" s="27" t="s">
        <v>131</v>
      </c>
      <c r="D38" s="103">
        <f t="shared" ref="D38:J38" si="0">IF(D24="","0",D37*D36)</f>
        <v>417478036.26840001</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504.12990000000002</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0.49</v>
      </c>
      <c r="E40" s="92"/>
      <c r="F40" s="92"/>
      <c r="G40" s="92"/>
      <c r="H40" s="92"/>
      <c r="I40" s="92"/>
      <c r="J40" s="92"/>
      <c r="K40" s="297"/>
      <c r="L40" s="298"/>
    </row>
    <row r="41" spans="2:12" ht="65.25" customHeight="1" x14ac:dyDescent="0.25">
      <c r="B41" s="319"/>
      <c r="C41" s="27" t="s">
        <v>132</v>
      </c>
      <c r="D41" s="105">
        <f t="shared" ref="D41:J41" si="2">IF(D25="","0",D40*D36)</f>
        <v>401106348.57160002</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484.36009999999999</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988.49</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c r="F47" s="88"/>
      <c r="G47" s="88"/>
      <c r="H47" s="88"/>
      <c r="I47" s="88"/>
      <c r="J47" s="88"/>
      <c r="K47" s="297"/>
      <c r="L47" s="298"/>
    </row>
    <row r="48" spans="2:12" ht="24.75" customHeight="1" x14ac:dyDescent="0.25">
      <c r="B48" s="315" t="s">
        <v>34</v>
      </c>
      <c r="C48" s="29">
        <f>+'DATOS INICIALES'!D22</f>
        <v>81141500</v>
      </c>
      <c r="D48" s="94" t="s">
        <v>73</v>
      </c>
      <c r="E48" s="94"/>
      <c r="F48" s="94"/>
      <c r="G48" s="94"/>
      <c r="H48" s="94"/>
      <c r="I48" s="94"/>
      <c r="J48" s="95"/>
      <c r="K48" s="297"/>
      <c r="L48" s="298"/>
    </row>
    <row r="49" spans="2:12" ht="24.75" customHeight="1" x14ac:dyDescent="0.25">
      <c r="B49" s="316"/>
      <c r="C49" s="29">
        <f>+'DATOS INICIALES'!D23</f>
        <v>80101500</v>
      </c>
      <c r="D49" s="94" t="s">
        <v>73</v>
      </c>
      <c r="E49" s="94"/>
      <c r="F49" s="94"/>
      <c r="G49" s="94"/>
      <c r="H49" s="94"/>
      <c r="I49" s="94"/>
      <c r="J49" s="95"/>
      <c r="K49" s="297"/>
      <c r="L49" s="298"/>
    </row>
    <row r="50" spans="2:12" ht="24.75" customHeight="1" x14ac:dyDescent="0.25">
      <c r="B50" s="316"/>
      <c r="C50" s="29">
        <f>+'DATOS INICIALES'!D24</f>
        <v>80101600</v>
      </c>
      <c r="D50" s="94" t="s">
        <v>75</v>
      </c>
      <c r="E50" s="94"/>
      <c r="F50" s="94"/>
      <c r="G50" s="94"/>
      <c r="H50" s="94"/>
      <c r="I50" s="94"/>
      <c r="J50" s="95"/>
      <c r="K50" s="297"/>
      <c r="L50" s="298"/>
    </row>
    <row r="51" spans="2:12" ht="24.75" customHeight="1" x14ac:dyDescent="0.25">
      <c r="B51" s="316"/>
      <c r="C51" s="29">
        <f>+'DATOS INICIALES'!D25</f>
        <v>81101500</v>
      </c>
      <c r="D51" s="94" t="s">
        <v>75</v>
      </c>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c r="F61" s="88"/>
      <c r="G61" s="88"/>
      <c r="H61" s="88"/>
      <c r="I61" s="88"/>
      <c r="J61" s="88"/>
      <c r="K61" s="297"/>
      <c r="L61" s="298"/>
    </row>
    <row r="62" spans="2:12" ht="45" customHeight="1" x14ac:dyDescent="0.25">
      <c r="B62" s="290" t="s">
        <v>207</v>
      </c>
      <c r="C62" s="291"/>
      <c r="D62" s="88" t="s">
        <v>14</v>
      </c>
      <c r="E62" s="88"/>
      <c r="F62" s="88"/>
      <c r="G62" s="88"/>
      <c r="H62" s="88"/>
      <c r="I62" s="88"/>
      <c r="J62" s="88"/>
      <c r="K62" s="297"/>
      <c r="L62" s="298"/>
    </row>
    <row r="63" spans="2:12" ht="181.5" customHeight="1" x14ac:dyDescent="0.25">
      <c r="B63" s="290" t="s">
        <v>218</v>
      </c>
      <c r="C63" s="291"/>
      <c r="D63" s="88" t="s">
        <v>13</v>
      </c>
      <c r="E63" s="88"/>
      <c r="F63" s="88"/>
      <c r="G63" s="88"/>
      <c r="H63" s="88"/>
      <c r="I63" s="88"/>
      <c r="J63" s="88"/>
      <c r="K63" s="297"/>
      <c r="L63" s="298"/>
    </row>
    <row r="64" spans="2:12" ht="336" customHeight="1" x14ac:dyDescent="0.25">
      <c r="B64" s="242" t="s">
        <v>220</v>
      </c>
      <c r="C64" s="242"/>
      <c r="D64" s="88" t="s">
        <v>14</v>
      </c>
      <c r="E64" s="88"/>
      <c r="F64" s="88"/>
      <c r="G64" s="88"/>
      <c r="H64" s="88"/>
      <c r="I64" s="88"/>
      <c r="J64" s="88"/>
      <c r="K64" s="299"/>
      <c r="L64" s="300"/>
    </row>
    <row r="65" spans="2:12" ht="143.25" customHeight="1" x14ac:dyDescent="0.25">
      <c r="B65" s="293" t="s">
        <v>221</v>
      </c>
      <c r="C65" s="294"/>
      <c r="D65" s="88" t="s">
        <v>13</v>
      </c>
      <c r="E65" s="88"/>
      <c r="F65" s="88"/>
      <c r="G65" s="88"/>
      <c r="H65" s="88"/>
      <c r="I65" s="88"/>
      <c r="J65" s="88"/>
      <c r="K65" s="297"/>
      <c r="L65" s="298"/>
    </row>
    <row r="66" spans="2:12" ht="408.75" customHeight="1" x14ac:dyDescent="0.25">
      <c r="B66" s="292" t="s">
        <v>208</v>
      </c>
      <c r="C66" s="292"/>
      <c r="D66" s="88" t="s">
        <v>13</v>
      </c>
      <c r="E66" s="88"/>
      <c r="F66" s="88"/>
      <c r="G66" s="88"/>
      <c r="H66" s="88"/>
      <c r="I66" s="88"/>
      <c r="J66" s="88"/>
      <c r="K66" s="297"/>
      <c r="L66" s="298"/>
    </row>
    <row r="67" spans="2:12" ht="312.75" customHeight="1" x14ac:dyDescent="0.25">
      <c r="B67" s="242" t="s">
        <v>209</v>
      </c>
      <c r="C67" s="242"/>
      <c r="D67" s="88" t="s">
        <v>14</v>
      </c>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822" priority="20">
      <formula>LEN(TRIM(D73))=0</formula>
    </cfRule>
    <cfRule type="notContainsErrors" dxfId="821" priority="21">
      <formula>NOT(ISERROR(D73))</formula>
    </cfRule>
    <cfRule type="cellIs" dxfId="820" priority="22" operator="equal">
      <formula>"NO CUMPLE"</formula>
    </cfRule>
    <cfRule type="cellIs" dxfId="819" priority="23" operator="equal">
      <formula>"CUMPLE"</formula>
    </cfRule>
  </conditionalFormatting>
  <conditionalFormatting sqref="D74">
    <cfRule type="cellIs" dxfId="818" priority="24" operator="equal">
      <formula>"N/A"</formula>
    </cfRule>
    <cfRule type="cellIs" dxfId="817" priority="25" operator="equal">
      <formula>"CUMPLE"</formula>
    </cfRule>
    <cfRule type="cellIs" dxfId="816" priority="26" operator="equal">
      <formula>"NO CUMPLE"</formula>
    </cfRule>
    <cfRule type="cellIs" dxfId="815" priority="27" operator="equal">
      <formula>"""CUMPLE"""</formula>
    </cfRule>
  </conditionalFormatting>
  <conditionalFormatting sqref="D25:J35">
    <cfRule type="containsBlanks" dxfId="814" priority="42">
      <formula>LEN(TRIM(D25))=0</formula>
    </cfRule>
    <cfRule type="notContainsErrors" dxfId="813" priority="43">
      <formula>NOT(ISERROR(D25))</formula>
    </cfRule>
  </conditionalFormatting>
  <conditionalFormatting sqref="D34:J34 D24:K24 D37:J37 D40:J40 D43:J43 K68:L68">
    <cfRule type="containsBlanks" dxfId="812" priority="44">
      <formula>LEN(TRIM(D24))=0</formula>
    </cfRule>
  </conditionalFormatting>
  <conditionalFormatting sqref="D47:J54">
    <cfRule type="cellIs" dxfId="811" priority="7" operator="equal">
      <formula>"NO CUMPLE"</formula>
    </cfRule>
    <cfRule type="cellIs" dxfId="810" priority="8" operator="equal">
      <formula>"CUMPLE"</formula>
    </cfRule>
    <cfRule type="containsBlanks" dxfId="809" priority="9">
      <formula>LEN(TRIM(D47))=0</formula>
    </cfRule>
    <cfRule type="notContainsErrors" dxfId="808" priority="10">
      <formula>NOT(ISERROR(D47))</formula>
    </cfRule>
  </conditionalFormatting>
  <conditionalFormatting sqref="D55:J55">
    <cfRule type="cellIs" dxfId="807" priority="53" operator="equal">
      <formula>"""CUMPLE"""</formula>
    </cfRule>
    <cfRule type="cellIs" dxfId="806" priority="52" operator="equal">
      <formula>"NO CUMPLE"</formula>
    </cfRule>
    <cfRule type="cellIs" dxfId="805" priority="51" operator="equal">
      <formula>"CUMPLE"</formula>
    </cfRule>
    <cfRule type="cellIs" dxfId="804" priority="50" operator="equal">
      <formula>"N/A"</formula>
    </cfRule>
  </conditionalFormatting>
  <conditionalFormatting sqref="D56:J67">
    <cfRule type="cellIs" dxfId="803" priority="2" operator="equal">
      <formula>"CUMPLE"</formula>
    </cfRule>
    <cfRule type="containsBlanks" dxfId="802" priority="3">
      <formula>LEN(TRIM(D56))=0</formula>
    </cfRule>
    <cfRule type="notContainsErrors" dxfId="801" priority="4">
      <formula>NOT(ISERROR(D56))</formula>
    </cfRule>
    <cfRule type="cellIs" dxfId="800" priority="1" operator="equal">
      <formula>"NO CUMPLE"</formula>
    </cfRule>
  </conditionalFormatting>
  <conditionalFormatting sqref="D61:J67">
    <cfRule type="containsBlanks" dxfId="799" priority="5">
      <formula>LEN(TRIM(D61))=0</formula>
    </cfRule>
    <cfRule type="notContainsErrors" dxfId="798" priority="6">
      <formula>NOT(ISERROR(D61))</formula>
    </cfRule>
  </conditionalFormatting>
  <conditionalFormatting sqref="D68:J68">
    <cfRule type="cellIs" dxfId="797" priority="46" operator="equal">
      <formula>"N/A"</formula>
    </cfRule>
    <cfRule type="cellIs" dxfId="796" priority="47" operator="equal">
      <formula>"CUMPLE"</formula>
    </cfRule>
    <cfRule type="cellIs" dxfId="795" priority="48" operator="equal">
      <formula>"NO CUMPLE"</formula>
    </cfRule>
    <cfRule type="cellIs" dxfId="794" priority="49" operator="equal">
      <formula>"""CUMPLE"""</formula>
    </cfRule>
  </conditionalFormatting>
  <conditionalFormatting sqref="D69:J69">
    <cfRule type="cellIs" dxfId="793" priority="15" operator="equal">
      <formula>"CUMPLE"</formula>
    </cfRule>
    <cfRule type="cellIs" dxfId="792" priority="14" operator="equal">
      <formula>"NO CUMPLE"</formula>
    </cfRule>
  </conditionalFormatting>
  <conditionalFormatting sqref="D24:K24 D34:J34 D37:J37 D40:J40 D43:J43 K68:L68">
    <cfRule type="notContainsErrors" dxfId="791" priority="45">
      <formula>NOT(ISERROR(D24))</formula>
    </cfRule>
  </conditionalFormatting>
  <conditionalFormatting sqref="D69:K69">
    <cfRule type="notContainsErrors" dxfId="790" priority="17">
      <formula>NOT(ISERROR(D69))</formula>
    </cfRule>
    <cfRule type="containsBlanks" dxfId="789" priority="16">
      <formula>LEN(TRIM(D69))=0</formula>
    </cfRule>
  </conditionalFormatting>
  <conditionalFormatting sqref="E73:E74">
    <cfRule type="notContainsErrors" dxfId="788" priority="19">
      <formula>NOT(ISERROR(E73))</formula>
    </cfRule>
    <cfRule type="containsBlanks" dxfId="787" priority="18">
      <formula>LEN(TRIM(E73))=0</formula>
    </cfRule>
  </conditionalFormatting>
  <conditionalFormatting sqref="F20:H20">
    <cfRule type="cellIs" dxfId="786" priority="57" operator="equal">
      <formula>"CUMPLE"</formula>
    </cfRule>
    <cfRule type="cellIs" dxfId="785" priority="58" operator="equal">
      <formula>"NO CUMPLE"</formula>
    </cfRule>
    <cfRule type="cellIs" dxfId="784" priority="59" operator="equal">
      <formula>"""CUMPLE"""</formula>
    </cfRule>
  </conditionalFormatting>
  <conditionalFormatting sqref="I11">
    <cfRule type="containsText" dxfId="783" priority="60" operator="containsText" text="INHABILITADO">
      <formula>NOT(ISERROR(SEARCH("INHABILITADO",I11)))</formula>
    </cfRule>
    <cfRule type="containsText" dxfId="782" priority="61" operator="containsText" text="HABILITADO">
      <formula>NOT(ISERROR(SEARCH("HABILITADO",I11)))</formula>
    </cfRule>
    <cfRule type="containsText" dxfId="781" priority="62" operator="containsText" text="HABILITADO">
      <formula>NOT(ISERROR(SEARCH("HABILITADO",I11)))</formula>
    </cfRule>
    <cfRule type="containsText" dxfId="780" priority="63" operator="containsText" text="NO CUMPLE">
      <formula>NOT(ISERROR(SEARCH("NO CUMPLE",I11)))</formula>
    </cfRule>
  </conditionalFormatting>
  <conditionalFormatting sqref="J20">
    <cfRule type="cellIs" dxfId="779" priority="38" operator="equal">
      <formula>"NO"</formula>
    </cfRule>
    <cfRule type="cellIs" dxfId="778" priority="39" operator="equal">
      <formula>"SI"</formula>
    </cfRule>
  </conditionalFormatting>
  <conditionalFormatting sqref="K16">
    <cfRule type="cellIs" dxfId="777" priority="11" operator="equal">
      <formula>"CUMPLE"</formula>
    </cfRule>
    <cfRule type="cellIs" dxfId="776" priority="12" operator="equal">
      <formula>"NO CUMPLE"</formula>
    </cfRule>
    <cfRule type="cellIs" dxfId="775" priority="13" operator="equal">
      <formula>"""CUMPLE"""</formula>
    </cfRule>
  </conditionalFormatting>
  <conditionalFormatting sqref="K25:K67">
    <cfRule type="notContainsErrors" dxfId="774" priority="29">
      <formula>NOT(ISERROR(K25))</formula>
    </cfRule>
    <cfRule type="containsBlanks" dxfId="773" priority="28">
      <formula>LEN(TRIM(K25))=0</formula>
    </cfRule>
  </conditionalFormatting>
  <conditionalFormatting sqref="L14">
    <cfRule type="cellIs" dxfId="772" priority="54" operator="equal">
      <formula>"CUMPLE"</formula>
    </cfRule>
    <cfRule type="cellIs" dxfId="771" priority="55" operator="equal">
      <formula>"NO CUMPLE"</formula>
    </cfRule>
    <cfRule type="cellIs" dxfId="770" priority="56" operator="equal">
      <formula>"""CUMPLE"""</formula>
    </cfRule>
  </conditionalFormatting>
  <conditionalFormatting sqref="L20">
    <cfRule type="cellIs" dxfId="769" priority="36" operator="equal">
      <formula>"NO"</formula>
    </cfRule>
    <cfRule type="cellIs" dxfId="768" priority="37" operator="equal">
      <formula>"SI"</formula>
    </cfRule>
  </conditionalFormatting>
  <dataValidations count="4">
    <dataValidation type="list" allowBlank="1" showInputMessage="1" showErrorMessage="1" sqref="J48:J53" xr:uid="{53842D0A-737F-469C-973F-CBBC86BD74B4}">
      <formula1>$C$45:$C$46</formula1>
    </dataValidation>
    <dataValidation type="list" allowBlank="1" showInputMessage="1" showErrorMessage="1" sqref="D73" xr:uid="{3E469636-84BD-4BC5-8BD8-35AABCE1C389}">
      <formula1>$A$50:$A$52</formula1>
    </dataValidation>
    <dataValidation type="list" allowBlank="1" showInputMessage="1" showErrorMessage="1" sqref="L61:L69" xr:uid="{A1E431AF-957F-45DB-B4AA-8F6A6B9FDC1B}">
      <formula1>"0,1,2,3,4,5,6"</formula1>
    </dataValidation>
    <dataValidation type="list" allowBlank="1" showInputMessage="1" showErrorMessage="1" sqref="D24:J26" xr:uid="{9306A845-C13F-4D62-A01C-E87DE047573A}">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B750D912-AA68-42C6-A403-B0264B0AE941}">
          <x14:formula1>
            <xm:f>'DATOS INICIALES'!$C$45:$C$46</xm:f>
          </x14:formula1>
          <xm:sqref>D48:I54</xm:sqref>
        </x14:dataValidation>
        <x14:dataValidation type="list" allowBlank="1" showInputMessage="1" showErrorMessage="1" xr:uid="{8186F7D9-5847-4569-98B5-7E62B3C3F49D}">
          <x14:formula1>
            <xm:f>'DATOS INICIALES'!$A$50:$A$52</xm:f>
          </x14:formula1>
          <xm:sqref>D56:J67</xm:sqref>
        </x14:dataValidation>
        <x14:dataValidation type="list" allowBlank="1" showInputMessage="1" showErrorMessage="1" xr:uid="{E243727F-02B2-4DA5-A7CB-8596405D0EAD}">
          <x14:formula1>
            <xm:f>'DATOS INICIALES'!$A$54:$A$59</xm:f>
          </x14:formula1>
          <xm:sqref>D23:I23</xm:sqref>
        </x14:dataValidation>
        <x14:dataValidation type="list" allowBlank="1" showInputMessage="1" showErrorMessage="1" xr:uid="{9D0D2B1F-67CE-4F68-8E16-869BB1429516}">
          <x14:formula1>
            <xm:f>'DATOS INICIALES'!$D$22:$D$26</xm:f>
          </x14:formula1>
          <xm:sqref>M48:M55</xm:sqref>
        </x14:dataValidation>
        <x14:dataValidation type="list" allowBlank="1" showInputMessage="1" showErrorMessage="1" xr:uid="{CB3EE9E7-769D-4E77-AE72-9BC9A33660B0}">
          <x14:formula1>
            <xm:f>'DATOS INICIALES'!$A$13:$A$43</xm:f>
          </x14:formula1>
          <xm:sqref>D31:I31</xm:sqref>
        </x14:dataValidation>
        <x14:dataValidation type="list" allowBlank="1" showInputMessage="1" showErrorMessage="1" xr:uid="{1DBFF417-2B80-4DB9-A527-21AA509DAB2C}">
          <x14:formula1>
            <xm:f>'DATOS INICIALES'!$A$50:$A$51</xm:f>
          </x14:formula1>
          <xm:sqref>D69:J69 D47:J47</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N74"/>
  <sheetViews>
    <sheetView view="pageBreakPreview" zoomScale="40" zoomScaleNormal="55" zoomScaleSheetLayoutView="40" workbookViewId="0">
      <pane ySplit="11" topLeftCell="A69" activePane="bottomLeft" state="frozenSplit"/>
      <selection activeCell="D56" sqref="D56:J67"/>
      <selection pane="bottomLeft" activeCell="E73" sqref="E73"/>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25</v>
      </c>
      <c r="B11" s="2" t="s">
        <v>24</v>
      </c>
      <c r="C11" s="342" t="str">
        <f>VLOOKUP(A11,PROPONENTES!A10:B46,2,FALSE)</f>
        <v>PRAN CONSTRUCCIONES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572.03</v>
      </c>
      <c r="L14" s="18" t="str">
        <f>IF(K14&gt;=J14,"CUMPLE","NO CUMPLE")</f>
        <v>CUMPLE</v>
      </c>
    </row>
    <row r="15" spans="1:12" ht="66.75" customHeight="1" x14ac:dyDescent="0.25">
      <c r="B15" s="314"/>
      <c r="C15" s="98" t="str">
        <f>IF(VLOOKUP(C11,PROPONENTES!B10:N46,2,FALSE)=0,"",VLOOKUP(C11,PROPONENTES!B10:N46,2,FALSE))</f>
        <v>PRAN CONSTRUCCIONES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572.03</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572.03</v>
      </c>
      <c r="J16" s="169">
        <f>+L8*0.7</f>
        <v>283.67201207692307</v>
      </c>
      <c r="K16" s="18" t="str">
        <f>IF(I16&gt;=J16,"CUMPLE","NO CUMPLE")</f>
        <v>CUMPLE</v>
      </c>
      <c r="L16" s="305">
        <f>AVERAGEIF(D68:J68,"CUMPLE",D46:J46)</f>
        <v>572.03</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572.03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271</v>
      </c>
      <c r="E24" s="88" t="s">
        <v>271</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463</v>
      </c>
      <c r="E27" s="89" t="s">
        <v>464</v>
      </c>
      <c r="F27" s="89"/>
      <c r="G27" s="89"/>
      <c r="H27" s="89"/>
      <c r="I27" s="89"/>
      <c r="J27" s="89"/>
      <c r="K27" s="297"/>
      <c r="L27" s="298"/>
    </row>
    <row r="28" spans="2:14" ht="156.75" customHeight="1" x14ac:dyDescent="0.25">
      <c r="B28" s="319"/>
      <c r="C28" s="27" t="s">
        <v>36</v>
      </c>
      <c r="D28" s="89" t="s">
        <v>465</v>
      </c>
      <c r="E28" s="89" t="s">
        <v>466</v>
      </c>
      <c r="F28" s="89"/>
      <c r="G28" s="89"/>
      <c r="H28" s="89"/>
      <c r="I28" s="89"/>
      <c r="J28" s="89"/>
      <c r="K28" s="297"/>
      <c r="L28" s="298"/>
    </row>
    <row r="29" spans="2:14" ht="52.5" customHeight="1" x14ac:dyDescent="0.25">
      <c r="B29" s="319"/>
      <c r="C29" s="27" t="s">
        <v>165</v>
      </c>
      <c r="D29" s="93">
        <v>42500</v>
      </c>
      <c r="E29" s="93">
        <v>44656</v>
      </c>
      <c r="F29" s="93"/>
      <c r="G29" s="93"/>
      <c r="H29" s="93"/>
      <c r="I29" s="93"/>
      <c r="J29" s="93"/>
      <c r="K29" s="297"/>
      <c r="L29" s="298"/>
    </row>
    <row r="30" spans="2:14" ht="54.75" customHeight="1" x14ac:dyDescent="0.25">
      <c r="B30" s="319"/>
      <c r="C30" s="27" t="s">
        <v>40</v>
      </c>
      <c r="D30" s="93">
        <v>42740</v>
      </c>
      <c r="E30" s="93">
        <v>45107</v>
      </c>
      <c r="F30" s="93"/>
      <c r="G30" s="93"/>
      <c r="H30" s="93"/>
      <c r="I30" s="93"/>
      <c r="J30" s="93"/>
      <c r="K30" s="297"/>
      <c r="L30" s="298"/>
    </row>
    <row r="31" spans="2:14" ht="41.25" customHeight="1" x14ac:dyDescent="0.25">
      <c r="B31" s="319"/>
      <c r="C31" s="27" t="s">
        <v>37</v>
      </c>
      <c r="D31" s="90">
        <v>2017</v>
      </c>
      <c r="E31" s="90">
        <v>2023</v>
      </c>
      <c r="F31" s="90"/>
      <c r="G31" s="90"/>
      <c r="H31" s="90"/>
      <c r="I31" s="90"/>
      <c r="J31" s="90"/>
      <c r="K31" s="297"/>
      <c r="L31" s="298"/>
    </row>
    <row r="32" spans="2:14" ht="63" customHeight="1" x14ac:dyDescent="0.25">
      <c r="B32" s="319"/>
      <c r="C32" s="27" t="s">
        <v>38</v>
      </c>
      <c r="D32" s="89" t="s">
        <v>467</v>
      </c>
      <c r="E32" s="89" t="s">
        <v>468</v>
      </c>
      <c r="F32" s="89"/>
      <c r="G32" s="89"/>
      <c r="H32" s="89"/>
      <c r="I32" s="89"/>
      <c r="J32" s="89"/>
      <c r="K32" s="297"/>
      <c r="L32" s="298"/>
    </row>
    <row r="33" spans="2:12" ht="46.5" customHeight="1" x14ac:dyDescent="0.25">
      <c r="B33" s="319"/>
      <c r="C33" s="27" t="s">
        <v>39</v>
      </c>
      <c r="D33" s="202" t="s">
        <v>469</v>
      </c>
      <c r="E33" s="89" t="s">
        <v>470</v>
      </c>
      <c r="F33" s="89"/>
      <c r="G33" s="89"/>
      <c r="H33" s="89"/>
      <c r="I33" s="89"/>
      <c r="J33" s="89"/>
      <c r="K33" s="297"/>
      <c r="L33" s="298"/>
    </row>
    <row r="34" spans="2:12" ht="27.75" customHeight="1" x14ac:dyDescent="0.25">
      <c r="B34" s="319"/>
      <c r="C34" s="28" t="s">
        <v>33</v>
      </c>
      <c r="D34" s="94">
        <v>17</v>
      </c>
      <c r="E34" s="94">
        <v>48</v>
      </c>
      <c r="F34" s="94"/>
      <c r="G34" s="95"/>
      <c r="H34" s="95"/>
      <c r="I34" s="95"/>
      <c r="J34" s="95"/>
      <c r="K34" s="297"/>
      <c r="L34" s="298"/>
    </row>
    <row r="35" spans="2:12" ht="102.75" customHeight="1" x14ac:dyDescent="0.25">
      <c r="B35" s="319"/>
      <c r="C35" s="27" t="s">
        <v>124</v>
      </c>
      <c r="D35" s="91">
        <v>572.03</v>
      </c>
      <c r="E35" s="187">
        <v>784.05</v>
      </c>
      <c r="F35" s="91"/>
      <c r="G35" s="91"/>
      <c r="H35" s="91"/>
      <c r="I35" s="91"/>
      <c r="J35" s="91"/>
      <c r="K35" s="299"/>
      <c r="L35" s="300"/>
    </row>
    <row r="36" spans="2:12" ht="48" customHeight="1" x14ac:dyDescent="0.25">
      <c r="B36" s="319"/>
      <c r="C36" s="27" t="s">
        <v>72</v>
      </c>
      <c r="D36" s="103">
        <f>IFERROR(D35*VLOOKUP(D31,'DATOS INICIALES'!$A$12:$B$43,2,0),"0")</f>
        <v>421996255.50999999</v>
      </c>
      <c r="E36" s="103">
        <f>IFERROR(E35*VLOOKUP(E31,'DATOS INICIALES'!$A$12:$B$43,2,0),"0")</f>
        <v>909498000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c r="G37" s="92"/>
      <c r="H37" s="92"/>
      <c r="I37" s="92"/>
      <c r="J37" s="92"/>
      <c r="K37" s="297"/>
      <c r="L37" s="298"/>
    </row>
    <row r="38" spans="2:12" ht="48.75" customHeight="1" x14ac:dyDescent="0.25">
      <c r="B38" s="319"/>
      <c r="C38" s="27" t="s">
        <v>131</v>
      </c>
      <c r="D38" s="103">
        <f t="shared" ref="D38:J38" si="0">IF(D24="","0",D37*D36)</f>
        <v>421996255.50999999</v>
      </c>
      <c r="E38" s="103">
        <f t="shared" si="0"/>
        <v>909498000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572.03</v>
      </c>
      <c r="E39" s="104">
        <f t="shared" si="1"/>
        <v>784.05</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572.03</v>
      </c>
      <c r="E46" s="104">
        <f t="shared" ref="E46:G46" si="6">+E39+E42+E45</f>
        <v>784.05</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73</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73</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18" t="s">
        <v>15</v>
      </c>
      <c r="F56" s="88"/>
      <c r="G56" s="88"/>
      <c r="H56" s="88"/>
      <c r="I56" s="88"/>
      <c r="J56" s="88"/>
      <c r="K56" s="282" t="s">
        <v>577</v>
      </c>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14</v>
      </c>
      <c r="E63" s="18" t="s">
        <v>14</v>
      </c>
      <c r="F63" s="88"/>
      <c r="G63" s="88"/>
      <c r="H63" s="88"/>
      <c r="I63" s="88"/>
      <c r="J63" s="88"/>
      <c r="K63" s="299"/>
      <c r="L63" s="300"/>
    </row>
    <row r="64" spans="2:12" ht="336" customHeight="1" x14ac:dyDescent="0.25">
      <c r="B64" s="242" t="s">
        <v>220</v>
      </c>
      <c r="C64" s="242"/>
      <c r="D64" s="88" t="s">
        <v>14</v>
      </c>
      <c r="E64" s="18" t="s">
        <v>14</v>
      </c>
      <c r="F64" s="88"/>
      <c r="G64" s="88"/>
      <c r="H64" s="88"/>
      <c r="I64" s="88"/>
      <c r="J64" s="88"/>
      <c r="K64" s="299"/>
      <c r="L64" s="300"/>
    </row>
    <row r="65" spans="2:12" ht="143.25" customHeight="1" x14ac:dyDescent="0.25">
      <c r="B65" s="293" t="s">
        <v>221</v>
      </c>
      <c r="C65" s="294"/>
      <c r="D65" s="88" t="s">
        <v>14</v>
      </c>
      <c r="E65" s="1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18" t="s">
        <v>15</v>
      </c>
      <c r="F67" s="88"/>
      <c r="G67" s="88"/>
      <c r="H67" s="88"/>
      <c r="I67" s="88"/>
      <c r="J67" s="88"/>
      <c r="K67" s="282" t="s">
        <v>577</v>
      </c>
      <c r="L67" s="283"/>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NO 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15</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K69:L69"/>
    <mergeCell ref="B71:E71"/>
    <mergeCell ref="K66:L66"/>
    <mergeCell ref="K67:L67"/>
    <mergeCell ref="B72:C72"/>
    <mergeCell ref="B73:C73"/>
    <mergeCell ref="B66:C66"/>
    <mergeCell ref="B67:C67"/>
    <mergeCell ref="B68:C68"/>
    <mergeCell ref="B69:C69"/>
    <mergeCell ref="B63:C63"/>
    <mergeCell ref="B64:C64"/>
    <mergeCell ref="B65:C65"/>
    <mergeCell ref="K63:L63"/>
    <mergeCell ref="K64:L64"/>
    <mergeCell ref="K65:L65"/>
    <mergeCell ref="B60:C60"/>
    <mergeCell ref="B61:C61"/>
    <mergeCell ref="B62:C62"/>
    <mergeCell ref="K60:L60"/>
    <mergeCell ref="K61:L61"/>
    <mergeCell ref="K62:L62"/>
    <mergeCell ref="B57:C57"/>
    <mergeCell ref="B58:C58"/>
    <mergeCell ref="B59:C59"/>
    <mergeCell ref="K57:L57"/>
    <mergeCell ref="K58:L58"/>
    <mergeCell ref="K59:L59"/>
    <mergeCell ref="K53:L53"/>
    <mergeCell ref="K54:L54"/>
    <mergeCell ref="K55:L55"/>
    <mergeCell ref="B56:C56"/>
    <mergeCell ref="B48:B55"/>
    <mergeCell ref="K48:L48"/>
    <mergeCell ref="K49:L49"/>
    <mergeCell ref="K50:L50"/>
    <mergeCell ref="K51:L51"/>
    <mergeCell ref="K56:L56"/>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ellIs" dxfId="767" priority="1" operator="equal">
      <formula>"NO CUMPLE"</formula>
    </cfRule>
    <cfRule type="cellIs" dxfId="766" priority="2" operator="equal">
      <formula>"CUMPLE"</formula>
    </cfRule>
    <cfRule type="containsBlanks" dxfId="765" priority="3">
      <formula>LEN(TRIM(D73))=0</formula>
    </cfRule>
    <cfRule type="notContainsErrors" dxfId="764" priority="4">
      <formula>NOT(ISERROR(D73))</formula>
    </cfRule>
  </conditionalFormatting>
  <conditionalFormatting sqref="D74">
    <cfRule type="cellIs" dxfId="763" priority="30" operator="equal">
      <formula>"NO CUMPLE"</formula>
    </cfRule>
    <cfRule type="cellIs" dxfId="762" priority="29" operator="equal">
      <formula>"CUMPLE"</formula>
    </cfRule>
    <cfRule type="cellIs" dxfId="761" priority="28" operator="equal">
      <formula>"N/A"</formula>
    </cfRule>
    <cfRule type="cellIs" dxfId="760" priority="31" operator="equal">
      <formula>"""CUMPLE"""</formula>
    </cfRule>
  </conditionalFormatting>
  <conditionalFormatting sqref="D25:J35">
    <cfRule type="notContainsErrors" dxfId="759" priority="47">
      <formula>NOT(ISERROR(D25))</formula>
    </cfRule>
    <cfRule type="containsBlanks" dxfId="758" priority="46">
      <formula>LEN(TRIM(D25))=0</formula>
    </cfRule>
  </conditionalFormatting>
  <conditionalFormatting sqref="D34:J34 D24:K24 D37:J37 D40:J40 D43:J43 K68:L68">
    <cfRule type="containsBlanks" dxfId="757" priority="48">
      <formula>LEN(TRIM(D24))=0</formula>
    </cfRule>
  </conditionalFormatting>
  <conditionalFormatting sqref="D47:J54">
    <cfRule type="containsBlanks" dxfId="756" priority="13">
      <formula>LEN(TRIM(D47))=0</formula>
    </cfRule>
    <cfRule type="cellIs" dxfId="755" priority="11" operator="equal">
      <formula>"NO CUMPLE"</formula>
    </cfRule>
    <cfRule type="cellIs" dxfId="754" priority="12" operator="equal">
      <formula>"CUMPLE"</formula>
    </cfRule>
    <cfRule type="notContainsErrors" dxfId="753" priority="14">
      <formula>NOT(ISERROR(D47))</formula>
    </cfRule>
  </conditionalFormatting>
  <conditionalFormatting sqref="D55:J55">
    <cfRule type="cellIs" dxfId="752" priority="55" operator="equal">
      <formula>"CUMPLE"</formula>
    </cfRule>
    <cfRule type="cellIs" dxfId="751" priority="56" operator="equal">
      <formula>"NO CUMPLE"</formula>
    </cfRule>
    <cfRule type="cellIs" dxfId="750" priority="57" operator="equal">
      <formula>"""CUMPLE"""</formula>
    </cfRule>
    <cfRule type="cellIs" dxfId="749" priority="54" operator="equal">
      <formula>"N/A"</formula>
    </cfRule>
  </conditionalFormatting>
  <conditionalFormatting sqref="D56:J67">
    <cfRule type="cellIs" dxfId="748" priority="5" operator="equal">
      <formula>"NO CUMPLE"</formula>
    </cfRule>
    <cfRule type="cellIs" dxfId="747" priority="6" operator="equal">
      <formula>"CUMPLE"</formula>
    </cfRule>
    <cfRule type="containsBlanks" dxfId="746" priority="7">
      <formula>LEN(TRIM(D56))=0</formula>
    </cfRule>
    <cfRule type="notContainsErrors" dxfId="745" priority="8">
      <formula>NOT(ISERROR(D56))</formula>
    </cfRule>
  </conditionalFormatting>
  <conditionalFormatting sqref="D61:J67">
    <cfRule type="notContainsErrors" dxfId="744" priority="10">
      <formula>NOT(ISERROR(D61))</formula>
    </cfRule>
    <cfRule type="containsBlanks" dxfId="743" priority="9">
      <formula>LEN(TRIM(D61))=0</formula>
    </cfRule>
  </conditionalFormatting>
  <conditionalFormatting sqref="D68:J68">
    <cfRule type="cellIs" dxfId="742" priority="50" operator="equal">
      <formula>"N/A"</formula>
    </cfRule>
    <cfRule type="cellIs" dxfId="741" priority="51" operator="equal">
      <formula>"CUMPLE"</formula>
    </cfRule>
    <cfRule type="cellIs" dxfId="740" priority="52" operator="equal">
      <formula>"NO CUMPLE"</formula>
    </cfRule>
    <cfRule type="cellIs" dxfId="739" priority="53" operator="equal">
      <formula>"""CUMPLE"""</formula>
    </cfRule>
  </conditionalFormatting>
  <conditionalFormatting sqref="D69:J69">
    <cfRule type="cellIs" dxfId="738" priority="19" operator="equal">
      <formula>"CUMPLE"</formula>
    </cfRule>
    <cfRule type="cellIs" dxfId="737" priority="18" operator="equal">
      <formula>"NO CUMPLE"</formula>
    </cfRule>
  </conditionalFormatting>
  <conditionalFormatting sqref="D24:K24 D34:J34 D37:J37 D40:J40 D43:J43 K68:L68">
    <cfRule type="notContainsErrors" dxfId="736" priority="49">
      <formula>NOT(ISERROR(D24))</formula>
    </cfRule>
  </conditionalFormatting>
  <conditionalFormatting sqref="D69:K69">
    <cfRule type="containsBlanks" dxfId="735" priority="20">
      <formula>LEN(TRIM(D69))=0</formula>
    </cfRule>
    <cfRule type="notContainsErrors" dxfId="734" priority="21">
      <formula>NOT(ISERROR(D69))</formula>
    </cfRule>
  </conditionalFormatting>
  <conditionalFormatting sqref="E73:E74">
    <cfRule type="notContainsErrors" dxfId="733" priority="23">
      <formula>NOT(ISERROR(E73))</formula>
    </cfRule>
    <cfRule type="containsBlanks" dxfId="732" priority="22">
      <formula>LEN(TRIM(E73))=0</formula>
    </cfRule>
  </conditionalFormatting>
  <conditionalFormatting sqref="F20:H20">
    <cfRule type="cellIs" dxfId="731" priority="61" operator="equal">
      <formula>"CUMPLE"</formula>
    </cfRule>
    <cfRule type="cellIs" dxfId="730" priority="62" operator="equal">
      <formula>"NO CUMPLE"</formula>
    </cfRule>
    <cfRule type="cellIs" dxfId="729" priority="63" operator="equal">
      <formula>"""CUMPLE"""</formula>
    </cfRule>
  </conditionalFormatting>
  <conditionalFormatting sqref="I11">
    <cfRule type="containsText" dxfId="728" priority="64" operator="containsText" text="INHABILITADO">
      <formula>NOT(ISERROR(SEARCH("INHABILITADO",I11)))</formula>
    </cfRule>
    <cfRule type="containsText" dxfId="727" priority="65" operator="containsText" text="HABILITADO">
      <formula>NOT(ISERROR(SEARCH("HABILITADO",I11)))</formula>
    </cfRule>
    <cfRule type="containsText" dxfId="726" priority="66" operator="containsText" text="HABILITADO">
      <formula>NOT(ISERROR(SEARCH("HABILITADO",I11)))</formula>
    </cfRule>
    <cfRule type="containsText" dxfId="725" priority="67" operator="containsText" text="NO CUMPLE">
      <formula>NOT(ISERROR(SEARCH("NO CUMPLE",I11)))</formula>
    </cfRule>
  </conditionalFormatting>
  <conditionalFormatting sqref="J20">
    <cfRule type="cellIs" dxfId="724" priority="42" operator="equal">
      <formula>"NO"</formula>
    </cfRule>
    <cfRule type="cellIs" dxfId="723" priority="43" operator="equal">
      <formula>"SI"</formula>
    </cfRule>
  </conditionalFormatting>
  <conditionalFormatting sqref="K16">
    <cfRule type="cellIs" dxfId="722" priority="15" operator="equal">
      <formula>"CUMPLE"</formula>
    </cfRule>
    <cfRule type="cellIs" dxfId="721" priority="17" operator="equal">
      <formula>"""CUMPLE"""</formula>
    </cfRule>
    <cfRule type="cellIs" dxfId="720" priority="16" operator="equal">
      <formula>"NO CUMPLE"</formula>
    </cfRule>
  </conditionalFormatting>
  <conditionalFormatting sqref="K25:K67">
    <cfRule type="notContainsErrors" dxfId="719" priority="33">
      <formula>NOT(ISERROR(K25))</formula>
    </cfRule>
    <cfRule type="containsBlanks" dxfId="718" priority="32">
      <formula>LEN(TRIM(K25))=0</formula>
    </cfRule>
  </conditionalFormatting>
  <conditionalFormatting sqref="L14">
    <cfRule type="cellIs" dxfId="717" priority="58" operator="equal">
      <formula>"CUMPLE"</formula>
    </cfRule>
    <cfRule type="cellIs" dxfId="716" priority="59" operator="equal">
      <formula>"NO CUMPLE"</formula>
    </cfRule>
    <cfRule type="cellIs" dxfId="715" priority="60" operator="equal">
      <formula>"""CUMPLE"""</formula>
    </cfRule>
  </conditionalFormatting>
  <conditionalFormatting sqref="L20">
    <cfRule type="cellIs" dxfId="714" priority="40" operator="equal">
      <formula>"NO"</formula>
    </cfRule>
    <cfRule type="cellIs" dxfId="713" priority="41" operator="equal">
      <formula>"SI"</formula>
    </cfRule>
  </conditionalFormatting>
  <dataValidations count="3">
    <dataValidation type="list" allowBlank="1" showInputMessage="1" showErrorMessage="1" sqref="D24:J26" xr:uid="{94109F93-60AC-429D-A0A1-4FFD541CF5A9}">
      <formula1>$C$15:$C$19</formula1>
    </dataValidation>
    <dataValidation type="list" allowBlank="1" showInputMessage="1" showErrorMessage="1" sqref="L61:L66 L68:L69" xr:uid="{F839B894-D368-479D-AD84-1D06D0D503A3}">
      <formula1>"0,1,2,3,4,5,6"</formula1>
    </dataValidation>
    <dataValidation type="list" allowBlank="1" showInputMessage="1" showErrorMessage="1" sqref="J48:J53" xr:uid="{C9DF0460-D906-4D32-B710-D3FD9390E293}">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39436AD3-A587-42F5-833C-8B4E7B4E8588}">
          <x14:formula1>
            <xm:f>'DATOS INICIALES'!$A$13:$A$43</xm:f>
          </x14:formula1>
          <xm:sqref>D31:I31</xm:sqref>
        </x14:dataValidation>
        <x14:dataValidation type="list" allowBlank="1" showInputMessage="1" showErrorMessage="1" xr:uid="{89B76C8A-6E4C-481A-BBC5-8E4A6A136FB5}">
          <x14:formula1>
            <xm:f>'DATOS INICIALES'!$D$22:$D$26</xm:f>
          </x14:formula1>
          <xm:sqref>M48:M55</xm:sqref>
        </x14:dataValidation>
        <x14:dataValidation type="list" allowBlank="1" showInputMessage="1" showErrorMessage="1" xr:uid="{41214317-73A0-483F-B3C6-E6BAD5FD8AC6}">
          <x14:formula1>
            <xm:f>'DATOS INICIALES'!$A$54:$A$59</xm:f>
          </x14:formula1>
          <xm:sqref>D23:I23</xm:sqref>
        </x14:dataValidation>
        <x14:dataValidation type="list" allowBlank="1" showInputMessage="1" showErrorMessage="1" xr:uid="{92210769-8DFC-4D54-8D2F-1167BEF89A64}">
          <x14:formula1>
            <xm:f>'DATOS INICIALES'!$A$50:$A$52</xm:f>
          </x14:formula1>
          <xm:sqref>D56:J67</xm:sqref>
        </x14:dataValidation>
        <x14:dataValidation type="list" allowBlank="1" showInputMessage="1" showErrorMessage="1" xr:uid="{75A84A2A-CECF-4CE0-8781-9A57B378EE77}">
          <x14:formula1>
            <xm:f>'DATOS INICIALES'!$C$45:$C$46</xm:f>
          </x14:formula1>
          <xm:sqref>D48:I54</xm:sqref>
        </x14:dataValidation>
        <x14:dataValidation type="list" allowBlank="1" showInputMessage="1" showErrorMessage="1" xr:uid="{E1B9E6A5-CE81-4F4D-B786-682E23933873}">
          <x14:formula1>
            <xm:f>'DATOS INICIALES'!$A$50:$A$51</xm:f>
          </x14:formula1>
          <xm:sqref>D69:J69 D47:J47 D73</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74"/>
  <sheetViews>
    <sheetView view="pageBreakPreview" zoomScale="40" zoomScaleNormal="55" zoomScaleSheetLayoutView="40" workbookViewId="0">
      <pane ySplit="11" topLeftCell="A18" activePane="bottomLeft" state="frozenSplit"/>
      <selection activeCell="D56" sqref="D56:J67"/>
      <selection pane="bottomLeft" activeCell="D28" sqref="D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26</v>
      </c>
      <c r="B11" s="2" t="s">
        <v>24</v>
      </c>
      <c r="C11" s="342" t="str">
        <f>VLOOKUP(A11,PROPONENTES!A10:B46,2,FALSE)</f>
        <v>CONSORCIO PROYECTOS 2024</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841.50430000000006</v>
      </c>
      <c r="L14" s="18" t="str">
        <f>IF(K14&gt;=J14,"CUMPLE","NO CUMPLE")</f>
        <v>CUMPLE</v>
      </c>
    </row>
    <row r="15" spans="1:12" ht="66.75" customHeight="1" x14ac:dyDescent="0.25">
      <c r="B15" s="314"/>
      <c r="C15" s="98" t="str">
        <f>IF(VLOOKUP(C11,PROPONENTES!B10:N46,2,FALSE)=0,"",VLOOKUP(C11,PROPONENTES!B10:N46,2,FALSE))</f>
        <v>FUNDACION CAMINO VERDE ONG SOCIAL CULTURAL Y AMBIENTAL CON SIGLA FUNDCAVE</v>
      </c>
      <c r="D15" s="99">
        <f>IF(VLOOKUP(C11,PROPONENTES!B10:N46,3,FALSE)=0,"",VLOOKUP(C11,PROPONENTES!B10:N46,3,FALSE))</f>
        <v>0.1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0</v>
      </c>
      <c r="F15" s="101" t="str">
        <f>IF(C15="","",IF(E15&gt;=$J$14*0.5,"SI","NO"))</f>
        <v>NO</v>
      </c>
      <c r="G15" s="102" t="str">
        <f>IF(C15="","",IF(E15&gt;=$J$14*0.05,"SI",IF(E15=0,"NO APORTA EXPERIENCIA",)))</f>
        <v>NO APORTA EXPERIENCIA</v>
      </c>
      <c r="H15" s="102" t="str">
        <f>IF(C15="","",IF(AND(G15="NO APORTA EXPERIENCIA",D15&lt;=10%),"SI",IF(G15="SI","NO APLICA","NO - PORCENTAJE MAYOR AL 10%")))</f>
        <v>SI</v>
      </c>
      <c r="I15" s="68" t="s">
        <v>224</v>
      </c>
      <c r="J15" s="68" t="s">
        <v>223</v>
      </c>
      <c r="K15" s="68" t="s">
        <v>69</v>
      </c>
      <c r="L15" s="68" t="s">
        <v>205</v>
      </c>
    </row>
    <row r="16" spans="1:12" ht="33.75" customHeight="1" x14ac:dyDescent="0.25">
      <c r="B16" s="314"/>
      <c r="C16" s="98" t="str">
        <f>IF(VLOOKUP(C11,PROPONENTES!B10:N46,4,FALSE)=0,"",VLOOKUP(C11,PROPONENTES!B10:N46,4,FALSE))</f>
        <v>AC2R INGENIERIA Y PROYECTOS S.A.S</v>
      </c>
      <c r="D16" s="99">
        <f>IF(VLOOKUP(C11,PROPONENTES!B10:N46,5,FALSE)=0,"",VLOOKUP(C11,PROPONENTES!B10:N46,5,FALSE))</f>
        <v>0.9</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841.50430000000006</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841.50430000000006</v>
      </c>
      <c r="J16" s="169">
        <f>+L8*0.7</f>
        <v>283.67201207692307</v>
      </c>
      <c r="K16" s="18" t="str">
        <f>IF(I16&gt;=J16,"CUMPLE","NO CUMPLE")</f>
        <v>CUMPLE</v>
      </c>
      <c r="L16" s="305">
        <f>AVERAGEIF(D68:J68,"CUMPLE",D46:J46)</f>
        <v>841.50430000000006</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841.50430000000006</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274</v>
      </c>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471</v>
      </c>
      <c r="E27" s="89"/>
      <c r="F27" s="89"/>
      <c r="G27" s="89"/>
      <c r="H27" s="89"/>
      <c r="I27" s="89"/>
      <c r="J27" s="89"/>
      <c r="K27" s="297"/>
      <c r="L27" s="298"/>
    </row>
    <row r="28" spans="2:14" ht="156.75" customHeight="1" x14ac:dyDescent="0.25">
      <c r="B28" s="319"/>
      <c r="C28" s="27" t="s">
        <v>36</v>
      </c>
      <c r="D28" s="89" t="s">
        <v>472</v>
      </c>
      <c r="E28" s="89"/>
      <c r="F28" s="89"/>
      <c r="G28" s="89"/>
      <c r="H28" s="89"/>
      <c r="I28" s="89"/>
      <c r="J28" s="89"/>
      <c r="K28" s="297"/>
      <c r="L28" s="298"/>
    </row>
    <row r="29" spans="2:14" ht="52.5" customHeight="1" x14ac:dyDescent="0.25">
      <c r="B29" s="319"/>
      <c r="C29" s="27" t="s">
        <v>165</v>
      </c>
      <c r="D29" s="93">
        <v>43374</v>
      </c>
      <c r="E29" s="93"/>
      <c r="F29" s="93"/>
      <c r="G29" s="93"/>
      <c r="H29" s="93"/>
      <c r="I29" s="93"/>
      <c r="J29" s="93"/>
      <c r="K29" s="297"/>
      <c r="L29" s="298"/>
    </row>
    <row r="30" spans="2:14" ht="54.75" customHeight="1" x14ac:dyDescent="0.25">
      <c r="B30" s="319"/>
      <c r="C30" s="27" t="s">
        <v>40</v>
      </c>
      <c r="D30" s="93">
        <v>43723</v>
      </c>
      <c r="E30" s="93"/>
      <c r="F30" s="93"/>
      <c r="G30" s="93"/>
      <c r="H30" s="93"/>
      <c r="I30" s="93"/>
      <c r="J30" s="93"/>
      <c r="K30" s="297"/>
      <c r="L30" s="298"/>
    </row>
    <row r="31" spans="2:14" ht="41.25" customHeight="1" x14ac:dyDescent="0.25">
      <c r="B31" s="319"/>
      <c r="C31" s="27" t="s">
        <v>37</v>
      </c>
      <c r="D31" s="90">
        <v>2019</v>
      </c>
      <c r="E31" s="90"/>
      <c r="F31" s="90"/>
      <c r="G31" s="90"/>
      <c r="H31" s="90"/>
      <c r="I31" s="90"/>
      <c r="J31" s="90"/>
      <c r="K31" s="297"/>
      <c r="L31" s="298"/>
    </row>
    <row r="32" spans="2:14" ht="63" customHeight="1" x14ac:dyDescent="0.25">
      <c r="B32" s="319"/>
      <c r="C32" s="27" t="s">
        <v>38</v>
      </c>
      <c r="D32" s="89" t="s">
        <v>364</v>
      </c>
      <c r="E32" s="89"/>
      <c r="F32" s="89"/>
      <c r="G32" s="89"/>
      <c r="H32" s="89"/>
      <c r="I32" s="89"/>
      <c r="J32" s="89"/>
      <c r="K32" s="297"/>
      <c r="L32" s="298"/>
    </row>
    <row r="33" spans="2:12" ht="46.5" customHeight="1" x14ac:dyDescent="0.25">
      <c r="B33" s="319"/>
      <c r="C33" s="27" t="s">
        <v>39</v>
      </c>
      <c r="D33" s="89" t="s">
        <v>473</v>
      </c>
      <c r="E33" s="89"/>
      <c r="F33" s="89"/>
      <c r="G33" s="89"/>
      <c r="H33" s="89"/>
      <c r="I33" s="89"/>
      <c r="J33" s="89"/>
      <c r="K33" s="297"/>
      <c r="L33" s="298"/>
    </row>
    <row r="34" spans="2:12" ht="27.75" customHeight="1" x14ac:dyDescent="0.25">
      <c r="B34" s="319"/>
      <c r="C34" s="28" t="s">
        <v>33</v>
      </c>
      <c r="D34" s="94">
        <v>78</v>
      </c>
      <c r="E34" s="94"/>
      <c r="F34" s="94"/>
      <c r="G34" s="95"/>
      <c r="H34" s="95"/>
      <c r="I34" s="95"/>
      <c r="J34" s="95"/>
      <c r="K34" s="297"/>
      <c r="L34" s="298"/>
    </row>
    <row r="35" spans="2:12" ht="102.75" customHeight="1" x14ac:dyDescent="0.25">
      <c r="B35" s="319"/>
      <c r="C35" s="27" t="s">
        <v>124</v>
      </c>
      <c r="D35" s="91">
        <v>924.73</v>
      </c>
      <c r="E35" s="187"/>
      <c r="F35" s="91"/>
      <c r="G35" s="91"/>
      <c r="H35" s="91"/>
      <c r="I35" s="91"/>
      <c r="J35" s="91"/>
      <c r="K35" s="299"/>
      <c r="L35" s="300"/>
    </row>
    <row r="36" spans="2:12" ht="48" customHeight="1" x14ac:dyDescent="0.25">
      <c r="B36" s="319"/>
      <c r="C36" s="27" t="s">
        <v>72</v>
      </c>
      <c r="D36" s="103">
        <f>IFERROR(D35*VLOOKUP(D31,'DATOS INICIALES'!$A$12:$B$43,2,0),"0")</f>
        <v>765783708.68000007</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0.91</v>
      </c>
      <c r="E37" s="92"/>
      <c r="F37" s="92"/>
      <c r="G37" s="92"/>
      <c r="H37" s="92"/>
      <c r="I37" s="92"/>
      <c r="J37" s="92"/>
      <c r="K37" s="297"/>
      <c r="L37" s="298"/>
    </row>
    <row r="38" spans="2:12" ht="48.75" customHeight="1" x14ac:dyDescent="0.25">
      <c r="B38" s="319"/>
      <c r="C38" s="27" t="s">
        <v>131</v>
      </c>
      <c r="D38" s="103">
        <f t="shared" ref="D38:J38" si="0">IF(D24="","0",D37*D36)</f>
        <v>696863174.89880013</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841.50430000000006</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841.50430000000006</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t="s">
        <v>75</v>
      </c>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c r="F61" s="88"/>
      <c r="G61" s="88"/>
      <c r="H61" s="88"/>
      <c r="I61" s="88"/>
      <c r="J61" s="88"/>
      <c r="K61" s="297"/>
      <c r="L61" s="298"/>
    </row>
    <row r="62" spans="2:12" ht="45" customHeight="1" x14ac:dyDescent="0.25">
      <c r="B62" s="290" t="s">
        <v>207</v>
      </c>
      <c r="C62" s="291"/>
      <c r="D62" s="88" t="s">
        <v>14</v>
      </c>
      <c r="E62" s="88"/>
      <c r="F62" s="88"/>
      <c r="G62" s="88"/>
      <c r="H62" s="88"/>
      <c r="I62" s="88"/>
      <c r="J62" s="88"/>
      <c r="K62" s="297"/>
      <c r="L62" s="298"/>
    </row>
    <row r="63" spans="2:12" ht="181.5" customHeight="1" x14ac:dyDescent="0.25">
      <c r="B63" s="290" t="s">
        <v>218</v>
      </c>
      <c r="C63" s="291"/>
      <c r="D63" s="88" t="s">
        <v>14</v>
      </c>
      <c r="E63" s="88"/>
      <c r="F63" s="88"/>
      <c r="G63" s="88"/>
      <c r="H63" s="88"/>
      <c r="I63" s="88"/>
      <c r="J63" s="88"/>
      <c r="K63" s="297"/>
      <c r="L63" s="298"/>
    </row>
    <row r="64" spans="2:12" ht="336" customHeight="1" x14ac:dyDescent="0.25">
      <c r="B64" s="242" t="s">
        <v>220</v>
      </c>
      <c r="C64" s="242"/>
      <c r="D64" s="88" t="s">
        <v>14</v>
      </c>
      <c r="E64" s="88"/>
      <c r="F64" s="88"/>
      <c r="G64" s="88"/>
      <c r="H64" s="88"/>
      <c r="I64" s="88"/>
      <c r="J64" s="88"/>
      <c r="K64" s="299"/>
      <c r="L64" s="300"/>
    </row>
    <row r="65" spans="2:12" ht="143.25" customHeight="1" x14ac:dyDescent="0.25">
      <c r="B65" s="293" t="s">
        <v>221</v>
      </c>
      <c r="C65" s="294"/>
      <c r="D65" s="88" t="s">
        <v>13</v>
      </c>
      <c r="E65" s="88"/>
      <c r="F65" s="88"/>
      <c r="G65" s="88"/>
      <c r="H65" s="88"/>
      <c r="I65" s="88"/>
      <c r="J65" s="88"/>
      <c r="K65" s="297"/>
      <c r="L65" s="298"/>
    </row>
    <row r="66" spans="2:12" ht="408.75" customHeight="1" x14ac:dyDescent="0.25">
      <c r="B66" s="292" t="s">
        <v>208</v>
      </c>
      <c r="C66" s="292"/>
      <c r="D66" s="88" t="s">
        <v>13</v>
      </c>
      <c r="E66" s="88"/>
      <c r="F66" s="88"/>
      <c r="G66" s="88"/>
      <c r="H66" s="88"/>
      <c r="I66" s="88"/>
      <c r="J66" s="88"/>
      <c r="K66" s="297"/>
      <c r="L66" s="298"/>
    </row>
    <row r="67" spans="2:12" ht="312.75" customHeight="1" x14ac:dyDescent="0.25">
      <c r="B67" s="242" t="s">
        <v>209</v>
      </c>
      <c r="C67" s="242"/>
      <c r="D67" s="88" t="s">
        <v>14</v>
      </c>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712" priority="20">
      <formula>LEN(TRIM(D73))=0</formula>
    </cfRule>
    <cfRule type="notContainsErrors" dxfId="711" priority="21">
      <formula>NOT(ISERROR(D73))</formula>
    </cfRule>
    <cfRule type="cellIs" dxfId="710" priority="22" operator="equal">
      <formula>"NO CUMPLE"</formula>
    </cfRule>
    <cfRule type="cellIs" dxfId="709" priority="23" operator="equal">
      <formula>"CUMPLE"</formula>
    </cfRule>
  </conditionalFormatting>
  <conditionalFormatting sqref="D74">
    <cfRule type="cellIs" dxfId="708" priority="24" operator="equal">
      <formula>"N/A"</formula>
    </cfRule>
    <cfRule type="cellIs" dxfId="707" priority="25" operator="equal">
      <formula>"CUMPLE"</formula>
    </cfRule>
    <cfRule type="cellIs" dxfId="706" priority="26" operator="equal">
      <formula>"NO CUMPLE"</formula>
    </cfRule>
    <cfRule type="cellIs" dxfId="705" priority="27" operator="equal">
      <formula>"""CUMPLE"""</formula>
    </cfRule>
  </conditionalFormatting>
  <conditionalFormatting sqref="D25:J35">
    <cfRule type="containsBlanks" dxfId="704" priority="42">
      <formula>LEN(TRIM(D25))=0</formula>
    </cfRule>
    <cfRule type="notContainsErrors" dxfId="703" priority="43">
      <formula>NOT(ISERROR(D25))</formula>
    </cfRule>
  </conditionalFormatting>
  <conditionalFormatting sqref="D34:J34 D24:K24 D37:J37 D40:J40 D43:J43 K68:L68">
    <cfRule type="containsBlanks" dxfId="702" priority="44">
      <formula>LEN(TRIM(D24))=0</formula>
    </cfRule>
  </conditionalFormatting>
  <conditionalFormatting sqref="D47:J54">
    <cfRule type="cellIs" dxfId="701" priority="7" operator="equal">
      <formula>"NO CUMPLE"</formula>
    </cfRule>
    <cfRule type="cellIs" dxfId="700" priority="8" operator="equal">
      <formula>"CUMPLE"</formula>
    </cfRule>
    <cfRule type="containsBlanks" dxfId="699" priority="9">
      <formula>LEN(TRIM(D47))=0</formula>
    </cfRule>
    <cfRule type="notContainsErrors" dxfId="698" priority="10">
      <formula>NOT(ISERROR(D47))</formula>
    </cfRule>
  </conditionalFormatting>
  <conditionalFormatting sqref="D55:J55">
    <cfRule type="cellIs" dxfId="697" priority="53" operator="equal">
      <formula>"""CUMPLE"""</formula>
    </cfRule>
    <cfRule type="cellIs" dxfId="696" priority="52" operator="equal">
      <formula>"NO CUMPLE"</formula>
    </cfRule>
    <cfRule type="cellIs" dxfId="695" priority="51" operator="equal">
      <formula>"CUMPLE"</formula>
    </cfRule>
    <cfRule type="cellIs" dxfId="694" priority="50" operator="equal">
      <formula>"N/A"</formula>
    </cfRule>
  </conditionalFormatting>
  <conditionalFormatting sqref="D56:J67">
    <cfRule type="cellIs" dxfId="693" priority="2" operator="equal">
      <formula>"CUMPLE"</formula>
    </cfRule>
    <cfRule type="containsBlanks" dxfId="692" priority="3">
      <formula>LEN(TRIM(D56))=0</formula>
    </cfRule>
    <cfRule type="notContainsErrors" dxfId="691" priority="4">
      <formula>NOT(ISERROR(D56))</formula>
    </cfRule>
    <cfRule type="cellIs" dxfId="690" priority="1" operator="equal">
      <formula>"NO CUMPLE"</formula>
    </cfRule>
  </conditionalFormatting>
  <conditionalFormatting sqref="D61:J67">
    <cfRule type="containsBlanks" dxfId="689" priority="5">
      <formula>LEN(TRIM(D61))=0</formula>
    </cfRule>
    <cfRule type="notContainsErrors" dxfId="688" priority="6">
      <formula>NOT(ISERROR(D61))</formula>
    </cfRule>
  </conditionalFormatting>
  <conditionalFormatting sqref="D68:J68">
    <cfRule type="cellIs" dxfId="687" priority="46" operator="equal">
      <formula>"N/A"</formula>
    </cfRule>
    <cfRule type="cellIs" dxfId="686" priority="47" operator="equal">
      <formula>"CUMPLE"</formula>
    </cfRule>
    <cfRule type="cellIs" dxfId="685" priority="48" operator="equal">
      <formula>"NO CUMPLE"</formula>
    </cfRule>
    <cfRule type="cellIs" dxfId="684" priority="49" operator="equal">
      <formula>"""CUMPLE"""</formula>
    </cfRule>
  </conditionalFormatting>
  <conditionalFormatting sqref="D69:J69">
    <cfRule type="cellIs" dxfId="683" priority="15" operator="equal">
      <formula>"CUMPLE"</formula>
    </cfRule>
    <cfRule type="cellIs" dxfId="682" priority="14" operator="equal">
      <formula>"NO CUMPLE"</formula>
    </cfRule>
  </conditionalFormatting>
  <conditionalFormatting sqref="D24:K24 D34:J34 D37:J37 D40:J40 D43:J43 K68:L68">
    <cfRule type="notContainsErrors" dxfId="681" priority="45">
      <formula>NOT(ISERROR(D24))</formula>
    </cfRule>
  </conditionalFormatting>
  <conditionalFormatting sqref="D69:K69">
    <cfRule type="notContainsErrors" dxfId="680" priority="17">
      <formula>NOT(ISERROR(D69))</formula>
    </cfRule>
    <cfRule type="containsBlanks" dxfId="679" priority="16">
      <formula>LEN(TRIM(D69))=0</formula>
    </cfRule>
  </conditionalFormatting>
  <conditionalFormatting sqref="E73:E74">
    <cfRule type="notContainsErrors" dxfId="678" priority="19">
      <formula>NOT(ISERROR(E73))</formula>
    </cfRule>
    <cfRule type="containsBlanks" dxfId="677" priority="18">
      <formula>LEN(TRIM(E73))=0</formula>
    </cfRule>
  </conditionalFormatting>
  <conditionalFormatting sqref="F20:H20">
    <cfRule type="cellIs" dxfId="676" priority="57" operator="equal">
      <formula>"CUMPLE"</formula>
    </cfRule>
    <cfRule type="cellIs" dxfId="675" priority="58" operator="equal">
      <formula>"NO CUMPLE"</formula>
    </cfRule>
    <cfRule type="cellIs" dxfId="674" priority="59" operator="equal">
      <formula>"""CUMPLE"""</formula>
    </cfRule>
  </conditionalFormatting>
  <conditionalFormatting sqref="I11">
    <cfRule type="containsText" dxfId="673" priority="60" operator="containsText" text="INHABILITADO">
      <formula>NOT(ISERROR(SEARCH("INHABILITADO",I11)))</formula>
    </cfRule>
    <cfRule type="containsText" dxfId="672" priority="61" operator="containsText" text="HABILITADO">
      <formula>NOT(ISERROR(SEARCH("HABILITADO",I11)))</formula>
    </cfRule>
    <cfRule type="containsText" dxfId="671" priority="62" operator="containsText" text="HABILITADO">
      <formula>NOT(ISERROR(SEARCH("HABILITADO",I11)))</formula>
    </cfRule>
    <cfRule type="containsText" dxfId="670" priority="63" operator="containsText" text="NO CUMPLE">
      <formula>NOT(ISERROR(SEARCH("NO CUMPLE",I11)))</formula>
    </cfRule>
  </conditionalFormatting>
  <conditionalFormatting sqref="J20">
    <cfRule type="cellIs" dxfId="669" priority="38" operator="equal">
      <formula>"NO"</formula>
    </cfRule>
    <cfRule type="cellIs" dxfId="668" priority="39" operator="equal">
      <formula>"SI"</formula>
    </cfRule>
  </conditionalFormatting>
  <conditionalFormatting sqref="K16">
    <cfRule type="cellIs" dxfId="667" priority="11" operator="equal">
      <formula>"CUMPLE"</formula>
    </cfRule>
    <cfRule type="cellIs" dxfId="666" priority="12" operator="equal">
      <formula>"NO CUMPLE"</formula>
    </cfRule>
    <cfRule type="cellIs" dxfId="665" priority="13" operator="equal">
      <formula>"""CUMPLE"""</formula>
    </cfRule>
  </conditionalFormatting>
  <conditionalFormatting sqref="K25:K67">
    <cfRule type="notContainsErrors" dxfId="664" priority="29">
      <formula>NOT(ISERROR(K25))</formula>
    </cfRule>
    <cfRule type="containsBlanks" dxfId="663" priority="28">
      <formula>LEN(TRIM(K25))=0</formula>
    </cfRule>
  </conditionalFormatting>
  <conditionalFormatting sqref="L14">
    <cfRule type="cellIs" dxfId="662" priority="54" operator="equal">
      <formula>"CUMPLE"</formula>
    </cfRule>
    <cfRule type="cellIs" dxfId="661" priority="55" operator="equal">
      <formula>"NO CUMPLE"</formula>
    </cfRule>
    <cfRule type="cellIs" dxfId="660" priority="56" operator="equal">
      <formula>"""CUMPLE"""</formula>
    </cfRule>
  </conditionalFormatting>
  <conditionalFormatting sqref="L20">
    <cfRule type="cellIs" dxfId="659" priority="36" operator="equal">
      <formula>"NO"</formula>
    </cfRule>
    <cfRule type="cellIs" dxfId="658" priority="37" operator="equal">
      <formula>"SI"</formula>
    </cfRule>
  </conditionalFormatting>
  <dataValidations count="4">
    <dataValidation type="list" allowBlank="1" showInputMessage="1" showErrorMessage="1" sqref="J48:J53" xr:uid="{51E4A94E-7170-461D-9F1C-08B6F5D1CC40}">
      <formula1>$C$45:$C$46</formula1>
    </dataValidation>
    <dataValidation type="list" allowBlank="1" showInputMessage="1" showErrorMessage="1" sqref="D73" xr:uid="{1FC1EFDB-5160-4F36-B98E-BD325FAC0A69}">
      <formula1>$A$50:$A$52</formula1>
    </dataValidation>
    <dataValidation type="list" allowBlank="1" showInputMessage="1" showErrorMessage="1" sqref="L61:L69" xr:uid="{8B46A1C9-C391-46B0-828F-434B29C12EAD}">
      <formula1>"0,1,2,3,4,5,6"</formula1>
    </dataValidation>
    <dataValidation type="list" allowBlank="1" showInputMessage="1" showErrorMessage="1" sqref="D24:J26" xr:uid="{2B36D213-695C-4364-9BC2-3AB982865201}">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4E20DAE8-5ABA-447C-A31C-2D495C475D6F}">
          <x14:formula1>
            <xm:f>'DATOS INICIALES'!$C$45:$C$46</xm:f>
          </x14:formula1>
          <xm:sqref>D48:I54</xm:sqref>
        </x14:dataValidation>
        <x14:dataValidation type="list" allowBlank="1" showInputMessage="1" showErrorMessage="1" xr:uid="{4F5A0426-3060-4549-BA03-23D539836F1B}">
          <x14:formula1>
            <xm:f>'DATOS INICIALES'!$A$50:$A$52</xm:f>
          </x14:formula1>
          <xm:sqref>D56:J67</xm:sqref>
        </x14:dataValidation>
        <x14:dataValidation type="list" allowBlank="1" showInputMessage="1" showErrorMessage="1" xr:uid="{23072ED7-4FC4-4095-A327-1CF289675978}">
          <x14:formula1>
            <xm:f>'DATOS INICIALES'!$A$54:$A$59</xm:f>
          </x14:formula1>
          <xm:sqref>D23:I23</xm:sqref>
        </x14:dataValidation>
        <x14:dataValidation type="list" allowBlank="1" showInputMessage="1" showErrorMessage="1" xr:uid="{C68C94A4-B252-4836-84D6-363CCB35D3B0}">
          <x14:formula1>
            <xm:f>'DATOS INICIALES'!$D$22:$D$26</xm:f>
          </x14:formula1>
          <xm:sqref>M48:M55</xm:sqref>
        </x14:dataValidation>
        <x14:dataValidation type="list" allowBlank="1" showInputMessage="1" showErrorMessage="1" xr:uid="{49032289-A2D8-4E28-8043-7EA80AE1293A}">
          <x14:formula1>
            <xm:f>'DATOS INICIALES'!$A$13:$A$43</xm:f>
          </x14:formula1>
          <xm:sqref>D31:I31</xm:sqref>
        </x14:dataValidation>
        <x14:dataValidation type="list" allowBlank="1" showInputMessage="1" showErrorMessage="1" xr:uid="{4EEC86D0-B7A4-4B87-82D4-2B3925CB585C}">
          <x14:formula1>
            <xm:f>'DATOS INICIALES'!$A$50:$A$51</xm:f>
          </x14:formula1>
          <xm:sqref>D69:J69 D47:J47</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N74"/>
  <sheetViews>
    <sheetView view="pageBreakPreview" zoomScale="40" zoomScaleNormal="55" zoomScaleSheetLayoutView="40" workbookViewId="0">
      <pane ySplit="11" topLeftCell="A24" activePane="bottomLeft" state="frozenSplit"/>
      <selection activeCell="D56" sqref="D56:J67"/>
      <selection pane="bottomLeft" activeCell="D28" sqref="D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27</v>
      </c>
      <c r="B11" s="2" t="s">
        <v>24</v>
      </c>
      <c r="C11" s="342" t="str">
        <f>VLOOKUP(A11,PROPONENTES!A10:B46,2,FALSE)</f>
        <v>CONSORCIO KENNEDY JINT 3</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853.05</v>
      </c>
      <c r="L14" s="18" t="str">
        <f>IF(K14&gt;=J14,"CUMPLE","NO CUMPLE")</f>
        <v>CUMPLE</v>
      </c>
    </row>
    <row r="15" spans="1:12" ht="66.75" customHeight="1" x14ac:dyDescent="0.25">
      <c r="B15" s="314"/>
      <c r="C15" s="98" t="str">
        <f>IF(VLOOKUP(C11,PROPONENTES!B10:N46,2,FALSE)=0,"",VLOOKUP(C11,PROPONENTES!B10:N46,2,FALSE))</f>
        <v>JPS INGENIERIA S.A.S.</v>
      </c>
      <c r="D15" s="99">
        <f>IF(VLOOKUP(C11,PROPONENTES!B10:N46,3,FALSE)=0,"",VLOOKUP(C11,PROPONENTES!B10:N46,3,FALSE))</f>
        <v>0.9</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853.05</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INTING S.A.S.</v>
      </c>
      <c r="D16" s="99">
        <f>IF(VLOOKUP(C11,PROPONENTES!B10:N46,5,FALSE)=0,"",VLOOKUP(C11,PROPONENTES!B10:N46,5,FALSE))</f>
        <v>0.1</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SI</v>
      </c>
      <c r="I16" s="169">
        <f>SUMIF(D69:J69,"CUMPLE",D39:J39)+SUMIF(D69:J69,"CUMPLE",D42:J42)+SUMIF(D69:J69,"CUMPLE",D45:J45)</f>
        <v>853.05</v>
      </c>
      <c r="J16" s="169">
        <f>+L8*0.7</f>
        <v>283.67201207692307</v>
      </c>
      <c r="K16" s="18" t="str">
        <f>IF(I16&gt;=J16,"CUMPLE","NO CUMPLE")</f>
        <v>CUMPLE</v>
      </c>
      <c r="L16" s="305">
        <f>AVERAGEIF(D68:J68,"CUMPLE",D46:J46)</f>
        <v>853.05</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2</v>
      </c>
      <c r="D20" s="99">
        <f>+VLOOKUP(C11,PROPONENTES!B10:N46,13,FALSE)</f>
        <v>1</v>
      </c>
      <c r="E20" s="35">
        <f>SUM(E15:E19)</f>
        <v>853.05</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276</v>
      </c>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474</v>
      </c>
      <c r="E27" s="89"/>
      <c r="F27" s="89"/>
      <c r="G27" s="89"/>
      <c r="H27" s="89"/>
      <c r="I27" s="89"/>
      <c r="J27" s="89"/>
      <c r="K27" s="297"/>
      <c r="L27" s="298"/>
    </row>
    <row r="28" spans="2:14" ht="156.75" customHeight="1" x14ac:dyDescent="0.25">
      <c r="B28" s="319"/>
      <c r="C28" s="27" t="s">
        <v>36</v>
      </c>
      <c r="D28" s="89" t="s">
        <v>475</v>
      </c>
      <c r="E28" s="89"/>
      <c r="F28" s="89"/>
      <c r="G28" s="89"/>
      <c r="H28" s="89"/>
      <c r="I28" s="89"/>
      <c r="J28" s="89"/>
      <c r="K28" s="297"/>
      <c r="L28" s="298"/>
    </row>
    <row r="29" spans="2:14" ht="52.5" customHeight="1" x14ac:dyDescent="0.25">
      <c r="B29" s="319"/>
      <c r="C29" s="27" t="s">
        <v>165</v>
      </c>
      <c r="D29" s="93">
        <v>39345</v>
      </c>
      <c r="E29" s="93"/>
      <c r="F29" s="93"/>
      <c r="G29" s="93"/>
      <c r="H29" s="93"/>
      <c r="I29" s="93"/>
      <c r="J29" s="93"/>
      <c r="K29" s="297"/>
      <c r="L29" s="298"/>
    </row>
    <row r="30" spans="2:14" ht="54.75" customHeight="1" x14ac:dyDescent="0.25">
      <c r="B30" s="319"/>
      <c r="C30" s="27" t="s">
        <v>40</v>
      </c>
      <c r="D30" s="93">
        <v>39669</v>
      </c>
      <c r="E30" s="93"/>
      <c r="F30" s="93"/>
      <c r="G30" s="93"/>
      <c r="H30" s="93"/>
      <c r="I30" s="93"/>
      <c r="J30" s="93"/>
      <c r="K30" s="297"/>
      <c r="L30" s="298"/>
    </row>
    <row r="31" spans="2:14" ht="41.25" customHeight="1" x14ac:dyDescent="0.25">
      <c r="B31" s="319"/>
      <c r="C31" s="27" t="s">
        <v>37</v>
      </c>
      <c r="D31" s="90">
        <v>2008</v>
      </c>
      <c r="E31" s="90"/>
      <c r="F31" s="90"/>
      <c r="G31" s="90"/>
      <c r="H31" s="90"/>
      <c r="I31" s="90"/>
      <c r="J31" s="90"/>
      <c r="K31" s="297"/>
      <c r="L31" s="298"/>
    </row>
    <row r="32" spans="2:14" ht="63" customHeight="1" x14ac:dyDescent="0.25">
      <c r="B32" s="319"/>
      <c r="C32" s="27" t="s">
        <v>38</v>
      </c>
      <c r="D32" s="89" t="s">
        <v>476</v>
      </c>
      <c r="E32" s="89"/>
      <c r="F32" s="89"/>
      <c r="G32" s="89"/>
      <c r="H32" s="89"/>
      <c r="I32" s="89"/>
      <c r="J32" s="89"/>
      <c r="K32" s="297"/>
      <c r="L32" s="298"/>
    </row>
    <row r="33" spans="2:12" ht="46.5" customHeight="1" x14ac:dyDescent="0.25">
      <c r="B33" s="319"/>
      <c r="C33" s="27" t="s">
        <v>39</v>
      </c>
      <c r="D33" s="89" t="s">
        <v>477</v>
      </c>
      <c r="E33" s="89"/>
      <c r="F33" s="89"/>
      <c r="G33" s="89"/>
      <c r="H33" s="89"/>
      <c r="I33" s="89"/>
      <c r="J33" s="89"/>
      <c r="K33" s="297"/>
      <c r="L33" s="298"/>
    </row>
    <row r="34" spans="2:12" ht="27.75" customHeight="1" x14ac:dyDescent="0.25">
      <c r="B34" s="319"/>
      <c r="C34" s="28" t="s">
        <v>33</v>
      </c>
      <c r="D34" s="94">
        <v>10</v>
      </c>
      <c r="E34" s="94"/>
      <c r="F34" s="94"/>
      <c r="G34" s="95"/>
      <c r="H34" s="95"/>
      <c r="I34" s="95"/>
      <c r="J34" s="95"/>
      <c r="K34" s="297"/>
      <c r="L34" s="298"/>
    </row>
    <row r="35" spans="2:12" ht="102.75" customHeight="1" x14ac:dyDescent="0.25">
      <c r="B35" s="319"/>
      <c r="C35" s="27" t="s">
        <v>124</v>
      </c>
      <c r="D35" s="91">
        <v>853.05</v>
      </c>
      <c r="E35" s="187"/>
      <c r="F35" s="91"/>
      <c r="G35" s="91"/>
      <c r="H35" s="91"/>
      <c r="I35" s="91"/>
      <c r="J35" s="91"/>
      <c r="K35" s="299"/>
      <c r="L35" s="300"/>
    </row>
    <row r="36" spans="2:12" ht="48" customHeight="1" x14ac:dyDescent="0.25">
      <c r="B36" s="319"/>
      <c r="C36" s="27" t="s">
        <v>72</v>
      </c>
      <c r="D36" s="103">
        <f>IFERROR(D35*VLOOKUP(D31,'DATOS INICIALES'!$A$12:$B$43,2,0),"0")</f>
        <v>393682575</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c r="F37" s="92"/>
      <c r="G37" s="92"/>
      <c r="H37" s="92"/>
      <c r="I37" s="92"/>
      <c r="J37" s="92"/>
      <c r="K37" s="297"/>
      <c r="L37" s="298"/>
    </row>
    <row r="38" spans="2:12" ht="48.75" customHeight="1" x14ac:dyDescent="0.25">
      <c r="B38" s="319"/>
      <c r="C38" s="27" t="s">
        <v>131</v>
      </c>
      <c r="D38" s="103">
        <f t="shared" ref="D38:J38" si="0">IF(D24="","0",D37*D36)</f>
        <v>393682575</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853.05</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853.05</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c r="F47" s="88"/>
      <c r="G47" s="88"/>
      <c r="H47" s="88"/>
      <c r="I47" s="88"/>
      <c r="J47" s="88"/>
      <c r="K47" s="297"/>
      <c r="L47" s="298"/>
    </row>
    <row r="48" spans="2:12" ht="24.75" customHeight="1" x14ac:dyDescent="0.25">
      <c r="B48" s="315" t="s">
        <v>34</v>
      </c>
      <c r="C48" s="29">
        <f>+'DATOS INICIALES'!D22</f>
        <v>81141500</v>
      </c>
      <c r="D48" s="94" t="s">
        <v>73</v>
      </c>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t="s">
        <v>75</v>
      </c>
      <c r="E50" s="94"/>
      <c r="F50" s="94"/>
      <c r="G50" s="94"/>
      <c r="H50" s="94"/>
      <c r="I50" s="94"/>
      <c r="J50" s="95"/>
      <c r="K50" s="297"/>
      <c r="L50" s="298"/>
    </row>
    <row r="51" spans="2:12" ht="24.75" customHeight="1" x14ac:dyDescent="0.25">
      <c r="B51" s="316"/>
      <c r="C51" s="29">
        <f>+'DATOS INICIALES'!D25</f>
        <v>81101500</v>
      </c>
      <c r="D51" s="94" t="s">
        <v>75</v>
      </c>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c r="F61" s="88"/>
      <c r="G61" s="88"/>
      <c r="H61" s="88"/>
      <c r="I61" s="88"/>
      <c r="J61" s="88"/>
      <c r="K61" s="297"/>
      <c r="L61" s="298"/>
    </row>
    <row r="62" spans="2:12" ht="45" customHeight="1" x14ac:dyDescent="0.25">
      <c r="B62" s="290" t="s">
        <v>207</v>
      </c>
      <c r="C62" s="291"/>
      <c r="D62" s="88" t="s">
        <v>14</v>
      </c>
      <c r="E62" s="88"/>
      <c r="F62" s="88"/>
      <c r="G62" s="88"/>
      <c r="H62" s="88"/>
      <c r="I62" s="88"/>
      <c r="J62" s="88"/>
      <c r="K62" s="297"/>
      <c r="L62" s="298"/>
    </row>
    <row r="63" spans="2:12" ht="181.5" customHeight="1" x14ac:dyDescent="0.25">
      <c r="B63" s="290" t="s">
        <v>218</v>
      </c>
      <c r="C63" s="291"/>
      <c r="D63" s="88" t="s">
        <v>13</v>
      </c>
      <c r="E63" s="88"/>
      <c r="F63" s="88"/>
      <c r="G63" s="88"/>
      <c r="H63" s="88"/>
      <c r="I63" s="88"/>
      <c r="J63" s="88"/>
      <c r="K63" s="297"/>
      <c r="L63" s="298"/>
    </row>
    <row r="64" spans="2:12" ht="336" customHeight="1" x14ac:dyDescent="0.25">
      <c r="B64" s="242" t="s">
        <v>220</v>
      </c>
      <c r="C64" s="242"/>
      <c r="D64" s="88" t="s">
        <v>14</v>
      </c>
      <c r="E64" s="88"/>
      <c r="F64" s="88"/>
      <c r="G64" s="88"/>
      <c r="H64" s="88"/>
      <c r="I64" s="88"/>
      <c r="J64" s="88"/>
      <c r="K64" s="299"/>
      <c r="L64" s="300"/>
    </row>
    <row r="65" spans="2:12" ht="143.25" customHeight="1" x14ac:dyDescent="0.25">
      <c r="B65" s="293" t="s">
        <v>221</v>
      </c>
      <c r="C65" s="294"/>
      <c r="D65" s="88" t="s">
        <v>13</v>
      </c>
      <c r="E65" s="88"/>
      <c r="F65" s="88"/>
      <c r="G65" s="88"/>
      <c r="H65" s="88"/>
      <c r="I65" s="88"/>
      <c r="J65" s="88"/>
      <c r="K65" s="297"/>
      <c r="L65" s="298"/>
    </row>
    <row r="66" spans="2:12" ht="408.75" customHeight="1" x14ac:dyDescent="0.25">
      <c r="B66" s="292" t="s">
        <v>208</v>
      </c>
      <c r="C66" s="292"/>
      <c r="D66" s="88" t="s">
        <v>14</v>
      </c>
      <c r="E66" s="88"/>
      <c r="F66" s="88"/>
      <c r="G66" s="88"/>
      <c r="H66" s="88"/>
      <c r="I66" s="88"/>
      <c r="J66" s="88"/>
      <c r="K66" s="297"/>
      <c r="L66" s="298"/>
    </row>
    <row r="67" spans="2:12" ht="312.75" customHeight="1" x14ac:dyDescent="0.25">
      <c r="B67" s="242" t="s">
        <v>209</v>
      </c>
      <c r="C67" s="242"/>
      <c r="D67" s="88" t="s">
        <v>14</v>
      </c>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657" priority="20">
      <formula>LEN(TRIM(D73))=0</formula>
    </cfRule>
    <cfRule type="notContainsErrors" dxfId="656" priority="21">
      <formula>NOT(ISERROR(D73))</formula>
    </cfRule>
    <cfRule type="cellIs" dxfId="655" priority="22" operator="equal">
      <formula>"NO CUMPLE"</formula>
    </cfRule>
    <cfRule type="cellIs" dxfId="654" priority="23" operator="equal">
      <formula>"CUMPLE"</formula>
    </cfRule>
  </conditionalFormatting>
  <conditionalFormatting sqref="D74">
    <cfRule type="cellIs" dxfId="653" priority="24" operator="equal">
      <formula>"N/A"</formula>
    </cfRule>
    <cfRule type="cellIs" dxfId="652" priority="25" operator="equal">
      <formula>"CUMPLE"</formula>
    </cfRule>
    <cfRule type="cellIs" dxfId="651" priority="26" operator="equal">
      <formula>"NO CUMPLE"</formula>
    </cfRule>
    <cfRule type="cellIs" dxfId="650" priority="27" operator="equal">
      <formula>"""CUMPLE"""</formula>
    </cfRule>
  </conditionalFormatting>
  <conditionalFormatting sqref="D25:J35">
    <cfRule type="containsBlanks" dxfId="649" priority="42">
      <formula>LEN(TRIM(D25))=0</formula>
    </cfRule>
    <cfRule type="notContainsErrors" dxfId="648" priority="43">
      <formula>NOT(ISERROR(D25))</formula>
    </cfRule>
  </conditionalFormatting>
  <conditionalFormatting sqref="D34:J34 D24:K24 D37:J37 D40:J40 D43:J43 K68:L68">
    <cfRule type="containsBlanks" dxfId="647" priority="44">
      <formula>LEN(TRIM(D24))=0</formula>
    </cfRule>
  </conditionalFormatting>
  <conditionalFormatting sqref="D47:J54">
    <cfRule type="cellIs" dxfId="646" priority="7" operator="equal">
      <formula>"NO CUMPLE"</formula>
    </cfRule>
    <cfRule type="cellIs" dxfId="645" priority="8" operator="equal">
      <formula>"CUMPLE"</formula>
    </cfRule>
    <cfRule type="containsBlanks" dxfId="644" priority="9">
      <formula>LEN(TRIM(D47))=0</formula>
    </cfRule>
    <cfRule type="notContainsErrors" dxfId="643" priority="10">
      <formula>NOT(ISERROR(D47))</formula>
    </cfRule>
  </conditionalFormatting>
  <conditionalFormatting sqref="D55:J55">
    <cfRule type="cellIs" dxfId="642" priority="53" operator="equal">
      <formula>"""CUMPLE"""</formula>
    </cfRule>
    <cfRule type="cellIs" dxfId="641" priority="52" operator="equal">
      <formula>"NO CUMPLE"</formula>
    </cfRule>
    <cfRule type="cellIs" dxfId="640" priority="51" operator="equal">
      <formula>"CUMPLE"</formula>
    </cfRule>
    <cfRule type="cellIs" dxfId="639" priority="50" operator="equal">
      <formula>"N/A"</formula>
    </cfRule>
  </conditionalFormatting>
  <conditionalFormatting sqref="D56:J67">
    <cfRule type="cellIs" dxfId="638" priority="2" operator="equal">
      <formula>"CUMPLE"</formula>
    </cfRule>
    <cfRule type="containsBlanks" dxfId="637" priority="3">
      <formula>LEN(TRIM(D56))=0</formula>
    </cfRule>
    <cfRule type="notContainsErrors" dxfId="636" priority="4">
      <formula>NOT(ISERROR(D56))</formula>
    </cfRule>
    <cfRule type="cellIs" dxfId="635" priority="1" operator="equal">
      <formula>"NO CUMPLE"</formula>
    </cfRule>
  </conditionalFormatting>
  <conditionalFormatting sqref="D61:J67">
    <cfRule type="containsBlanks" dxfId="634" priority="5">
      <formula>LEN(TRIM(D61))=0</formula>
    </cfRule>
    <cfRule type="notContainsErrors" dxfId="633" priority="6">
      <formula>NOT(ISERROR(D61))</formula>
    </cfRule>
  </conditionalFormatting>
  <conditionalFormatting sqref="D68:J68">
    <cfRule type="cellIs" dxfId="632" priority="46" operator="equal">
      <formula>"N/A"</formula>
    </cfRule>
    <cfRule type="cellIs" dxfId="631" priority="47" operator="equal">
      <formula>"CUMPLE"</formula>
    </cfRule>
    <cfRule type="cellIs" dxfId="630" priority="48" operator="equal">
      <formula>"NO CUMPLE"</formula>
    </cfRule>
    <cfRule type="cellIs" dxfId="629" priority="49" operator="equal">
      <formula>"""CUMPLE"""</formula>
    </cfRule>
  </conditionalFormatting>
  <conditionalFormatting sqref="D69:J69">
    <cfRule type="cellIs" dxfId="628" priority="15" operator="equal">
      <formula>"CUMPLE"</formula>
    </cfRule>
    <cfRule type="cellIs" dxfId="627" priority="14" operator="equal">
      <formula>"NO CUMPLE"</formula>
    </cfRule>
  </conditionalFormatting>
  <conditionalFormatting sqref="D24:K24 D34:J34 D37:J37 D40:J40 D43:J43 K68:L68">
    <cfRule type="notContainsErrors" dxfId="626" priority="45">
      <formula>NOT(ISERROR(D24))</formula>
    </cfRule>
  </conditionalFormatting>
  <conditionalFormatting sqref="D69:K69">
    <cfRule type="notContainsErrors" dxfId="625" priority="17">
      <formula>NOT(ISERROR(D69))</formula>
    </cfRule>
    <cfRule type="containsBlanks" dxfId="624" priority="16">
      <formula>LEN(TRIM(D69))=0</formula>
    </cfRule>
  </conditionalFormatting>
  <conditionalFormatting sqref="E73:E74">
    <cfRule type="notContainsErrors" dxfId="623" priority="19">
      <formula>NOT(ISERROR(E73))</formula>
    </cfRule>
    <cfRule type="containsBlanks" dxfId="622" priority="18">
      <formula>LEN(TRIM(E73))=0</formula>
    </cfRule>
  </conditionalFormatting>
  <conditionalFormatting sqref="F20:H20">
    <cfRule type="cellIs" dxfId="621" priority="57" operator="equal">
      <formula>"CUMPLE"</formula>
    </cfRule>
    <cfRule type="cellIs" dxfId="620" priority="58" operator="equal">
      <formula>"NO CUMPLE"</formula>
    </cfRule>
    <cfRule type="cellIs" dxfId="619" priority="59" operator="equal">
      <formula>"""CUMPLE"""</formula>
    </cfRule>
  </conditionalFormatting>
  <conditionalFormatting sqref="I11">
    <cfRule type="containsText" dxfId="618" priority="60" operator="containsText" text="INHABILITADO">
      <formula>NOT(ISERROR(SEARCH("INHABILITADO",I11)))</formula>
    </cfRule>
    <cfRule type="containsText" dxfId="617" priority="61" operator="containsText" text="HABILITADO">
      <formula>NOT(ISERROR(SEARCH("HABILITADO",I11)))</formula>
    </cfRule>
    <cfRule type="containsText" dxfId="616" priority="62" operator="containsText" text="HABILITADO">
      <formula>NOT(ISERROR(SEARCH("HABILITADO",I11)))</formula>
    </cfRule>
    <cfRule type="containsText" dxfId="615" priority="63" operator="containsText" text="NO CUMPLE">
      <formula>NOT(ISERROR(SEARCH("NO CUMPLE",I11)))</formula>
    </cfRule>
  </conditionalFormatting>
  <conditionalFormatting sqref="J20">
    <cfRule type="cellIs" dxfId="614" priority="38" operator="equal">
      <formula>"NO"</formula>
    </cfRule>
    <cfRule type="cellIs" dxfId="613" priority="39" operator="equal">
      <formula>"SI"</formula>
    </cfRule>
  </conditionalFormatting>
  <conditionalFormatting sqref="K16">
    <cfRule type="cellIs" dxfId="612" priority="11" operator="equal">
      <formula>"CUMPLE"</formula>
    </cfRule>
    <cfRule type="cellIs" dxfId="611" priority="12" operator="equal">
      <formula>"NO CUMPLE"</formula>
    </cfRule>
    <cfRule type="cellIs" dxfId="610" priority="13" operator="equal">
      <formula>"""CUMPLE"""</formula>
    </cfRule>
  </conditionalFormatting>
  <conditionalFormatting sqref="K25:K67">
    <cfRule type="notContainsErrors" dxfId="609" priority="29">
      <formula>NOT(ISERROR(K25))</formula>
    </cfRule>
    <cfRule type="containsBlanks" dxfId="608" priority="28">
      <formula>LEN(TRIM(K25))=0</formula>
    </cfRule>
  </conditionalFormatting>
  <conditionalFormatting sqref="L14">
    <cfRule type="cellIs" dxfId="607" priority="54" operator="equal">
      <formula>"CUMPLE"</formula>
    </cfRule>
    <cfRule type="cellIs" dxfId="606" priority="55" operator="equal">
      <formula>"NO CUMPLE"</formula>
    </cfRule>
    <cfRule type="cellIs" dxfId="605" priority="56" operator="equal">
      <formula>"""CUMPLE"""</formula>
    </cfRule>
  </conditionalFormatting>
  <conditionalFormatting sqref="L20">
    <cfRule type="cellIs" dxfId="604" priority="36" operator="equal">
      <formula>"NO"</formula>
    </cfRule>
    <cfRule type="cellIs" dxfId="603" priority="37" operator="equal">
      <formula>"SI"</formula>
    </cfRule>
  </conditionalFormatting>
  <dataValidations count="4">
    <dataValidation type="list" allowBlank="1" showInputMessage="1" showErrorMessage="1" sqref="D24:J26" xr:uid="{F5117E46-25FA-4673-BC39-131061615280}">
      <formula1>$C$15:$C$19</formula1>
    </dataValidation>
    <dataValidation type="list" allowBlank="1" showInputMessage="1" showErrorMessage="1" sqref="L61:L69" xr:uid="{EA64B1D0-230B-42C0-972B-3799417F7C2B}">
      <formula1>"0,1,2,3,4,5,6"</formula1>
    </dataValidation>
    <dataValidation type="list" allowBlank="1" showInputMessage="1" showErrorMessage="1" sqref="D73" xr:uid="{F6A87C3F-D46F-423D-8041-2B512353B77F}">
      <formula1>$A$50:$A$52</formula1>
    </dataValidation>
    <dataValidation type="list" allowBlank="1" showInputMessage="1" showErrorMessage="1" sqref="J48:J53" xr:uid="{D5F77A78-42C0-49E5-8DC7-C647F8D2228E}">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3B007190-0FCE-4423-89BF-FFA62A9ED8CB}">
          <x14:formula1>
            <xm:f>'DATOS INICIALES'!$A$13:$A$43</xm:f>
          </x14:formula1>
          <xm:sqref>D31:I31</xm:sqref>
        </x14:dataValidation>
        <x14:dataValidation type="list" allowBlank="1" showInputMessage="1" showErrorMessage="1" xr:uid="{A9FBA56C-C3FF-462C-9699-028857A9BDB8}">
          <x14:formula1>
            <xm:f>'DATOS INICIALES'!$D$22:$D$26</xm:f>
          </x14:formula1>
          <xm:sqref>M48:M55</xm:sqref>
        </x14:dataValidation>
        <x14:dataValidation type="list" allowBlank="1" showInputMessage="1" showErrorMessage="1" xr:uid="{D803488D-FE43-4CCE-8021-FDB68F84E6A0}">
          <x14:formula1>
            <xm:f>'DATOS INICIALES'!$A$54:$A$59</xm:f>
          </x14:formula1>
          <xm:sqref>D23:I23</xm:sqref>
        </x14:dataValidation>
        <x14:dataValidation type="list" allowBlank="1" showInputMessage="1" showErrorMessage="1" xr:uid="{36DB6FB6-597C-476B-86F0-63D3352368CA}">
          <x14:formula1>
            <xm:f>'DATOS INICIALES'!$A$50:$A$52</xm:f>
          </x14:formula1>
          <xm:sqref>D56:J67</xm:sqref>
        </x14:dataValidation>
        <x14:dataValidation type="list" allowBlank="1" showInputMessage="1" showErrorMessage="1" xr:uid="{497CD7E8-4F37-4E03-98CD-BD90872A5CA1}">
          <x14:formula1>
            <xm:f>'DATOS INICIALES'!$C$45:$C$46</xm:f>
          </x14:formula1>
          <xm:sqref>D48:I54</xm:sqref>
        </x14:dataValidation>
        <x14:dataValidation type="list" allowBlank="1" showInputMessage="1" showErrorMessage="1" xr:uid="{B43B9EA1-B1B5-455A-A85B-0D87DDE8B037}">
          <x14:formula1>
            <xm:f>'DATOS INICIALES'!$A$50:$A$51</xm:f>
          </x14:formula1>
          <xm:sqref>D69:J69 D47:J47</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N74"/>
  <sheetViews>
    <sheetView view="pageBreakPreview" zoomScale="55" zoomScaleNormal="55" zoomScaleSheetLayoutView="55" workbookViewId="0">
      <pane ySplit="11" topLeftCell="A67" activePane="bottomLeft" state="frozenSplit"/>
      <selection activeCell="D56" sqref="D56:J67"/>
      <selection pane="bottomLeft" activeCell="F28" sqref="F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28</v>
      </c>
      <c r="B11" s="2" t="s">
        <v>24</v>
      </c>
      <c r="C11" s="342" t="str">
        <f>VLOOKUP(A11,PROPONENTES!A10:B46,2,FALSE)</f>
        <v>CABA INTERVENTORÍA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3</v>
      </c>
      <c r="J14" s="169">
        <f>+L8</f>
        <v>405.24573153846154</v>
      </c>
      <c r="K14" s="169">
        <f>+E20</f>
        <v>3163.27</v>
      </c>
      <c r="L14" s="18" t="str">
        <f>IF(K14&gt;=J14,"CUMPLE","NO CUMPLE")</f>
        <v>CUMPLE</v>
      </c>
    </row>
    <row r="15" spans="1:12" ht="66.75" customHeight="1" x14ac:dyDescent="0.25">
      <c r="B15" s="314"/>
      <c r="C15" s="98" t="str">
        <f>IF(VLOOKUP(C11,PROPONENTES!B10:N46,2,FALSE)=0,"",VLOOKUP(C11,PROPONENTES!B10:N46,2,FALSE))</f>
        <v>CABA INTERVENTORÍA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3163.27</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3107.7849999999999</v>
      </c>
      <c r="J16" s="169">
        <f>+L8*0.7</f>
        <v>283.67201207692307</v>
      </c>
      <c r="K16" s="18" t="str">
        <f>IF(I16&gt;=J16,"CUMPLE","NO CUMPLE")</f>
        <v>CUMPLE</v>
      </c>
      <c r="L16" s="305">
        <f>AVERAGEIF(D68:J68,"CUMPLE",D46:J46)</f>
        <v>1054.4233333333334</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3163.27</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278</v>
      </c>
      <c r="E24" s="88" t="s">
        <v>278</v>
      </c>
      <c r="F24" s="88" t="s">
        <v>278</v>
      </c>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478</v>
      </c>
      <c r="E27" s="89" t="s">
        <v>479</v>
      </c>
      <c r="F27" s="89" t="s">
        <v>480</v>
      </c>
      <c r="G27" s="89"/>
      <c r="H27" s="89"/>
      <c r="I27" s="89"/>
      <c r="J27" s="89"/>
      <c r="K27" s="297"/>
      <c r="L27" s="298"/>
    </row>
    <row r="28" spans="2:14" ht="156.75" customHeight="1" x14ac:dyDescent="0.25">
      <c r="B28" s="319"/>
      <c r="C28" s="27" t="s">
        <v>36</v>
      </c>
      <c r="D28" s="89" t="s">
        <v>481</v>
      </c>
      <c r="E28" s="89" t="s">
        <v>482</v>
      </c>
      <c r="F28" s="89" t="s">
        <v>483</v>
      </c>
      <c r="G28" s="89"/>
      <c r="H28" s="89"/>
      <c r="I28" s="89"/>
      <c r="J28" s="89"/>
      <c r="K28" s="297"/>
      <c r="L28" s="298"/>
    </row>
    <row r="29" spans="2:14" ht="52.5" customHeight="1" x14ac:dyDescent="0.25">
      <c r="B29" s="319"/>
      <c r="C29" s="27" t="s">
        <v>165</v>
      </c>
      <c r="D29" s="93">
        <v>43857</v>
      </c>
      <c r="E29" s="93">
        <v>43448</v>
      </c>
      <c r="F29" s="93">
        <v>39139</v>
      </c>
      <c r="G29" s="93"/>
      <c r="H29" s="93"/>
      <c r="I29" s="93"/>
      <c r="J29" s="93"/>
      <c r="K29" s="297"/>
      <c r="L29" s="298"/>
    </row>
    <row r="30" spans="2:14" ht="54.75" customHeight="1" x14ac:dyDescent="0.25">
      <c r="B30" s="319"/>
      <c r="C30" s="27" t="s">
        <v>40</v>
      </c>
      <c r="D30" s="93">
        <v>44856</v>
      </c>
      <c r="E30" s="93">
        <v>44088</v>
      </c>
      <c r="F30" s="93">
        <v>39444</v>
      </c>
      <c r="G30" s="93"/>
      <c r="H30" s="93"/>
      <c r="I30" s="93"/>
      <c r="J30" s="93"/>
      <c r="K30" s="297"/>
      <c r="L30" s="298"/>
    </row>
    <row r="31" spans="2:14" ht="41.25" customHeight="1" x14ac:dyDescent="0.25">
      <c r="B31" s="319"/>
      <c r="C31" s="27" t="s">
        <v>37</v>
      </c>
      <c r="D31" s="90">
        <v>2022</v>
      </c>
      <c r="E31" s="90">
        <v>2020</v>
      </c>
      <c r="F31" s="90">
        <v>2007</v>
      </c>
      <c r="G31" s="90"/>
      <c r="H31" s="90"/>
      <c r="I31" s="90"/>
      <c r="J31" s="90"/>
      <c r="K31" s="297"/>
      <c r="L31" s="298"/>
    </row>
    <row r="32" spans="2:14" ht="63" customHeight="1" x14ac:dyDescent="0.25">
      <c r="B32" s="319"/>
      <c r="C32" s="27" t="s">
        <v>38</v>
      </c>
      <c r="D32" s="89" t="s">
        <v>364</v>
      </c>
      <c r="E32" s="89" t="s">
        <v>364</v>
      </c>
      <c r="F32" s="89" t="s">
        <v>364</v>
      </c>
      <c r="G32" s="89"/>
      <c r="H32" s="89"/>
      <c r="I32" s="89"/>
      <c r="J32" s="89"/>
      <c r="K32" s="297"/>
      <c r="L32" s="298"/>
    </row>
    <row r="33" spans="2:12" ht="46.5" customHeight="1" x14ac:dyDescent="0.25">
      <c r="B33" s="319"/>
      <c r="C33" s="27" t="s">
        <v>39</v>
      </c>
      <c r="D33" s="89" t="s">
        <v>484</v>
      </c>
      <c r="E33" s="89" t="s">
        <v>485</v>
      </c>
      <c r="F33" s="89" t="s">
        <v>486</v>
      </c>
      <c r="G33" s="89"/>
      <c r="H33" s="89"/>
      <c r="I33" s="89"/>
      <c r="J33" s="89"/>
      <c r="K33" s="297"/>
      <c r="L33" s="298"/>
    </row>
    <row r="34" spans="2:12" ht="27.75" customHeight="1" x14ac:dyDescent="0.25">
      <c r="B34" s="319"/>
      <c r="C34" s="28" t="s">
        <v>33</v>
      </c>
      <c r="D34" s="94">
        <v>95</v>
      </c>
      <c r="E34" s="94">
        <v>87</v>
      </c>
      <c r="F34" s="94">
        <v>3</v>
      </c>
      <c r="G34" s="95"/>
      <c r="H34" s="95"/>
      <c r="I34" s="95"/>
      <c r="J34" s="95"/>
      <c r="K34" s="297"/>
      <c r="L34" s="298"/>
    </row>
    <row r="35" spans="2:12" ht="102.75" customHeight="1" x14ac:dyDescent="0.25">
      <c r="B35" s="319"/>
      <c r="C35" s="27" t="s">
        <v>124</v>
      </c>
      <c r="D35" s="91">
        <v>4632.22</v>
      </c>
      <c r="E35" s="187">
        <v>3166.7</v>
      </c>
      <c r="F35" s="91">
        <v>184.95</v>
      </c>
      <c r="G35" s="91"/>
      <c r="H35" s="91"/>
      <c r="I35" s="91"/>
      <c r="J35" s="91"/>
      <c r="K35" s="299"/>
      <c r="L35" s="300"/>
    </row>
    <row r="36" spans="2:12" ht="48" customHeight="1" x14ac:dyDescent="0.25">
      <c r="B36" s="319"/>
      <c r="C36" s="27" t="s">
        <v>72</v>
      </c>
      <c r="D36" s="103">
        <f>IFERROR(D35*VLOOKUP(D31,'DATOS INICIALES'!$A$12:$B$43,2,0),"0")</f>
        <v>4632220000</v>
      </c>
      <c r="E36" s="103">
        <f>IFERROR(E35*VLOOKUP(E31,'DATOS INICIALES'!$A$12:$B$43,2,0),"0")</f>
        <v>2779738760.0999999</v>
      </c>
      <c r="F36" s="103">
        <f>IFERROR(F35*VLOOKUP(F31,'DATOS INICIALES'!$A$12:$B$43,2,0),"0")</f>
        <v>80212815</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0.5</v>
      </c>
      <c r="E37" s="92">
        <v>0.25</v>
      </c>
      <c r="F37" s="92">
        <v>0.3</v>
      </c>
      <c r="G37" s="92"/>
      <c r="H37" s="92"/>
      <c r="I37" s="92"/>
      <c r="J37" s="92"/>
      <c r="K37" s="297"/>
      <c r="L37" s="298"/>
    </row>
    <row r="38" spans="2:12" ht="48.75" customHeight="1" x14ac:dyDescent="0.25">
      <c r="B38" s="319"/>
      <c r="C38" s="27" t="s">
        <v>131</v>
      </c>
      <c r="D38" s="103">
        <f t="shared" ref="D38:J38" si="0">IF(D24="","0",D37*D36)</f>
        <v>2316110000</v>
      </c>
      <c r="E38" s="103">
        <f t="shared" si="0"/>
        <v>694934690.02499998</v>
      </c>
      <c r="F38" s="103">
        <f t="shared" si="0"/>
        <v>24063844.5</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2316.11</v>
      </c>
      <c r="E39" s="104">
        <f t="shared" si="1"/>
        <v>791.67499999999995</v>
      </c>
      <c r="F39" s="104">
        <f t="shared" si="1"/>
        <v>55.484999999999992</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2316.11</v>
      </c>
      <c r="E46" s="104">
        <f t="shared" ref="E46:G46" si="6">+E39+E42+E45</f>
        <v>791.67499999999995</v>
      </c>
      <c r="F46" s="104">
        <f t="shared" si="6"/>
        <v>55.484999999999992</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t="s">
        <v>75</v>
      </c>
      <c r="E49" s="94" t="s">
        <v>75</v>
      </c>
      <c r="F49" s="94" t="s">
        <v>75</v>
      </c>
      <c r="G49" s="94"/>
      <c r="H49" s="94"/>
      <c r="I49" s="94"/>
      <c r="J49" s="95"/>
      <c r="K49" s="297"/>
      <c r="L49" s="298"/>
    </row>
    <row r="50" spans="2:12" ht="24.75" customHeight="1" x14ac:dyDescent="0.25">
      <c r="B50" s="316"/>
      <c r="C50" s="29">
        <f>+'DATOS INICIALES'!D24</f>
        <v>80101600</v>
      </c>
      <c r="D50" s="94" t="s">
        <v>75</v>
      </c>
      <c r="E50" s="94" t="s">
        <v>75</v>
      </c>
      <c r="F50" s="94" t="s">
        <v>75</v>
      </c>
      <c r="G50" s="94"/>
      <c r="H50" s="94"/>
      <c r="I50" s="94"/>
      <c r="J50" s="95"/>
      <c r="K50" s="297"/>
      <c r="L50" s="298"/>
    </row>
    <row r="51" spans="2:12" ht="24.75" customHeight="1" x14ac:dyDescent="0.25">
      <c r="B51" s="316"/>
      <c r="C51" s="29">
        <f>+'DATOS INICIALES'!D25</f>
        <v>81101500</v>
      </c>
      <c r="D51" s="94"/>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14</v>
      </c>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c r="H61" s="88"/>
      <c r="I61" s="88"/>
      <c r="J61" s="88"/>
      <c r="K61" s="297"/>
      <c r="L61" s="298"/>
    </row>
    <row r="62" spans="2:12" ht="45" customHeight="1" x14ac:dyDescent="0.25">
      <c r="B62" s="290" t="s">
        <v>207</v>
      </c>
      <c r="C62" s="291"/>
      <c r="D62" s="88" t="s">
        <v>14</v>
      </c>
      <c r="E62" s="88" t="s">
        <v>14</v>
      </c>
      <c r="F62" s="88" t="s">
        <v>14</v>
      </c>
      <c r="G62" s="88"/>
      <c r="H62" s="88"/>
      <c r="I62" s="88"/>
      <c r="J62" s="88"/>
      <c r="K62" s="297"/>
      <c r="L62" s="298"/>
    </row>
    <row r="63" spans="2:12" ht="181.5" customHeight="1" x14ac:dyDescent="0.25">
      <c r="B63" s="290" t="s">
        <v>218</v>
      </c>
      <c r="C63" s="291"/>
      <c r="D63" s="88" t="s">
        <v>13</v>
      </c>
      <c r="E63" s="88" t="s">
        <v>13</v>
      </c>
      <c r="F63" s="88" t="s">
        <v>13</v>
      </c>
      <c r="G63" s="88"/>
      <c r="H63" s="88"/>
      <c r="I63" s="88"/>
      <c r="J63" s="88"/>
      <c r="K63" s="297"/>
      <c r="L63" s="298"/>
    </row>
    <row r="64" spans="2:12" ht="336" customHeight="1" x14ac:dyDescent="0.25">
      <c r="B64" s="242" t="s">
        <v>220</v>
      </c>
      <c r="C64" s="242"/>
      <c r="D64" s="88" t="s">
        <v>14</v>
      </c>
      <c r="E64" s="88" t="s">
        <v>14</v>
      </c>
      <c r="F64" s="88" t="s">
        <v>14</v>
      </c>
      <c r="G64" s="88"/>
      <c r="H64" s="88"/>
      <c r="I64" s="88"/>
      <c r="J64" s="88"/>
      <c r="K64" s="299"/>
      <c r="L64" s="300"/>
    </row>
    <row r="65" spans="2:12" ht="143.25" customHeight="1" x14ac:dyDescent="0.25">
      <c r="B65" s="293" t="s">
        <v>221</v>
      </c>
      <c r="C65" s="294"/>
      <c r="D65" s="88" t="s">
        <v>13</v>
      </c>
      <c r="E65" s="88" t="s">
        <v>13</v>
      </c>
      <c r="F65" s="88" t="s">
        <v>13</v>
      </c>
      <c r="G65" s="88"/>
      <c r="H65" s="88"/>
      <c r="I65" s="88"/>
      <c r="J65" s="88"/>
      <c r="K65" s="297"/>
      <c r="L65" s="298"/>
    </row>
    <row r="66" spans="2:12" ht="408.75" customHeight="1" x14ac:dyDescent="0.25">
      <c r="B66" s="292" t="s">
        <v>208</v>
      </c>
      <c r="C66" s="292"/>
      <c r="D66" s="88" t="s">
        <v>13</v>
      </c>
      <c r="E66" s="88" t="s">
        <v>13</v>
      </c>
      <c r="F66" s="88" t="s">
        <v>13</v>
      </c>
      <c r="G66" s="88"/>
      <c r="H66" s="88"/>
      <c r="I66" s="88"/>
      <c r="J66" s="88"/>
      <c r="K66" s="297"/>
      <c r="L66" s="298"/>
    </row>
    <row r="67" spans="2:12" ht="312.75" customHeight="1" x14ac:dyDescent="0.25">
      <c r="B67" s="242" t="s">
        <v>209</v>
      </c>
      <c r="C67" s="242"/>
      <c r="D67" s="88" t="s">
        <v>14</v>
      </c>
      <c r="E67" s="88" t="s">
        <v>14</v>
      </c>
      <c r="F67" s="88" t="s">
        <v>14</v>
      </c>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CUMPLE</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72:C72"/>
    <mergeCell ref="B73:C73"/>
    <mergeCell ref="B66:C66"/>
    <mergeCell ref="K66:L66"/>
    <mergeCell ref="B67:C67"/>
    <mergeCell ref="K67:L67"/>
    <mergeCell ref="B68:C68"/>
    <mergeCell ref="B69:C69"/>
    <mergeCell ref="K69:L69"/>
    <mergeCell ref="B71:E71"/>
    <mergeCell ref="B63:C63"/>
    <mergeCell ref="K63:L63"/>
    <mergeCell ref="B64:C64"/>
    <mergeCell ref="K64:L64"/>
    <mergeCell ref="B65:C65"/>
    <mergeCell ref="K65:L65"/>
    <mergeCell ref="B60:C60"/>
    <mergeCell ref="K60:L60"/>
    <mergeCell ref="B61:C61"/>
    <mergeCell ref="K61:L61"/>
    <mergeCell ref="B62:C62"/>
    <mergeCell ref="K62:L62"/>
    <mergeCell ref="B57:C57"/>
    <mergeCell ref="K57:L57"/>
    <mergeCell ref="B58:C58"/>
    <mergeCell ref="K58:L58"/>
    <mergeCell ref="B59:C59"/>
    <mergeCell ref="K59:L59"/>
    <mergeCell ref="K53:L53"/>
    <mergeCell ref="K54:L54"/>
    <mergeCell ref="K55:L55"/>
    <mergeCell ref="B56:C56"/>
    <mergeCell ref="K56:L56"/>
    <mergeCell ref="B48:B55"/>
    <mergeCell ref="K48:L48"/>
    <mergeCell ref="K49:L49"/>
    <mergeCell ref="K50:L50"/>
    <mergeCell ref="K51:L51"/>
    <mergeCell ref="K43:L43"/>
    <mergeCell ref="K44:L44"/>
    <mergeCell ref="K45:L45"/>
    <mergeCell ref="K47:L47"/>
    <mergeCell ref="K52:L52"/>
    <mergeCell ref="K37:L37"/>
    <mergeCell ref="K38:L38"/>
    <mergeCell ref="K39:L39"/>
    <mergeCell ref="K40:L40"/>
    <mergeCell ref="K42:L42"/>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B14:B19"/>
    <mergeCell ref="L16:L19"/>
    <mergeCell ref="B21:L21"/>
    <mergeCell ref="B22:L22"/>
    <mergeCell ref="K23:L23"/>
    <mergeCell ref="B74:C74"/>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s>
  <conditionalFormatting sqref="D73">
    <cfRule type="containsBlanks" dxfId="602" priority="20">
      <formula>LEN(TRIM(D73))=0</formula>
    </cfRule>
    <cfRule type="notContainsErrors" dxfId="601" priority="21">
      <formula>NOT(ISERROR(D73))</formula>
    </cfRule>
    <cfRule type="cellIs" dxfId="600" priority="22" operator="equal">
      <formula>"NO CUMPLE"</formula>
    </cfRule>
    <cfRule type="cellIs" dxfId="599" priority="23" operator="equal">
      <formula>"CUMPLE"</formula>
    </cfRule>
  </conditionalFormatting>
  <conditionalFormatting sqref="D74">
    <cfRule type="cellIs" dxfId="598" priority="24" operator="equal">
      <formula>"N/A"</formula>
    </cfRule>
    <cfRule type="cellIs" dxfId="597" priority="25" operator="equal">
      <formula>"CUMPLE"</formula>
    </cfRule>
    <cfRule type="cellIs" dxfId="596" priority="26" operator="equal">
      <formula>"NO CUMPLE"</formula>
    </cfRule>
    <cfRule type="cellIs" dxfId="595" priority="27" operator="equal">
      <formula>"""CUMPLE"""</formula>
    </cfRule>
  </conditionalFormatting>
  <conditionalFormatting sqref="D25:J35">
    <cfRule type="containsBlanks" dxfId="594" priority="42">
      <formula>LEN(TRIM(D25))=0</formula>
    </cfRule>
    <cfRule type="notContainsErrors" dxfId="593" priority="43">
      <formula>NOT(ISERROR(D25))</formula>
    </cfRule>
  </conditionalFormatting>
  <conditionalFormatting sqref="D34:J34 D24:K24 D37:J37 D40:J40 D43:J43 K68:L68">
    <cfRule type="containsBlanks" dxfId="592" priority="44">
      <formula>LEN(TRIM(D24))=0</formula>
    </cfRule>
  </conditionalFormatting>
  <conditionalFormatting sqref="D47:J54">
    <cfRule type="cellIs" dxfId="591" priority="7" operator="equal">
      <formula>"NO CUMPLE"</formula>
    </cfRule>
    <cfRule type="cellIs" dxfId="590" priority="8" operator="equal">
      <formula>"CUMPLE"</formula>
    </cfRule>
    <cfRule type="containsBlanks" dxfId="589" priority="9">
      <formula>LEN(TRIM(D47))=0</formula>
    </cfRule>
    <cfRule type="notContainsErrors" dxfId="588" priority="10">
      <formula>NOT(ISERROR(D47))</formula>
    </cfRule>
  </conditionalFormatting>
  <conditionalFormatting sqref="D55:J55">
    <cfRule type="cellIs" dxfId="587" priority="53" operator="equal">
      <formula>"""CUMPLE"""</formula>
    </cfRule>
    <cfRule type="cellIs" dxfId="586" priority="52" operator="equal">
      <formula>"NO CUMPLE"</formula>
    </cfRule>
    <cfRule type="cellIs" dxfId="585" priority="51" operator="equal">
      <formula>"CUMPLE"</formula>
    </cfRule>
    <cfRule type="cellIs" dxfId="584" priority="50" operator="equal">
      <formula>"N/A"</formula>
    </cfRule>
  </conditionalFormatting>
  <conditionalFormatting sqref="D56:J67">
    <cfRule type="cellIs" dxfId="583" priority="2" operator="equal">
      <formula>"CUMPLE"</formula>
    </cfRule>
    <cfRule type="containsBlanks" dxfId="582" priority="3">
      <formula>LEN(TRIM(D56))=0</formula>
    </cfRule>
    <cfRule type="notContainsErrors" dxfId="581" priority="4">
      <formula>NOT(ISERROR(D56))</formula>
    </cfRule>
    <cfRule type="cellIs" dxfId="580" priority="1" operator="equal">
      <formula>"NO CUMPLE"</formula>
    </cfRule>
  </conditionalFormatting>
  <conditionalFormatting sqref="D61:J67">
    <cfRule type="containsBlanks" dxfId="579" priority="5">
      <formula>LEN(TRIM(D61))=0</formula>
    </cfRule>
    <cfRule type="notContainsErrors" dxfId="578" priority="6">
      <formula>NOT(ISERROR(D61))</formula>
    </cfRule>
  </conditionalFormatting>
  <conditionalFormatting sqref="D68:J68">
    <cfRule type="cellIs" dxfId="577" priority="46" operator="equal">
      <formula>"N/A"</formula>
    </cfRule>
    <cfRule type="cellIs" dxfId="576" priority="47" operator="equal">
      <formula>"CUMPLE"</formula>
    </cfRule>
    <cfRule type="cellIs" dxfId="575" priority="48" operator="equal">
      <formula>"NO CUMPLE"</formula>
    </cfRule>
    <cfRule type="cellIs" dxfId="574" priority="49" operator="equal">
      <formula>"""CUMPLE"""</formula>
    </cfRule>
  </conditionalFormatting>
  <conditionalFormatting sqref="D69:J69">
    <cfRule type="cellIs" dxfId="573" priority="15" operator="equal">
      <formula>"CUMPLE"</formula>
    </cfRule>
    <cfRule type="cellIs" dxfId="572" priority="14" operator="equal">
      <formula>"NO CUMPLE"</formula>
    </cfRule>
  </conditionalFormatting>
  <conditionalFormatting sqref="D24:K24 D34:J34 D37:J37 D40:J40 D43:J43 K68:L68">
    <cfRule type="notContainsErrors" dxfId="571" priority="45">
      <formula>NOT(ISERROR(D24))</formula>
    </cfRule>
  </conditionalFormatting>
  <conditionalFormatting sqref="D69:K69">
    <cfRule type="notContainsErrors" dxfId="570" priority="17">
      <formula>NOT(ISERROR(D69))</formula>
    </cfRule>
    <cfRule type="containsBlanks" dxfId="569" priority="16">
      <formula>LEN(TRIM(D69))=0</formula>
    </cfRule>
  </conditionalFormatting>
  <conditionalFormatting sqref="E73:E74">
    <cfRule type="notContainsErrors" dxfId="568" priority="19">
      <formula>NOT(ISERROR(E73))</formula>
    </cfRule>
    <cfRule type="containsBlanks" dxfId="567" priority="18">
      <formula>LEN(TRIM(E73))=0</formula>
    </cfRule>
  </conditionalFormatting>
  <conditionalFormatting sqref="F20:H20">
    <cfRule type="cellIs" dxfId="566" priority="57" operator="equal">
      <formula>"CUMPLE"</formula>
    </cfRule>
    <cfRule type="cellIs" dxfId="565" priority="58" operator="equal">
      <formula>"NO CUMPLE"</formula>
    </cfRule>
    <cfRule type="cellIs" dxfId="564" priority="59" operator="equal">
      <formula>"""CUMPLE"""</formula>
    </cfRule>
  </conditionalFormatting>
  <conditionalFormatting sqref="I11">
    <cfRule type="containsText" dxfId="563" priority="60" operator="containsText" text="INHABILITADO">
      <formula>NOT(ISERROR(SEARCH("INHABILITADO",I11)))</formula>
    </cfRule>
    <cfRule type="containsText" dxfId="562" priority="61" operator="containsText" text="HABILITADO">
      <formula>NOT(ISERROR(SEARCH("HABILITADO",I11)))</formula>
    </cfRule>
    <cfRule type="containsText" dxfId="561" priority="62" operator="containsText" text="HABILITADO">
      <formula>NOT(ISERROR(SEARCH("HABILITADO",I11)))</formula>
    </cfRule>
    <cfRule type="containsText" dxfId="560" priority="63" operator="containsText" text="NO CUMPLE">
      <formula>NOT(ISERROR(SEARCH("NO CUMPLE",I11)))</formula>
    </cfRule>
  </conditionalFormatting>
  <conditionalFormatting sqref="J20">
    <cfRule type="cellIs" dxfId="559" priority="38" operator="equal">
      <formula>"NO"</formula>
    </cfRule>
    <cfRule type="cellIs" dxfId="558" priority="39" operator="equal">
      <formula>"SI"</formula>
    </cfRule>
  </conditionalFormatting>
  <conditionalFormatting sqref="K16">
    <cfRule type="cellIs" dxfId="557" priority="11" operator="equal">
      <formula>"CUMPLE"</formula>
    </cfRule>
    <cfRule type="cellIs" dxfId="556" priority="12" operator="equal">
      <formula>"NO CUMPLE"</formula>
    </cfRule>
    <cfRule type="cellIs" dxfId="555" priority="13" operator="equal">
      <formula>"""CUMPLE"""</formula>
    </cfRule>
  </conditionalFormatting>
  <conditionalFormatting sqref="K25:K67">
    <cfRule type="notContainsErrors" dxfId="554" priority="29">
      <formula>NOT(ISERROR(K25))</formula>
    </cfRule>
    <cfRule type="containsBlanks" dxfId="553" priority="28">
      <formula>LEN(TRIM(K25))=0</formula>
    </cfRule>
  </conditionalFormatting>
  <conditionalFormatting sqref="L14">
    <cfRule type="cellIs" dxfId="552" priority="54" operator="equal">
      <formula>"CUMPLE"</formula>
    </cfRule>
    <cfRule type="cellIs" dxfId="551" priority="55" operator="equal">
      <formula>"NO CUMPLE"</formula>
    </cfRule>
    <cfRule type="cellIs" dxfId="550" priority="56" operator="equal">
      <formula>"""CUMPLE"""</formula>
    </cfRule>
  </conditionalFormatting>
  <conditionalFormatting sqref="L20">
    <cfRule type="cellIs" dxfId="549" priority="36" operator="equal">
      <formula>"NO"</formula>
    </cfRule>
    <cfRule type="cellIs" dxfId="548" priority="37" operator="equal">
      <formula>"SI"</formula>
    </cfRule>
  </conditionalFormatting>
  <dataValidations count="4">
    <dataValidation type="list" allowBlank="1" showInputMessage="1" showErrorMessage="1" sqref="J48:J53" xr:uid="{F132F4EF-8027-4414-A2E7-EDE8FCF3868E}">
      <formula1>$C$45:$C$46</formula1>
    </dataValidation>
    <dataValidation type="list" allowBlank="1" showInputMessage="1" showErrorMessage="1" sqref="D73" xr:uid="{92C10E64-FDA6-4C0C-AD71-34615B381471}">
      <formula1>$A$50:$A$52</formula1>
    </dataValidation>
    <dataValidation type="list" allowBlank="1" showInputMessage="1" showErrorMessage="1" sqref="L61:L69" xr:uid="{7FFC1B7B-6128-415E-8D1C-6EE8793EC487}">
      <formula1>"0,1,2,3,4,5,6"</formula1>
    </dataValidation>
    <dataValidation type="list" allowBlank="1" showInputMessage="1" showErrorMessage="1" sqref="D24:J26" xr:uid="{834CB369-D901-4B61-9B9D-A7DB8B9A4BD0}">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635A7F99-4E16-4356-8CB6-BAFD5CB9B0D5}">
          <x14:formula1>
            <xm:f>'DATOS INICIALES'!$C$45:$C$46</xm:f>
          </x14:formula1>
          <xm:sqref>D48:I54</xm:sqref>
        </x14:dataValidation>
        <x14:dataValidation type="list" allowBlank="1" showInputMessage="1" showErrorMessage="1" xr:uid="{39ABAD5B-E22A-4142-B3CD-5F6E8B06124A}">
          <x14:formula1>
            <xm:f>'DATOS INICIALES'!$A$50:$A$52</xm:f>
          </x14:formula1>
          <xm:sqref>D56:J67</xm:sqref>
        </x14:dataValidation>
        <x14:dataValidation type="list" allowBlank="1" showInputMessage="1" showErrorMessage="1" xr:uid="{C8C6767A-4F96-4059-8FFE-7CF69C37F2E9}">
          <x14:formula1>
            <xm:f>'DATOS INICIALES'!$A$54:$A$59</xm:f>
          </x14:formula1>
          <xm:sqref>D23:I23</xm:sqref>
        </x14:dataValidation>
        <x14:dataValidation type="list" allowBlank="1" showInputMessage="1" showErrorMessage="1" xr:uid="{6029636A-B184-44A5-A389-DAFFE825195F}">
          <x14:formula1>
            <xm:f>'DATOS INICIALES'!$D$22:$D$26</xm:f>
          </x14:formula1>
          <xm:sqref>M48:M55</xm:sqref>
        </x14:dataValidation>
        <x14:dataValidation type="list" allowBlank="1" showInputMessage="1" showErrorMessage="1" xr:uid="{29A9DA74-A4B6-4B3D-9D3F-B3C3B0811B7C}">
          <x14:formula1>
            <xm:f>'DATOS INICIALES'!$A$13:$A$43</xm:f>
          </x14:formula1>
          <xm:sqref>D31:I31</xm:sqref>
        </x14:dataValidation>
        <x14:dataValidation type="list" allowBlank="1" showInputMessage="1" showErrorMessage="1" xr:uid="{E91AE841-B938-46FD-8FA4-A4F179597FBF}">
          <x14:formula1>
            <xm:f>'DATOS INICIALES'!$A$50:$A$51</xm:f>
          </x14:formula1>
          <xm:sqref>D69:J69 D47:J47</xm:sqref>
        </x14:dataValidation>
      </x14:dataValidation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2D2BA-ACB0-4D61-9852-B0BDC18EA5ED}">
  <dimension ref="A1:N74"/>
  <sheetViews>
    <sheetView view="pageBreakPreview" zoomScale="55" zoomScaleNormal="55" zoomScaleSheetLayoutView="55" workbookViewId="0">
      <pane ySplit="11" topLeftCell="A67" activePane="bottomLeft" state="frozenSplit"/>
      <selection activeCell="D56" sqref="D56:J67"/>
      <selection pane="bottomLeft" activeCell="E73" sqref="E73"/>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29</v>
      </c>
      <c r="B11" s="2" t="s">
        <v>24</v>
      </c>
      <c r="C11" s="342" t="str">
        <f>VLOOKUP(A11,PROPONENTES!A10:B46,2,FALSE)</f>
        <v>MIRS LATINOAMERICA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1988.5050000000001</v>
      </c>
      <c r="L14" s="18" t="str">
        <f>IF(K14&gt;=J14,"CUMPLE","NO CUMPLE")</f>
        <v>CUMPLE</v>
      </c>
    </row>
    <row r="15" spans="1:12" ht="66.75" customHeight="1" x14ac:dyDescent="0.25">
      <c r="B15" s="314"/>
      <c r="C15" s="98" t="str">
        <f>IF(VLOOKUP(C11,PROPONENTES!B10:N46,2,FALSE)=0,"",VLOOKUP(C11,PROPONENTES!B10:N46,2,FALSE))</f>
        <v>MIRS LATINOAMERICA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1988.5050000000001</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1377.98</v>
      </c>
      <c r="J16" s="169">
        <f>+L8*0.7</f>
        <v>283.67201207692307</v>
      </c>
      <c r="K16" s="18" t="str">
        <f>IF(I16&gt;=J16,"CUMPLE","NO CUMPLE")</f>
        <v>CUMPLE</v>
      </c>
      <c r="L16" s="305">
        <f>AVERAGEIF(D68:J68,"CUMPLE",D46:J46)</f>
        <v>994.25250000000005</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1988.5050000000001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279</v>
      </c>
      <c r="E24" s="88" t="s">
        <v>279</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487</v>
      </c>
      <c r="E27" s="89" t="s">
        <v>488</v>
      </c>
      <c r="F27" s="89"/>
      <c r="G27" s="89"/>
      <c r="H27" s="89"/>
      <c r="I27" s="89"/>
      <c r="J27" s="89"/>
      <c r="K27" s="297"/>
      <c r="L27" s="298"/>
    </row>
    <row r="28" spans="2:14" ht="156.75" customHeight="1" x14ac:dyDescent="0.25">
      <c r="B28" s="319"/>
      <c r="C28" s="27" t="s">
        <v>36</v>
      </c>
      <c r="D28" s="89" t="s">
        <v>489</v>
      </c>
      <c r="E28" s="89" t="s">
        <v>490</v>
      </c>
      <c r="F28" s="89"/>
      <c r="G28" s="89"/>
      <c r="H28" s="89"/>
      <c r="I28" s="89"/>
      <c r="J28" s="89"/>
      <c r="K28" s="297"/>
      <c r="L28" s="298"/>
    </row>
    <row r="29" spans="2:14" ht="52.5" customHeight="1" x14ac:dyDescent="0.25">
      <c r="B29" s="319"/>
      <c r="C29" s="27" t="s">
        <v>165</v>
      </c>
      <c r="D29" s="93">
        <v>44599</v>
      </c>
      <c r="E29" s="93">
        <v>43857</v>
      </c>
      <c r="F29" s="93"/>
      <c r="G29" s="93"/>
      <c r="H29" s="93"/>
      <c r="I29" s="93"/>
      <c r="J29" s="93"/>
      <c r="K29" s="297"/>
      <c r="L29" s="298"/>
    </row>
    <row r="30" spans="2:14" ht="54.75" customHeight="1" x14ac:dyDescent="0.25">
      <c r="B30" s="319"/>
      <c r="C30" s="27" t="s">
        <v>40</v>
      </c>
      <c r="D30" s="93">
        <v>45088</v>
      </c>
      <c r="E30" s="93">
        <v>44354</v>
      </c>
      <c r="F30" s="93"/>
      <c r="G30" s="93"/>
      <c r="H30" s="93"/>
      <c r="I30" s="93"/>
      <c r="J30" s="93"/>
      <c r="K30" s="297"/>
      <c r="L30" s="298"/>
    </row>
    <row r="31" spans="2:14" ht="41.25" customHeight="1" x14ac:dyDescent="0.25">
      <c r="B31" s="319"/>
      <c r="C31" s="27" t="s">
        <v>37</v>
      </c>
      <c r="D31" s="90">
        <v>2023</v>
      </c>
      <c r="E31" s="90">
        <v>2021</v>
      </c>
      <c r="F31" s="90"/>
      <c r="G31" s="90"/>
      <c r="H31" s="90"/>
      <c r="I31" s="90"/>
      <c r="J31" s="90"/>
      <c r="K31" s="297"/>
      <c r="L31" s="298"/>
    </row>
    <row r="32" spans="2:14" ht="63" customHeight="1" x14ac:dyDescent="0.25">
      <c r="B32" s="319"/>
      <c r="C32" s="27" t="s">
        <v>38</v>
      </c>
      <c r="D32" s="89" t="s">
        <v>491</v>
      </c>
      <c r="E32" s="89" t="s">
        <v>492</v>
      </c>
      <c r="F32" s="89"/>
      <c r="G32" s="89"/>
      <c r="H32" s="89"/>
      <c r="I32" s="89"/>
      <c r="J32" s="89"/>
      <c r="K32" s="297"/>
      <c r="L32" s="298"/>
    </row>
    <row r="33" spans="2:12" ht="46.5" customHeight="1" x14ac:dyDescent="0.25">
      <c r="B33" s="319"/>
      <c r="C33" s="27" t="s">
        <v>39</v>
      </c>
      <c r="D33" s="89" t="s">
        <v>493</v>
      </c>
      <c r="E33" s="89" t="s">
        <v>494</v>
      </c>
      <c r="F33" s="89"/>
      <c r="G33" s="89"/>
      <c r="H33" s="89"/>
      <c r="I33" s="89"/>
      <c r="J33" s="89"/>
      <c r="K33" s="297"/>
      <c r="L33" s="298"/>
    </row>
    <row r="34" spans="2:12" ht="27.75" customHeight="1" x14ac:dyDescent="0.25">
      <c r="B34" s="319"/>
      <c r="C34" s="28" t="s">
        <v>33</v>
      </c>
      <c r="D34" s="94">
        <v>69</v>
      </c>
      <c r="E34" s="94">
        <v>58</v>
      </c>
      <c r="F34" s="94"/>
      <c r="G34" s="95"/>
      <c r="H34" s="95"/>
      <c r="I34" s="95"/>
      <c r="J34" s="95"/>
      <c r="K34" s="297"/>
      <c r="L34" s="298"/>
    </row>
    <row r="35" spans="2:12" ht="102.75" customHeight="1" x14ac:dyDescent="0.25">
      <c r="B35" s="319"/>
      <c r="C35" s="27" t="s">
        <v>124</v>
      </c>
      <c r="D35" s="91">
        <v>1377.98</v>
      </c>
      <c r="E35" s="91">
        <v>1221.05</v>
      </c>
      <c r="F35" s="91"/>
      <c r="G35" s="91"/>
      <c r="H35" s="91"/>
      <c r="I35" s="91"/>
      <c r="J35" s="91"/>
      <c r="K35" s="299"/>
      <c r="L35" s="300"/>
    </row>
    <row r="36" spans="2:12" ht="48" customHeight="1" x14ac:dyDescent="0.25">
      <c r="B36" s="319"/>
      <c r="C36" s="27" t="s">
        <v>72</v>
      </c>
      <c r="D36" s="103">
        <f>IFERROR(D35*VLOOKUP(D31,'DATOS INICIALES'!$A$12:$B$43,2,0),"0")</f>
        <v>1598456800</v>
      </c>
      <c r="E36" s="103">
        <f>IFERROR(E35*VLOOKUP(E31,'DATOS INICIALES'!$A$12:$B$43,2,0),"0")</f>
        <v>1109355672.3</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0.5</v>
      </c>
      <c r="F37" s="92"/>
      <c r="G37" s="92"/>
      <c r="H37" s="92"/>
      <c r="I37" s="92"/>
      <c r="J37" s="92"/>
      <c r="K37" s="297"/>
      <c r="L37" s="298"/>
    </row>
    <row r="38" spans="2:12" ht="48.75" customHeight="1" x14ac:dyDescent="0.25">
      <c r="B38" s="319"/>
      <c r="C38" s="27" t="s">
        <v>131</v>
      </c>
      <c r="D38" s="103">
        <f t="shared" ref="D38:J38" si="0">IF(D24="","0",D37*D36)</f>
        <v>1598456800</v>
      </c>
      <c r="E38" s="103">
        <f t="shared" si="0"/>
        <v>554677836.14999998</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1377.98</v>
      </c>
      <c r="E39" s="104">
        <f t="shared" si="1"/>
        <v>610.52499999999998</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1377.98</v>
      </c>
      <c r="E46" s="104">
        <f t="shared" ref="E46:G46" si="6">+E39+E42+E45</f>
        <v>610.52499999999998</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75</v>
      </c>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495</v>
      </c>
      <c r="E66" s="88" t="s">
        <v>495</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203"/>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73">
    <cfRule type="containsBlanks" dxfId="547" priority="20">
      <formula>LEN(TRIM(D73))=0</formula>
    </cfRule>
    <cfRule type="notContainsErrors" dxfId="546" priority="21">
      <formula>NOT(ISERROR(D73))</formula>
    </cfRule>
    <cfRule type="cellIs" dxfId="545" priority="22" operator="equal">
      <formula>"NO CUMPLE"</formula>
    </cfRule>
    <cfRule type="cellIs" dxfId="544" priority="23" operator="equal">
      <formula>"CUMPLE"</formula>
    </cfRule>
  </conditionalFormatting>
  <conditionalFormatting sqref="D74">
    <cfRule type="cellIs" dxfId="543" priority="24" operator="equal">
      <formula>"N/A"</formula>
    </cfRule>
    <cfRule type="cellIs" dxfId="542" priority="25" operator="equal">
      <formula>"CUMPLE"</formula>
    </cfRule>
    <cfRule type="cellIs" dxfId="541" priority="26" operator="equal">
      <formula>"NO CUMPLE"</formula>
    </cfRule>
    <cfRule type="cellIs" dxfId="540" priority="27" operator="equal">
      <formula>"""CUMPLE"""</formula>
    </cfRule>
  </conditionalFormatting>
  <conditionalFormatting sqref="D25:J35">
    <cfRule type="containsBlanks" dxfId="539" priority="42">
      <formula>LEN(TRIM(D25))=0</formula>
    </cfRule>
    <cfRule type="notContainsErrors" dxfId="538" priority="43">
      <formula>NOT(ISERROR(D25))</formula>
    </cfRule>
  </conditionalFormatting>
  <conditionalFormatting sqref="D34:J34 D24:K24 D37:J37 D40:J40 D43:J43 K68:L68">
    <cfRule type="containsBlanks" dxfId="537" priority="44">
      <formula>LEN(TRIM(D24))=0</formula>
    </cfRule>
  </conditionalFormatting>
  <conditionalFormatting sqref="D47:J54">
    <cfRule type="cellIs" dxfId="536" priority="7" operator="equal">
      <formula>"NO CUMPLE"</formula>
    </cfRule>
    <cfRule type="cellIs" dxfId="535" priority="8" operator="equal">
      <formula>"CUMPLE"</formula>
    </cfRule>
    <cfRule type="containsBlanks" dxfId="534" priority="9">
      <formula>LEN(TRIM(D47))=0</formula>
    </cfRule>
    <cfRule type="notContainsErrors" dxfId="533" priority="10">
      <formula>NOT(ISERROR(D47))</formula>
    </cfRule>
  </conditionalFormatting>
  <conditionalFormatting sqref="D55:J55">
    <cfRule type="cellIs" dxfId="532" priority="53" operator="equal">
      <formula>"""CUMPLE"""</formula>
    </cfRule>
    <cfRule type="cellIs" dxfId="531" priority="52" operator="equal">
      <formula>"NO CUMPLE"</formula>
    </cfRule>
    <cfRule type="cellIs" dxfId="530" priority="51" operator="equal">
      <formula>"CUMPLE"</formula>
    </cfRule>
    <cfRule type="cellIs" dxfId="529" priority="50" operator="equal">
      <formula>"N/A"</formula>
    </cfRule>
  </conditionalFormatting>
  <conditionalFormatting sqref="D56:J67">
    <cfRule type="cellIs" dxfId="528" priority="2" operator="equal">
      <formula>"CUMPLE"</formula>
    </cfRule>
    <cfRule type="containsBlanks" dxfId="527" priority="3">
      <formula>LEN(TRIM(D56))=0</formula>
    </cfRule>
    <cfRule type="notContainsErrors" dxfId="526" priority="4">
      <formula>NOT(ISERROR(D56))</formula>
    </cfRule>
    <cfRule type="cellIs" dxfId="525" priority="1" operator="equal">
      <formula>"NO CUMPLE"</formula>
    </cfRule>
  </conditionalFormatting>
  <conditionalFormatting sqref="D61:J67">
    <cfRule type="containsBlanks" dxfId="524" priority="5">
      <formula>LEN(TRIM(D61))=0</formula>
    </cfRule>
    <cfRule type="notContainsErrors" dxfId="523" priority="6">
      <formula>NOT(ISERROR(D61))</formula>
    </cfRule>
  </conditionalFormatting>
  <conditionalFormatting sqref="D68:J68">
    <cfRule type="cellIs" dxfId="522" priority="46" operator="equal">
      <formula>"N/A"</formula>
    </cfRule>
    <cfRule type="cellIs" dxfId="521" priority="47" operator="equal">
      <formula>"CUMPLE"</formula>
    </cfRule>
    <cfRule type="cellIs" dxfId="520" priority="48" operator="equal">
      <formula>"NO CUMPLE"</formula>
    </cfRule>
    <cfRule type="cellIs" dxfId="519" priority="49" operator="equal">
      <formula>"""CUMPLE"""</formula>
    </cfRule>
  </conditionalFormatting>
  <conditionalFormatting sqref="D69:J69">
    <cfRule type="cellIs" dxfId="518" priority="15" operator="equal">
      <formula>"CUMPLE"</formula>
    </cfRule>
    <cfRule type="cellIs" dxfId="517" priority="14" operator="equal">
      <formula>"NO CUMPLE"</formula>
    </cfRule>
  </conditionalFormatting>
  <conditionalFormatting sqref="D24:K24 D34:J34 D37:J37 D40:J40 D43:J43 K68:L68">
    <cfRule type="notContainsErrors" dxfId="516" priority="45">
      <formula>NOT(ISERROR(D24))</formula>
    </cfRule>
  </conditionalFormatting>
  <conditionalFormatting sqref="D69:K69">
    <cfRule type="notContainsErrors" dxfId="515" priority="17">
      <formula>NOT(ISERROR(D69))</formula>
    </cfRule>
    <cfRule type="containsBlanks" dxfId="514" priority="16">
      <formula>LEN(TRIM(D69))=0</formula>
    </cfRule>
  </conditionalFormatting>
  <conditionalFormatting sqref="E73:E74">
    <cfRule type="notContainsErrors" dxfId="513" priority="19">
      <formula>NOT(ISERROR(E73))</formula>
    </cfRule>
    <cfRule type="containsBlanks" dxfId="512" priority="18">
      <formula>LEN(TRIM(E73))=0</formula>
    </cfRule>
  </conditionalFormatting>
  <conditionalFormatting sqref="F20:H20">
    <cfRule type="cellIs" dxfId="511" priority="57" operator="equal">
      <formula>"CUMPLE"</formula>
    </cfRule>
    <cfRule type="cellIs" dxfId="510" priority="58" operator="equal">
      <formula>"NO CUMPLE"</formula>
    </cfRule>
    <cfRule type="cellIs" dxfId="509" priority="59" operator="equal">
      <formula>"""CUMPLE"""</formula>
    </cfRule>
  </conditionalFormatting>
  <conditionalFormatting sqref="I11">
    <cfRule type="containsText" dxfId="508" priority="60" operator="containsText" text="INHABILITADO">
      <formula>NOT(ISERROR(SEARCH("INHABILITADO",I11)))</formula>
    </cfRule>
    <cfRule type="containsText" dxfId="507" priority="61" operator="containsText" text="HABILITADO">
      <formula>NOT(ISERROR(SEARCH("HABILITADO",I11)))</formula>
    </cfRule>
    <cfRule type="containsText" dxfId="506" priority="62" operator="containsText" text="HABILITADO">
      <formula>NOT(ISERROR(SEARCH("HABILITADO",I11)))</formula>
    </cfRule>
    <cfRule type="containsText" dxfId="505" priority="63" operator="containsText" text="NO CUMPLE">
      <formula>NOT(ISERROR(SEARCH("NO CUMPLE",I11)))</formula>
    </cfRule>
  </conditionalFormatting>
  <conditionalFormatting sqref="J20">
    <cfRule type="cellIs" dxfId="504" priority="38" operator="equal">
      <formula>"NO"</formula>
    </cfRule>
    <cfRule type="cellIs" dxfId="503" priority="39" operator="equal">
      <formula>"SI"</formula>
    </cfRule>
  </conditionalFormatting>
  <conditionalFormatting sqref="K16">
    <cfRule type="cellIs" dxfId="502" priority="11" operator="equal">
      <formula>"CUMPLE"</formula>
    </cfRule>
    <cfRule type="cellIs" dxfId="501" priority="12" operator="equal">
      <formula>"NO CUMPLE"</formula>
    </cfRule>
    <cfRule type="cellIs" dxfId="500" priority="13" operator="equal">
      <formula>"""CUMPLE"""</formula>
    </cfRule>
  </conditionalFormatting>
  <conditionalFormatting sqref="K25:K67">
    <cfRule type="notContainsErrors" dxfId="499" priority="29">
      <formula>NOT(ISERROR(K25))</formula>
    </cfRule>
    <cfRule type="containsBlanks" dxfId="498" priority="28">
      <formula>LEN(TRIM(K25))=0</formula>
    </cfRule>
  </conditionalFormatting>
  <conditionalFormatting sqref="L14">
    <cfRule type="cellIs" dxfId="497" priority="54" operator="equal">
      <formula>"CUMPLE"</formula>
    </cfRule>
    <cfRule type="cellIs" dxfId="496" priority="55" operator="equal">
      <formula>"NO CUMPLE"</formula>
    </cfRule>
    <cfRule type="cellIs" dxfId="495" priority="56" operator="equal">
      <formula>"""CUMPLE"""</formula>
    </cfRule>
  </conditionalFormatting>
  <conditionalFormatting sqref="L20">
    <cfRule type="cellIs" dxfId="494" priority="36" operator="equal">
      <formula>"NO"</formula>
    </cfRule>
    <cfRule type="cellIs" dxfId="493" priority="37" operator="equal">
      <formula>"SI"</formula>
    </cfRule>
  </conditionalFormatting>
  <dataValidations count="4">
    <dataValidation type="list" allowBlank="1" showInputMessage="1" showErrorMessage="1" sqref="D24:J26" xr:uid="{91226A99-F9F1-4F47-8FB5-03D0195EDD4C}">
      <formula1>$C$15:$C$19</formula1>
    </dataValidation>
    <dataValidation type="list" allowBlank="1" showInputMessage="1" showErrorMessage="1" sqref="L61:L69" xr:uid="{72AF2350-E507-4F55-9BFA-2A492EF69811}">
      <formula1>"0,1,2,3,4,5,6"</formula1>
    </dataValidation>
    <dataValidation type="list" allowBlank="1" showInputMessage="1" showErrorMessage="1" sqref="D73" xr:uid="{0EAFFB97-87BF-4532-BF33-40A0B89EF073}">
      <formula1>$A$50:$A$52</formula1>
    </dataValidation>
    <dataValidation type="list" allowBlank="1" showInputMessage="1" showErrorMessage="1" sqref="J48:J53" xr:uid="{AD5D754E-4C40-43D7-8D0E-2D9780F9B12E}">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C1FDC759-7B61-410B-99A1-9663B99667EE}">
          <x14:formula1>
            <xm:f>'DATOS INICIALES'!$A$13:$A$43</xm:f>
          </x14:formula1>
          <xm:sqref>D31:I31</xm:sqref>
        </x14:dataValidation>
        <x14:dataValidation type="list" allowBlank="1" showInputMessage="1" showErrorMessage="1" xr:uid="{4C9EE5CF-0A1D-4D29-BC16-0E31A98F651E}">
          <x14:formula1>
            <xm:f>'DATOS INICIALES'!$D$22:$D$26</xm:f>
          </x14:formula1>
          <xm:sqref>M48:M55</xm:sqref>
        </x14:dataValidation>
        <x14:dataValidation type="list" allowBlank="1" showInputMessage="1" showErrorMessage="1" xr:uid="{3F0C96BD-893D-4334-84CD-0EA803F9B72D}">
          <x14:formula1>
            <xm:f>'DATOS INICIALES'!$A$54:$A$59</xm:f>
          </x14:formula1>
          <xm:sqref>D23:I23</xm:sqref>
        </x14:dataValidation>
        <x14:dataValidation type="list" allowBlank="1" showInputMessage="1" showErrorMessage="1" xr:uid="{53C62237-B14B-42DD-BF9A-9C456A90E46A}">
          <x14:formula1>
            <xm:f>'DATOS INICIALES'!$A$50:$A$52</xm:f>
          </x14:formula1>
          <xm:sqref>D56:J67</xm:sqref>
        </x14:dataValidation>
        <x14:dataValidation type="list" allowBlank="1" showInputMessage="1" showErrorMessage="1" xr:uid="{29B08DA5-6529-4701-ACC4-71E2769B811A}">
          <x14:formula1>
            <xm:f>'DATOS INICIALES'!$C$45:$C$46</xm:f>
          </x14:formula1>
          <xm:sqref>D48:I54</xm:sqref>
        </x14:dataValidation>
        <x14:dataValidation type="list" allowBlank="1" showInputMessage="1" showErrorMessage="1" xr:uid="{EA80C600-4292-407A-BA5C-5CCEB4DA7AE7}">
          <x14:formula1>
            <xm:f>'DATOS INICIALES'!$A$50:$A$51</xm:f>
          </x14:formula1>
          <xm:sqref>D69:J69 D47:J47</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1C5A1-E2BB-4779-94A9-B266102F6FEE}">
  <dimension ref="A1:N74"/>
  <sheetViews>
    <sheetView view="pageBreakPreview" zoomScale="55" zoomScaleNormal="55" zoomScaleSheetLayoutView="55" workbookViewId="0">
      <pane ySplit="11" topLeftCell="A12" activePane="bottomLeft" state="frozenSplit"/>
      <selection activeCell="D56" sqref="D56:J67"/>
      <selection pane="bottomLeft" activeCell="L16" sqref="L16:L19"/>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30</v>
      </c>
      <c r="B11" s="2" t="s">
        <v>24</v>
      </c>
      <c r="C11" s="342" t="str">
        <f>VLOOKUP(A11,PROPONENTES!A10:B46,2,FALSE)</f>
        <v>CONSORCIO MULTIPARK KENNEDY</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1033.5673999999999</v>
      </c>
      <c r="L14" s="18" t="str">
        <f>IF(K14&gt;=J14,"CUMPLE","NO CUMPLE")</f>
        <v>CUMPLE</v>
      </c>
    </row>
    <row r="15" spans="1:12" ht="66.75" customHeight="1" x14ac:dyDescent="0.25">
      <c r="B15" s="314"/>
      <c r="C15" s="98" t="str">
        <f>IF(VLOOKUP(C11,PROPONENTES!B10:N46,2,FALSE)=0,"",VLOOKUP(C11,PROPONENTES!B10:N46,2,FALSE))</f>
        <v>GRUPO CONSULTOR KAPITAL S.A.S.</v>
      </c>
      <c r="D15" s="99">
        <f>IF(VLOOKUP(C11,PROPONENTES!B10:N46,3,FALSE)=0,"",VLOOKUP(C11,PROPONENTES!B10:N46,3,FALSE))</f>
        <v>0.45</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887.69740000000002</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xml:space="preserve">PROCIVING S.A.S. </v>
      </c>
      <c r="D16" s="99">
        <f>IF(VLOOKUP(C11,PROPONENTES!B10:N46,5,FALSE)=0,"",VLOOKUP(C11,PROPONENTES!B10:N46,5,FALSE))</f>
        <v>0.45</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145.87</v>
      </c>
      <c r="F16" s="101" t="str">
        <f>IF(C16="","",IF(E16&gt;=$J$14*0.5,"SI","NO"))</f>
        <v>NO</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1033.5673999999999</v>
      </c>
      <c r="J16" s="169">
        <f>+L8*0.7</f>
        <v>283.67201207692307</v>
      </c>
      <c r="K16" s="18" t="str">
        <f>IF(I16&gt;=J16,"CUMPLE","NO CUMPLE")</f>
        <v>CUMPLE</v>
      </c>
      <c r="L16" s="305">
        <f>AVERAGEIF(D68:J68,"CUMPLE",D46:J46)</f>
        <v>516.78369999999995</v>
      </c>
    </row>
    <row r="17" spans="2:14" ht="33.75" customHeight="1" x14ac:dyDescent="0.25">
      <c r="B17" s="314"/>
      <c r="C17" s="98" t="str">
        <f>IF(VLOOKUP(C11,PROPONENTES!B10:N46,6,FALSE)=0,"",VLOOKUP(C11,PROPONENTES!B10:N46,6,FALSE))</f>
        <v xml:space="preserve">INCOSS INGENIERIA CONSULTORIA SERVICIOS Y SUMINISTROS S.A.S. </v>
      </c>
      <c r="D17" s="99">
        <f>IF(VLOOKUP(C11,PROPONENTES!B10:N46,7,FALSE)=0,"",VLOOKUP(C11,PROPONENTES!B10:N46,7,FALSE))</f>
        <v>0.1</v>
      </c>
      <c r="E17" s="100">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0</v>
      </c>
      <c r="F17" s="101" t="str">
        <f>IF(C17="","",IF(E17&gt;=$J$14*0.5,"SI","NO"))</f>
        <v>NO</v>
      </c>
      <c r="G17" s="102" t="str">
        <f>IF(C17="","",IF(E17&gt;=$J$14*0.05,"SI",IF(E17=0,"NO APORTA EXPERIENCIA",)))</f>
        <v>NO APORTA EXPERIENCIA</v>
      </c>
      <c r="H17" s="102" t="str">
        <f>IF(C17="","",IF(AND(G17="NO APORTA EXPERIENCIA",D17&lt;=10%),"SI",IF(G17="SI","NO APLICA","NO - PORCENTAJE MAYOR AL 5%")))</f>
        <v>SI</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1033.5673999999999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282</v>
      </c>
      <c r="E24" s="88" t="s">
        <v>281</v>
      </c>
      <c r="F24" s="88"/>
      <c r="G24" s="88"/>
      <c r="H24" s="88"/>
      <c r="I24" s="88"/>
      <c r="J24" s="88"/>
      <c r="K24" s="297"/>
      <c r="L24" s="298"/>
    </row>
    <row r="25" spans="2:14" ht="39.75" customHeight="1" x14ac:dyDescent="0.25">
      <c r="B25" s="303" t="s">
        <v>122</v>
      </c>
      <c r="C25" s="304"/>
      <c r="D25" s="88" t="s">
        <v>281</v>
      </c>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496</v>
      </c>
      <c r="E27" s="89" t="s">
        <v>497</v>
      </c>
      <c r="F27" s="89"/>
      <c r="G27" s="89"/>
      <c r="H27" s="89"/>
      <c r="I27" s="89"/>
      <c r="J27" s="89"/>
      <c r="K27" s="297"/>
      <c r="L27" s="298"/>
    </row>
    <row r="28" spans="2:14" ht="156.75" customHeight="1" x14ac:dyDescent="0.25">
      <c r="B28" s="319"/>
      <c r="C28" s="27" t="s">
        <v>36</v>
      </c>
      <c r="D28" s="89" t="s">
        <v>498</v>
      </c>
      <c r="E28" s="89" t="s">
        <v>499</v>
      </c>
      <c r="F28" s="89"/>
      <c r="G28" s="89"/>
      <c r="H28" s="89"/>
      <c r="I28" s="89"/>
      <c r="J28" s="89"/>
      <c r="K28" s="297"/>
      <c r="L28" s="298"/>
    </row>
    <row r="29" spans="2:14" ht="52.5" customHeight="1" x14ac:dyDescent="0.25">
      <c r="B29" s="319"/>
      <c r="C29" s="27" t="s">
        <v>165</v>
      </c>
      <c r="D29" s="93">
        <v>43781</v>
      </c>
      <c r="E29" s="93">
        <v>42759</v>
      </c>
      <c r="F29" s="93"/>
      <c r="G29" s="93"/>
      <c r="H29" s="93"/>
      <c r="I29" s="93"/>
      <c r="J29" s="93"/>
      <c r="K29" s="297"/>
      <c r="L29" s="298"/>
    </row>
    <row r="30" spans="2:14" ht="54.75" customHeight="1" x14ac:dyDescent="0.25">
      <c r="B30" s="319"/>
      <c r="C30" s="27" t="s">
        <v>40</v>
      </c>
      <c r="D30" s="93">
        <v>44215</v>
      </c>
      <c r="E30" s="93">
        <v>43069</v>
      </c>
      <c r="F30" s="93"/>
      <c r="G30" s="93"/>
      <c r="H30" s="93"/>
      <c r="I30" s="93"/>
      <c r="J30" s="93"/>
      <c r="K30" s="297"/>
      <c r="L30" s="298"/>
    </row>
    <row r="31" spans="2:14" ht="41.25" customHeight="1" x14ac:dyDescent="0.25">
      <c r="B31" s="319"/>
      <c r="C31" s="27" t="s">
        <v>37</v>
      </c>
      <c r="D31" s="90">
        <v>2021</v>
      </c>
      <c r="E31" s="90">
        <v>2017</v>
      </c>
      <c r="F31" s="90"/>
      <c r="G31" s="90"/>
      <c r="H31" s="90"/>
      <c r="I31" s="90"/>
      <c r="J31" s="90"/>
      <c r="K31" s="297"/>
      <c r="L31" s="298"/>
    </row>
    <row r="32" spans="2:14" ht="63" customHeight="1" x14ac:dyDescent="0.25">
      <c r="B32" s="319"/>
      <c r="C32" s="27" t="s">
        <v>38</v>
      </c>
      <c r="D32" s="89" t="s">
        <v>500</v>
      </c>
      <c r="E32" s="89" t="s">
        <v>501</v>
      </c>
      <c r="F32" s="89"/>
      <c r="G32" s="89"/>
      <c r="H32" s="89"/>
      <c r="I32" s="89"/>
      <c r="J32" s="89"/>
      <c r="K32" s="297"/>
      <c r="L32" s="298"/>
    </row>
    <row r="33" spans="2:12" ht="46.5" customHeight="1" x14ac:dyDescent="0.25">
      <c r="B33" s="319"/>
      <c r="C33" s="27" t="s">
        <v>39</v>
      </c>
      <c r="D33" s="89" t="s">
        <v>502</v>
      </c>
      <c r="E33" s="89" t="s">
        <v>503</v>
      </c>
      <c r="F33" s="89"/>
      <c r="G33" s="89"/>
      <c r="H33" s="89"/>
      <c r="I33" s="89"/>
      <c r="J33" s="89"/>
      <c r="K33" s="297"/>
      <c r="L33" s="298"/>
    </row>
    <row r="34" spans="2:12" ht="27.75" customHeight="1" x14ac:dyDescent="0.25">
      <c r="B34" s="319"/>
      <c r="C34" s="28" t="s">
        <v>33</v>
      </c>
      <c r="D34" s="204" t="s">
        <v>504</v>
      </c>
      <c r="E34" s="94">
        <v>24</v>
      </c>
      <c r="F34" s="94"/>
      <c r="G34" s="95"/>
      <c r="H34" s="95"/>
      <c r="I34" s="95"/>
      <c r="J34" s="95"/>
      <c r="K34" s="297"/>
      <c r="L34" s="298"/>
    </row>
    <row r="35" spans="2:12" ht="102.75" customHeight="1" x14ac:dyDescent="0.25">
      <c r="B35" s="319"/>
      <c r="C35" s="27" t="s">
        <v>124</v>
      </c>
      <c r="D35" s="91">
        <v>583.48</v>
      </c>
      <c r="E35" s="187">
        <v>862.59</v>
      </c>
      <c r="F35" s="91"/>
      <c r="G35" s="91"/>
      <c r="H35" s="91"/>
      <c r="I35" s="91"/>
      <c r="J35" s="91"/>
      <c r="K35" s="299"/>
      <c r="L35" s="300"/>
    </row>
    <row r="36" spans="2:12" ht="48" customHeight="1" x14ac:dyDescent="0.25">
      <c r="B36" s="319"/>
      <c r="C36" s="27" t="s">
        <v>72</v>
      </c>
      <c r="D36" s="103">
        <f>IFERROR(D35*VLOOKUP(D31,'DATOS INICIALES'!$A$12:$B$43,2,0),"0")</f>
        <v>530106750.48000002</v>
      </c>
      <c r="E36" s="103">
        <f>IFERROR(E35*VLOOKUP(E31,'DATOS INICIALES'!$A$12:$B$43,2,0),"0")</f>
        <v>636347307.02999997</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0.25</v>
      </c>
      <c r="E37" s="92">
        <v>0.86</v>
      </c>
      <c r="F37" s="92"/>
      <c r="G37" s="92"/>
      <c r="H37" s="92"/>
      <c r="I37" s="92"/>
      <c r="J37" s="92"/>
      <c r="K37" s="297"/>
      <c r="L37" s="298"/>
    </row>
    <row r="38" spans="2:12" ht="48.75" customHeight="1" x14ac:dyDescent="0.25">
      <c r="B38" s="319"/>
      <c r="C38" s="27" t="s">
        <v>131</v>
      </c>
      <c r="D38" s="103">
        <f t="shared" ref="D38:J38" si="0">IF(D24="","0",D37*D36)</f>
        <v>132526687.62</v>
      </c>
      <c r="E38" s="103">
        <f t="shared" si="0"/>
        <v>547258684.04579997</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145.87</v>
      </c>
      <c r="E39" s="104">
        <f t="shared" si="1"/>
        <v>741.82740000000001</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0.25</v>
      </c>
      <c r="E40" s="92"/>
      <c r="F40" s="92"/>
      <c r="G40" s="92"/>
      <c r="H40" s="92"/>
      <c r="I40" s="92"/>
      <c r="J40" s="92"/>
      <c r="K40" s="297"/>
      <c r="L40" s="298"/>
    </row>
    <row r="41" spans="2:12" ht="65.25" customHeight="1" x14ac:dyDescent="0.25">
      <c r="B41" s="319"/>
      <c r="C41" s="27" t="s">
        <v>132</v>
      </c>
      <c r="D41" s="105">
        <f t="shared" ref="D41:J41" si="2">IF(D25="","0",D40*D36)</f>
        <v>132526687.62</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145.87</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291.74</v>
      </c>
      <c r="E46" s="104">
        <f t="shared" ref="E46:G46" si="6">+E39+E42+E45</f>
        <v>741.82740000000001</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t="s">
        <v>75</v>
      </c>
      <c r="E48" s="94" t="s">
        <v>75</v>
      </c>
      <c r="F48" s="94"/>
      <c r="G48" s="94"/>
      <c r="H48" s="94"/>
      <c r="I48" s="94"/>
      <c r="J48" s="95"/>
      <c r="K48" s="297"/>
      <c r="L48" s="298"/>
    </row>
    <row r="49" spans="2:12" ht="24.75" customHeight="1" x14ac:dyDescent="0.25">
      <c r="B49" s="316"/>
      <c r="C49" s="29">
        <f>+'DATOS INICIALES'!D23</f>
        <v>80101500</v>
      </c>
      <c r="D49" s="94" t="s">
        <v>75</v>
      </c>
      <c r="E49" s="94" t="s">
        <v>75</v>
      </c>
      <c r="F49" s="94"/>
      <c r="G49" s="94"/>
      <c r="H49" s="94"/>
      <c r="I49" s="94"/>
      <c r="J49" s="95"/>
      <c r="K49" s="297"/>
      <c r="L49" s="298"/>
    </row>
    <row r="50" spans="2:12" ht="24.75" customHeight="1" x14ac:dyDescent="0.25">
      <c r="B50" s="316"/>
      <c r="C50" s="29">
        <f>+'DATOS INICIALES'!D24</f>
        <v>80101600</v>
      </c>
      <c r="D50" s="94" t="s">
        <v>75</v>
      </c>
      <c r="E50" s="94" t="s">
        <v>73</v>
      </c>
      <c r="F50" s="94"/>
      <c r="G50" s="94"/>
      <c r="H50" s="94"/>
      <c r="I50" s="94"/>
      <c r="J50" s="95"/>
      <c r="K50" s="297"/>
      <c r="L50" s="298"/>
    </row>
    <row r="51" spans="2:12" ht="24.75" customHeight="1" x14ac:dyDescent="0.25">
      <c r="B51" s="316"/>
      <c r="C51" s="29">
        <f>+'DATOS INICIALES'!D25</f>
        <v>81101500</v>
      </c>
      <c r="D51" s="94" t="s">
        <v>75</v>
      </c>
      <c r="E51" s="94" t="s">
        <v>75</v>
      </c>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73">
    <cfRule type="containsBlanks" dxfId="492" priority="20">
      <formula>LEN(TRIM(D73))=0</formula>
    </cfRule>
    <cfRule type="notContainsErrors" dxfId="491" priority="21">
      <formula>NOT(ISERROR(D73))</formula>
    </cfRule>
    <cfRule type="cellIs" dxfId="490" priority="22" operator="equal">
      <formula>"NO CUMPLE"</formula>
    </cfRule>
    <cfRule type="cellIs" dxfId="489" priority="23" operator="equal">
      <formula>"CUMPLE"</formula>
    </cfRule>
  </conditionalFormatting>
  <conditionalFormatting sqref="D74">
    <cfRule type="cellIs" dxfId="488" priority="24" operator="equal">
      <formula>"N/A"</formula>
    </cfRule>
    <cfRule type="cellIs" dxfId="487" priority="25" operator="equal">
      <formula>"CUMPLE"</formula>
    </cfRule>
    <cfRule type="cellIs" dxfId="486" priority="26" operator="equal">
      <formula>"NO CUMPLE"</formula>
    </cfRule>
    <cfRule type="cellIs" dxfId="485" priority="27" operator="equal">
      <formula>"""CUMPLE"""</formula>
    </cfRule>
  </conditionalFormatting>
  <conditionalFormatting sqref="D25:J35">
    <cfRule type="containsBlanks" dxfId="484" priority="42">
      <formula>LEN(TRIM(D25))=0</formula>
    </cfRule>
    <cfRule type="notContainsErrors" dxfId="483" priority="43">
      <formula>NOT(ISERROR(D25))</formula>
    </cfRule>
  </conditionalFormatting>
  <conditionalFormatting sqref="D34:J34 D24:K24 D37:J37 D40:J40 D43:J43 K68:L68">
    <cfRule type="containsBlanks" dxfId="482" priority="44">
      <formula>LEN(TRIM(D24))=0</formula>
    </cfRule>
  </conditionalFormatting>
  <conditionalFormatting sqref="D47:J54">
    <cfRule type="cellIs" dxfId="481" priority="7" operator="equal">
      <formula>"NO CUMPLE"</formula>
    </cfRule>
    <cfRule type="cellIs" dxfId="480" priority="8" operator="equal">
      <formula>"CUMPLE"</formula>
    </cfRule>
    <cfRule type="containsBlanks" dxfId="479" priority="9">
      <formula>LEN(TRIM(D47))=0</formula>
    </cfRule>
    <cfRule type="notContainsErrors" dxfId="478" priority="10">
      <formula>NOT(ISERROR(D47))</formula>
    </cfRule>
  </conditionalFormatting>
  <conditionalFormatting sqref="D55:J55">
    <cfRule type="cellIs" dxfId="477" priority="53" operator="equal">
      <formula>"""CUMPLE"""</formula>
    </cfRule>
    <cfRule type="cellIs" dxfId="476" priority="52" operator="equal">
      <formula>"NO CUMPLE"</formula>
    </cfRule>
    <cfRule type="cellIs" dxfId="475" priority="51" operator="equal">
      <formula>"CUMPLE"</formula>
    </cfRule>
    <cfRule type="cellIs" dxfId="474" priority="50" operator="equal">
      <formula>"N/A"</formula>
    </cfRule>
  </conditionalFormatting>
  <conditionalFormatting sqref="D56:J67">
    <cfRule type="cellIs" dxfId="473" priority="2" operator="equal">
      <formula>"CUMPLE"</formula>
    </cfRule>
    <cfRule type="containsBlanks" dxfId="472" priority="3">
      <formula>LEN(TRIM(D56))=0</formula>
    </cfRule>
    <cfRule type="notContainsErrors" dxfId="471" priority="4">
      <formula>NOT(ISERROR(D56))</formula>
    </cfRule>
    <cfRule type="cellIs" dxfId="470" priority="1" operator="equal">
      <formula>"NO CUMPLE"</formula>
    </cfRule>
  </conditionalFormatting>
  <conditionalFormatting sqref="D61:J67">
    <cfRule type="containsBlanks" dxfId="469" priority="5">
      <formula>LEN(TRIM(D61))=0</formula>
    </cfRule>
    <cfRule type="notContainsErrors" dxfId="468" priority="6">
      <formula>NOT(ISERROR(D61))</formula>
    </cfRule>
  </conditionalFormatting>
  <conditionalFormatting sqref="D68:J68">
    <cfRule type="cellIs" dxfId="467" priority="46" operator="equal">
      <formula>"N/A"</formula>
    </cfRule>
    <cfRule type="cellIs" dxfId="466" priority="47" operator="equal">
      <formula>"CUMPLE"</formula>
    </cfRule>
    <cfRule type="cellIs" dxfId="465" priority="48" operator="equal">
      <formula>"NO CUMPLE"</formula>
    </cfRule>
    <cfRule type="cellIs" dxfId="464" priority="49" operator="equal">
      <formula>"""CUMPLE"""</formula>
    </cfRule>
  </conditionalFormatting>
  <conditionalFormatting sqref="D69:J69">
    <cfRule type="cellIs" dxfId="463" priority="15" operator="equal">
      <formula>"CUMPLE"</formula>
    </cfRule>
    <cfRule type="cellIs" dxfId="462" priority="14" operator="equal">
      <formula>"NO CUMPLE"</formula>
    </cfRule>
  </conditionalFormatting>
  <conditionalFormatting sqref="D24:K24 D34:J34 D37:J37 D40:J40 D43:J43 K68:L68">
    <cfRule type="notContainsErrors" dxfId="461" priority="45">
      <formula>NOT(ISERROR(D24))</formula>
    </cfRule>
  </conditionalFormatting>
  <conditionalFormatting sqref="D69:K69">
    <cfRule type="notContainsErrors" dxfId="460" priority="17">
      <formula>NOT(ISERROR(D69))</formula>
    </cfRule>
    <cfRule type="containsBlanks" dxfId="459" priority="16">
      <formula>LEN(TRIM(D69))=0</formula>
    </cfRule>
  </conditionalFormatting>
  <conditionalFormatting sqref="E73:E74">
    <cfRule type="notContainsErrors" dxfId="458" priority="19">
      <formula>NOT(ISERROR(E73))</formula>
    </cfRule>
    <cfRule type="containsBlanks" dxfId="457" priority="18">
      <formula>LEN(TRIM(E73))=0</formula>
    </cfRule>
  </conditionalFormatting>
  <conditionalFormatting sqref="F20:H20">
    <cfRule type="cellIs" dxfId="456" priority="57" operator="equal">
      <formula>"CUMPLE"</formula>
    </cfRule>
    <cfRule type="cellIs" dxfId="455" priority="58" operator="equal">
      <formula>"NO CUMPLE"</formula>
    </cfRule>
    <cfRule type="cellIs" dxfId="454" priority="59" operator="equal">
      <formula>"""CUMPLE"""</formula>
    </cfRule>
  </conditionalFormatting>
  <conditionalFormatting sqref="I11">
    <cfRule type="containsText" dxfId="453" priority="60" operator="containsText" text="INHABILITADO">
      <formula>NOT(ISERROR(SEARCH("INHABILITADO",I11)))</formula>
    </cfRule>
    <cfRule type="containsText" dxfId="452" priority="61" operator="containsText" text="HABILITADO">
      <formula>NOT(ISERROR(SEARCH("HABILITADO",I11)))</formula>
    </cfRule>
    <cfRule type="containsText" dxfId="451" priority="62" operator="containsText" text="HABILITADO">
      <formula>NOT(ISERROR(SEARCH("HABILITADO",I11)))</formula>
    </cfRule>
    <cfRule type="containsText" dxfId="450" priority="63" operator="containsText" text="NO CUMPLE">
      <formula>NOT(ISERROR(SEARCH("NO CUMPLE",I11)))</formula>
    </cfRule>
  </conditionalFormatting>
  <conditionalFormatting sqref="J20">
    <cfRule type="cellIs" dxfId="449" priority="38" operator="equal">
      <formula>"NO"</formula>
    </cfRule>
    <cfRule type="cellIs" dxfId="448" priority="39" operator="equal">
      <formula>"SI"</formula>
    </cfRule>
  </conditionalFormatting>
  <conditionalFormatting sqref="K16">
    <cfRule type="cellIs" dxfId="447" priority="11" operator="equal">
      <formula>"CUMPLE"</formula>
    </cfRule>
    <cfRule type="cellIs" dxfId="446" priority="12" operator="equal">
      <formula>"NO CUMPLE"</formula>
    </cfRule>
    <cfRule type="cellIs" dxfId="445" priority="13" operator="equal">
      <formula>"""CUMPLE"""</formula>
    </cfRule>
  </conditionalFormatting>
  <conditionalFormatting sqref="K25:K67">
    <cfRule type="notContainsErrors" dxfId="444" priority="29">
      <formula>NOT(ISERROR(K25))</formula>
    </cfRule>
    <cfRule type="containsBlanks" dxfId="443" priority="28">
      <formula>LEN(TRIM(K25))=0</formula>
    </cfRule>
  </conditionalFormatting>
  <conditionalFormatting sqref="L14">
    <cfRule type="cellIs" dxfId="442" priority="54" operator="equal">
      <formula>"CUMPLE"</formula>
    </cfRule>
    <cfRule type="cellIs" dxfId="441" priority="55" operator="equal">
      <formula>"NO CUMPLE"</formula>
    </cfRule>
    <cfRule type="cellIs" dxfId="440" priority="56" operator="equal">
      <formula>"""CUMPLE"""</formula>
    </cfRule>
  </conditionalFormatting>
  <conditionalFormatting sqref="L20">
    <cfRule type="cellIs" dxfId="439" priority="36" operator="equal">
      <formula>"NO"</formula>
    </cfRule>
    <cfRule type="cellIs" dxfId="438" priority="37" operator="equal">
      <formula>"SI"</formula>
    </cfRule>
  </conditionalFormatting>
  <dataValidations count="4">
    <dataValidation type="list" allowBlank="1" showInputMessage="1" showErrorMessage="1" sqref="J48:J53" xr:uid="{F820FD51-0ABB-491E-9569-40DF514BA6DF}">
      <formula1>$C$45:$C$46</formula1>
    </dataValidation>
    <dataValidation type="list" allowBlank="1" showInputMessage="1" showErrorMessage="1" sqref="D73" xr:uid="{F8A18A93-9DD6-4BD9-8C6B-D3DAB79F1E7E}">
      <formula1>$A$50:$A$52</formula1>
    </dataValidation>
    <dataValidation type="list" allowBlank="1" showInputMessage="1" showErrorMessage="1" sqref="L61:L69" xr:uid="{FA11F052-B659-4DAD-8012-3B941AC33D10}">
      <formula1>"0,1,2,3,4,5,6"</formula1>
    </dataValidation>
    <dataValidation type="list" allowBlank="1" showInputMessage="1" showErrorMessage="1" sqref="D24:J26" xr:uid="{4D7617C8-A54C-46F6-BF50-42C5A6147961}">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75C2C012-C3F7-41DB-A249-0C1C5158B54A}">
          <x14:formula1>
            <xm:f>'DATOS INICIALES'!$C$45:$C$46</xm:f>
          </x14:formula1>
          <xm:sqref>D48:I54</xm:sqref>
        </x14:dataValidation>
        <x14:dataValidation type="list" allowBlank="1" showInputMessage="1" showErrorMessage="1" xr:uid="{A22D017C-D78A-4D62-8D25-E7CDD28070C7}">
          <x14:formula1>
            <xm:f>'DATOS INICIALES'!$A$50:$A$52</xm:f>
          </x14:formula1>
          <xm:sqref>D56:J67</xm:sqref>
        </x14:dataValidation>
        <x14:dataValidation type="list" allowBlank="1" showInputMessage="1" showErrorMessage="1" xr:uid="{FDD75BF6-43E2-4762-83A7-912E69253171}">
          <x14:formula1>
            <xm:f>'DATOS INICIALES'!$A$54:$A$59</xm:f>
          </x14:formula1>
          <xm:sqref>D23:I23</xm:sqref>
        </x14:dataValidation>
        <x14:dataValidation type="list" allowBlank="1" showInputMessage="1" showErrorMessage="1" xr:uid="{5E5248FB-9D75-412E-AEB9-55E6270A72BD}">
          <x14:formula1>
            <xm:f>'DATOS INICIALES'!$D$22:$D$26</xm:f>
          </x14:formula1>
          <xm:sqref>M48:M55</xm:sqref>
        </x14:dataValidation>
        <x14:dataValidation type="list" allowBlank="1" showInputMessage="1" showErrorMessage="1" xr:uid="{E72101A3-EECA-4817-BD4B-C22D0D47FA8F}">
          <x14:formula1>
            <xm:f>'DATOS INICIALES'!$A$13:$A$43</xm:f>
          </x14:formula1>
          <xm:sqref>D31:I31</xm:sqref>
        </x14:dataValidation>
        <x14:dataValidation type="list" allowBlank="1" showInputMessage="1" showErrorMessage="1" xr:uid="{1659EB62-7245-4C96-BE8A-A87F08266E26}">
          <x14:formula1>
            <xm:f>'DATOS INICIALES'!$A$50:$A$51</xm:f>
          </x14:formula1>
          <xm:sqref>D69:J69 D47:J47</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07C34-371F-4A17-A82F-2524E50F61A0}">
  <dimension ref="A1:N74"/>
  <sheetViews>
    <sheetView view="pageBreakPreview" zoomScale="55" zoomScaleNormal="55" zoomScaleSheetLayoutView="55" workbookViewId="0">
      <pane ySplit="11" topLeftCell="A23" activePane="bottomLeft" state="frozenSplit"/>
      <selection activeCell="D56" sqref="D56:J67"/>
      <selection pane="bottomLeft" activeCell="D28" sqref="D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31</v>
      </c>
      <c r="B11" s="2" t="s">
        <v>24</v>
      </c>
      <c r="C11" s="342" t="str">
        <f>VLOOKUP(A11,PROPONENTES!A10:B46,2,FALSE)</f>
        <v>CONSORCIO PRO-TEV 20</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750.64</v>
      </c>
      <c r="L14" s="18" t="str">
        <f>IF(K14&gt;=J14,"CUMPLE","NO CUMPLE")</f>
        <v>CUMPLE</v>
      </c>
    </row>
    <row r="15" spans="1:12" ht="66.75" customHeight="1" x14ac:dyDescent="0.25">
      <c r="B15" s="314"/>
      <c r="C15" s="98" t="str">
        <f>IF(VLOOKUP(C11,PROPONENTES!B10:N46,2,FALSE)=0,"",VLOOKUP(C11,PROPONENTES!B10:N46,2,FALSE))</f>
        <v>PROYECTISTAS ASOCIADOS SAS</v>
      </c>
      <c r="D15" s="99">
        <f>IF(VLOOKUP(C11,PROPONENTES!B10:N46,3,FALSE)=0,"",VLOOKUP(C11,PROPONENTES!B10:N46,3,FALSE))</f>
        <v>0.91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750.64</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xml:space="preserve">CONSTRUCTORA TEATINO VARGAS – CONSTRUTEV SAS </v>
      </c>
      <c r="D16" s="99">
        <f>IF(VLOOKUP(C11,PROPONENTES!B10:N46,5,FALSE)=0,"",VLOOKUP(C11,PROPONENTES!B10:N46,5,FALSE))</f>
        <v>0.09</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SI</v>
      </c>
      <c r="I16" s="169">
        <f>SUMIF(D69:J69,"CUMPLE",D39:J39)+SUMIF(D69:J69,"CUMPLE",D42:J42)+SUMIF(D69:J69,"CUMPLE",D45:J45)</f>
        <v>750.64</v>
      </c>
      <c r="J16" s="169">
        <f>+L8*0.7</f>
        <v>283.67201207692307</v>
      </c>
      <c r="K16" s="18" t="str">
        <f>IF(I16&gt;=J16,"CUMPLE","NO CUMPLE")</f>
        <v>CUMPLE</v>
      </c>
      <c r="L16" s="305">
        <f>AVERAGEIF(D68:J68,"CUMPLE",D46:J46)</f>
        <v>750.64</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750.64</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204</v>
      </c>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505</v>
      </c>
      <c r="E27" s="89"/>
      <c r="F27" s="89"/>
      <c r="G27" s="89"/>
      <c r="H27" s="89"/>
      <c r="I27" s="89"/>
      <c r="J27" s="89"/>
      <c r="K27" s="297"/>
      <c r="L27" s="298"/>
    </row>
    <row r="28" spans="2:14" ht="156.75" customHeight="1" x14ac:dyDescent="0.25">
      <c r="B28" s="319"/>
      <c r="C28" s="27" t="s">
        <v>36</v>
      </c>
      <c r="D28" s="89" t="s">
        <v>506</v>
      </c>
      <c r="E28" s="89"/>
      <c r="F28" s="89"/>
      <c r="G28" s="89"/>
      <c r="H28" s="89"/>
      <c r="I28" s="89"/>
      <c r="J28" s="89"/>
      <c r="K28" s="297"/>
      <c r="L28" s="298"/>
    </row>
    <row r="29" spans="2:14" ht="52.5" customHeight="1" x14ac:dyDescent="0.25">
      <c r="B29" s="319"/>
      <c r="C29" s="27" t="s">
        <v>165</v>
      </c>
      <c r="D29" s="93">
        <v>42156</v>
      </c>
      <c r="E29" s="93"/>
      <c r="F29" s="93"/>
      <c r="G29" s="93"/>
      <c r="H29" s="93"/>
      <c r="I29" s="93"/>
      <c r="J29" s="93"/>
      <c r="K29" s="297"/>
      <c r="L29" s="298"/>
    </row>
    <row r="30" spans="2:14" ht="54.75" customHeight="1" x14ac:dyDescent="0.25">
      <c r="B30" s="319"/>
      <c r="C30" s="27" t="s">
        <v>40</v>
      </c>
      <c r="D30" s="93">
        <v>42551</v>
      </c>
      <c r="E30" s="93"/>
      <c r="F30" s="93"/>
      <c r="G30" s="93"/>
      <c r="H30" s="93"/>
      <c r="I30" s="93"/>
      <c r="J30" s="93"/>
      <c r="K30" s="297"/>
      <c r="L30" s="298"/>
    </row>
    <row r="31" spans="2:14" ht="41.25" customHeight="1" x14ac:dyDescent="0.25">
      <c r="B31" s="319"/>
      <c r="C31" s="27" t="s">
        <v>37</v>
      </c>
      <c r="D31" s="90">
        <v>2016</v>
      </c>
      <c r="E31" s="90"/>
      <c r="F31" s="90"/>
      <c r="G31" s="90"/>
      <c r="H31" s="90"/>
      <c r="I31" s="90"/>
      <c r="J31" s="90"/>
      <c r="K31" s="297"/>
      <c r="L31" s="298"/>
    </row>
    <row r="32" spans="2:14" ht="63" customHeight="1" x14ac:dyDescent="0.25">
      <c r="B32" s="319"/>
      <c r="C32" s="27" t="s">
        <v>38</v>
      </c>
      <c r="D32" s="89" t="s">
        <v>507</v>
      </c>
      <c r="E32" s="89"/>
      <c r="F32" s="89"/>
      <c r="G32" s="89"/>
      <c r="H32" s="89"/>
      <c r="I32" s="89"/>
      <c r="J32" s="89"/>
      <c r="K32" s="297"/>
      <c r="L32" s="298"/>
    </row>
    <row r="33" spans="2:12" ht="46.5" customHeight="1" x14ac:dyDescent="0.25">
      <c r="B33" s="319"/>
      <c r="C33" s="27" t="s">
        <v>39</v>
      </c>
      <c r="D33" s="89" t="s">
        <v>204</v>
      </c>
      <c r="E33" s="89"/>
      <c r="F33" s="89"/>
      <c r="G33" s="89"/>
      <c r="H33" s="89"/>
      <c r="I33" s="89"/>
      <c r="J33" s="89"/>
      <c r="K33" s="297"/>
      <c r="L33" s="298"/>
    </row>
    <row r="34" spans="2:12" ht="27.75" customHeight="1" x14ac:dyDescent="0.25">
      <c r="B34" s="319"/>
      <c r="C34" s="28" t="s">
        <v>33</v>
      </c>
      <c r="D34" s="94">
        <v>49</v>
      </c>
      <c r="E34" s="94"/>
      <c r="F34" s="94"/>
      <c r="G34" s="95"/>
      <c r="H34" s="95"/>
      <c r="I34" s="95"/>
      <c r="J34" s="95"/>
      <c r="K34" s="297"/>
      <c r="L34" s="298"/>
    </row>
    <row r="35" spans="2:12" ht="102.75" customHeight="1" x14ac:dyDescent="0.25">
      <c r="B35" s="319"/>
      <c r="C35" s="27" t="s">
        <v>124</v>
      </c>
      <c r="D35" s="91">
        <v>750.64</v>
      </c>
      <c r="E35" s="187"/>
      <c r="F35" s="91"/>
      <c r="G35" s="91"/>
      <c r="H35" s="91"/>
      <c r="I35" s="91"/>
      <c r="J35" s="91"/>
      <c r="K35" s="299"/>
      <c r="L35" s="300"/>
    </row>
    <row r="36" spans="2:12" ht="48" customHeight="1" x14ac:dyDescent="0.25">
      <c r="B36" s="319"/>
      <c r="C36" s="27" t="s">
        <v>72</v>
      </c>
      <c r="D36" s="103">
        <f>IFERROR(D35*VLOOKUP(D31,'DATOS INICIALES'!$A$12:$B$43,2,0),"0")</f>
        <v>517532501.19999999</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c r="F37" s="92"/>
      <c r="G37" s="92"/>
      <c r="H37" s="92"/>
      <c r="I37" s="92"/>
      <c r="J37" s="92"/>
      <c r="K37" s="297"/>
      <c r="L37" s="298"/>
    </row>
    <row r="38" spans="2:12" ht="48.75" customHeight="1" x14ac:dyDescent="0.25">
      <c r="B38" s="319"/>
      <c r="C38" s="27" t="s">
        <v>131</v>
      </c>
      <c r="D38" s="103">
        <f t="shared" ref="D38:J38" si="0">IF(D24="","0",D37*D36)</f>
        <v>517532501.19999999</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750.64</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750.64</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c r="F47" s="88"/>
      <c r="G47" s="88"/>
      <c r="H47" s="88"/>
      <c r="I47" s="88"/>
      <c r="J47" s="88"/>
      <c r="K47" s="297"/>
      <c r="L47" s="298"/>
    </row>
    <row r="48" spans="2:12" ht="24.75" customHeight="1" x14ac:dyDescent="0.25">
      <c r="B48" s="315" t="s">
        <v>34</v>
      </c>
      <c r="C48" s="29">
        <f>+'DATOS INICIALES'!D22</f>
        <v>81141500</v>
      </c>
      <c r="D48" s="94" t="s">
        <v>75</v>
      </c>
      <c r="E48" s="94"/>
      <c r="F48" s="94"/>
      <c r="G48" s="94"/>
      <c r="H48" s="94"/>
      <c r="I48" s="94"/>
      <c r="J48" s="95"/>
      <c r="K48" s="297"/>
      <c r="L48" s="298"/>
    </row>
    <row r="49" spans="2:12" ht="24.75" customHeight="1" x14ac:dyDescent="0.25">
      <c r="B49" s="316"/>
      <c r="C49" s="29">
        <f>+'DATOS INICIALES'!D23</f>
        <v>80101500</v>
      </c>
      <c r="D49" s="94" t="s">
        <v>75</v>
      </c>
      <c r="E49" s="94"/>
      <c r="F49" s="94"/>
      <c r="G49" s="94"/>
      <c r="H49" s="94"/>
      <c r="I49" s="94"/>
      <c r="J49" s="95"/>
      <c r="K49" s="297"/>
      <c r="L49" s="298"/>
    </row>
    <row r="50" spans="2:12" ht="24.75" customHeight="1" x14ac:dyDescent="0.25">
      <c r="B50" s="316"/>
      <c r="C50" s="29">
        <f>+'DATOS INICIALES'!D24</f>
        <v>80101600</v>
      </c>
      <c r="D50" s="94" t="s">
        <v>75</v>
      </c>
      <c r="E50" s="94"/>
      <c r="F50" s="94"/>
      <c r="G50" s="94"/>
      <c r="H50" s="94"/>
      <c r="I50" s="94"/>
      <c r="J50" s="95"/>
      <c r="K50" s="297"/>
      <c r="L50" s="298"/>
    </row>
    <row r="51" spans="2:12" ht="24.75" customHeight="1" x14ac:dyDescent="0.25">
      <c r="B51" s="316"/>
      <c r="C51" s="29">
        <f>+'DATOS INICIALES'!D25</f>
        <v>81101500</v>
      </c>
      <c r="D51" s="94" t="s">
        <v>75</v>
      </c>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c r="F61" s="88"/>
      <c r="G61" s="88"/>
      <c r="H61" s="88"/>
      <c r="I61" s="88"/>
      <c r="J61" s="88"/>
      <c r="K61" s="297"/>
      <c r="L61" s="298"/>
    </row>
    <row r="62" spans="2:12" ht="45" customHeight="1" x14ac:dyDescent="0.25">
      <c r="B62" s="290" t="s">
        <v>207</v>
      </c>
      <c r="C62" s="291"/>
      <c r="D62" s="88" t="s">
        <v>14</v>
      </c>
      <c r="E62" s="88"/>
      <c r="F62" s="88"/>
      <c r="G62" s="88"/>
      <c r="H62" s="88"/>
      <c r="I62" s="88"/>
      <c r="J62" s="88"/>
      <c r="K62" s="297"/>
      <c r="L62" s="298"/>
    </row>
    <row r="63" spans="2:12" ht="181.5" customHeight="1" x14ac:dyDescent="0.25">
      <c r="B63" s="290" t="s">
        <v>218</v>
      </c>
      <c r="C63" s="291"/>
      <c r="D63" s="88" t="s">
        <v>13</v>
      </c>
      <c r="E63" s="88"/>
      <c r="F63" s="88"/>
      <c r="G63" s="88"/>
      <c r="H63" s="88"/>
      <c r="I63" s="88"/>
      <c r="J63" s="88"/>
      <c r="K63" s="297"/>
      <c r="L63" s="298"/>
    </row>
    <row r="64" spans="2:12" ht="336" customHeight="1" x14ac:dyDescent="0.25">
      <c r="B64" s="242" t="s">
        <v>220</v>
      </c>
      <c r="C64" s="242"/>
      <c r="D64" s="88" t="s">
        <v>14</v>
      </c>
      <c r="E64" s="88"/>
      <c r="F64" s="88"/>
      <c r="G64" s="88"/>
      <c r="H64" s="88"/>
      <c r="I64" s="88"/>
      <c r="J64" s="88"/>
      <c r="K64" s="299"/>
      <c r="L64" s="300"/>
    </row>
    <row r="65" spans="2:12" ht="143.25" customHeight="1" x14ac:dyDescent="0.25">
      <c r="B65" s="293" t="s">
        <v>221</v>
      </c>
      <c r="C65" s="294"/>
      <c r="D65" s="88" t="s">
        <v>13</v>
      </c>
      <c r="E65" s="88"/>
      <c r="F65" s="88"/>
      <c r="G65" s="88"/>
      <c r="H65" s="88"/>
      <c r="I65" s="88"/>
      <c r="J65" s="88"/>
      <c r="K65" s="297"/>
      <c r="L65" s="298"/>
    </row>
    <row r="66" spans="2:12" ht="408.75" customHeight="1" x14ac:dyDescent="0.25">
      <c r="B66" s="292" t="s">
        <v>208</v>
      </c>
      <c r="C66" s="292"/>
      <c r="D66" s="88" t="s">
        <v>13</v>
      </c>
      <c r="E66" s="88"/>
      <c r="F66" s="88"/>
      <c r="G66" s="88"/>
      <c r="H66" s="88"/>
      <c r="I66" s="88"/>
      <c r="J66" s="88"/>
      <c r="K66" s="297"/>
      <c r="L66" s="298"/>
    </row>
    <row r="67" spans="2:12" ht="312.75" customHeight="1" x14ac:dyDescent="0.25">
      <c r="B67" s="242" t="s">
        <v>209</v>
      </c>
      <c r="C67" s="242"/>
      <c r="D67" s="88" t="s">
        <v>14</v>
      </c>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73">
    <cfRule type="containsBlanks" dxfId="437" priority="20">
      <formula>LEN(TRIM(D73))=0</formula>
    </cfRule>
    <cfRule type="notContainsErrors" dxfId="436" priority="21">
      <formula>NOT(ISERROR(D73))</formula>
    </cfRule>
    <cfRule type="cellIs" dxfId="435" priority="22" operator="equal">
      <formula>"NO CUMPLE"</formula>
    </cfRule>
    <cfRule type="cellIs" dxfId="434" priority="23" operator="equal">
      <formula>"CUMPLE"</formula>
    </cfRule>
  </conditionalFormatting>
  <conditionalFormatting sqref="D74">
    <cfRule type="cellIs" dxfId="433" priority="24" operator="equal">
      <formula>"N/A"</formula>
    </cfRule>
    <cfRule type="cellIs" dxfId="432" priority="25" operator="equal">
      <formula>"CUMPLE"</formula>
    </cfRule>
    <cfRule type="cellIs" dxfId="431" priority="26" operator="equal">
      <formula>"NO CUMPLE"</formula>
    </cfRule>
    <cfRule type="cellIs" dxfId="430" priority="27" operator="equal">
      <formula>"""CUMPLE"""</formula>
    </cfRule>
  </conditionalFormatting>
  <conditionalFormatting sqref="D25:J35">
    <cfRule type="containsBlanks" dxfId="429" priority="42">
      <formula>LEN(TRIM(D25))=0</formula>
    </cfRule>
    <cfRule type="notContainsErrors" dxfId="428" priority="43">
      <formula>NOT(ISERROR(D25))</formula>
    </cfRule>
  </conditionalFormatting>
  <conditionalFormatting sqref="D34:J34 D24:K24 D37:J37 D40:J40 D43:J43 K68:L68">
    <cfRule type="containsBlanks" dxfId="427" priority="44">
      <formula>LEN(TRIM(D24))=0</formula>
    </cfRule>
  </conditionalFormatting>
  <conditionalFormatting sqref="D47:J54">
    <cfRule type="cellIs" dxfId="426" priority="7" operator="equal">
      <formula>"NO CUMPLE"</formula>
    </cfRule>
    <cfRule type="cellIs" dxfId="425" priority="8" operator="equal">
      <formula>"CUMPLE"</formula>
    </cfRule>
    <cfRule type="containsBlanks" dxfId="424" priority="9">
      <formula>LEN(TRIM(D47))=0</formula>
    </cfRule>
    <cfRule type="notContainsErrors" dxfId="423" priority="10">
      <formula>NOT(ISERROR(D47))</formula>
    </cfRule>
  </conditionalFormatting>
  <conditionalFormatting sqref="D55:J55">
    <cfRule type="cellIs" dxfId="422" priority="53" operator="equal">
      <formula>"""CUMPLE"""</formula>
    </cfRule>
    <cfRule type="cellIs" dxfId="421" priority="52" operator="equal">
      <formula>"NO CUMPLE"</formula>
    </cfRule>
    <cfRule type="cellIs" dxfId="420" priority="51" operator="equal">
      <formula>"CUMPLE"</formula>
    </cfRule>
    <cfRule type="cellIs" dxfId="419" priority="50" operator="equal">
      <formula>"N/A"</formula>
    </cfRule>
  </conditionalFormatting>
  <conditionalFormatting sqref="D56:J67">
    <cfRule type="cellIs" dxfId="418" priority="2" operator="equal">
      <formula>"CUMPLE"</formula>
    </cfRule>
    <cfRule type="containsBlanks" dxfId="417" priority="3">
      <formula>LEN(TRIM(D56))=0</formula>
    </cfRule>
    <cfRule type="notContainsErrors" dxfId="416" priority="4">
      <formula>NOT(ISERROR(D56))</formula>
    </cfRule>
    <cfRule type="cellIs" dxfId="415" priority="1" operator="equal">
      <formula>"NO CUMPLE"</formula>
    </cfRule>
  </conditionalFormatting>
  <conditionalFormatting sqref="D61:J67">
    <cfRule type="containsBlanks" dxfId="414" priority="5">
      <formula>LEN(TRIM(D61))=0</formula>
    </cfRule>
    <cfRule type="notContainsErrors" dxfId="413" priority="6">
      <formula>NOT(ISERROR(D61))</formula>
    </cfRule>
  </conditionalFormatting>
  <conditionalFormatting sqref="D68:J68">
    <cfRule type="cellIs" dxfId="412" priority="46" operator="equal">
      <formula>"N/A"</formula>
    </cfRule>
    <cfRule type="cellIs" dxfId="411" priority="47" operator="equal">
      <formula>"CUMPLE"</formula>
    </cfRule>
    <cfRule type="cellIs" dxfId="410" priority="48" operator="equal">
      <formula>"NO CUMPLE"</formula>
    </cfRule>
    <cfRule type="cellIs" dxfId="409" priority="49" operator="equal">
      <formula>"""CUMPLE"""</formula>
    </cfRule>
  </conditionalFormatting>
  <conditionalFormatting sqref="D69:J69">
    <cfRule type="cellIs" dxfId="408" priority="15" operator="equal">
      <formula>"CUMPLE"</formula>
    </cfRule>
    <cfRule type="cellIs" dxfId="407" priority="14" operator="equal">
      <formula>"NO CUMPLE"</formula>
    </cfRule>
  </conditionalFormatting>
  <conditionalFormatting sqref="D24:K24 D34:J34 D37:J37 D40:J40 D43:J43 K68:L68">
    <cfRule type="notContainsErrors" dxfId="406" priority="45">
      <formula>NOT(ISERROR(D24))</formula>
    </cfRule>
  </conditionalFormatting>
  <conditionalFormatting sqref="D69:K69">
    <cfRule type="notContainsErrors" dxfId="405" priority="17">
      <formula>NOT(ISERROR(D69))</formula>
    </cfRule>
    <cfRule type="containsBlanks" dxfId="404" priority="16">
      <formula>LEN(TRIM(D69))=0</formula>
    </cfRule>
  </conditionalFormatting>
  <conditionalFormatting sqref="E73:E74">
    <cfRule type="notContainsErrors" dxfId="403" priority="19">
      <formula>NOT(ISERROR(E73))</formula>
    </cfRule>
    <cfRule type="containsBlanks" dxfId="402" priority="18">
      <formula>LEN(TRIM(E73))=0</formula>
    </cfRule>
  </conditionalFormatting>
  <conditionalFormatting sqref="F20:H20">
    <cfRule type="cellIs" dxfId="401" priority="57" operator="equal">
      <formula>"CUMPLE"</formula>
    </cfRule>
    <cfRule type="cellIs" dxfId="400" priority="58" operator="equal">
      <formula>"NO CUMPLE"</formula>
    </cfRule>
    <cfRule type="cellIs" dxfId="399" priority="59" operator="equal">
      <formula>"""CUMPLE"""</formula>
    </cfRule>
  </conditionalFormatting>
  <conditionalFormatting sqref="I11">
    <cfRule type="containsText" dxfId="398" priority="60" operator="containsText" text="INHABILITADO">
      <formula>NOT(ISERROR(SEARCH("INHABILITADO",I11)))</formula>
    </cfRule>
    <cfRule type="containsText" dxfId="397" priority="61" operator="containsText" text="HABILITADO">
      <formula>NOT(ISERROR(SEARCH("HABILITADO",I11)))</formula>
    </cfRule>
    <cfRule type="containsText" dxfId="396" priority="62" operator="containsText" text="HABILITADO">
      <formula>NOT(ISERROR(SEARCH("HABILITADO",I11)))</formula>
    </cfRule>
    <cfRule type="containsText" dxfId="395" priority="63" operator="containsText" text="NO CUMPLE">
      <formula>NOT(ISERROR(SEARCH("NO CUMPLE",I11)))</formula>
    </cfRule>
  </conditionalFormatting>
  <conditionalFormatting sqref="J20">
    <cfRule type="cellIs" dxfId="394" priority="38" operator="equal">
      <formula>"NO"</formula>
    </cfRule>
    <cfRule type="cellIs" dxfId="393" priority="39" operator="equal">
      <formula>"SI"</formula>
    </cfRule>
  </conditionalFormatting>
  <conditionalFormatting sqref="K16">
    <cfRule type="cellIs" dxfId="392" priority="11" operator="equal">
      <formula>"CUMPLE"</formula>
    </cfRule>
    <cfRule type="cellIs" dxfId="391" priority="12" operator="equal">
      <formula>"NO CUMPLE"</formula>
    </cfRule>
    <cfRule type="cellIs" dxfId="390" priority="13" operator="equal">
      <formula>"""CUMPLE"""</formula>
    </cfRule>
  </conditionalFormatting>
  <conditionalFormatting sqref="K25:K67">
    <cfRule type="notContainsErrors" dxfId="389" priority="29">
      <formula>NOT(ISERROR(K25))</formula>
    </cfRule>
    <cfRule type="containsBlanks" dxfId="388" priority="28">
      <formula>LEN(TRIM(K25))=0</formula>
    </cfRule>
  </conditionalFormatting>
  <conditionalFormatting sqref="L14">
    <cfRule type="cellIs" dxfId="387" priority="54" operator="equal">
      <formula>"CUMPLE"</formula>
    </cfRule>
    <cfRule type="cellIs" dxfId="386" priority="55" operator="equal">
      <formula>"NO CUMPLE"</formula>
    </cfRule>
    <cfRule type="cellIs" dxfId="385" priority="56" operator="equal">
      <formula>"""CUMPLE"""</formula>
    </cfRule>
  </conditionalFormatting>
  <conditionalFormatting sqref="L20">
    <cfRule type="cellIs" dxfId="384" priority="36" operator="equal">
      <formula>"NO"</formula>
    </cfRule>
    <cfRule type="cellIs" dxfId="383" priority="37" operator="equal">
      <formula>"SI"</formula>
    </cfRule>
  </conditionalFormatting>
  <dataValidations count="4">
    <dataValidation type="list" allowBlank="1" showInputMessage="1" showErrorMessage="1" sqref="D24:J26" xr:uid="{4FFF0C70-0E11-44B7-A3E6-AC522A896673}">
      <formula1>$C$15:$C$19</formula1>
    </dataValidation>
    <dataValidation type="list" allowBlank="1" showInputMessage="1" showErrorMessage="1" sqref="L61:L69" xr:uid="{DAB1C735-1305-453F-9301-3B1FEA0B5713}">
      <formula1>"0,1,2,3,4,5,6"</formula1>
    </dataValidation>
    <dataValidation type="list" allowBlank="1" showInputMessage="1" showErrorMessage="1" sqref="D73" xr:uid="{4462A81F-A139-40FD-8E35-38BD1B6774A1}">
      <formula1>$A$50:$A$52</formula1>
    </dataValidation>
    <dataValidation type="list" allowBlank="1" showInputMessage="1" showErrorMessage="1" sqref="J48:J53" xr:uid="{4C9FA26C-4080-40A8-95E9-2669E89684EE}">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B1D45BC7-D1AB-497E-9E2D-3471ADE8630B}">
          <x14:formula1>
            <xm:f>'DATOS INICIALES'!$A$13:$A$43</xm:f>
          </x14:formula1>
          <xm:sqref>D31:I31</xm:sqref>
        </x14:dataValidation>
        <x14:dataValidation type="list" allowBlank="1" showInputMessage="1" showErrorMessage="1" xr:uid="{D999ACF8-735D-4D2F-9D10-EFD2651D73B6}">
          <x14:formula1>
            <xm:f>'DATOS INICIALES'!$D$22:$D$26</xm:f>
          </x14:formula1>
          <xm:sqref>M48:M55</xm:sqref>
        </x14:dataValidation>
        <x14:dataValidation type="list" allowBlank="1" showInputMessage="1" showErrorMessage="1" xr:uid="{312164DF-3E0F-4D93-A131-15AC869C9577}">
          <x14:formula1>
            <xm:f>'DATOS INICIALES'!$A$54:$A$59</xm:f>
          </x14:formula1>
          <xm:sqref>D23:I23</xm:sqref>
        </x14:dataValidation>
        <x14:dataValidation type="list" allowBlank="1" showInputMessage="1" showErrorMessage="1" xr:uid="{EBA97155-10ED-45E3-9150-57CA0A8552A5}">
          <x14:formula1>
            <xm:f>'DATOS INICIALES'!$A$50:$A$52</xm:f>
          </x14:formula1>
          <xm:sqref>D56:J67</xm:sqref>
        </x14:dataValidation>
        <x14:dataValidation type="list" allowBlank="1" showInputMessage="1" showErrorMessage="1" xr:uid="{09256330-61F9-4295-BFDA-9EA32A1E9551}">
          <x14:formula1>
            <xm:f>'DATOS INICIALES'!$C$45:$C$46</xm:f>
          </x14:formula1>
          <xm:sqref>D48:I54</xm:sqref>
        </x14:dataValidation>
        <x14:dataValidation type="list" allowBlank="1" showInputMessage="1" showErrorMessage="1" xr:uid="{572676E8-6C94-4D01-852E-EA9FA5686BE5}">
          <x14:formula1>
            <xm:f>'DATOS INICIALES'!$A$50:$A$51</xm:f>
          </x14:formula1>
          <xm:sqref>D69:J69 D47:J47</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32B8A-971D-4F84-AF42-AB32B17864AE}">
  <dimension ref="A1:N74"/>
  <sheetViews>
    <sheetView view="pageBreakPreview" zoomScale="40" zoomScaleNormal="55" zoomScaleSheetLayoutView="40" workbookViewId="0">
      <pane ySplit="11" topLeftCell="A66" activePane="bottomLeft" state="frozenSplit"/>
      <selection activeCell="D56" sqref="D56:J67"/>
      <selection pane="bottomLeft" activeCell="G28" sqref="G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32</v>
      </c>
      <c r="B11" s="2" t="s">
        <v>24</v>
      </c>
      <c r="C11" s="342" t="str">
        <f>VLOOKUP(A11,PROPONENTES!A10:B46,2,FALSE)</f>
        <v>LOGIA 3 ASOCIADOS S.A.S – BIC</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4</v>
      </c>
      <c r="J14" s="169">
        <f>+L8</f>
        <v>405.24573153846154</v>
      </c>
      <c r="K14" s="169">
        <f>+E20</f>
        <v>3462.2257</v>
      </c>
      <c r="L14" s="18" t="str">
        <f>IF(K14&gt;=J14,"CUMPLE","NO CUMPLE")</f>
        <v>CUMPLE</v>
      </c>
    </row>
    <row r="15" spans="1:12" ht="66.75" customHeight="1" x14ac:dyDescent="0.25">
      <c r="B15" s="314"/>
      <c r="C15" s="98" t="str">
        <f>IF(VLOOKUP(C11,PROPONENTES!B10:N46,2,FALSE)=0,"",VLOOKUP(C11,PROPONENTES!B10:N46,2,FALSE))</f>
        <v>LOGIA 3 ASOCIADOS S.A.S – BIC</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3462.2257</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3462.2257</v>
      </c>
      <c r="J16" s="169">
        <f>+L8*0.7</f>
        <v>283.67201207692307</v>
      </c>
      <c r="K16" s="18" t="str">
        <f>IF(I16&gt;=J16,"CUMPLE","NO CUMPLE")</f>
        <v>CUMPLE</v>
      </c>
      <c r="L16" s="305">
        <f>AVERAGEIF(D68:J68,"CUMPLE",D46:J46)</f>
        <v>865.55642499999999</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3462.2257</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286</v>
      </c>
      <c r="E24" s="88" t="s">
        <v>286</v>
      </c>
      <c r="F24" s="88" t="s">
        <v>286</v>
      </c>
      <c r="G24" s="88" t="s">
        <v>286</v>
      </c>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508</v>
      </c>
      <c r="E27" s="89" t="s">
        <v>509</v>
      </c>
      <c r="F27" s="89" t="s">
        <v>510</v>
      </c>
      <c r="G27" s="89" t="s">
        <v>511</v>
      </c>
      <c r="H27" s="89"/>
      <c r="I27" s="89"/>
      <c r="J27" s="89"/>
      <c r="K27" s="297"/>
      <c r="L27" s="298"/>
    </row>
    <row r="28" spans="2:14" ht="156.75" customHeight="1" x14ac:dyDescent="0.25">
      <c r="B28" s="319"/>
      <c r="C28" s="27" t="s">
        <v>36</v>
      </c>
      <c r="D28" s="89" t="s">
        <v>512</v>
      </c>
      <c r="E28" s="89" t="s">
        <v>513</v>
      </c>
      <c r="F28" s="89" t="s">
        <v>514</v>
      </c>
      <c r="G28" s="89" t="s">
        <v>515</v>
      </c>
      <c r="H28" s="89"/>
      <c r="I28" s="89"/>
      <c r="J28" s="89"/>
      <c r="K28" s="297"/>
      <c r="L28" s="298"/>
    </row>
    <row r="29" spans="2:14" ht="52.5" customHeight="1" x14ac:dyDescent="0.25">
      <c r="B29" s="319"/>
      <c r="C29" s="27" t="s">
        <v>165</v>
      </c>
      <c r="D29" s="93">
        <v>43753</v>
      </c>
      <c r="E29" s="93">
        <v>41751</v>
      </c>
      <c r="F29" s="93">
        <v>42449</v>
      </c>
      <c r="G29" s="93">
        <v>43374</v>
      </c>
      <c r="H29" s="93"/>
      <c r="I29" s="93"/>
      <c r="J29" s="93"/>
      <c r="K29" s="297"/>
      <c r="L29" s="298"/>
    </row>
    <row r="30" spans="2:14" ht="54.75" customHeight="1" x14ac:dyDescent="0.25">
      <c r="B30" s="319"/>
      <c r="C30" s="27" t="s">
        <v>40</v>
      </c>
      <c r="D30" s="93">
        <v>43935</v>
      </c>
      <c r="E30" s="93">
        <v>41933</v>
      </c>
      <c r="F30" s="93">
        <v>42723</v>
      </c>
      <c r="G30" s="93">
        <v>43616</v>
      </c>
      <c r="H30" s="93"/>
      <c r="I30" s="93"/>
      <c r="J30" s="93"/>
      <c r="K30" s="297"/>
      <c r="L30" s="298"/>
    </row>
    <row r="31" spans="2:14" ht="41.25" customHeight="1" x14ac:dyDescent="0.25">
      <c r="B31" s="319"/>
      <c r="C31" s="27" t="s">
        <v>37</v>
      </c>
      <c r="D31" s="90">
        <v>2020</v>
      </c>
      <c r="E31" s="90">
        <v>2014</v>
      </c>
      <c r="F31" s="90">
        <v>2016</v>
      </c>
      <c r="G31" s="90">
        <v>2019</v>
      </c>
      <c r="H31" s="90"/>
      <c r="I31" s="90"/>
      <c r="J31" s="90"/>
      <c r="K31" s="297"/>
      <c r="L31" s="298"/>
    </row>
    <row r="32" spans="2:14" ht="63" customHeight="1" x14ac:dyDescent="0.25">
      <c r="B32" s="319"/>
      <c r="C32" s="27" t="s">
        <v>38</v>
      </c>
      <c r="D32" s="89" t="s">
        <v>516</v>
      </c>
      <c r="E32" s="89" t="s">
        <v>517</v>
      </c>
      <c r="F32" s="89" t="s">
        <v>518</v>
      </c>
      <c r="G32" s="89" t="s">
        <v>519</v>
      </c>
      <c r="H32" s="89"/>
      <c r="I32" s="89"/>
      <c r="J32" s="89"/>
      <c r="K32" s="297"/>
      <c r="L32" s="298"/>
    </row>
    <row r="33" spans="2:12" ht="46.5" customHeight="1" x14ac:dyDescent="0.25">
      <c r="B33" s="319"/>
      <c r="C33" s="27" t="s">
        <v>39</v>
      </c>
      <c r="D33" s="89" t="s">
        <v>520</v>
      </c>
      <c r="E33" s="89" t="s">
        <v>520</v>
      </c>
      <c r="F33" s="89" t="s">
        <v>520</v>
      </c>
      <c r="G33" s="89" t="s">
        <v>521</v>
      </c>
      <c r="H33" s="89"/>
      <c r="I33" s="89"/>
      <c r="J33" s="89"/>
      <c r="K33" s="297"/>
      <c r="L33" s="298"/>
    </row>
    <row r="34" spans="2:12" ht="27.75" customHeight="1" x14ac:dyDescent="0.25">
      <c r="B34" s="319"/>
      <c r="C34" s="28" t="s">
        <v>33</v>
      </c>
      <c r="D34" s="94">
        <v>153</v>
      </c>
      <c r="E34" s="94">
        <v>156</v>
      </c>
      <c r="F34" s="94">
        <v>84</v>
      </c>
      <c r="G34" s="95">
        <v>93</v>
      </c>
      <c r="H34" s="95"/>
      <c r="I34" s="95"/>
      <c r="J34" s="95"/>
      <c r="K34" s="297"/>
      <c r="L34" s="298"/>
    </row>
    <row r="35" spans="2:12" ht="102.75" customHeight="1" x14ac:dyDescent="0.25">
      <c r="B35" s="319"/>
      <c r="C35" s="27" t="s">
        <v>124</v>
      </c>
      <c r="D35" s="91">
        <v>398.24</v>
      </c>
      <c r="E35" s="187">
        <v>517.14</v>
      </c>
      <c r="F35" s="91">
        <v>2463.62</v>
      </c>
      <c r="G35" s="91">
        <v>924.73</v>
      </c>
      <c r="H35" s="91"/>
      <c r="I35" s="91"/>
      <c r="J35" s="91"/>
      <c r="K35" s="299"/>
      <c r="L35" s="300"/>
    </row>
    <row r="36" spans="2:12" ht="48" customHeight="1" x14ac:dyDescent="0.25">
      <c r="B36" s="319"/>
      <c r="C36" s="27" t="s">
        <v>72</v>
      </c>
      <c r="D36" s="103">
        <f>IFERROR(D35*VLOOKUP(D31,'DATOS INICIALES'!$A$12:$B$43,2,0),"0")</f>
        <v>349576266.72000003</v>
      </c>
      <c r="E36" s="103">
        <f>IFERROR(E35*VLOOKUP(E31,'DATOS INICIALES'!$A$12:$B$43,2,0),"0")</f>
        <v>318558240</v>
      </c>
      <c r="F36" s="103">
        <f>IFERROR(F35*VLOOKUP(F31,'DATOS INICIALES'!$A$12:$B$43,2,0),"0")</f>
        <v>1698555127.0999999</v>
      </c>
      <c r="G36" s="103">
        <f>IFERROR(G35*VLOOKUP(G31,'DATOS INICIALES'!$A$12:$B$43,2,0),"0")</f>
        <v>765783708.68000007</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1</v>
      </c>
      <c r="F37" s="92">
        <v>1</v>
      </c>
      <c r="G37" s="92">
        <v>0.09</v>
      </c>
      <c r="H37" s="92"/>
      <c r="I37" s="92"/>
      <c r="J37" s="92"/>
      <c r="K37" s="297"/>
      <c r="L37" s="298"/>
    </row>
    <row r="38" spans="2:12" ht="48.75" customHeight="1" x14ac:dyDescent="0.25">
      <c r="B38" s="319"/>
      <c r="C38" s="27" t="s">
        <v>131</v>
      </c>
      <c r="D38" s="103">
        <f t="shared" ref="D38:J38" si="0">IF(D24="","0",D37*D36)</f>
        <v>349576266.72000003</v>
      </c>
      <c r="E38" s="103">
        <f t="shared" si="0"/>
        <v>318558240</v>
      </c>
      <c r="F38" s="103">
        <f t="shared" si="0"/>
        <v>1698555127.0999999</v>
      </c>
      <c r="G38" s="103">
        <f t="shared" si="0"/>
        <v>68920533.781200007</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398.24</v>
      </c>
      <c r="E39" s="104">
        <f t="shared" si="1"/>
        <v>517.14</v>
      </c>
      <c r="F39" s="104">
        <f t="shared" si="1"/>
        <v>2463.62</v>
      </c>
      <c r="G39" s="104">
        <f t="shared" si="1"/>
        <v>83.225700000000003</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398.24</v>
      </c>
      <c r="E46" s="104">
        <f t="shared" ref="E46:G46" si="6">+E39+E42+E45</f>
        <v>517.14</v>
      </c>
      <c r="F46" s="104">
        <f t="shared" si="6"/>
        <v>2463.62</v>
      </c>
      <c r="G46" s="104">
        <f t="shared" si="6"/>
        <v>83.225700000000003</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t="s">
        <v>14</v>
      </c>
      <c r="H47" s="88"/>
      <c r="I47" s="88"/>
      <c r="J47" s="88"/>
      <c r="K47" s="297"/>
      <c r="L47" s="298"/>
    </row>
    <row r="48" spans="2:12" ht="24.75" customHeight="1" x14ac:dyDescent="0.25">
      <c r="B48" s="315" t="s">
        <v>34</v>
      </c>
      <c r="C48" s="29">
        <f>+'DATOS INICIALES'!D22</f>
        <v>81141500</v>
      </c>
      <c r="D48" s="94" t="s">
        <v>75</v>
      </c>
      <c r="E48" s="94" t="s">
        <v>75</v>
      </c>
      <c r="F48" s="94" t="s">
        <v>75</v>
      </c>
      <c r="G48" s="94" t="s">
        <v>75</v>
      </c>
      <c r="H48" s="94"/>
      <c r="I48" s="94"/>
      <c r="J48" s="95"/>
      <c r="K48" s="297"/>
      <c r="L48" s="298"/>
    </row>
    <row r="49" spans="2:12" ht="24.75" customHeight="1" x14ac:dyDescent="0.25">
      <c r="B49" s="316"/>
      <c r="C49" s="29">
        <f>+'DATOS INICIALES'!D23</f>
        <v>80101500</v>
      </c>
      <c r="D49" s="94" t="s">
        <v>75</v>
      </c>
      <c r="E49" s="94" t="s">
        <v>75</v>
      </c>
      <c r="F49" s="94" t="s">
        <v>75</v>
      </c>
      <c r="G49" s="94" t="s">
        <v>75</v>
      </c>
      <c r="H49" s="94"/>
      <c r="I49" s="94"/>
      <c r="J49" s="95"/>
      <c r="K49" s="297"/>
      <c r="L49" s="298"/>
    </row>
    <row r="50" spans="2:12" ht="24.75" customHeight="1" x14ac:dyDescent="0.25">
      <c r="B50" s="316"/>
      <c r="C50" s="29">
        <f>+'DATOS INICIALES'!D24</f>
        <v>80101600</v>
      </c>
      <c r="D50" s="94" t="s">
        <v>75</v>
      </c>
      <c r="E50" s="94" t="s">
        <v>75</v>
      </c>
      <c r="F50" s="94" t="s">
        <v>75</v>
      </c>
      <c r="G50" s="94" t="s">
        <v>75</v>
      </c>
      <c r="H50" s="94"/>
      <c r="I50" s="94"/>
      <c r="J50" s="95"/>
      <c r="K50" s="297"/>
      <c r="L50" s="298"/>
    </row>
    <row r="51" spans="2:12" ht="24.75" customHeight="1" x14ac:dyDescent="0.25">
      <c r="B51" s="316"/>
      <c r="C51" s="29">
        <f>+'DATOS INICIALES'!D25</f>
        <v>81101500</v>
      </c>
      <c r="D51" s="94" t="s">
        <v>73</v>
      </c>
      <c r="E51" s="94" t="s">
        <v>73</v>
      </c>
      <c r="F51" s="94" t="s">
        <v>75</v>
      </c>
      <c r="G51" s="94" t="s">
        <v>75</v>
      </c>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CUMPLE</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14</v>
      </c>
      <c r="G56" s="88" t="s">
        <v>14</v>
      </c>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t="s">
        <v>14</v>
      </c>
      <c r="H61" s="88"/>
      <c r="I61" s="88"/>
      <c r="J61" s="88"/>
      <c r="K61" s="297"/>
      <c r="L61" s="298"/>
    </row>
    <row r="62" spans="2:12" ht="45" customHeight="1" x14ac:dyDescent="0.25">
      <c r="B62" s="290" t="s">
        <v>207</v>
      </c>
      <c r="C62" s="291"/>
      <c r="D62" s="88" t="s">
        <v>14</v>
      </c>
      <c r="E62" s="88" t="s">
        <v>14</v>
      </c>
      <c r="F62" s="88" t="s">
        <v>14</v>
      </c>
      <c r="G62" s="88" t="s">
        <v>14</v>
      </c>
      <c r="H62" s="88"/>
      <c r="I62" s="88"/>
      <c r="J62" s="88"/>
      <c r="K62" s="297"/>
      <c r="L62" s="298"/>
    </row>
    <row r="63" spans="2:12" ht="181.5" customHeight="1" x14ac:dyDescent="0.25">
      <c r="B63" s="290" t="s">
        <v>218</v>
      </c>
      <c r="C63" s="291"/>
      <c r="D63" s="88" t="s">
        <v>13</v>
      </c>
      <c r="E63" s="88" t="s">
        <v>13</v>
      </c>
      <c r="F63" s="88" t="s">
        <v>13</v>
      </c>
      <c r="G63" s="88" t="s">
        <v>13</v>
      </c>
      <c r="H63" s="88"/>
      <c r="I63" s="88"/>
      <c r="J63" s="88"/>
      <c r="K63" s="297"/>
      <c r="L63" s="298"/>
    </row>
    <row r="64" spans="2:12" ht="336" customHeight="1" x14ac:dyDescent="0.25">
      <c r="B64" s="242" t="s">
        <v>220</v>
      </c>
      <c r="C64" s="242"/>
      <c r="D64" s="88" t="s">
        <v>14</v>
      </c>
      <c r="E64" s="88" t="s">
        <v>14</v>
      </c>
      <c r="F64" s="88" t="s">
        <v>14</v>
      </c>
      <c r="G64" s="88" t="s">
        <v>14</v>
      </c>
      <c r="H64" s="88"/>
      <c r="I64" s="88"/>
      <c r="J64" s="88"/>
      <c r="K64" s="299"/>
      <c r="L64" s="300"/>
    </row>
    <row r="65" spans="2:12" ht="143.25" customHeight="1" x14ac:dyDescent="0.25">
      <c r="B65" s="293" t="s">
        <v>221</v>
      </c>
      <c r="C65" s="294"/>
      <c r="D65" s="88" t="s">
        <v>14</v>
      </c>
      <c r="E65" s="88" t="s">
        <v>14</v>
      </c>
      <c r="F65" s="88" t="s">
        <v>14</v>
      </c>
      <c r="G65" s="88" t="s">
        <v>13</v>
      </c>
      <c r="H65" s="88"/>
      <c r="I65" s="88"/>
      <c r="J65" s="88"/>
      <c r="K65" s="297"/>
      <c r="L65" s="298"/>
    </row>
    <row r="66" spans="2:12" ht="408.75" customHeight="1" x14ac:dyDescent="0.25">
      <c r="B66" s="292" t="s">
        <v>208</v>
      </c>
      <c r="C66" s="292"/>
      <c r="D66" s="88" t="s">
        <v>13</v>
      </c>
      <c r="E66" s="88" t="s">
        <v>13</v>
      </c>
      <c r="F66" s="88" t="s">
        <v>13</v>
      </c>
      <c r="G66" s="88" t="s">
        <v>13</v>
      </c>
      <c r="H66" s="88"/>
      <c r="I66" s="88"/>
      <c r="J66" s="88"/>
      <c r="K66" s="297"/>
      <c r="L66" s="298"/>
    </row>
    <row r="67" spans="2:12" ht="312.75" customHeight="1" x14ac:dyDescent="0.25">
      <c r="B67" s="242" t="s">
        <v>209</v>
      </c>
      <c r="C67" s="242"/>
      <c r="D67" s="88" t="s">
        <v>14</v>
      </c>
      <c r="E67" s="88" t="s">
        <v>14</v>
      </c>
      <c r="F67" s="88" t="s">
        <v>14</v>
      </c>
      <c r="G67" s="88" t="s">
        <v>14</v>
      </c>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CUMPLE</v>
      </c>
      <c r="G68" s="18" t="str">
        <f t="shared" si="9"/>
        <v>CUMPLE</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t="s">
        <v>14</v>
      </c>
      <c r="G69" s="88" t="s">
        <v>14</v>
      </c>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73">
    <cfRule type="notContainsErrors" dxfId="382" priority="41">
      <formula>NOT(ISERROR(D73))</formula>
    </cfRule>
    <cfRule type="cellIs" dxfId="381" priority="42" operator="equal">
      <formula>"NO CUMPLE"</formula>
    </cfRule>
    <cfRule type="cellIs" dxfId="380" priority="43" operator="equal">
      <formula>"CUMPLE"</formula>
    </cfRule>
    <cfRule type="containsBlanks" dxfId="379" priority="40">
      <formula>LEN(TRIM(D73))=0</formula>
    </cfRule>
  </conditionalFormatting>
  <conditionalFormatting sqref="D74">
    <cfRule type="cellIs" dxfId="378" priority="44" operator="equal">
      <formula>"N/A"</formula>
    </cfRule>
    <cfRule type="cellIs" dxfId="377" priority="45" operator="equal">
      <formula>"CUMPLE"</formula>
    </cfRule>
    <cfRule type="cellIs" dxfId="376" priority="46" operator="equal">
      <formula>"NO CUMPLE"</formula>
    </cfRule>
    <cfRule type="cellIs" dxfId="375" priority="47" operator="equal">
      <formula>"""CUMPLE"""</formula>
    </cfRule>
  </conditionalFormatting>
  <conditionalFormatting sqref="D25:J35">
    <cfRule type="containsBlanks" dxfId="374" priority="17">
      <formula>LEN(TRIM(D25))=0</formula>
    </cfRule>
    <cfRule type="notContainsErrors" dxfId="373" priority="18">
      <formula>NOT(ISERROR(D25))</formula>
    </cfRule>
  </conditionalFormatting>
  <conditionalFormatting sqref="D34:J34 D24:K24">
    <cfRule type="containsBlanks" dxfId="372" priority="19">
      <formula>LEN(TRIM(D24))=0</formula>
    </cfRule>
  </conditionalFormatting>
  <conditionalFormatting sqref="D37:J37">
    <cfRule type="notContainsErrors" dxfId="371" priority="16">
      <formula>NOT(ISERROR(D37))</formula>
    </cfRule>
    <cfRule type="containsBlanks" dxfId="370" priority="15">
      <formula>LEN(TRIM(D37))=0</formula>
    </cfRule>
  </conditionalFormatting>
  <conditionalFormatting sqref="D40:J40 D43:J43 K68:L68">
    <cfRule type="notContainsErrors" dxfId="369" priority="65">
      <formula>NOT(ISERROR(D40))</formula>
    </cfRule>
    <cfRule type="containsBlanks" dxfId="368" priority="64">
      <formula>LEN(TRIM(D40))=0</formula>
    </cfRule>
  </conditionalFormatting>
  <conditionalFormatting sqref="D47:J54">
    <cfRule type="notContainsErrors" dxfId="367" priority="14">
      <formula>NOT(ISERROR(D47))</formula>
    </cfRule>
    <cfRule type="containsBlanks" dxfId="366" priority="13">
      <formula>LEN(TRIM(D47))=0</formula>
    </cfRule>
    <cfRule type="cellIs" dxfId="365" priority="12" operator="equal">
      <formula>"CUMPLE"</formula>
    </cfRule>
    <cfRule type="cellIs" dxfId="364" priority="11" operator="equal">
      <formula>"NO CUMPLE"</formula>
    </cfRule>
  </conditionalFormatting>
  <conditionalFormatting sqref="D55:J55">
    <cfRule type="cellIs" dxfId="363" priority="72" operator="equal">
      <formula>"NO CUMPLE"</formula>
    </cfRule>
    <cfRule type="cellIs" dxfId="362" priority="71" operator="equal">
      <formula>"CUMPLE"</formula>
    </cfRule>
    <cfRule type="cellIs" dxfId="361" priority="70" operator="equal">
      <formula>"N/A"</formula>
    </cfRule>
    <cfRule type="cellIs" dxfId="360" priority="73" operator="equal">
      <formula>"""CUMPLE"""</formula>
    </cfRule>
  </conditionalFormatting>
  <conditionalFormatting sqref="D56:J67">
    <cfRule type="cellIs" dxfId="359" priority="5" operator="equal">
      <formula>"NO CUMPLE"</formula>
    </cfRule>
    <cfRule type="cellIs" dxfId="358" priority="6" operator="equal">
      <formula>"CUMPLE"</formula>
    </cfRule>
    <cfRule type="containsBlanks" dxfId="357" priority="7">
      <formula>LEN(TRIM(D56))=0</formula>
    </cfRule>
    <cfRule type="notContainsErrors" dxfId="356" priority="8">
      <formula>NOT(ISERROR(D56))</formula>
    </cfRule>
  </conditionalFormatting>
  <conditionalFormatting sqref="D68:J68">
    <cfRule type="cellIs" dxfId="355" priority="69" operator="equal">
      <formula>"""CUMPLE"""</formula>
    </cfRule>
    <cfRule type="cellIs" dxfId="354" priority="68" operator="equal">
      <formula>"NO CUMPLE"</formula>
    </cfRule>
    <cfRule type="cellIs" dxfId="353" priority="67" operator="equal">
      <formula>"CUMPLE"</formula>
    </cfRule>
    <cfRule type="cellIs" dxfId="352" priority="66" operator="equal">
      <formula>"N/A"</formula>
    </cfRule>
  </conditionalFormatting>
  <conditionalFormatting sqref="D69:J69">
    <cfRule type="cellIs" dxfId="351" priority="2" operator="equal">
      <formula>"CUMPLE"</formula>
    </cfRule>
    <cfRule type="cellIs" dxfId="350" priority="1" operator="equal">
      <formula>"NO CUMPLE"</formula>
    </cfRule>
  </conditionalFormatting>
  <conditionalFormatting sqref="D24:K24 D34:J34">
    <cfRule type="notContainsErrors" dxfId="349" priority="20">
      <formula>NOT(ISERROR(D24))</formula>
    </cfRule>
  </conditionalFormatting>
  <conditionalFormatting sqref="D69:K69">
    <cfRule type="containsBlanks" dxfId="348" priority="3">
      <formula>LEN(TRIM(D69))=0</formula>
    </cfRule>
    <cfRule type="notContainsErrors" dxfId="347" priority="4">
      <formula>NOT(ISERROR(D69))</formula>
    </cfRule>
  </conditionalFormatting>
  <conditionalFormatting sqref="E73:E74">
    <cfRule type="notContainsErrors" dxfId="346" priority="39">
      <formula>NOT(ISERROR(E73))</formula>
    </cfRule>
    <cfRule type="containsBlanks" dxfId="345" priority="38">
      <formula>LEN(TRIM(E73))=0</formula>
    </cfRule>
  </conditionalFormatting>
  <conditionalFormatting sqref="F20:H20">
    <cfRule type="cellIs" dxfId="344" priority="77" operator="equal">
      <formula>"CUMPLE"</formula>
    </cfRule>
    <cfRule type="cellIs" dxfId="343" priority="78" operator="equal">
      <formula>"NO CUMPLE"</formula>
    </cfRule>
    <cfRule type="cellIs" dxfId="342" priority="79" operator="equal">
      <formula>"""CUMPLE"""</formula>
    </cfRule>
  </conditionalFormatting>
  <conditionalFormatting sqref="H61:J67">
    <cfRule type="notContainsErrors" dxfId="341" priority="26">
      <formula>NOT(ISERROR(H61))</formula>
    </cfRule>
    <cfRule type="containsBlanks" dxfId="340" priority="25">
      <formula>LEN(TRIM(H61))=0</formula>
    </cfRule>
  </conditionalFormatting>
  <conditionalFormatting sqref="I11">
    <cfRule type="containsText" dxfId="339" priority="83" operator="containsText" text="NO CUMPLE">
      <formula>NOT(ISERROR(SEARCH("NO CUMPLE",I11)))</formula>
    </cfRule>
    <cfRule type="containsText" dxfId="338" priority="80" operator="containsText" text="INHABILITADO">
      <formula>NOT(ISERROR(SEARCH("INHABILITADO",I11)))</formula>
    </cfRule>
    <cfRule type="containsText" dxfId="337" priority="81" operator="containsText" text="HABILITADO">
      <formula>NOT(ISERROR(SEARCH("HABILITADO",I11)))</formula>
    </cfRule>
    <cfRule type="containsText" dxfId="336" priority="82" operator="containsText" text="HABILITADO">
      <formula>NOT(ISERROR(SEARCH("HABILITADO",I11)))</formula>
    </cfRule>
  </conditionalFormatting>
  <conditionalFormatting sqref="J20">
    <cfRule type="cellIs" dxfId="335" priority="58" operator="equal">
      <formula>"NO"</formula>
    </cfRule>
    <cfRule type="cellIs" dxfId="334" priority="59" operator="equal">
      <formula>"SI"</formula>
    </cfRule>
  </conditionalFormatting>
  <conditionalFormatting sqref="K16">
    <cfRule type="cellIs" dxfId="333" priority="33" operator="equal">
      <formula>"""CUMPLE"""</formula>
    </cfRule>
    <cfRule type="cellIs" dxfId="332" priority="32" operator="equal">
      <formula>"NO CUMPLE"</formula>
    </cfRule>
    <cfRule type="cellIs" dxfId="331" priority="31" operator="equal">
      <formula>"CUMPLE"</formula>
    </cfRule>
  </conditionalFormatting>
  <conditionalFormatting sqref="K25:K67">
    <cfRule type="notContainsErrors" dxfId="330" priority="49">
      <formula>NOT(ISERROR(K25))</formula>
    </cfRule>
    <cfRule type="containsBlanks" dxfId="329" priority="48">
      <formula>LEN(TRIM(K25))=0</formula>
    </cfRule>
  </conditionalFormatting>
  <conditionalFormatting sqref="L14">
    <cfRule type="cellIs" dxfId="328" priority="74" operator="equal">
      <formula>"CUMPLE"</formula>
    </cfRule>
    <cfRule type="cellIs" dxfId="327" priority="75" operator="equal">
      <formula>"NO CUMPLE"</formula>
    </cfRule>
    <cfRule type="cellIs" dxfId="326" priority="76" operator="equal">
      <formula>"""CUMPLE"""</formula>
    </cfRule>
  </conditionalFormatting>
  <conditionalFormatting sqref="L20">
    <cfRule type="cellIs" dxfId="325" priority="56" operator="equal">
      <formula>"NO"</formula>
    </cfRule>
    <cfRule type="cellIs" dxfId="324" priority="57" operator="equal">
      <formula>"SI"</formula>
    </cfRule>
  </conditionalFormatting>
  <dataValidations count="4">
    <dataValidation type="list" allowBlank="1" showInputMessage="1" showErrorMessage="1" sqref="J48:J53" xr:uid="{CFA93A7E-4906-4790-87D9-8530D30F4210}">
      <formula1>$C$45:$C$46</formula1>
    </dataValidation>
    <dataValidation type="list" allowBlank="1" showInputMessage="1" showErrorMessage="1" sqref="D73" xr:uid="{B6C23344-95FD-45DE-B782-3AB714C62C29}">
      <formula1>$A$50:$A$52</formula1>
    </dataValidation>
    <dataValidation type="list" allowBlank="1" showInputMessage="1" showErrorMessage="1" sqref="L61:L69" xr:uid="{6223784A-9D6A-4199-B70D-FB14F265B15C}">
      <formula1>"0,1,2,3,4,5,6"</formula1>
    </dataValidation>
    <dataValidation type="list" allowBlank="1" showInputMessage="1" showErrorMessage="1" sqref="D24:J26" xr:uid="{7727ECF5-73F2-4781-93A2-CAD53B4090BF}">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6FEE0FCC-744B-4D6D-9AE4-950CDC43433F}">
          <x14:formula1>
            <xm:f>'DATOS INICIALES'!$C$45:$C$46</xm:f>
          </x14:formula1>
          <xm:sqref>H48:I54 D52:G54</xm:sqref>
        </x14:dataValidation>
        <x14:dataValidation type="list" allowBlank="1" showInputMessage="1" showErrorMessage="1" xr:uid="{BFD77412-0363-4B38-ADE1-E5283125817A}">
          <x14:formula1>
            <xm:f>'DATOS INICIALES'!$A$50:$A$52</xm:f>
          </x14:formula1>
          <xm:sqref>H56:J67</xm:sqref>
        </x14:dataValidation>
        <x14:dataValidation type="list" allowBlank="1" showInputMessage="1" showErrorMessage="1" xr:uid="{C573E1F6-42BE-45A5-BEC1-26E396EBABE8}">
          <x14:formula1>
            <xm:f>'DATOS INICIALES'!$A$54:$A$59</xm:f>
          </x14:formula1>
          <xm:sqref>D23:I23</xm:sqref>
        </x14:dataValidation>
        <x14:dataValidation type="list" allowBlank="1" showInputMessage="1" showErrorMessage="1" xr:uid="{FC527219-B7BD-4D8D-8FBA-956A5F0F737F}">
          <x14:formula1>
            <xm:f>'DATOS INICIALES'!$D$22:$D$26</xm:f>
          </x14:formula1>
          <xm:sqref>M48:M55</xm:sqref>
        </x14:dataValidation>
        <x14:dataValidation type="list" allowBlank="1" showInputMessage="1" showErrorMessage="1" xr:uid="{3DFDFC0E-6B0D-49B3-A63E-D929842E4385}">
          <x14:formula1>
            <xm:f>'DATOS INICIALES'!$A$13:$A$43</xm:f>
          </x14:formula1>
          <xm:sqref>H31:I31</xm:sqref>
        </x14:dataValidation>
        <x14:dataValidation type="list" allowBlank="1" showInputMessage="1" showErrorMessage="1" xr:uid="{3CFE405D-9F8F-4507-BA89-2739FF6AF019}">
          <x14:formula1>
            <xm:f>'DATOS INICIALES'!$A$50:$A$51</xm:f>
          </x14:formula1>
          <xm:sqref>H47:J47 H69:J69</xm:sqref>
        </x14:dataValidation>
      </x14:dataValidation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D8229-4CE8-4763-9229-55B87572C912}">
  <dimension ref="A1:N74"/>
  <sheetViews>
    <sheetView view="pageBreakPreview" zoomScale="55" zoomScaleNormal="55" zoomScaleSheetLayoutView="55" workbookViewId="0">
      <pane ySplit="11" topLeftCell="A16" activePane="bottomLeft" state="frozenSplit"/>
      <selection activeCell="D56" sqref="D56:J67"/>
      <selection pane="bottomLeft" activeCell="G28" sqref="G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33</v>
      </c>
      <c r="B11" s="2" t="s">
        <v>24</v>
      </c>
      <c r="C11" s="342" t="str">
        <f>VLOOKUP(A11,PROPONENTES!A10:B46,2,FALSE)</f>
        <v xml:space="preserve">CONSORCIO AL PARK 003 </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4</v>
      </c>
      <c r="J14" s="169">
        <f>+L8</f>
        <v>405.24573153846154</v>
      </c>
      <c r="K14" s="169">
        <f>+E20</f>
        <v>6341.59</v>
      </c>
      <c r="L14" s="18" t="str">
        <f>IF(K14&gt;=J14,"CUMPLE","NO CUMPLE")</f>
        <v>CUMPLE</v>
      </c>
    </row>
    <row r="15" spans="1:12" ht="66.75" customHeight="1" x14ac:dyDescent="0.25">
      <c r="B15" s="314"/>
      <c r="C15" s="98" t="str">
        <f>IF(VLOOKUP(C11,PROPONENTES!B10:N46,2,FALSE)=0,"",VLOOKUP(C11,PROPONENTES!B10:N46,2,FALSE))</f>
        <v xml:space="preserve">INCOPLAN IN SAS </v>
      </c>
      <c r="D15" s="99">
        <f>IF(VLOOKUP(C11,PROPONENTES!B10:N46,3,FALSE)=0,"",VLOOKUP(C11,PROPONENTES!B10:N46,3,FALSE))</f>
        <v>0.6</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3497.7849999999999</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GRUPO ESPECIALIZADO EN DESARROLLO DE INFRAESTRUCTURA S.A.S.</v>
      </c>
      <c r="D16" s="99">
        <f>IF(VLOOKUP(C11,PROPONENTES!B10:N46,5,FALSE)=0,"",VLOOKUP(C11,PROPONENTES!B10:N46,5,FALSE))</f>
        <v>0.4</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2843.8049999999998</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4307.32</v>
      </c>
      <c r="J16" s="169">
        <f>+L8*0.7</f>
        <v>283.67201207692307</v>
      </c>
      <c r="K16" s="18" t="str">
        <f>IF(I16&gt;=J16,"CUMPLE","NO CUMPLE")</f>
        <v>CUMPLE</v>
      </c>
      <c r="L16" s="305">
        <f>AVERAGEIF(D68:J68,"CUMPLE",D46:J46)</f>
        <v>1585.3975</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6341.59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NO</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288</v>
      </c>
      <c r="E24" s="88" t="s">
        <v>288</v>
      </c>
      <c r="F24" s="88" t="s">
        <v>288</v>
      </c>
      <c r="G24" s="88" t="s">
        <v>288</v>
      </c>
      <c r="H24" s="88"/>
      <c r="I24" s="88"/>
      <c r="J24" s="88"/>
      <c r="K24" s="297"/>
      <c r="L24" s="298"/>
    </row>
    <row r="25" spans="2:14" ht="39.75" customHeight="1" x14ac:dyDescent="0.25">
      <c r="B25" s="303" t="s">
        <v>122</v>
      </c>
      <c r="C25" s="304"/>
      <c r="D25" s="88" t="s">
        <v>289</v>
      </c>
      <c r="E25" s="88" t="s">
        <v>289</v>
      </c>
      <c r="F25" s="88" t="s">
        <v>289</v>
      </c>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522</v>
      </c>
      <c r="E27" s="89" t="s">
        <v>523</v>
      </c>
      <c r="F27" s="89" t="s">
        <v>524</v>
      </c>
      <c r="G27" s="89" t="s">
        <v>525</v>
      </c>
      <c r="H27" s="89"/>
      <c r="I27" s="89"/>
      <c r="J27" s="89"/>
      <c r="K27" s="297"/>
      <c r="L27" s="298"/>
    </row>
    <row r="28" spans="2:14" ht="156.75" customHeight="1" x14ac:dyDescent="0.25">
      <c r="B28" s="319"/>
      <c r="C28" s="27" t="s">
        <v>36</v>
      </c>
      <c r="D28" s="89" t="s">
        <v>526</v>
      </c>
      <c r="E28" s="89" t="s">
        <v>527</v>
      </c>
      <c r="F28" s="89" t="s">
        <v>528</v>
      </c>
      <c r="G28" s="89" t="s">
        <v>529</v>
      </c>
      <c r="H28" s="89"/>
      <c r="I28" s="89"/>
      <c r="J28" s="89"/>
      <c r="K28" s="297"/>
      <c r="L28" s="298"/>
    </row>
    <row r="29" spans="2:14" ht="52.5" customHeight="1" x14ac:dyDescent="0.25">
      <c r="B29" s="319"/>
      <c r="C29" s="27" t="s">
        <v>165</v>
      </c>
      <c r="D29" s="93">
        <v>43019</v>
      </c>
      <c r="E29" s="93">
        <v>40740</v>
      </c>
      <c r="F29" s="93">
        <v>43437</v>
      </c>
      <c r="G29" s="93">
        <v>43025</v>
      </c>
      <c r="H29" s="93"/>
      <c r="I29" s="93"/>
      <c r="J29" s="93"/>
      <c r="K29" s="297"/>
      <c r="L29" s="298"/>
    </row>
    <row r="30" spans="2:14" ht="54.75" customHeight="1" x14ac:dyDescent="0.25">
      <c r="B30" s="319"/>
      <c r="C30" s="27" t="s">
        <v>40</v>
      </c>
      <c r="D30" s="93">
        <v>43261</v>
      </c>
      <c r="E30" s="93">
        <v>41258</v>
      </c>
      <c r="F30" s="93">
        <v>43861</v>
      </c>
      <c r="G30" s="93">
        <v>43492</v>
      </c>
      <c r="H30" s="93"/>
      <c r="I30" s="93"/>
      <c r="J30" s="93"/>
      <c r="K30" s="297"/>
      <c r="L30" s="298"/>
    </row>
    <row r="31" spans="2:14" ht="41.25" customHeight="1" x14ac:dyDescent="0.25">
      <c r="B31" s="319"/>
      <c r="C31" s="27" t="s">
        <v>37</v>
      </c>
      <c r="D31" s="90">
        <v>2018</v>
      </c>
      <c r="E31" s="90">
        <v>2012</v>
      </c>
      <c r="F31" s="90">
        <v>2020</v>
      </c>
      <c r="G31" s="90">
        <v>2019</v>
      </c>
      <c r="H31" s="90"/>
      <c r="I31" s="90"/>
      <c r="J31" s="90"/>
      <c r="K31" s="297"/>
      <c r="L31" s="298"/>
    </row>
    <row r="32" spans="2:14" ht="63" customHeight="1" x14ac:dyDescent="0.25">
      <c r="B32" s="319"/>
      <c r="C32" s="27" t="s">
        <v>38</v>
      </c>
      <c r="D32" s="89" t="s">
        <v>530</v>
      </c>
      <c r="E32" s="89" t="s">
        <v>531</v>
      </c>
      <c r="F32" s="89" t="s">
        <v>532</v>
      </c>
      <c r="G32" s="89" t="s">
        <v>325</v>
      </c>
      <c r="H32" s="89"/>
      <c r="I32" s="89"/>
      <c r="J32" s="89"/>
      <c r="K32" s="297"/>
      <c r="L32" s="298"/>
    </row>
    <row r="33" spans="2:12" ht="46.5" customHeight="1" x14ac:dyDescent="0.25">
      <c r="B33" s="319"/>
      <c r="C33" s="27" t="s">
        <v>39</v>
      </c>
      <c r="D33" s="89" t="s">
        <v>533</v>
      </c>
      <c r="E33" s="89" t="s">
        <v>534</v>
      </c>
      <c r="F33" s="89" t="s">
        <v>535</v>
      </c>
      <c r="G33" s="89" t="s">
        <v>536</v>
      </c>
      <c r="H33" s="89"/>
      <c r="I33" s="89"/>
      <c r="J33" s="89"/>
      <c r="K33" s="297"/>
      <c r="L33" s="298"/>
    </row>
    <row r="34" spans="2:12" ht="27.75" customHeight="1" x14ac:dyDescent="0.25">
      <c r="B34" s="319"/>
      <c r="C34" s="28" t="s">
        <v>33</v>
      </c>
      <c r="D34" s="94">
        <v>279</v>
      </c>
      <c r="E34" s="94">
        <v>278</v>
      </c>
      <c r="F34" s="94">
        <v>108</v>
      </c>
      <c r="G34" s="95">
        <v>2</v>
      </c>
      <c r="H34" s="95"/>
      <c r="I34" s="95"/>
      <c r="J34" s="95"/>
      <c r="K34" s="297"/>
      <c r="L34" s="298"/>
    </row>
    <row r="35" spans="2:12" ht="102.75" customHeight="1" x14ac:dyDescent="0.25">
      <c r="B35" s="319"/>
      <c r="C35" s="27" t="s">
        <v>124</v>
      </c>
      <c r="D35" s="91">
        <v>1427.52</v>
      </c>
      <c r="E35" s="187">
        <v>2879.8</v>
      </c>
      <c r="F35" s="91">
        <v>1380.29</v>
      </c>
      <c r="G35" s="91">
        <v>653.98</v>
      </c>
      <c r="H35" s="91"/>
      <c r="I35" s="91"/>
      <c r="J35" s="91"/>
      <c r="K35" s="299"/>
      <c r="L35" s="300"/>
    </row>
    <row r="36" spans="2:12" ht="48" customHeight="1" x14ac:dyDescent="0.25">
      <c r="B36" s="319"/>
      <c r="C36" s="27" t="s">
        <v>72</v>
      </c>
      <c r="D36" s="103">
        <f>IFERROR(D35*VLOOKUP(D31,'DATOS INICIALES'!$A$12:$B$43,2,0),"0")</f>
        <v>1115238579.8399999</v>
      </c>
      <c r="E36" s="103">
        <f>IFERROR(E35*VLOOKUP(E31,'DATOS INICIALES'!$A$12:$B$43,2,0),"0")</f>
        <v>1631982660</v>
      </c>
      <c r="F36" s="103">
        <f>IFERROR(F35*VLOOKUP(F31,'DATOS INICIALES'!$A$12:$B$43,2,0),"0")</f>
        <v>1211622702.8699999</v>
      </c>
      <c r="G36" s="103">
        <f>IFERROR(G35*VLOOKUP(G31,'DATOS INICIALES'!$A$12:$B$43,2,0),"0")</f>
        <v>541571301.68000007</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0.5</v>
      </c>
      <c r="E37" s="92">
        <v>0.5</v>
      </c>
      <c r="F37" s="92">
        <v>0.5</v>
      </c>
      <c r="G37" s="92">
        <v>1</v>
      </c>
      <c r="H37" s="92"/>
      <c r="I37" s="92"/>
      <c r="J37" s="92"/>
      <c r="K37" s="297"/>
      <c r="L37" s="298"/>
    </row>
    <row r="38" spans="2:12" ht="48.75" customHeight="1" x14ac:dyDescent="0.25">
      <c r="B38" s="319"/>
      <c r="C38" s="27" t="s">
        <v>131</v>
      </c>
      <c r="D38" s="103">
        <f t="shared" ref="D38:J38" si="0">IF(D24="","0",D37*D36)</f>
        <v>557619289.91999996</v>
      </c>
      <c r="E38" s="103">
        <f t="shared" si="0"/>
        <v>815991330</v>
      </c>
      <c r="F38" s="103">
        <f t="shared" si="0"/>
        <v>605811351.43499994</v>
      </c>
      <c r="G38" s="103">
        <f t="shared" si="0"/>
        <v>541571301.68000007</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713.76</v>
      </c>
      <c r="E39" s="104">
        <f t="shared" si="1"/>
        <v>1439.9</v>
      </c>
      <c r="F39" s="104">
        <f t="shared" si="1"/>
        <v>690.14499999999998</v>
      </c>
      <c r="G39" s="104">
        <f t="shared" si="1"/>
        <v>653.98</v>
      </c>
      <c r="H39" s="104">
        <f t="shared" si="1"/>
        <v>0</v>
      </c>
      <c r="I39" s="104">
        <f t="shared" si="1"/>
        <v>0</v>
      </c>
      <c r="J39" s="104">
        <f t="shared" si="1"/>
        <v>0</v>
      </c>
      <c r="K39" s="297"/>
      <c r="L39" s="298"/>
    </row>
    <row r="40" spans="2:12" ht="65.25" customHeight="1" x14ac:dyDescent="0.25">
      <c r="B40" s="319"/>
      <c r="C40" s="27" t="s">
        <v>127</v>
      </c>
      <c r="D40" s="92">
        <v>0.5</v>
      </c>
      <c r="E40" s="92">
        <v>0.5</v>
      </c>
      <c r="F40" s="92">
        <v>0.5</v>
      </c>
      <c r="G40" s="92"/>
      <c r="H40" s="92"/>
      <c r="I40" s="92"/>
      <c r="J40" s="92"/>
      <c r="K40" s="297"/>
      <c r="L40" s="298"/>
    </row>
    <row r="41" spans="2:12" ht="65.25" customHeight="1" x14ac:dyDescent="0.25">
      <c r="B41" s="319"/>
      <c r="C41" s="27" t="s">
        <v>132</v>
      </c>
      <c r="D41" s="105">
        <f t="shared" ref="D41:J41" si="2">IF(D25="","0",D40*D36)</f>
        <v>557619289.91999996</v>
      </c>
      <c r="E41" s="105">
        <f t="shared" si="2"/>
        <v>815991330</v>
      </c>
      <c r="F41" s="105">
        <f t="shared" si="2"/>
        <v>605811351.43499994</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713.76</v>
      </c>
      <c r="E42" s="104">
        <f t="shared" ref="E42:J42" si="3">IF(E25="",0,E35*E40)</f>
        <v>1439.9</v>
      </c>
      <c r="F42" s="104">
        <f t="shared" si="3"/>
        <v>690.14499999999998</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1427.52</v>
      </c>
      <c r="E46" s="104">
        <f t="shared" ref="E46:G46" si="6">+E39+E42+E45</f>
        <v>2879.8</v>
      </c>
      <c r="F46" s="104">
        <f t="shared" si="6"/>
        <v>1380.29</v>
      </c>
      <c r="G46" s="104">
        <f t="shared" si="6"/>
        <v>653.98</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t="s">
        <v>14</v>
      </c>
      <c r="H47" s="88"/>
      <c r="I47" s="88"/>
      <c r="J47" s="88"/>
      <c r="K47" s="297"/>
      <c r="L47" s="298"/>
    </row>
    <row r="48" spans="2:12" ht="24.75" customHeight="1" x14ac:dyDescent="0.25">
      <c r="B48" s="315" t="s">
        <v>34</v>
      </c>
      <c r="C48" s="29">
        <f>+'DATOS INICIALES'!D22</f>
        <v>81141500</v>
      </c>
      <c r="D48" s="94" t="s">
        <v>75</v>
      </c>
      <c r="E48" s="94" t="s">
        <v>75</v>
      </c>
      <c r="F48" s="94" t="s">
        <v>73</v>
      </c>
      <c r="G48" s="94" t="s">
        <v>75</v>
      </c>
      <c r="H48" s="94"/>
      <c r="I48" s="94"/>
      <c r="J48" s="95"/>
      <c r="K48" s="297"/>
      <c r="L48" s="298"/>
    </row>
    <row r="49" spans="2:12" ht="24.75" customHeight="1" x14ac:dyDescent="0.25">
      <c r="B49" s="316"/>
      <c r="C49" s="29">
        <f>+'DATOS INICIALES'!D23</f>
        <v>80101500</v>
      </c>
      <c r="D49" s="94" t="s">
        <v>75</v>
      </c>
      <c r="E49" s="94" t="s">
        <v>75</v>
      </c>
      <c r="F49" s="94" t="s">
        <v>75</v>
      </c>
      <c r="G49" s="94" t="s">
        <v>75</v>
      </c>
      <c r="H49" s="94"/>
      <c r="I49" s="94"/>
      <c r="J49" s="95"/>
      <c r="K49" s="297"/>
      <c r="L49" s="298"/>
    </row>
    <row r="50" spans="2:12" ht="24.75" customHeight="1" x14ac:dyDescent="0.25">
      <c r="B50" s="316"/>
      <c r="C50" s="29">
        <f>+'DATOS INICIALES'!D24</f>
        <v>80101600</v>
      </c>
      <c r="D50" s="94" t="s">
        <v>75</v>
      </c>
      <c r="E50" s="94" t="s">
        <v>75</v>
      </c>
      <c r="F50" s="94" t="s">
        <v>75</v>
      </c>
      <c r="G50" s="94" t="s">
        <v>75</v>
      </c>
      <c r="H50" s="94"/>
      <c r="I50" s="94"/>
      <c r="J50" s="95"/>
      <c r="K50" s="297"/>
      <c r="L50" s="298"/>
    </row>
    <row r="51" spans="2:12" ht="24.75" customHeight="1" x14ac:dyDescent="0.25">
      <c r="B51" s="316"/>
      <c r="C51" s="29">
        <f>+'DATOS INICIALES'!D25</f>
        <v>81101500</v>
      </c>
      <c r="D51" s="94" t="s">
        <v>75</v>
      </c>
      <c r="E51" s="94" t="s">
        <v>75</v>
      </c>
      <c r="F51" s="94" t="s">
        <v>75</v>
      </c>
      <c r="G51" s="94" t="s">
        <v>75</v>
      </c>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CUMPLE</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14</v>
      </c>
      <c r="G56" s="88" t="s">
        <v>14</v>
      </c>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t="s">
        <v>14</v>
      </c>
      <c r="H61" s="88"/>
      <c r="I61" s="88"/>
      <c r="J61" s="88"/>
      <c r="K61" s="297"/>
      <c r="L61" s="298"/>
    </row>
    <row r="62" spans="2:12" ht="45" customHeight="1" x14ac:dyDescent="0.25">
      <c r="B62" s="290" t="s">
        <v>207</v>
      </c>
      <c r="C62" s="291"/>
      <c r="D62" s="88" t="s">
        <v>14</v>
      </c>
      <c r="E62" s="88" t="s">
        <v>14</v>
      </c>
      <c r="F62" s="88" t="s">
        <v>14</v>
      </c>
      <c r="G62" s="88" t="s">
        <v>14</v>
      </c>
      <c r="H62" s="88"/>
      <c r="I62" s="88"/>
      <c r="J62" s="88"/>
      <c r="K62" s="297"/>
      <c r="L62" s="298"/>
    </row>
    <row r="63" spans="2:12" ht="181.5" customHeight="1" x14ac:dyDescent="0.25">
      <c r="B63" s="290" t="s">
        <v>218</v>
      </c>
      <c r="C63" s="291"/>
      <c r="D63" s="88" t="s">
        <v>13</v>
      </c>
      <c r="E63" s="88" t="s">
        <v>13</v>
      </c>
      <c r="F63" s="88" t="s">
        <v>13</v>
      </c>
      <c r="G63" s="88" t="s">
        <v>13</v>
      </c>
      <c r="H63" s="88"/>
      <c r="I63" s="88"/>
      <c r="J63" s="88"/>
      <c r="K63" s="297"/>
      <c r="L63" s="298"/>
    </row>
    <row r="64" spans="2:12" ht="336" customHeight="1" x14ac:dyDescent="0.25">
      <c r="B64" s="242" t="s">
        <v>220</v>
      </c>
      <c r="C64" s="242"/>
      <c r="D64" s="88" t="s">
        <v>14</v>
      </c>
      <c r="E64" s="88" t="s">
        <v>14</v>
      </c>
      <c r="F64" s="88" t="s">
        <v>14</v>
      </c>
      <c r="G64" s="88" t="s">
        <v>14</v>
      </c>
      <c r="H64" s="88"/>
      <c r="I64" s="88"/>
      <c r="J64" s="88"/>
      <c r="K64" s="299"/>
      <c r="L64" s="300"/>
    </row>
    <row r="65" spans="2:12" ht="143.25" customHeight="1" x14ac:dyDescent="0.25">
      <c r="B65" s="293" t="s">
        <v>221</v>
      </c>
      <c r="C65" s="294"/>
      <c r="D65" s="88" t="s">
        <v>13</v>
      </c>
      <c r="E65" s="88" t="s">
        <v>13</v>
      </c>
      <c r="F65" s="88" t="s">
        <v>13</v>
      </c>
      <c r="G65" s="88" t="s">
        <v>13</v>
      </c>
      <c r="H65" s="88"/>
      <c r="I65" s="88"/>
      <c r="J65" s="88"/>
      <c r="K65" s="297"/>
      <c r="L65" s="298"/>
    </row>
    <row r="66" spans="2:12" ht="408.75" customHeight="1" x14ac:dyDescent="0.25">
      <c r="B66" s="292" t="s">
        <v>208</v>
      </c>
      <c r="C66" s="292"/>
      <c r="D66" s="88" t="s">
        <v>13</v>
      </c>
      <c r="E66" s="88" t="s">
        <v>13</v>
      </c>
      <c r="F66" s="88" t="s">
        <v>13</v>
      </c>
      <c r="G66" s="88" t="s">
        <v>13</v>
      </c>
      <c r="H66" s="88"/>
      <c r="I66" s="88"/>
      <c r="J66" s="88"/>
      <c r="K66" s="297"/>
      <c r="L66" s="298"/>
    </row>
    <row r="67" spans="2:12" ht="312.75" customHeight="1" x14ac:dyDescent="0.25">
      <c r="B67" s="242" t="s">
        <v>209</v>
      </c>
      <c r="C67" s="242"/>
      <c r="D67" s="88" t="s">
        <v>14</v>
      </c>
      <c r="E67" s="88" t="s">
        <v>14</v>
      </c>
      <c r="F67" s="88" t="s">
        <v>14</v>
      </c>
      <c r="G67" s="88" t="s">
        <v>14</v>
      </c>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CUMPLE</v>
      </c>
      <c r="G68" s="18" t="str">
        <f t="shared" si="9"/>
        <v>CUMPLE</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73">
    <cfRule type="cellIs" dxfId="323" priority="43" operator="equal">
      <formula>"CUMPLE"</formula>
    </cfRule>
    <cfRule type="cellIs" dxfId="322" priority="42" operator="equal">
      <formula>"NO CUMPLE"</formula>
    </cfRule>
    <cfRule type="notContainsErrors" dxfId="321" priority="41">
      <formula>NOT(ISERROR(D73))</formula>
    </cfRule>
    <cfRule type="containsBlanks" dxfId="320" priority="40">
      <formula>LEN(TRIM(D73))=0</formula>
    </cfRule>
  </conditionalFormatting>
  <conditionalFormatting sqref="D74">
    <cfRule type="cellIs" dxfId="319" priority="44" operator="equal">
      <formula>"N/A"</formula>
    </cfRule>
    <cfRule type="cellIs" dxfId="318" priority="45" operator="equal">
      <formula>"CUMPLE"</formula>
    </cfRule>
    <cfRule type="cellIs" dxfId="317" priority="46" operator="equal">
      <formula>"NO CUMPLE"</formula>
    </cfRule>
    <cfRule type="cellIs" dxfId="316" priority="47" operator="equal">
      <formula>"""CUMPLE"""</formula>
    </cfRule>
  </conditionalFormatting>
  <conditionalFormatting sqref="D25:J35">
    <cfRule type="containsBlanks" dxfId="315" priority="17">
      <formula>LEN(TRIM(D25))=0</formula>
    </cfRule>
    <cfRule type="notContainsErrors" dxfId="314" priority="18">
      <formula>NOT(ISERROR(D25))</formula>
    </cfRule>
  </conditionalFormatting>
  <conditionalFormatting sqref="D34:J34 D24:K24">
    <cfRule type="containsBlanks" dxfId="313" priority="19">
      <formula>LEN(TRIM(D24))=0</formula>
    </cfRule>
  </conditionalFormatting>
  <conditionalFormatting sqref="D37:J37">
    <cfRule type="containsBlanks" dxfId="312" priority="15">
      <formula>LEN(TRIM(D37))=0</formula>
    </cfRule>
    <cfRule type="notContainsErrors" dxfId="311" priority="16">
      <formula>NOT(ISERROR(D37))</formula>
    </cfRule>
  </conditionalFormatting>
  <conditionalFormatting sqref="D40:J40">
    <cfRule type="containsBlanks" dxfId="310" priority="13">
      <formula>LEN(TRIM(D40))=0</formula>
    </cfRule>
    <cfRule type="notContainsErrors" dxfId="309" priority="14">
      <formula>NOT(ISERROR(D40))</formula>
    </cfRule>
  </conditionalFormatting>
  <conditionalFormatting sqref="D43:J43 K68:L68">
    <cfRule type="containsBlanks" dxfId="308" priority="64">
      <formula>LEN(TRIM(D43))=0</formula>
    </cfRule>
    <cfRule type="notContainsErrors" dxfId="307" priority="65">
      <formula>NOT(ISERROR(D43))</formula>
    </cfRule>
  </conditionalFormatting>
  <conditionalFormatting sqref="D47:J54">
    <cfRule type="cellIs" dxfId="306" priority="9" operator="equal">
      <formula>"NO CUMPLE"</formula>
    </cfRule>
    <cfRule type="cellIs" dxfId="305" priority="10" operator="equal">
      <formula>"CUMPLE"</formula>
    </cfRule>
    <cfRule type="containsBlanks" dxfId="304" priority="11">
      <formula>LEN(TRIM(D47))=0</formula>
    </cfRule>
    <cfRule type="notContainsErrors" dxfId="303" priority="12">
      <formula>NOT(ISERROR(D47))</formula>
    </cfRule>
  </conditionalFormatting>
  <conditionalFormatting sqref="D55:J55">
    <cfRule type="cellIs" dxfId="302" priority="71" operator="equal">
      <formula>"CUMPLE"</formula>
    </cfRule>
    <cfRule type="cellIs" dxfId="301" priority="70" operator="equal">
      <formula>"N/A"</formula>
    </cfRule>
    <cfRule type="cellIs" dxfId="300" priority="73" operator="equal">
      <formula>"""CUMPLE"""</formula>
    </cfRule>
    <cfRule type="cellIs" dxfId="299" priority="72" operator="equal">
      <formula>"NO CUMPLE"</formula>
    </cfRule>
  </conditionalFormatting>
  <conditionalFormatting sqref="D56:J67">
    <cfRule type="containsBlanks" dxfId="298" priority="5">
      <formula>LEN(TRIM(D56))=0</formula>
    </cfRule>
    <cfRule type="cellIs" dxfId="297" priority="4" operator="equal">
      <formula>"CUMPLE"</formula>
    </cfRule>
    <cfRule type="cellIs" dxfId="296" priority="3" operator="equal">
      <formula>"NO CUMPLE"</formula>
    </cfRule>
    <cfRule type="notContainsErrors" dxfId="295" priority="6">
      <formula>NOT(ISERROR(D56))</formula>
    </cfRule>
  </conditionalFormatting>
  <conditionalFormatting sqref="D68:J68">
    <cfRule type="cellIs" dxfId="294" priority="68" operator="equal">
      <formula>"NO CUMPLE"</formula>
    </cfRule>
    <cfRule type="cellIs" dxfId="293" priority="67" operator="equal">
      <formula>"CUMPLE"</formula>
    </cfRule>
    <cfRule type="cellIs" dxfId="292" priority="66" operator="equal">
      <formula>"N/A"</formula>
    </cfRule>
    <cfRule type="cellIs" dxfId="291" priority="69" operator="equal">
      <formula>"""CUMPLE"""</formula>
    </cfRule>
  </conditionalFormatting>
  <conditionalFormatting sqref="D69:J69">
    <cfRule type="cellIs" dxfId="290" priority="34" operator="equal">
      <formula>"NO CUMPLE"</formula>
    </cfRule>
    <cfRule type="cellIs" dxfId="289" priority="35" operator="equal">
      <formula>"CUMPLE"</formula>
    </cfRule>
  </conditionalFormatting>
  <conditionalFormatting sqref="D24:K24 D34:J34">
    <cfRule type="notContainsErrors" dxfId="288" priority="20">
      <formula>NOT(ISERROR(D24))</formula>
    </cfRule>
  </conditionalFormatting>
  <conditionalFormatting sqref="D69:K69">
    <cfRule type="containsBlanks" dxfId="287" priority="36">
      <formula>LEN(TRIM(D69))=0</formula>
    </cfRule>
    <cfRule type="notContainsErrors" dxfId="286" priority="37">
      <formula>NOT(ISERROR(D69))</formula>
    </cfRule>
  </conditionalFormatting>
  <conditionalFormatting sqref="E73:E74">
    <cfRule type="notContainsErrors" dxfId="285" priority="39">
      <formula>NOT(ISERROR(E73))</formula>
    </cfRule>
    <cfRule type="containsBlanks" dxfId="284" priority="38">
      <formula>LEN(TRIM(E73))=0</formula>
    </cfRule>
  </conditionalFormatting>
  <conditionalFormatting sqref="E61:G62">
    <cfRule type="notContainsErrors" dxfId="283" priority="2">
      <formula>NOT(ISERROR(E61))</formula>
    </cfRule>
    <cfRule type="containsBlanks" dxfId="282" priority="1">
      <formula>LEN(TRIM(E61))=0</formula>
    </cfRule>
  </conditionalFormatting>
  <conditionalFormatting sqref="F20:H20">
    <cfRule type="cellIs" dxfId="281" priority="79" operator="equal">
      <formula>"""CUMPLE"""</formula>
    </cfRule>
    <cfRule type="cellIs" dxfId="280" priority="78" operator="equal">
      <formula>"NO CUMPLE"</formula>
    </cfRule>
    <cfRule type="cellIs" dxfId="279" priority="77" operator="equal">
      <formula>"CUMPLE"</formula>
    </cfRule>
  </conditionalFormatting>
  <conditionalFormatting sqref="H61:J67">
    <cfRule type="notContainsErrors" dxfId="278" priority="26">
      <formula>NOT(ISERROR(H61))</formula>
    </cfRule>
    <cfRule type="containsBlanks" dxfId="277" priority="25">
      <formula>LEN(TRIM(H61))=0</formula>
    </cfRule>
  </conditionalFormatting>
  <conditionalFormatting sqref="I11">
    <cfRule type="containsText" dxfId="276" priority="81" operator="containsText" text="HABILITADO">
      <formula>NOT(ISERROR(SEARCH("HABILITADO",I11)))</formula>
    </cfRule>
    <cfRule type="containsText" dxfId="275" priority="80" operator="containsText" text="INHABILITADO">
      <formula>NOT(ISERROR(SEARCH("INHABILITADO",I11)))</formula>
    </cfRule>
    <cfRule type="containsText" dxfId="274" priority="83" operator="containsText" text="NO CUMPLE">
      <formula>NOT(ISERROR(SEARCH("NO CUMPLE",I11)))</formula>
    </cfRule>
    <cfRule type="containsText" dxfId="273" priority="82" operator="containsText" text="HABILITADO">
      <formula>NOT(ISERROR(SEARCH("HABILITADO",I11)))</formula>
    </cfRule>
  </conditionalFormatting>
  <conditionalFormatting sqref="J20">
    <cfRule type="cellIs" dxfId="272" priority="58" operator="equal">
      <formula>"NO"</formula>
    </cfRule>
    <cfRule type="cellIs" dxfId="271" priority="59" operator="equal">
      <formula>"SI"</formula>
    </cfRule>
  </conditionalFormatting>
  <conditionalFormatting sqref="K16">
    <cfRule type="cellIs" dxfId="270" priority="32" operator="equal">
      <formula>"NO CUMPLE"</formula>
    </cfRule>
    <cfRule type="cellIs" dxfId="269" priority="31" operator="equal">
      <formula>"CUMPLE"</formula>
    </cfRule>
    <cfRule type="cellIs" dxfId="268" priority="33" operator="equal">
      <formula>"""CUMPLE"""</formula>
    </cfRule>
  </conditionalFormatting>
  <conditionalFormatting sqref="K25:K67">
    <cfRule type="containsBlanks" dxfId="267" priority="48">
      <formula>LEN(TRIM(K25))=0</formula>
    </cfRule>
    <cfRule type="notContainsErrors" dxfId="266" priority="49">
      <formula>NOT(ISERROR(K25))</formula>
    </cfRule>
  </conditionalFormatting>
  <conditionalFormatting sqref="L14">
    <cfRule type="cellIs" dxfId="265" priority="75" operator="equal">
      <formula>"NO CUMPLE"</formula>
    </cfRule>
    <cfRule type="cellIs" dxfId="264" priority="76" operator="equal">
      <formula>"""CUMPLE"""</formula>
    </cfRule>
    <cfRule type="cellIs" dxfId="263" priority="74" operator="equal">
      <formula>"CUMPLE"</formula>
    </cfRule>
  </conditionalFormatting>
  <conditionalFormatting sqref="L20">
    <cfRule type="cellIs" dxfId="262" priority="57" operator="equal">
      <formula>"SI"</formula>
    </cfRule>
    <cfRule type="cellIs" dxfId="261" priority="56" operator="equal">
      <formula>"NO"</formula>
    </cfRule>
  </conditionalFormatting>
  <dataValidations count="4">
    <dataValidation type="list" allowBlank="1" showInputMessage="1" showErrorMessage="1" sqref="D24:J26" xr:uid="{8EE57731-593D-4133-9777-3DF435793CB7}">
      <formula1>$C$15:$C$19</formula1>
    </dataValidation>
    <dataValidation type="list" allowBlank="1" showInputMessage="1" showErrorMessage="1" sqref="L61:L69" xr:uid="{78AA6582-69CA-4055-8DB6-8046C4389DB5}">
      <formula1>"0,1,2,3,4,5,6"</formula1>
    </dataValidation>
    <dataValidation type="list" allowBlank="1" showInputMessage="1" showErrorMessage="1" sqref="D73" xr:uid="{D144A3D6-6730-48BA-B11B-4628E2F1579C}">
      <formula1>$A$50:$A$52</formula1>
    </dataValidation>
    <dataValidation type="list" allowBlank="1" showInputMessage="1" showErrorMessage="1" sqref="J48:J53" xr:uid="{FDCE071D-2DE0-40EA-8D03-3BDA623833C9}">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8D441AD2-F49B-4A65-AE7B-F474E4241F86}">
          <x14:formula1>
            <xm:f>'DATOS INICIALES'!$A$13:$A$43</xm:f>
          </x14:formula1>
          <xm:sqref>H31:I31</xm:sqref>
        </x14:dataValidation>
        <x14:dataValidation type="list" allowBlank="1" showInputMessage="1" showErrorMessage="1" xr:uid="{F26150F5-0204-4B76-A347-279122CDD11B}">
          <x14:formula1>
            <xm:f>'DATOS INICIALES'!$D$22:$D$26</xm:f>
          </x14:formula1>
          <xm:sqref>M48:M55</xm:sqref>
        </x14:dataValidation>
        <x14:dataValidation type="list" allowBlank="1" showInputMessage="1" showErrorMessage="1" xr:uid="{6790D75A-1CA6-41BB-AAC8-85C19EB39302}">
          <x14:formula1>
            <xm:f>'DATOS INICIALES'!$A$54:$A$59</xm:f>
          </x14:formula1>
          <xm:sqref>D23:I23</xm:sqref>
        </x14:dataValidation>
        <x14:dataValidation type="list" allowBlank="1" showInputMessage="1" showErrorMessage="1" xr:uid="{CA2429C4-6BBC-4A76-97C1-E16A182CAF87}">
          <x14:formula1>
            <xm:f>'DATOS INICIALES'!$A$50:$A$52</xm:f>
          </x14:formula1>
          <xm:sqref>H56:J67</xm:sqref>
        </x14:dataValidation>
        <x14:dataValidation type="list" allowBlank="1" showInputMessage="1" showErrorMessage="1" xr:uid="{F2FAB463-A3E4-4FDB-A3F1-8F92C4E17AC6}">
          <x14:formula1>
            <xm:f>'DATOS INICIALES'!$C$45:$C$46</xm:f>
          </x14:formula1>
          <xm:sqref>H48:I54 D52:G54</xm:sqref>
        </x14:dataValidation>
        <x14:dataValidation type="list" allowBlank="1" showInputMessage="1" showErrorMessage="1" xr:uid="{8DE0ADF4-0234-4D3F-8F68-E86C0967F5A0}">
          <x14:formula1>
            <xm:f>'DATOS INICIALES'!$A$50:$A$51</xm:f>
          </x14:formula1>
          <xm:sqref>D69:J69 H47:J47</xm:sqref>
        </x14:dataValidation>
      </x14:dataValidations>
    </ext>
  </extLs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8DF0E-B0A1-4B48-A10D-BA51251C9E55}">
  <sheetPr>
    <tabColor rgb="FFC00000"/>
  </sheetPr>
  <dimension ref="A1:N74"/>
  <sheetViews>
    <sheetView view="pageBreakPreview" zoomScale="55" zoomScaleNormal="55" zoomScaleSheetLayoutView="55" workbookViewId="0">
      <pane ySplit="11" topLeftCell="A18" activePane="bottomLeft" state="frozenSplit"/>
      <selection activeCell="D56" sqref="D56:J67"/>
      <selection pane="bottomLeft" activeCell="D56" sqref="D56:J67"/>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34</v>
      </c>
      <c r="B11" s="2" t="s">
        <v>24</v>
      </c>
      <c r="C11" s="342" t="str">
        <f>VLOOKUP(A11,PROPONENTES!A10:B46,2,FALSE)</f>
        <v>CONSORCIO INT PARQUES KENNEDY 2024</v>
      </c>
      <c r="D11" s="342"/>
      <c r="E11" s="342"/>
      <c r="F11" s="342"/>
      <c r="G11" s="342"/>
      <c r="H11" s="144" t="s">
        <v>166</v>
      </c>
      <c r="I11" s="346" t="str">
        <f>IF(AND(F20="CUMPLE",G20="CUMPLE",H20="CUMPLE",L14="CUMPLE",D74="CUMPLE",K16="CUMPLE"),"CUMPLE","NO CUMPLE")</f>
        <v>NO 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0</v>
      </c>
      <c r="J14" s="169">
        <f>+L8</f>
        <v>405.24573153846154</v>
      </c>
      <c r="K14" s="169">
        <f>+E20</f>
        <v>0</v>
      </c>
      <c r="L14" s="18" t="str">
        <f>IF(K14&gt;=J14,"CUMPLE","NO CUMPLE")</f>
        <v>NO CUMPLE</v>
      </c>
    </row>
    <row r="15" spans="1:12" ht="66.75" customHeight="1" x14ac:dyDescent="0.25">
      <c r="B15" s="314"/>
      <c r="C15" s="98" t="str">
        <f>IF(VLOOKUP(C11,PROPONENTES!B10:N46,2,FALSE)=0,"",VLOOKUP(C11,PROPONENTES!B10:N46,2,FALSE))</f>
        <v xml:space="preserve"> EMPRESA DE SERVICIOS PUBLICOS SINERGIA E.S.P S.A.S</v>
      </c>
      <c r="D15" s="99">
        <f>IF(VLOOKUP(C11,PROPONENTES!B10:N46,3,FALSE)=0,"",VLOOKUP(C11,PROPONENTES!B10:N46,3,FALSE))</f>
        <v>0.5</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0</v>
      </c>
      <c r="F15" s="101" t="str">
        <f>IF(C15="","",IF(E15&gt;=$J$14*0.5,"SI","NO"))</f>
        <v>NO</v>
      </c>
      <c r="G15" s="102" t="str">
        <f>IF(C15="","",IF(E15&gt;=$J$14*0.05,"SI",IF(E15=0,"NO APORTA EXPERIENCIA",)))</f>
        <v>NO APORTA EXPERIENCIA</v>
      </c>
      <c r="H15" s="102" t="str">
        <f>IF(C15="","",IF(AND(G15="NO APORTA EXPERIENCIA",D15&lt;=10%),"SI",IF(G15="SI","NO APLICA","NO - PORCENTAJE MAYOR AL 10%")))</f>
        <v>NO - PORCENTAJE MAYOR AL 10%</v>
      </c>
      <c r="I15" s="68" t="s">
        <v>224</v>
      </c>
      <c r="J15" s="68" t="s">
        <v>223</v>
      </c>
      <c r="K15" s="68" t="s">
        <v>69</v>
      </c>
      <c r="L15" s="68" t="s">
        <v>205</v>
      </c>
    </row>
    <row r="16" spans="1:12" ht="33.75" customHeight="1" x14ac:dyDescent="0.25">
      <c r="B16" s="314"/>
      <c r="C16" s="98" t="str">
        <f>IF(VLOOKUP(C11,PROPONENTES!B10:N46,4,FALSE)=0,"",VLOOKUP(C11,PROPONENTES!B10:N46,4,FALSE))</f>
        <v xml:space="preserve"> JOSE WILMER CHILITO RIVADENEIRA</v>
      </c>
      <c r="D16" s="99">
        <f>IF(VLOOKUP(C11,PROPONENTES!B10:N46,5,FALSE)=0,"",VLOOKUP(C11,PROPONENTES!B10:N46,5,FALSE))</f>
        <v>0.5</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NO - PORCENTAJE MAYOR AL 5%</v>
      </c>
      <c r="I16" s="169">
        <f>SUMIF(D69:J69,"CUMPLE",D39:J39)+SUMIF(D69:J69,"CUMPLE",D42:J42)+SUMIF(D69:J69,"CUMPLE",D45:J45)</f>
        <v>0</v>
      </c>
      <c r="J16" s="169">
        <f>+L8*0.7</f>
        <v>283.67201207692307</v>
      </c>
      <c r="K16" s="18" t="str">
        <f>IF(I16&gt;=J16,"CUMPLE","NO CUMPLE")</f>
        <v>NO CUMPLE</v>
      </c>
      <c r="L16" s="305" t="e">
        <f>AVERAGEIF(D68:J68,"CUMPLE",D46:J46)</f>
        <v>#DIV/0!</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 HAY MAS DE UN (1) INTEGRANTE QUE NO APORTA EXPERIENCIA</v>
      </c>
      <c r="H20" s="18" t="str">
        <f>IF(COUNTIF(E15:E19,0)&gt;1,"NO CUMPLE, HAY MAS DE UN (1) INTEGRANTE QUE NO APORTA EXPERIENCIA",IF(AND(OR(H15="NO APLICA",H15="SI",H15=""),OR(H16="NO APLICA",H16="SI",H16=""),OR(H17="NO APLICA",H17="SI",H17=""),OR(H18="NO APLICA",H18="SI",H18=""),OR(H19="NO APLICA",H19="SI",H19="")),"CUMPLE","NO CUMPLE"))</f>
        <v>NO CUMPLE, HAY MAS DE UN (1) INTEGRANTE QUE NO APORTA EXPERIENCIA</v>
      </c>
      <c r="I20" s="68" t="s">
        <v>168</v>
      </c>
      <c r="J20" s="141" t="str">
        <f>IF(VLOOKUP(C11,PUNTAJE!B15:AD199,25,FALSE)=0.25,"SI","NO")</f>
        <v>NO</v>
      </c>
      <c r="K20" s="68" t="s">
        <v>167</v>
      </c>
      <c r="L20" s="141" t="str">
        <f>IF(VLOOKUP(C11,PUNTAJE!B15:AD199,29,FALSE)=0.25,"SI","NO")</f>
        <v>NO</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c r="E24" s="88"/>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c r="E27" s="89"/>
      <c r="F27" s="89"/>
      <c r="G27" s="89"/>
      <c r="H27" s="89"/>
      <c r="I27" s="89"/>
      <c r="J27" s="89"/>
      <c r="K27" s="297"/>
      <c r="L27" s="298"/>
    </row>
    <row r="28" spans="2:14" ht="156.75" customHeight="1" x14ac:dyDescent="0.25">
      <c r="B28" s="319"/>
      <c r="C28" s="27" t="s">
        <v>36</v>
      </c>
      <c r="D28" s="89"/>
      <c r="E28" s="89"/>
      <c r="F28" s="89"/>
      <c r="G28" s="89"/>
      <c r="H28" s="89"/>
      <c r="I28" s="89"/>
      <c r="J28" s="89"/>
      <c r="K28" s="297"/>
      <c r="L28" s="298"/>
    </row>
    <row r="29" spans="2:14" ht="52.5" customHeight="1" x14ac:dyDescent="0.25">
      <c r="B29" s="319"/>
      <c r="C29" s="27" t="s">
        <v>165</v>
      </c>
      <c r="D29" s="93"/>
      <c r="E29" s="93"/>
      <c r="F29" s="93"/>
      <c r="G29" s="93"/>
      <c r="H29" s="93"/>
      <c r="I29" s="93"/>
      <c r="J29" s="93"/>
      <c r="K29" s="297"/>
      <c r="L29" s="298"/>
    </row>
    <row r="30" spans="2:14" ht="54.75" customHeight="1" x14ac:dyDescent="0.25">
      <c r="B30" s="319"/>
      <c r="C30" s="27" t="s">
        <v>40</v>
      </c>
      <c r="D30" s="93"/>
      <c r="E30" s="93"/>
      <c r="F30" s="93"/>
      <c r="G30" s="93"/>
      <c r="H30" s="93"/>
      <c r="I30" s="93"/>
      <c r="J30" s="93"/>
      <c r="K30" s="297"/>
      <c r="L30" s="298"/>
    </row>
    <row r="31" spans="2:14" ht="41.25" customHeight="1" x14ac:dyDescent="0.25">
      <c r="B31" s="319"/>
      <c r="C31" s="27" t="s">
        <v>37</v>
      </c>
      <c r="D31" s="90"/>
      <c r="E31" s="90"/>
      <c r="F31" s="90"/>
      <c r="G31" s="90"/>
      <c r="H31" s="90"/>
      <c r="I31" s="90"/>
      <c r="J31" s="90"/>
      <c r="K31" s="297"/>
      <c r="L31" s="298"/>
    </row>
    <row r="32" spans="2:14" ht="63" customHeight="1" x14ac:dyDescent="0.25">
      <c r="B32" s="319"/>
      <c r="C32" s="27" t="s">
        <v>38</v>
      </c>
      <c r="D32" s="89"/>
      <c r="E32" s="89"/>
      <c r="F32" s="89"/>
      <c r="G32" s="89"/>
      <c r="H32" s="89"/>
      <c r="I32" s="89"/>
      <c r="J32" s="89"/>
      <c r="K32" s="297"/>
      <c r="L32" s="298"/>
    </row>
    <row r="33" spans="2:12" ht="46.5" customHeight="1" x14ac:dyDescent="0.25">
      <c r="B33" s="319"/>
      <c r="C33" s="27" t="s">
        <v>39</v>
      </c>
      <c r="D33" s="89"/>
      <c r="E33" s="89"/>
      <c r="F33" s="89"/>
      <c r="G33" s="89"/>
      <c r="H33" s="89"/>
      <c r="I33" s="89"/>
      <c r="J33" s="89"/>
      <c r="K33" s="297"/>
      <c r="L33" s="298"/>
    </row>
    <row r="34" spans="2:12" ht="27.75" customHeight="1" x14ac:dyDescent="0.25">
      <c r="B34" s="319"/>
      <c r="C34" s="28" t="s">
        <v>33</v>
      </c>
      <c r="D34" s="94"/>
      <c r="E34" s="94"/>
      <c r="F34" s="94"/>
      <c r="G34" s="95"/>
      <c r="H34" s="95"/>
      <c r="I34" s="95"/>
      <c r="J34" s="95"/>
      <c r="K34" s="297"/>
      <c r="L34" s="298"/>
    </row>
    <row r="35" spans="2:12" ht="102.75" customHeight="1" x14ac:dyDescent="0.25">
      <c r="B35" s="319"/>
      <c r="C35" s="27" t="s">
        <v>124</v>
      </c>
      <c r="D35" s="91"/>
      <c r="E35" s="187"/>
      <c r="F35" s="91"/>
      <c r="G35" s="91"/>
      <c r="H35" s="91"/>
      <c r="I35" s="91"/>
      <c r="J35" s="91"/>
      <c r="K35" s="299"/>
      <c r="L35" s="300"/>
    </row>
    <row r="36" spans="2:12" ht="48" customHeight="1" x14ac:dyDescent="0.25">
      <c r="B36" s="319"/>
      <c r="C36" s="27" t="s">
        <v>72</v>
      </c>
      <c r="D36" s="103" t="str">
        <f>IFERROR(D35*VLOOKUP(D31,'DATOS INICIALES'!$A$12:$B$43,2,0),"0")</f>
        <v>0</v>
      </c>
      <c r="E36" s="103" t="str">
        <f>IFERROR(E35*VLOOKUP(E31,'DATOS INICIALES'!$A$12:$B$43,2,0),"0")</f>
        <v>0</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c r="E37" s="92"/>
      <c r="F37" s="92"/>
      <c r="G37" s="92"/>
      <c r="H37" s="92"/>
      <c r="I37" s="92"/>
      <c r="J37" s="92"/>
      <c r="K37" s="297"/>
      <c r="L37" s="298"/>
    </row>
    <row r="38" spans="2:12" ht="48.75" customHeight="1" x14ac:dyDescent="0.25">
      <c r="B38" s="319"/>
      <c r="C38" s="27" t="s">
        <v>131</v>
      </c>
      <c r="D38" s="103" t="str">
        <f t="shared" ref="D38:J38" si="0">IF(D24="","0",D37*D36)</f>
        <v>0</v>
      </c>
      <c r="E38" s="103" t="str">
        <f t="shared" si="0"/>
        <v>0</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0</v>
      </c>
      <c r="E39" s="104">
        <f t="shared" si="1"/>
        <v>0</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c r="E40" s="92"/>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c r="E43" s="92"/>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0</v>
      </c>
      <c r="E46" s="104">
        <f t="shared" ref="E46:G46" si="6">+E39+E42+E45</f>
        <v>0</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c r="E47" s="88"/>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c r="E50" s="94"/>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N/A</v>
      </c>
      <c r="E55" s="18" t="str">
        <f t="shared" si="8"/>
        <v>N/A</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c r="E56" s="88"/>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c r="E61" s="88"/>
      <c r="F61" s="88"/>
      <c r="G61" s="88"/>
      <c r="H61" s="88"/>
      <c r="I61" s="88"/>
      <c r="J61" s="88"/>
      <c r="K61" s="297"/>
      <c r="L61" s="298"/>
    </row>
    <row r="62" spans="2:12" ht="45" customHeight="1" x14ac:dyDescent="0.25">
      <c r="B62" s="290" t="s">
        <v>207</v>
      </c>
      <c r="C62" s="291"/>
      <c r="D62" s="88"/>
      <c r="E62" s="88"/>
      <c r="F62" s="88"/>
      <c r="G62" s="88"/>
      <c r="H62" s="88"/>
      <c r="I62" s="88"/>
      <c r="J62" s="88"/>
      <c r="K62" s="297"/>
      <c r="L62" s="298"/>
    </row>
    <row r="63" spans="2:12" ht="181.5" customHeight="1" x14ac:dyDescent="0.25">
      <c r="B63" s="290" t="s">
        <v>218</v>
      </c>
      <c r="C63" s="291"/>
      <c r="D63" s="88"/>
      <c r="E63" s="88"/>
      <c r="F63" s="88"/>
      <c r="G63" s="88"/>
      <c r="H63" s="88"/>
      <c r="I63" s="88"/>
      <c r="J63" s="88"/>
      <c r="K63" s="297"/>
      <c r="L63" s="298"/>
    </row>
    <row r="64" spans="2:12" ht="336" customHeight="1" x14ac:dyDescent="0.25">
      <c r="B64" s="242" t="s">
        <v>220</v>
      </c>
      <c r="C64" s="242"/>
      <c r="D64" s="88"/>
      <c r="E64" s="88"/>
      <c r="F64" s="88"/>
      <c r="G64" s="88"/>
      <c r="H64" s="88"/>
      <c r="I64" s="88"/>
      <c r="J64" s="88"/>
      <c r="K64" s="299"/>
      <c r="L64" s="300"/>
    </row>
    <row r="65" spans="2:12" ht="143.25" customHeight="1" x14ac:dyDescent="0.25">
      <c r="B65" s="293" t="s">
        <v>221</v>
      </c>
      <c r="C65" s="294"/>
      <c r="D65" s="88"/>
      <c r="E65" s="88"/>
      <c r="F65" s="88"/>
      <c r="G65" s="88"/>
      <c r="H65" s="88"/>
      <c r="I65" s="88"/>
      <c r="J65" s="88"/>
      <c r="K65" s="297"/>
      <c r="L65" s="298"/>
    </row>
    <row r="66" spans="2:12" ht="408.75" customHeight="1" x14ac:dyDescent="0.25">
      <c r="B66" s="292" t="s">
        <v>208</v>
      </c>
      <c r="C66" s="292"/>
      <c r="D66" s="88"/>
      <c r="E66" s="88"/>
      <c r="F66" s="88"/>
      <c r="G66" s="88"/>
      <c r="H66" s="88"/>
      <c r="I66" s="88"/>
      <c r="J66" s="88"/>
      <c r="K66" s="297"/>
      <c r="L66" s="298"/>
    </row>
    <row r="67" spans="2:12" ht="312.75" customHeight="1" x14ac:dyDescent="0.25">
      <c r="B67" s="242" t="s">
        <v>209</v>
      </c>
      <c r="C67" s="242"/>
      <c r="D67" s="88"/>
      <c r="E67" s="88"/>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N/A</v>
      </c>
      <c r="E68" s="18" t="str">
        <f t="shared" si="9"/>
        <v>N/A</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c r="E69" s="88"/>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73">
    <cfRule type="containsBlanks" dxfId="260" priority="20">
      <formula>LEN(TRIM(D73))=0</formula>
    </cfRule>
    <cfRule type="notContainsErrors" dxfId="259" priority="21">
      <formula>NOT(ISERROR(D73))</formula>
    </cfRule>
    <cfRule type="cellIs" dxfId="258" priority="22" operator="equal">
      <formula>"NO CUMPLE"</formula>
    </cfRule>
    <cfRule type="cellIs" dxfId="257" priority="23" operator="equal">
      <formula>"CUMPLE"</formula>
    </cfRule>
  </conditionalFormatting>
  <conditionalFormatting sqref="D74">
    <cfRule type="cellIs" dxfId="256" priority="24" operator="equal">
      <formula>"N/A"</formula>
    </cfRule>
    <cfRule type="cellIs" dxfId="255" priority="25" operator="equal">
      <formula>"CUMPLE"</formula>
    </cfRule>
    <cfRule type="cellIs" dxfId="254" priority="26" operator="equal">
      <formula>"NO CUMPLE"</formula>
    </cfRule>
    <cfRule type="cellIs" dxfId="253" priority="27" operator="equal">
      <formula>"""CUMPLE"""</formula>
    </cfRule>
  </conditionalFormatting>
  <conditionalFormatting sqref="D25:J35">
    <cfRule type="containsBlanks" dxfId="252" priority="42">
      <formula>LEN(TRIM(D25))=0</formula>
    </cfRule>
    <cfRule type="notContainsErrors" dxfId="251" priority="43">
      <formula>NOT(ISERROR(D25))</formula>
    </cfRule>
  </conditionalFormatting>
  <conditionalFormatting sqref="D34:J34 D24:K24 D37:J37 D40:J40 D43:J43 K68:L68">
    <cfRule type="containsBlanks" dxfId="250" priority="44">
      <formula>LEN(TRIM(D24))=0</formula>
    </cfRule>
  </conditionalFormatting>
  <conditionalFormatting sqref="D47:J54">
    <cfRule type="cellIs" dxfId="249" priority="7" operator="equal">
      <formula>"NO CUMPLE"</formula>
    </cfRule>
    <cfRule type="cellIs" dxfId="248" priority="8" operator="equal">
      <formula>"CUMPLE"</formula>
    </cfRule>
    <cfRule type="containsBlanks" dxfId="247" priority="9">
      <formula>LEN(TRIM(D47))=0</formula>
    </cfRule>
    <cfRule type="notContainsErrors" dxfId="246" priority="10">
      <formula>NOT(ISERROR(D47))</formula>
    </cfRule>
  </conditionalFormatting>
  <conditionalFormatting sqref="D55:J55">
    <cfRule type="cellIs" dxfId="245" priority="53" operator="equal">
      <formula>"""CUMPLE"""</formula>
    </cfRule>
    <cfRule type="cellIs" dxfId="244" priority="52" operator="equal">
      <formula>"NO CUMPLE"</formula>
    </cfRule>
    <cfRule type="cellIs" dxfId="243" priority="51" operator="equal">
      <formula>"CUMPLE"</formula>
    </cfRule>
    <cfRule type="cellIs" dxfId="242" priority="50" operator="equal">
      <formula>"N/A"</formula>
    </cfRule>
  </conditionalFormatting>
  <conditionalFormatting sqref="D56:J67">
    <cfRule type="cellIs" dxfId="241" priority="2" operator="equal">
      <formula>"CUMPLE"</formula>
    </cfRule>
    <cfRule type="containsBlanks" dxfId="240" priority="3">
      <formula>LEN(TRIM(D56))=0</formula>
    </cfRule>
    <cfRule type="notContainsErrors" dxfId="239" priority="4">
      <formula>NOT(ISERROR(D56))</formula>
    </cfRule>
    <cfRule type="cellIs" dxfId="238" priority="1" operator="equal">
      <formula>"NO CUMPLE"</formula>
    </cfRule>
  </conditionalFormatting>
  <conditionalFormatting sqref="D61:J67">
    <cfRule type="containsBlanks" dxfId="237" priority="5">
      <formula>LEN(TRIM(D61))=0</formula>
    </cfRule>
    <cfRule type="notContainsErrors" dxfId="236" priority="6">
      <formula>NOT(ISERROR(D61))</formula>
    </cfRule>
  </conditionalFormatting>
  <conditionalFormatting sqref="D68:J68">
    <cfRule type="cellIs" dxfId="235" priority="46" operator="equal">
      <formula>"N/A"</formula>
    </cfRule>
    <cfRule type="cellIs" dxfId="234" priority="47" operator="equal">
      <formula>"CUMPLE"</formula>
    </cfRule>
    <cfRule type="cellIs" dxfId="233" priority="48" operator="equal">
      <formula>"NO CUMPLE"</formula>
    </cfRule>
    <cfRule type="cellIs" dxfId="232" priority="49" operator="equal">
      <formula>"""CUMPLE"""</formula>
    </cfRule>
  </conditionalFormatting>
  <conditionalFormatting sqref="D69:J69">
    <cfRule type="cellIs" dxfId="231" priority="15" operator="equal">
      <formula>"CUMPLE"</formula>
    </cfRule>
    <cfRule type="cellIs" dxfId="230" priority="14" operator="equal">
      <formula>"NO CUMPLE"</formula>
    </cfRule>
  </conditionalFormatting>
  <conditionalFormatting sqref="D24:K24 D34:J34 D37:J37 D40:J40 D43:J43 K68:L68">
    <cfRule type="notContainsErrors" dxfId="229" priority="45">
      <formula>NOT(ISERROR(D24))</formula>
    </cfRule>
  </conditionalFormatting>
  <conditionalFormatting sqref="D69:K69">
    <cfRule type="notContainsErrors" dxfId="228" priority="17">
      <formula>NOT(ISERROR(D69))</formula>
    </cfRule>
    <cfRule type="containsBlanks" dxfId="227" priority="16">
      <formula>LEN(TRIM(D69))=0</formula>
    </cfRule>
  </conditionalFormatting>
  <conditionalFormatting sqref="E73:E74">
    <cfRule type="notContainsErrors" dxfId="226" priority="19">
      <formula>NOT(ISERROR(E73))</formula>
    </cfRule>
    <cfRule type="containsBlanks" dxfId="225" priority="18">
      <formula>LEN(TRIM(E73))=0</formula>
    </cfRule>
  </conditionalFormatting>
  <conditionalFormatting sqref="F20:H20">
    <cfRule type="cellIs" dxfId="224" priority="57" operator="equal">
      <formula>"CUMPLE"</formula>
    </cfRule>
    <cfRule type="cellIs" dxfId="223" priority="58" operator="equal">
      <formula>"NO CUMPLE"</formula>
    </cfRule>
    <cfRule type="cellIs" dxfId="222" priority="59" operator="equal">
      <formula>"""CUMPLE"""</formula>
    </cfRule>
  </conditionalFormatting>
  <conditionalFormatting sqref="I11">
    <cfRule type="containsText" dxfId="221" priority="60" operator="containsText" text="INHABILITADO">
      <formula>NOT(ISERROR(SEARCH("INHABILITADO",I11)))</formula>
    </cfRule>
    <cfRule type="containsText" dxfId="220" priority="61" operator="containsText" text="HABILITADO">
      <formula>NOT(ISERROR(SEARCH("HABILITADO",I11)))</formula>
    </cfRule>
    <cfRule type="containsText" dxfId="219" priority="62" operator="containsText" text="HABILITADO">
      <formula>NOT(ISERROR(SEARCH("HABILITADO",I11)))</formula>
    </cfRule>
    <cfRule type="containsText" dxfId="218" priority="63" operator="containsText" text="NO CUMPLE">
      <formula>NOT(ISERROR(SEARCH("NO CUMPLE",I11)))</formula>
    </cfRule>
  </conditionalFormatting>
  <conditionalFormatting sqref="J20">
    <cfRule type="cellIs" dxfId="217" priority="38" operator="equal">
      <formula>"NO"</formula>
    </cfRule>
    <cfRule type="cellIs" dxfId="216" priority="39" operator="equal">
      <formula>"SI"</formula>
    </cfRule>
  </conditionalFormatting>
  <conditionalFormatting sqref="K16">
    <cfRule type="cellIs" dxfId="215" priority="11" operator="equal">
      <formula>"CUMPLE"</formula>
    </cfRule>
    <cfRule type="cellIs" dxfId="214" priority="12" operator="equal">
      <formula>"NO CUMPLE"</formula>
    </cfRule>
    <cfRule type="cellIs" dxfId="213" priority="13" operator="equal">
      <formula>"""CUMPLE"""</formula>
    </cfRule>
  </conditionalFormatting>
  <conditionalFormatting sqref="K25:K67">
    <cfRule type="notContainsErrors" dxfId="212" priority="29">
      <formula>NOT(ISERROR(K25))</formula>
    </cfRule>
    <cfRule type="containsBlanks" dxfId="211" priority="28">
      <formula>LEN(TRIM(K25))=0</formula>
    </cfRule>
  </conditionalFormatting>
  <conditionalFormatting sqref="L14">
    <cfRule type="cellIs" dxfId="210" priority="54" operator="equal">
      <formula>"CUMPLE"</formula>
    </cfRule>
    <cfRule type="cellIs" dxfId="209" priority="55" operator="equal">
      <formula>"NO CUMPLE"</formula>
    </cfRule>
    <cfRule type="cellIs" dxfId="208" priority="56" operator="equal">
      <formula>"""CUMPLE"""</formula>
    </cfRule>
  </conditionalFormatting>
  <conditionalFormatting sqref="L20">
    <cfRule type="cellIs" dxfId="207" priority="36" operator="equal">
      <formula>"NO"</formula>
    </cfRule>
    <cfRule type="cellIs" dxfId="206" priority="37" operator="equal">
      <formula>"SI"</formula>
    </cfRule>
  </conditionalFormatting>
  <dataValidations count="4">
    <dataValidation type="list" allowBlank="1" showInputMessage="1" showErrorMessage="1" sqref="J48:J53" xr:uid="{EEA9E24A-7C60-4D01-AFAD-DB36840AB8AF}">
      <formula1>$C$45:$C$46</formula1>
    </dataValidation>
    <dataValidation type="list" allowBlank="1" showInputMessage="1" showErrorMessage="1" sqref="D73" xr:uid="{15CF623F-8131-4F37-BC5B-4C7BB400E011}">
      <formula1>$A$50:$A$52</formula1>
    </dataValidation>
    <dataValidation type="list" allowBlank="1" showInputMessage="1" showErrorMessage="1" sqref="L61:L69" xr:uid="{239F3317-0DA9-4C27-825C-0D2E1D2FF554}">
      <formula1>"0,1,2,3,4,5,6"</formula1>
    </dataValidation>
    <dataValidation type="list" allowBlank="1" showInputMessage="1" showErrorMessage="1" sqref="D24:J26" xr:uid="{D5D31CD3-41A4-4551-8C62-B18DBC7F3A26}">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59DE12C4-8387-48C8-8EE4-5F3429ED20F1}">
          <x14:formula1>
            <xm:f>'DATOS INICIALES'!$C$45:$C$46</xm:f>
          </x14:formula1>
          <xm:sqref>D48:I54</xm:sqref>
        </x14:dataValidation>
        <x14:dataValidation type="list" allowBlank="1" showInputMessage="1" showErrorMessage="1" xr:uid="{16490F08-A198-4643-AE0F-8CEE2026ADB5}">
          <x14:formula1>
            <xm:f>'DATOS INICIALES'!$A$50:$A$52</xm:f>
          </x14:formula1>
          <xm:sqref>D56:J67</xm:sqref>
        </x14:dataValidation>
        <x14:dataValidation type="list" allowBlank="1" showInputMessage="1" showErrorMessage="1" xr:uid="{7ED9ED19-5177-48A3-B3B6-03EFD95BCE86}">
          <x14:formula1>
            <xm:f>'DATOS INICIALES'!$A$54:$A$59</xm:f>
          </x14:formula1>
          <xm:sqref>D23:I23</xm:sqref>
        </x14:dataValidation>
        <x14:dataValidation type="list" allowBlank="1" showInputMessage="1" showErrorMessage="1" xr:uid="{2F69AD23-D40D-4F2A-9326-D9EE285B4A01}">
          <x14:formula1>
            <xm:f>'DATOS INICIALES'!$D$22:$D$26</xm:f>
          </x14:formula1>
          <xm:sqref>M48:M55</xm:sqref>
        </x14:dataValidation>
        <x14:dataValidation type="list" allowBlank="1" showInputMessage="1" showErrorMessage="1" xr:uid="{A43D7CCA-BE16-4D4A-924B-EBC25528DB68}">
          <x14:formula1>
            <xm:f>'DATOS INICIALES'!$A$13:$A$43</xm:f>
          </x14:formula1>
          <xm:sqref>D31:I31</xm:sqref>
        </x14:dataValidation>
        <x14:dataValidation type="list" allowBlank="1" showInputMessage="1" showErrorMessage="1" xr:uid="{D2814800-6C13-48B4-BF71-74AF3E83871E}">
          <x14:formula1>
            <xm:f>'DATOS INICIALES'!$A$50:$A$51</xm:f>
          </x14:formula1>
          <xm:sqref>D69:J69 D47:J47</xm:sqref>
        </x14:dataValidation>
      </x14:dataValidations>
    </ext>
  </extLs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5E1FF-FF99-4DC9-888A-BB33DA609922}">
  <dimension ref="A1:N74"/>
  <sheetViews>
    <sheetView view="pageBreakPreview" zoomScale="55" zoomScaleNormal="55" zoomScaleSheetLayoutView="55" workbookViewId="0">
      <pane ySplit="11" topLeftCell="A21" activePane="bottomLeft" state="frozenSplit"/>
      <selection activeCell="D56" sqref="D56:J67"/>
      <selection pane="bottomLeft" activeCell="G28" sqref="G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35</v>
      </c>
      <c r="B11" s="2" t="s">
        <v>24</v>
      </c>
      <c r="C11" s="342" t="str">
        <f>VLOOKUP(A11,PROPONENTES!A10:B46,2,FALSE)</f>
        <v>CONSORCIO INTERKENNEDY EYD</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3</v>
      </c>
      <c r="J14" s="169">
        <f>+L8</f>
        <v>405.24573153846154</v>
      </c>
      <c r="K14" s="169">
        <f>+E20</f>
        <v>3398.4609999999998</v>
      </c>
      <c r="L14" s="18" t="str">
        <f>IF(K14&gt;=J14,"CUMPLE","NO CUMPLE")</f>
        <v>CUMPLE</v>
      </c>
    </row>
    <row r="15" spans="1:12" ht="66.75" customHeight="1" x14ac:dyDescent="0.25">
      <c r="B15" s="314"/>
      <c r="C15" s="98" t="str">
        <f>IF(VLOOKUP(C11,PROPONENTES!B10:N46,2,FALSE)=0,"",VLOOKUP(C11,PROPONENTES!B10:N46,2,FALSE))</f>
        <v>EIS CONSTRUCTORES SAS</v>
      </c>
      <c r="D15" s="99">
        <f>IF(VLOOKUP(C11,PROPONENTES!B10:N46,3,FALSE)=0,"",VLOOKUP(C11,PROPONENTES!B10:N46,3,FALSE))</f>
        <v>0.5</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549.15350000000001</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xml:space="preserve">DAM SOLUCIONES E INGENIERIA SAS </v>
      </c>
      <c r="D16" s="99">
        <f>IF(VLOOKUP(C11,PROPONENTES!B10:N46,5,FALSE)=0,"",VLOOKUP(C11,PROPONENTES!B10:N46,5,FALSE))</f>
        <v>0.5</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2849.3074999999999</v>
      </c>
      <c r="F16" s="101" t="str">
        <f>IF(C16="","",IF(E16&gt;=$J$14*0.5,"SI","NO"))</f>
        <v>SI</v>
      </c>
      <c r="G16" s="102" t="str">
        <f>IF(C16="","",IF(E16&gt;=$J$14*0.05,"SI",IF(E16=0,"NO APORTA EXPERIENCIA",)))</f>
        <v>SI</v>
      </c>
      <c r="H16" s="102" t="str">
        <f>IF(C16="","",IF(AND(G16="NO APORTA EXPERIENCIA",D16&lt;=10%),"SI",IF(G16="SI","NO APLICA","NO - PORCENTAJE MAYOR AL 5%")))</f>
        <v>NO APLICA</v>
      </c>
      <c r="I16" s="169">
        <f>SUMIF(D69:J69,"CUMPLE",D39:J39)+SUMIF(D69:J69,"CUMPLE",D42:J42)+SUMIF(D69:J69,"CUMPLE",D45:J45)</f>
        <v>3398.4610000000002</v>
      </c>
      <c r="J16" s="169">
        <f>+L8*0.7</f>
        <v>283.67201207692307</v>
      </c>
      <c r="K16" s="18" t="str">
        <f>IF(I16&gt;=J16,"CUMPLE","NO CUMPLE")</f>
        <v>CUMPLE</v>
      </c>
      <c r="L16" s="305">
        <f>AVERAGEIF(D68:J68,"CUMPLE",D46:J46)</f>
        <v>1132.8203333333333</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3398.4609999999998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294</v>
      </c>
      <c r="E24" s="88" t="s">
        <v>295</v>
      </c>
      <c r="F24" s="88" t="s">
        <v>295</v>
      </c>
      <c r="G24" s="88"/>
      <c r="H24" s="88"/>
      <c r="I24" s="88"/>
      <c r="J24" s="88"/>
      <c r="K24" s="297"/>
      <c r="L24" s="298"/>
    </row>
    <row r="25" spans="2:14" ht="39.75" customHeight="1" x14ac:dyDescent="0.25">
      <c r="B25" s="303" t="s">
        <v>122</v>
      </c>
      <c r="C25" s="304"/>
      <c r="D25" s="88" t="s">
        <v>295</v>
      </c>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537</v>
      </c>
      <c r="E27" s="89" t="s">
        <v>538</v>
      </c>
      <c r="F27" s="89" t="s">
        <v>539</v>
      </c>
      <c r="G27" s="89"/>
      <c r="H27" s="89"/>
      <c r="I27" s="89"/>
      <c r="J27" s="89"/>
      <c r="K27" s="297"/>
      <c r="L27" s="298"/>
    </row>
    <row r="28" spans="2:14" ht="156.75" customHeight="1" x14ac:dyDescent="0.25">
      <c r="B28" s="319"/>
      <c r="C28" s="27" t="s">
        <v>36</v>
      </c>
      <c r="D28" s="89" t="s">
        <v>540</v>
      </c>
      <c r="E28" s="89" t="s">
        <v>541</v>
      </c>
      <c r="F28" s="89" t="s">
        <v>542</v>
      </c>
      <c r="G28" s="89"/>
      <c r="H28" s="89"/>
      <c r="I28" s="89"/>
      <c r="J28" s="89"/>
      <c r="K28" s="297"/>
      <c r="L28" s="298"/>
    </row>
    <row r="29" spans="2:14" ht="52.5" customHeight="1" x14ac:dyDescent="0.25">
      <c r="B29" s="319"/>
      <c r="C29" s="27" t="s">
        <v>165</v>
      </c>
      <c r="D29" s="93">
        <v>44735</v>
      </c>
      <c r="E29" s="93">
        <v>43781</v>
      </c>
      <c r="F29" s="93">
        <v>44874</v>
      </c>
      <c r="G29" s="93"/>
      <c r="H29" s="93"/>
      <c r="I29" s="93"/>
      <c r="J29" s="93"/>
      <c r="K29" s="297"/>
      <c r="L29" s="298"/>
    </row>
    <row r="30" spans="2:14" ht="54.75" customHeight="1" x14ac:dyDescent="0.25">
      <c r="B30" s="319"/>
      <c r="C30" s="27" t="s">
        <v>40</v>
      </c>
      <c r="D30" s="93">
        <v>45282</v>
      </c>
      <c r="E30" s="93">
        <v>44215</v>
      </c>
      <c r="F30" s="93">
        <v>45115</v>
      </c>
      <c r="G30" s="93"/>
      <c r="H30" s="93"/>
      <c r="I30" s="93"/>
      <c r="J30" s="93"/>
      <c r="K30" s="297"/>
      <c r="L30" s="298"/>
    </row>
    <row r="31" spans="2:14" ht="41.25" customHeight="1" x14ac:dyDescent="0.25">
      <c r="B31" s="319"/>
      <c r="C31" s="27" t="s">
        <v>37</v>
      </c>
      <c r="D31" s="90">
        <v>2023</v>
      </c>
      <c r="E31" s="90">
        <v>2021</v>
      </c>
      <c r="F31" s="90">
        <v>2023</v>
      </c>
      <c r="G31" s="90"/>
      <c r="H31" s="90"/>
      <c r="I31" s="90"/>
      <c r="J31" s="90"/>
      <c r="K31" s="297"/>
      <c r="L31" s="298"/>
    </row>
    <row r="32" spans="2:14" ht="63" customHeight="1" x14ac:dyDescent="0.25">
      <c r="B32" s="319"/>
      <c r="C32" s="27" t="s">
        <v>38</v>
      </c>
      <c r="D32" s="89" t="s">
        <v>543</v>
      </c>
      <c r="E32" s="89" t="s">
        <v>544</v>
      </c>
      <c r="F32" s="89" t="s">
        <v>325</v>
      </c>
      <c r="G32" s="89"/>
      <c r="H32" s="89"/>
      <c r="I32" s="89"/>
      <c r="J32" s="89"/>
      <c r="K32" s="297"/>
      <c r="L32" s="298"/>
    </row>
    <row r="33" spans="2:12" ht="46.5" customHeight="1" x14ac:dyDescent="0.25">
      <c r="B33" s="319"/>
      <c r="C33" s="27" t="s">
        <v>39</v>
      </c>
      <c r="D33" s="89" t="s">
        <v>545</v>
      </c>
      <c r="E33" s="89" t="s">
        <v>546</v>
      </c>
      <c r="F33" s="89" t="s">
        <v>547</v>
      </c>
      <c r="G33" s="89"/>
      <c r="H33" s="89"/>
      <c r="I33" s="89"/>
      <c r="J33" s="89"/>
      <c r="K33" s="297"/>
      <c r="L33" s="298"/>
    </row>
    <row r="34" spans="2:12" ht="27.75" customHeight="1" x14ac:dyDescent="0.25">
      <c r="B34" s="319"/>
      <c r="C34" s="28" t="s">
        <v>33</v>
      </c>
      <c r="D34" s="94" t="s">
        <v>548</v>
      </c>
      <c r="E34" s="94">
        <v>28</v>
      </c>
      <c r="F34" s="94">
        <v>49</v>
      </c>
      <c r="G34" s="95"/>
      <c r="H34" s="95"/>
      <c r="I34" s="95"/>
      <c r="J34" s="95"/>
      <c r="K34" s="297"/>
      <c r="L34" s="298"/>
    </row>
    <row r="35" spans="2:12" ht="102.75" customHeight="1" x14ac:dyDescent="0.25">
      <c r="B35" s="319"/>
      <c r="C35" s="27" t="s">
        <v>124</v>
      </c>
      <c r="D35" s="91">
        <v>1569.01</v>
      </c>
      <c r="E35" s="187">
        <v>583.48</v>
      </c>
      <c r="F35" s="91">
        <v>2902.77</v>
      </c>
      <c r="G35" s="91"/>
      <c r="H35" s="91"/>
      <c r="I35" s="91"/>
      <c r="J35" s="91"/>
      <c r="K35" s="299"/>
      <c r="L35" s="300"/>
    </row>
    <row r="36" spans="2:12" ht="48" customHeight="1" x14ac:dyDescent="0.25">
      <c r="B36" s="319"/>
      <c r="C36" s="27" t="s">
        <v>72</v>
      </c>
      <c r="D36" s="103">
        <f>IFERROR(D35*VLOOKUP(D31,'DATOS INICIALES'!$A$12:$B$43,2,0),"0")</f>
        <v>1820051600</v>
      </c>
      <c r="E36" s="103">
        <f>IFERROR(E35*VLOOKUP(E31,'DATOS INICIALES'!$A$12:$B$43,2,0),"0")</f>
        <v>530106750.48000002</v>
      </c>
      <c r="F36" s="103">
        <f>IFERROR(F35*VLOOKUP(F31,'DATOS INICIALES'!$A$12:$B$43,2,0),"0")</f>
        <v>3367213200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0.35</v>
      </c>
      <c r="E37" s="92">
        <v>0.5</v>
      </c>
      <c r="F37" s="92">
        <v>0.8</v>
      </c>
      <c r="G37" s="92"/>
      <c r="H37" s="92"/>
      <c r="I37" s="92"/>
      <c r="J37" s="92"/>
      <c r="K37" s="297"/>
      <c r="L37" s="298"/>
    </row>
    <row r="38" spans="2:12" ht="48.75" customHeight="1" x14ac:dyDescent="0.25">
      <c r="B38" s="319"/>
      <c r="C38" s="27" t="s">
        <v>131</v>
      </c>
      <c r="D38" s="103">
        <f t="shared" ref="D38:J38" si="0">IF(D24="","0",D37*D36)</f>
        <v>637018060</v>
      </c>
      <c r="E38" s="103">
        <f t="shared" si="0"/>
        <v>265053375.24000001</v>
      </c>
      <c r="F38" s="103">
        <f t="shared" si="0"/>
        <v>2693770560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549.15350000000001</v>
      </c>
      <c r="E39" s="104">
        <f t="shared" si="1"/>
        <v>291.74</v>
      </c>
      <c r="F39" s="104">
        <f t="shared" si="1"/>
        <v>2322.2159999999999</v>
      </c>
      <c r="G39" s="104">
        <f t="shared" si="1"/>
        <v>0</v>
      </c>
      <c r="H39" s="104">
        <f t="shared" si="1"/>
        <v>0</v>
      </c>
      <c r="I39" s="104">
        <f t="shared" si="1"/>
        <v>0</v>
      </c>
      <c r="J39" s="104">
        <f t="shared" si="1"/>
        <v>0</v>
      </c>
      <c r="K39" s="297"/>
      <c r="L39" s="298"/>
    </row>
    <row r="40" spans="2:12" ht="65.25" customHeight="1" x14ac:dyDescent="0.25">
      <c r="B40" s="319"/>
      <c r="C40" s="27" t="s">
        <v>127</v>
      </c>
      <c r="D40" s="92">
        <v>0.15</v>
      </c>
      <c r="E40" s="92">
        <v>0</v>
      </c>
      <c r="F40" s="92">
        <v>0</v>
      </c>
      <c r="G40" s="92"/>
      <c r="H40" s="92"/>
      <c r="I40" s="92"/>
      <c r="J40" s="92"/>
      <c r="K40" s="297"/>
      <c r="L40" s="298"/>
    </row>
    <row r="41" spans="2:12" ht="65.25" customHeight="1" x14ac:dyDescent="0.25">
      <c r="B41" s="319"/>
      <c r="C41" s="27" t="s">
        <v>132</v>
      </c>
      <c r="D41" s="105">
        <f t="shared" ref="D41:J41" si="2">IF(D25="","0",D40*D36)</f>
        <v>273007740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235.35149999999999</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v>0</v>
      </c>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784.505</v>
      </c>
      <c r="E46" s="104">
        <f t="shared" ref="E46:G46" si="6">+E39+E42+E45</f>
        <v>291.74</v>
      </c>
      <c r="F46" s="104">
        <f t="shared" si="6"/>
        <v>2322.2159999999999</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t="s">
        <v>14</v>
      </c>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t="s">
        <v>75</v>
      </c>
      <c r="E50" s="94" t="s">
        <v>75</v>
      </c>
      <c r="F50" s="94" t="s">
        <v>75</v>
      </c>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CUMPLE</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t="s">
        <v>14</v>
      </c>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t="s">
        <v>14</v>
      </c>
      <c r="G61" s="88"/>
      <c r="H61" s="88"/>
      <c r="I61" s="88"/>
      <c r="J61" s="88"/>
      <c r="K61" s="297"/>
      <c r="L61" s="298"/>
    </row>
    <row r="62" spans="2:12" ht="45" customHeight="1" x14ac:dyDescent="0.25">
      <c r="B62" s="290" t="s">
        <v>207</v>
      </c>
      <c r="C62" s="291"/>
      <c r="D62" s="88" t="s">
        <v>14</v>
      </c>
      <c r="E62" s="88" t="s">
        <v>14</v>
      </c>
      <c r="F62" s="88" t="s">
        <v>14</v>
      </c>
      <c r="G62" s="88"/>
      <c r="H62" s="88"/>
      <c r="I62" s="88"/>
      <c r="J62" s="88"/>
      <c r="K62" s="297"/>
      <c r="L62" s="298"/>
    </row>
    <row r="63" spans="2:12" ht="181.5" customHeight="1" x14ac:dyDescent="0.25">
      <c r="B63" s="290" t="s">
        <v>218</v>
      </c>
      <c r="C63" s="291"/>
      <c r="D63" s="88" t="s">
        <v>13</v>
      </c>
      <c r="E63" s="88" t="s">
        <v>13</v>
      </c>
      <c r="F63" s="88" t="s">
        <v>13</v>
      </c>
      <c r="G63" s="88"/>
      <c r="H63" s="88"/>
      <c r="I63" s="88"/>
      <c r="J63" s="88"/>
      <c r="K63" s="297"/>
      <c r="L63" s="298"/>
    </row>
    <row r="64" spans="2:12" ht="336" customHeight="1" x14ac:dyDescent="0.25">
      <c r="B64" s="242" t="s">
        <v>220</v>
      </c>
      <c r="C64" s="242"/>
      <c r="D64" s="88" t="s">
        <v>14</v>
      </c>
      <c r="E64" s="88" t="s">
        <v>14</v>
      </c>
      <c r="F64" s="88" t="s">
        <v>14</v>
      </c>
      <c r="G64" s="88"/>
      <c r="H64" s="88"/>
      <c r="I64" s="88"/>
      <c r="J64" s="88"/>
      <c r="K64" s="299"/>
      <c r="L64" s="300"/>
    </row>
    <row r="65" spans="2:12" ht="143.25" customHeight="1" x14ac:dyDescent="0.25">
      <c r="B65" s="293" t="s">
        <v>221</v>
      </c>
      <c r="C65" s="294"/>
      <c r="D65" s="88" t="s">
        <v>13</v>
      </c>
      <c r="E65" s="88" t="s">
        <v>13</v>
      </c>
      <c r="F65" s="88" t="s">
        <v>13</v>
      </c>
      <c r="G65" s="88"/>
      <c r="H65" s="88"/>
      <c r="I65" s="88"/>
      <c r="J65" s="88"/>
      <c r="K65" s="297"/>
      <c r="L65" s="298"/>
    </row>
    <row r="66" spans="2:12" ht="408.75" customHeight="1" x14ac:dyDescent="0.25">
      <c r="B66" s="292" t="s">
        <v>208</v>
      </c>
      <c r="C66" s="292"/>
      <c r="D66" s="88" t="s">
        <v>13</v>
      </c>
      <c r="E66" s="88" t="s">
        <v>13</v>
      </c>
      <c r="F66" s="88" t="s">
        <v>13</v>
      </c>
      <c r="G66" s="88"/>
      <c r="H66" s="88"/>
      <c r="I66" s="88"/>
      <c r="J66" s="88"/>
      <c r="K66" s="297"/>
      <c r="L66" s="298"/>
    </row>
    <row r="67" spans="2:12" ht="312.75" customHeight="1" x14ac:dyDescent="0.25">
      <c r="B67" s="242" t="s">
        <v>209</v>
      </c>
      <c r="C67" s="242"/>
      <c r="D67" s="88" t="s">
        <v>14</v>
      </c>
      <c r="E67" s="88" t="s">
        <v>14</v>
      </c>
      <c r="F67" s="88" t="s">
        <v>14</v>
      </c>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CUMPLE</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t="s">
        <v>14</v>
      </c>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73">
    <cfRule type="containsBlanks" dxfId="205" priority="44">
      <formula>LEN(TRIM(D73))=0</formula>
    </cfRule>
    <cfRule type="notContainsErrors" dxfId="204" priority="45">
      <formula>NOT(ISERROR(D73))</formula>
    </cfRule>
    <cfRule type="cellIs" dxfId="203" priority="47" operator="equal">
      <formula>"CUMPLE"</formula>
    </cfRule>
    <cfRule type="cellIs" dxfId="202" priority="46" operator="equal">
      <formula>"NO CUMPLE"</formula>
    </cfRule>
  </conditionalFormatting>
  <conditionalFormatting sqref="D74">
    <cfRule type="cellIs" dxfId="201" priority="50" operator="equal">
      <formula>"NO CUMPLE"</formula>
    </cfRule>
    <cfRule type="cellIs" dxfId="200" priority="51" operator="equal">
      <formula>"""CUMPLE"""</formula>
    </cfRule>
    <cfRule type="cellIs" dxfId="199" priority="49" operator="equal">
      <formula>"CUMPLE"</formula>
    </cfRule>
    <cfRule type="cellIs" dxfId="198" priority="48" operator="equal">
      <formula>"N/A"</formula>
    </cfRule>
  </conditionalFormatting>
  <conditionalFormatting sqref="D25:J35">
    <cfRule type="notContainsErrors" dxfId="197" priority="22">
      <formula>NOT(ISERROR(D25))</formula>
    </cfRule>
    <cfRule type="containsBlanks" dxfId="196" priority="21">
      <formula>LEN(TRIM(D25))=0</formula>
    </cfRule>
  </conditionalFormatting>
  <conditionalFormatting sqref="D34:J34 D24:K24">
    <cfRule type="containsBlanks" dxfId="195" priority="23">
      <formula>LEN(TRIM(D24))=0</formula>
    </cfRule>
  </conditionalFormatting>
  <conditionalFormatting sqref="D37:J37">
    <cfRule type="containsBlanks" dxfId="194" priority="19">
      <formula>LEN(TRIM(D37))=0</formula>
    </cfRule>
    <cfRule type="notContainsErrors" dxfId="193" priority="20">
      <formula>NOT(ISERROR(D37))</formula>
    </cfRule>
  </conditionalFormatting>
  <conditionalFormatting sqref="D40:J40">
    <cfRule type="notContainsErrors" dxfId="192" priority="18">
      <formula>NOT(ISERROR(D40))</formula>
    </cfRule>
    <cfRule type="containsBlanks" dxfId="191" priority="17">
      <formula>LEN(TRIM(D40))=0</formula>
    </cfRule>
  </conditionalFormatting>
  <conditionalFormatting sqref="D43:J43">
    <cfRule type="containsBlanks" dxfId="190" priority="15">
      <formula>LEN(TRIM(D43))=0</formula>
    </cfRule>
    <cfRule type="notContainsErrors" dxfId="189" priority="16">
      <formula>NOT(ISERROR(D43))</formula>
    </cfRule>
  </conditionalFormatting>
  <conditionalFormatting sqref="D47:J54">
    <cfRule type="cellIs" dxfId="188" priority="11" operator="equal">
      <formula>"NO CUMPLE"</formula>
    </cfRule>
    <cfRule type="cellIs" dxfId="187" priority="12" operator="equal">
      <formula>"CUMPLE"</formula>
    </cfRule>
    <cfRule type="containsBlanks" dxfId="186" priority="13">
      <formula>LEN(TRIM(D47))=0</formula>
    </cfRule>
    <cfRule type="notContainsErrors" dxfId="185" priority="14">
      <formula>NOT(ISERROR(D47))</formula>
    </cfRule>
  </conditionalFormatting>
  <conditionalFormatting sqref="D55:J55">
    <cfRule type="cellIs" dxfId="184" priority="76" operator="equal">
      <formula>"NO CUMPLE"</formula>
    </cfRule>
    <cfRule type="cellIs" dxfId="183" priority="74" operator="equal">
      <formula>"N/A"</formula>
    </cfRule>
    <cfRule type="cellIs" dxfId="182" priority="75" operator="equal">
      <formula>"CUMPLE"</formula>
    </cfRule>
    <cfRule type="cellIs" dxfId="181" priority="77" operator="equal">
      <formula>"""CUMPLE"""</formula>
    </cfRule>
  </conditionalFormatting>
  <conditionalFormatting sqref="D56:J67">
    <cfRule type="notContainsErrors" dxfId="180" priority="8">
      <formula>NOT(ISERROR(D56))</formula>
    </cfRule>
    <cfRule type="cellIs" dxfId="179" priority="6" operator="equal">
      <formula>"CUMPLE"</formula>
    </cfRule>
    <cfRule type="containsBlanks" dxfId="178" priority="7">
      <formula>LEN(TRIM(D56))=0</formula>
    </cfRule>
    <cfRule type="cellIs" dxfId="177" priority="5" operator="equal">
      <formula>"NO CUMPLE"</formula>
    </cfRule>
  </conditionalFormatting>
  <conditionalFormatting sqref="D68:J68">
    <cfRule type="cellIs" dxfId="176" priority="70" operator="equal">
      <formula>"N/A"</formula>
    </cfRule>
    <cfRule type="cellIs" dxfId="175" priority="71" operator="equal">
      <formula>"CUMPLE"</formula>
    </cfRule>
    <cfRule type="cellIs" dxfId="174" priority="72" operator="equal">
      <formula>"NO CUMPLE"</formula>
    </cfRule>
    <cfRule type="cellIs" dxfId="173" priority="73" operator="equal">
      <formula>"""CUMPLE"""</formula>
    </cfRule>
  </conditionalFormatting>
  <conditionalFormatting sqref="D69:J69">
    <cfRule type="cellIs" dxfId="172" priority="2" operator="equal">
      <formula>"CUMPLE"</formula>
    </cfRule>
    <cfRule type="cellIs" dxfId="171" priority="1" operator="equal">
      <formula>"NO CUMPLE"</formula>
    </cfRule>
  </conditionalFormatting>
  <conditionalFormatting sqref="D24:K24 D34:J34">
    <cfRule type="notContainsErrors" dxfId="170" priority="24">
      <formula>NOT(ISERROR(D24))</formula>
    </cfRule>
  </conditionalFormatting>
  <conditionalFormatting sqref="D69:K69">
    <cfRule type="notContainsErrors" dxfId="169" priority="4">
      <formula>NOT(ISERROR(D69))</formula>
    </cfRule>
    <cfRule type="containsBlanks" dxfId="168" priority="3">
      <formula>LEN(TRIM(D69))=0</formula>
    </cfRule>
  </conditionalFormatting>
  <conditionalFormatting sqref="E73:E74">
    <cfRule type="notContainsErrors" dxfId="167" priority="43">
      <formula>NOT(ISERROR(E73))</formula>
    </cfRule>
    <cfRule type="containsBlanks" dxfId="166" priority="42">
      <formula>LEN(TRIM(E73))=0</formula>
    </cfRule>
  </conditionalFormatting>
  <conditionalFormatting sqref="F20:H20">
    <cfRule type="cellIs" dxfId="165" priority="81" operator="equal">
      <formula>"CUMPLE"</formula>
    </cfRule>
    <cfRule type="cellIs" dxfId="164" priority="82" operator="equal">
      <formula>"NO CUMPLE"</formula>
    </cfRule>
    <cfRule type="cellIs" dxfId="163" priority="83" operator="equal">
      <formula>"""CUMPLE"""</formula>
    </cfRule>
  </conditionalFormatting>
  <conditionalFormatting sqref="G61:J67">
    <cfRule type="notContainsErrors" dxfId="162" priority="30">
      <formula>NOT(ISERROR(G61))</formula>
    </cfRule>
    <cfRule type="containsBlanks" dxfId="161" priority="29">
      <formula>LEN(TRIM(G61))=0</formula>
    </cfRule>
  </conditionalFormatting>
  <conditionalFormatting sqref="I11">
    <cfRule type="containsText" dxfId="160" priority="87" operator="containsText" text="NO CUMPLE">
      <formula>NOT(ISERROR(SEARCH("NO CUMPLE",I11)))</formula>
    </cfRule>
    <cfRule type="containsText" dxfId="159" priority="84" operator="containsText" text="INHABILITADO">
      <formula>NOT(ISERROR(SEARCH("INHABILITADO",I11)))</formula>
    </cfRule>
    <cfRule type="containsText" dxfId="158" priority="85" operator="containsText" text="HABILITADO">
      <formula>NOT(ISERROR(SEARCH("HABILITADO",I11)))</formula>
    </cfRule>
    <cfRule type="containsText" dxfId="157" priority="86" operator="containsText" text="HABILITADO">
      <formula>NOT(ISERROR(SEARCH("HABILITADO",I11)))</formula>
    </cfRule>
  </conditionalFormatting>
  <conditionalFormatting sqref="J20">
    <cfRule type="cellIs" dxfId="156" priority="62" operator="equal">
      <formula>"NO"</formula>
    </cfRule>
    <cfRule type="cellIs" dxfId="155" priority="63" operator="equal">
      <formula>"SI"</formula>
    </cfRule>
  </conditionalFormatting>
  <conditionalFormatting sqref="K16">
    <cfRule type="cellIs" dxfId="154" priority="35" operator="equal">
      <formula>"CUMPLE"</formula>
    </cfRule>
    <cfRule type="cellIs" dxfId="153" priority="36" operator="equal">
      <formula>"NO CUMPLE"</formula>
    </cfRule>
    <cfRule type="cellIs" dxfId="152" priority="37" operator="equal">
      <formula>"""CUMPLE"""</formula>
    </cfRule>
  </conditionalFormatting>
  <conditionalFormatting sqref="K25:K67">
    <cfRule type="notContainsErrors" dxfId="151" priority="53">
      <formula>NOT(ISERROR(K25))</formula>
    </cfRule>
    <cfRule type="containsBlanks" dxfId="150" priority="52">
      <formula>LEN(TRIM(K25))=0</formula>
    </cfRule>
  </conditionalFormatting>
  <conditionalFormatting sqref="K68:L68">
    <cfRule type="containsBlanks" dxfId="149" priority="68">
      <formula>LEN(TRIM(K68))=0</formula>
    </cfRule>
    <cfRule type="notContainsErrors" dxfId="148" priority="69">
      <formula>NOT(ISERROR(K68))</formula>
    </cfRule>
  </conditionalFormatting>
  <conditionalFormatting sqref="L14">
    <cfRule type="cellIs" dxfId="147" priority="79" operator="equal">
      <formula>"NO CUMPLE"</formula>
    </cfRule>
    <cfRule type="cellIs" dxfId="146" priority="80" operator="equal">
      <formula>"""CUMPLE"""</formula>
    </cfRule>
    <cfRule type="cellIs" dxfId="145" priority="78" operator="equal">
      <formula>"CUMPLE"</formula>
    </cfRule>
  </conditionalFormatting>
  <conditionalFormatting sqref="L20">
    <cfRule type="cellIs" dxfId="144" priority="60" operator="equal">
      <formula>"NO"</formula>
    </cfRule>
    <cfRule type="cellIs" dxfId="143" priority="61" operator="equal">
      <formula>"SI"</formula>
    </cfRule>
  </conditionalFormatting>
  <dataValidations count="4">
    <dataValidation type="list" allowBlank="1" showInputMessage="1" showErrorMessage="1" sqref="D24:J26" xr:uid="{C42E8AB6-8002-4A11-922D-33C35891C8C1}">
      <formula1>$C$15:$C$19</formula1>
    </dataValidation>
    <dataValidation type="list" allowBlank="1" showInputMessage="1" showErrorMessage="1" sqref="L61:L69" xr:uid="{7262EE3F-A24E-4EE1-B47A-EEE3D536D2B8}">
      <formula1>"0,1,2,3,4,5,6"</formula1>
    </dataValidation>
    <dataValidation type="list" allowBlank="1" showInputMessage="1" showErrorMessage="1" sqref="D73" xr:uid="{A172488E-CB02-497C-9286-2CED73A939A9}">
      <formula1>$A$50:$A$52</formula1>
    </dataValidation>
    <dataValidation type="list" allowBlank="1" showInputMessage="1" showErrorMessage="1" sqref="J48:J53" xr:uid="{C1F321E6-A542-4098-9588-E25E670E8BCD}">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AEC9B295-9138-4A34-9493-3204388526B2}">
          <x14:formula1>
            <xm:f>'DATOS INICIALES'!$A$13:$A$43</xm:f>
          </x14:formula1>
          <xm:sqref>G31:I31</xm:sqref>
        </x14:dataValidation>
        <x14:dataValidation type="list" allowBlank="1" showInputMessage="1" showErrorMessage="1" xr:uid="{FDAC838E-0CAE-499E-B5E3-61BE24798381}">
          <x14:formula1>
            <xm:f>'DATOS INICIALES'!$D$22:$D$26</xm:f>
          </x14:formula1>
          <xm:sqref>M48:M55</xm:sqref>
        </x14:dataValidation>
        <x14:dataValidation type="list" allowBlank="1" showInputMessage="1" showErrorMessage="1" xr:uid="{D0C1DE6F-09EE-44EA-B7BC-312FD1EEA6D8}">
          <x14:formula1>
            <xm:f>'DATOS INICIALES'!$A$54:$A$59</xm:f>
          </x14:formula1>
          <xm:sqref>D23:I23</xm:sqref>
        </x14:dataValidation>
        <x14:dataValidation type="list" allowBlank="1" showInputMessage="1" showErrorMessage="1" xr:uid="{A3C098E1-0649-48DF-969A-3886B6F1E898}">
          <x14:formula1>
            <xm:f>'DATOS INICIALES'!$A$50:$A$52</xm:f>
          </x14:formula1>
          <xm:sqref>G56:J67</xm:sqref>
        </x14:dataValidation>
        <x14:dataValidation type="list" allowBlank="1" showInputMessage="1" showErrorMessage="1" xr:uid="{3097DD08-78F2-48E3-A885-E5A601114B74}">
          <x14:formula1>
            <xm:f>'DATOS INICIALES'!$C$45:$C$46</xm:f>
          </x14:formula1>
          <xm:sqref>G48:I54 D52:F54</xm:sqref>
        </x14:dataValidation>
        <x14:dataValidation type="list" allowBlank="1" showInputMessage="1" showErrorMessage="1" xr:uid="{AA449E3A-99B6-4105-B74E-723E07E75E14}">
          <x14:formula1>
            <xm:f>'DATOS INICIALES'!$A$50:$A$51</xm:f>
          </x14:formula1>
          <xm:sqref>G47:J47 G69:J69</xm:sqref>
        </x14:dataValidation>
      </x14:dataValidation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633DF-45EF-41D0-B405-02A6F5E2109A}">
  <dimension ref="A1:N74"/>
  <sheetViews>
    <sheetView view="pageBreakPreview" zoomScale="40" zoomScaleNormal="55" zoomScaleSheetLayoutView="40" workbookViewId="0">
      <pane ySplit="11" topLeftCell="A66" activePane="bottomLeft" state="frozenSplit"/>
      <selection activeCell="D56" sqref="D56:J67"/>
      <selection pane="bottomLeft" activeCell="E70" sqref="E70"/>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36</v>
      </c>
      <c r="B11" s="2" t="s">
        <v>24</v>
      </c>
      <c r="C11" s="342" t="str">
        <f>VLOOKUP(A11,PROPONENTES!A10:B46,2,FALSE)</f>
        <v>CONSORCIO INTER KENNEDY PARQUES</v>
      </c>
      <c r="D11" s="342"/>
      <c r="E11" s="342"/>
      <c r="F11" s="342"/>
      <c r="G11" s="342"/>
      <c r="H11" s="144" t="s">
        <v>166</v>
      </c>
      <c r="I11" s="346" t="str">
        <f>IF(AND(F20="CUMPLE",G20="CUMPLE",H20="CUMPLE",L14="CUMPLE",D74="CUMPLE",K16="CUMPLE"),"CUMPLE","NO CUMPLE")</f>
        <v>NO 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1</v>
      </c>
      <c r="J14" s="169">
        <f>+L8</f>
        <v>405.24573153846154</v>
      </c>
      <c r="K14" s="169">
        <f>+E20</f>
        <v>1099.95</v>
      </c>
      <c r="L14" s="18" t="str">
        <f>IF(K14&gt;=J14,"CUMPLE","NO CUMPLE")</f>
        <v>CUMPLE</v>
      </c>
    </row>
    <row r="15" spans="1:12" ht="66.75" customHeight="1" x14ac:dyDescent="0.25">
      <c r="B15" s="314"/>
      <c r="C15" s="98" t="str">
        <f>IF(VLOOKUP(C11,PROPONENTES!B10:N46,2,FALSE)=0,"",VLOOKUP(C11,PROPONENTES!B10:N46,2,FALSE))</f>
        <v xml:space="preserve">GNG SERVICIOS DE INGENIERÍA S.A.S. </v>
      </c>
      <c r="D15" s="99">
        <f>IF(VLOOKUP(C11,PROPONENTES!B10:N46,3,FALSE)=0,"",VLOOKUP(C11,PROPONENTES!B10:N46,3,FALSE))</f>
        <v>0.6</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1099.95</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xml:space="preserve">JMELO INGENIERIA DE PROYECTOS SAS </v>
      </c>
      <c r="D16" s="99">
        <f>IF(VLOOKUP(C11,PROPONENTES!B10:N46,5,FALSE)=0,"",VLOOKUP(C11,PROPONENTES!B10:N46,5,FALSE))</f>
        <v>0.4</v>
      </c>
      <c r="E16" s="100">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0</v>
      </c>
      <c r="F16" s="101" t="str">
        <f>IF(C16="","",IF(E16&gt;=$J$14*0.5,"SI","NO"))</f>
        <v>NO</v>
      </c>
      <c r="G16" s="102" t="str">
        <f>IF(C16="","",IF(E16&gt;=$J$14*0.05,"SI",IF(E16=0,"NO APORTA EXPERIENCIA",)))</f>
        <v>NO APORTA EXPERIENCIA</v>
      </c>
      <c r="H16" s="102" t="str">
        <f>IF(C16="","",IF(AND(G16="NO APORTA EXPERIENCIA",D16&lt;=10%),"SI",IF(G16="SI","NO APLICA","NO - PORCENTAJE MAYOR AL 5%")))</f>
        <v>NO - PORCENTAJE MAYOR AL 5%</v>
      </c>
      <c r="I16" s="169">
        <f>SUMIF(D69:J69,"CUMPLE",D39:J39)+SUMIF(D69:J69,"CUMPLE",D42:J42)+SUMIF(D69:J69,"CUMPLE",D45:J45)</f>
        <v>1099.95</v>
      </c>
      <c r="J16" s="169">
        <f>+L8*0.7</f>
        <v>283.67201207692307</v>
      </c>
      <c r="K16" s="18" t="str">
        <f>IF(I16&gt;=J16,"CUMPLE","NO CUMPLE")</f>
        <v>CUMPLE</v>
      </c>
      <c r="L16" s="305">
        <f>AVERAGEIF(D68:J68,"CUMPLE",D46:J46)</f>
        <v>1099.95</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0</v>
      </c>
      <c r="D20" s="99">
        <f>+VLOOKUP(C11,PROPONENTES!B10:N46,13,FALSE)</f>
        <v>0</v>
      </c>
      <c r="E20" s="35">
        <f>SUM(E15:E19)</f>
        <v>1099.95</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NO 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297</v>
      </c>
      <c r="E24" s="88" t="s">
        <v>298</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549</v>
      </c>
      <c r="E27" s="89" t="s">
        <v>550</v>
      </c>
      <c r="F27" s="89"/>
      <c r="G27" s="89"/>
      <c r="H27" s="89"/>
      <c r="I27" s="89"/>
      <c r="J27" s="89"/>
      <c r="K27" s="297"/>
      <c r="L27" s="298"/>
    </row>
    <row r="28" spans="2:14" ht="156.75" customHeight="1" x14ac:dyDescent="0.25">
      <c r="B28" s="319"/>
      <c r="C28" s="27" t="s">
        <v>36</v>
      </c>
      <c r="D28" s="89" t="s">
        <v>551</v>
      </c>
      <c r="E28" s="89" t="s">
        <v>552</v>
      </c>
      <c r="F28" s="89"/>
      <c r="G28" s="89"/>
      <c r="H28" s="89"/>
      <c r="I28" s="89"/>
      <c r="J28" s="89"/>
      <c r="K28" s="297"/>
      <c r="L28" s="298"/>
    </row>
    <row r="29" spans="2:14" ht="52.5" customHeight="1" x14ac:dyDescent="0.25">
      <c r="B29" s="319"/>
      <c r="C29" s="27" t="s">
        <v>165</v>
      </c>
      <c r="D29" s="93">
        <v>44648</v>
      </c>
      <c r="E29" s="93">
        <v>43097</v>
      </c>
      <c r="F29" s="93"/>
      <c r="G29" s="93"/>
      <c r="H29" s="93"/>
      <c r="I29" s="93"/>
      <c r="J29" s="93"/>
      <c r="K29" s="297"/>
      <c r="L29" s="298"/>
    </row>
    <row r="30" spans="2:14" ht="54.75" customHeight="1" x14ac:dyDescent="0.25">
      <c r="B30" s="319"/>
      <c r="C30" s="27" t="s">
        <v>40</v>
      </c>
      <c r="D30" s="93">
        <v>45204</v>
      </c>
      <c r="E30" s="93">
        <v>43661</v>
      </c>
      <c r="F30" s="93"/>
      <c r="G30" s="93"/>
      <c r="H30" s="93"/>
      <c r="I30" s="93"/>
      <c r="J30" s="93"/>
      <c r="K30" s="297"/>
      <c r="L30" s="298"/>
    </row>
    <row r="31" spans="2:14" ht="41.25" customHeight="1" x14ac:dyDescent="0.25">
      <c r="B31" s="319"/>
      <c r="C31" s="27" t="s">
        <v>37</v>
      </c>
      <c r="D31" s="90">
        <v>2023</v>
      </c>
      <c r="E31" s="90">
        <v>2019</v>
      </c>
      <c r="F31" s="90"/>
      <c r="G31" s="90"/>
      <c r="H31" s="90"/>
      <c r="I31" s="90"/>
      <c r="J31" s="90"/>
      <c r="K31" s="297"/>
      <c r="L31" s="298"/>
    </row>
    <row r="32" spans="2:14" ht="63" customHeight="1" x14ac:dyDescent="0.25">
      <c r="B32" s="319"/>
      <c r="C32" s="27" t="s">
        <v>38</v>
      </c>
      <c r="D32" s="89" t="s">
        <v>553</v>
      </c>
      <c r="E32" s="89" t="s">
        <v>554</v>
      </c>
      <c r="F32" s="89"/>
      <c r="G32" s="89"/>
      <c r="H32" s="89"/>
      <c r="I32" s="89"/>
      <c r="J32" s="89"/>
      <c r="K32" s="297"/>
      <c r="L32" s="298"/>
    </row>
    <row r="33" spans="2:12" ht="46.5" customHeight="1" x14ac:dyDescent="0.25">
      <c r="B33" s="319"/>
      <c r="C33" s="27" t="s">
        <v>39</v>
      </c>
      <c r="D33" s="89" t="s">
        <v>297</v>
      </c>
      <c r="E33" s="89" t="s">
        <v>555</v>
      </c>
      <c r="F33" s="89"/>
      <c r="G33" s="89"/>
      <c r="H33" s="89"/>
      <c r="I33" s="89"/>
      <c r="J33" s="89"/>
      <c r="K33" s="297"/>
      <c r="L33" s="298"/>
    </row>
    <row r="34" spans="2:12" ht="27.75" customHeight="1" x14ac:dyDescent="0.25">
      <c r="B34" s="319"/>
      <c r="C34" s="28" t="s">
        <v>33</v>
      </c>
      <c r="D34" s="94">
        <v>348</v>
      </c>
      <c r="E34" s="94">
        <v>20</v>
      </c>
      <c r="F34" s="94"/>
      <c r="G34" s="95"/>
      <c r="H34" s="95"/>
      <c r="I34" s="95"/>
      <c r="J34" s="95"/>
      <c r="K34" s="297"/>
      <c r="L34" s="298"/>
    </row>
    <row r="35" spans="2:12" ht="102.75" customHeight="1" x14ac:dyDescent="0.25">
      <c r="B35" s="319"/>
      <c r="C35" s="27" t="s">
        <v>124</v>
      </c>
      <c r="D35" s="91">
        <v>1099.95</v>
      </c>
      <c r="E35" s="187">
        <v>434.02</v>
      </c>
      <c r="F35" s="91"/>
      <c r="G35" s="91"/>
      <c r="H35" s="91"/>
      <c r="I35" s="91"/>
      <c r="J35" s="91"/>
      <c r="K35" s="299"/>
      <c r="L35" s="300"/>
    </row>
    <row r="36" spans="2:12" ht="48" customHeight="1" x14ac:dyDescent="0.25">
      <c r="B36" s="319"/>
      <c r="C36" s="27" t="s">
        <v>72</v>
      </c>
      <c r="D36" s="103">
        <f>IFERROR(D35*VLOOKUP(D31,'DATOS INICIALES'!$A$12:$B$43,2,0),"0")</f>
        <v>1275942000</v>
      </c>
      <c r="E36" s="103">
        <f>IFERROR(E35*VLOOKUP(E31,'DATOS INICIALES'!$A$12:$B$43,2,0),"0")</f>
        <v>359418906.31999999</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0.3</v>
      </c>
      <c r="F37" s="92"/>
      <c r="G37" s="92"/>
      <c r="H37" s="92"/>
      <c r="I37" s="92"/>
      <c r="J37" s="92"/>
      <c r="K37" s="297"/>
      <c r="L37" s="298"/>
    </row>
    <row r="38" spans="2:12" ht="48.75" customHeight="1" x14ac:dyDescent="0.25">
      <c r="B38" s="319"/>
      <c r="C38" s="27" t="s">
        <v>131</v>
      </c>
      <c r="D38" s="103">
        <f t="shared" ref="D38:J38" si="0">IF(D24="","0",D37*D36)</f>
        <v>1275942000</v>
      </c>
      <c r="E38" s="103">
        <f t="shared" si="0"/>
        <v>107825671.896</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1099.95</v>
      </c>
      <c r="E39" s="104">
        <f t="shared" si="1"/>
        <v>130.20599999999999</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v>
      </c>
      <c r="E40" s="92">
        <v>0</v>
      </c>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1099.95</v>
      </c>
      <c r="E46" s="104">
        <f t="shared" ref="E46:G46" si="6">+E39+E42+E45</f>
        <v>130.20599999999999</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15</v>
      </c>
      <c r="F56" s="88"/>
      <c r="G56" s="88"/>
      <c r="H56" s="88"/>
      <c r="I56" s="88"/>
      <c r="J56" s="88"/>
      <c r="K56" s="282" t="s">
        <v>563</v>
      </c>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NO 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15</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73">
    <cfRule type="containsBlanks" dxfId="142" priority="46">
      <formula>LEN(TRIM(D73))=0</formula>
    </cfRule>
    <cfRule type="notContainsErrors" dxfId="141" priority="47">
      <formula>NOT(ISERROR(D73))</formula>
    </cfRule>
    <cfRule type="cellIs" dxfId="140" priority="48" operator="equal">
      <formula>"NO CUMPLE"</formula>
    </cfRule>
    <cfRule type="cellIs" dxfId="139" priority="49" operator="equal">
      <formula>"CUMPLE"</formula>
    </cfRule>
  </conditionalFormatting>
  <conditionalFormatting sqref="D74">
    <cfRule type="cellIs" dxfId="138" priority="52" operator="equal">
      <formula>"NO CUMPLE"</formula>
    </cfRule>
    <cfRule type="cellIs" dxfId="137" priority="51" operator="equal">
      <formula>"CUMPLE"</formula>
    </cfRule>
    <cfRule type="cellIs" dxfId="136" priority="53" operator="equal">
      <formula>"""CUMPLE"""</formula>
    </cfRule>
    <cfRule type="cellIs" dxfId="135" priority="50" operator="equal">
      <formula>"N/A"</formula>
    </cfRule>
  </conditionalFormatting>
  <conditionalFormatting sqref="D25:J35">
    <cfRule type="containsBlanks" dxfId="134" priority="23">
      <formula>LEN(TRIM(D25))=0</formula>
    </cfRule>
    <cfRule type="notContainsErrors" dxfId="133" priority="24">
      <formula>NOT(ISERROR(D25))</formula>
    </cfRule>
  </conditionalFormatting>
  <conditionalFormatting sqref="D34:J34 D24:K24">
    <cfRule type="containsBlanks" dxfId="132" priority="25">
      <formula>LEN(TRIM(D24))=0</formula>
    </cfRule>
  </conditionalFormatting>
  <conditionalFormatting sqref="D37:J37">
    <cfRule type="containsBlanks" dxfId="131" priority="21">
      <formula>LEN(TRIM(D37))=0</formula>
    </cfRule>
    <cfRule type="notContainsErrors" dxfId="130" priority="22">
      <formula>NOT(ISERROR(D37))</formula>
    </cfRule>
  </conditionalFormatting>
  <conditionalFormatting sqref="D40:J40">
    <cfRule type="notContainsErrors" dxfId="129" priority="20">
      <formula>NOT(ISERROR(D40))</formula>
    </cfRule>
    <cfRule type="containsBlanks" dxfId="128" priority="19">
      <formula>LEN(TRIM(D40))=0</formula>
    </cfRule>
  </conditionalFormatting>
  <conditionalFormatting sqref="D43:J43">
    <cfRule type="notContainsErrors" dxfId="127" priority="18">
      <formula>NOT(ISERROR(D43))</formula>
    </cfRule>
    <cfRule type="containsBlanks" dxfId="126" priority="17">
      <formula>LEN(TRIM(D43))=0</formula>
    </cfRule>
  </conditionalFormatting>
  <conditionalFormatting sqref="D47:J54">
    <cfRule type="notContainsErrors" dxfId="125" priority="16">
      <formula>NOT(ISERROR(D47))</formula>
    </cfRule>
    <cfRule type="containsBlanks" dxfId="124" priority="15">
      <formula>LEN(TRIM(D47))=0</formula>
    </cfRule>
    <cfRule type="cellIs" dxfId="123" priority="14" operator="equal">
      <formula>"CUMPLE"</formula>
    </cfRule>
    <cfRule type="cellIs" dxfId="122" priority="13" operator="equal">
      <formula>"NO CUMPLE"</formula>
    </cfRule>
  </conditionalFormatting>
  <conditionalFormatting sqref="D55:J55">
    <cfRule type="cellIs" dxfId="121" priority="76" operator="equal">
      <formula>"N/A"</formula>
    </cfRule>
    <cfRule type="cellIs" dxfId="120" priority="79" operator="equal">
      <formula>"""CUMPLE"""</formula>
    </cfRule>
    <cfRule type="cellIs" dxfId="119" priority="77" operator="equal">
      <formula>"CUMPLE"</formula>
    </cfRule>
    <cfRule type="cellIs" dxfId="118" priority="78" operator="equal">
      <formula>"NO CUMPLE"</formula>
    </cfRule>
  </conditionalFormatting>
  <conditionalFormatting sqref="D56:J67">
    <cfRule type="cellIs" dxfId="117" priority="7" operator="equal">
      <formula>"NO CUMPLE"</formula>
    </cfRule>
    <cfRule type="notContainsErrors" dxfId="116" priority="10">
      <formula>NOT(ISERROR(D56))</formula>
    </cfRule>
    <cfRule type="containsBlanks" dxfId="115" priority="9">
      <formula>LEN(TRIM(D56))=0</formula>
    </cfRule>
    <cfRule type="cellIs" dxfId="114" priority="8" operator="equal">
      <formula>"CUMPLE"</formula>
    </cfRule>
  </conditionalFormatting>
  <conditionalFormatting sqref="D68:J68">
    <cfRule type="cellIs" dxfId="113" priority="74" operator="equal">
      <formula>"NO CUMPLE"</formula>
    </cfRule>
    <cfRule type="cellIs" dxfId="112" priority="73" operator="equal">
      <formula>"CUMPLE"</formula>
    </cfRule>
    <cfRule type="cellIs" dxfId="111" priority="72" operator="equal">
      <formula>"N/A"</formula>
    </cfRule>
    <cfRule type="cellIs" dxfId="110" priority="75" operator="equal">
      <formula>"""CUMPLE"""</formula>
    </cfRule>
  </conditionalFormatting>
  <conditionalFormatting sqref="D69:J69">
    <cfRule type="cellIs" dxfId="109" priority="3" operator="equal">
      <formula>"NO CUMPLE"</formula>
    </cfRule>
    <cfRule type="cellIs" dxfId="108" priority="4" operator="equal">
      <formula>"CUMPLE"</formula>
    </cfRule>
  </conditionalFormatting>
  <conditionalFormatting sqref="D24:K24 D34:J34">
    <cfRule type="notContainsErrors" dxfId="107" priority="26">
      <formula>NOT(ISERROR(D24))</formula>
    </cfRule>
  </conditionalFormatting>
  <conditionalFormatting sqref="D69:K69">
    <cfRule type="notContainsErrors" dxfId="106" priority="6">
      <formula>NOT(ISERROR(D69))</formula>
    </cfRule>
    <cfRule type="containsBlanks" dxfId="105" priority="5">
      <formula>LEN(TRIM(D69))=0</formula>
    </cfRule>
  </conditionalFormatting>
  <conditionalFormatting sqref="E73:E74">
    <cfRule type="notContainsErrors" dxfId="104" priority="45">
      <formula>NOT(ISERROR(E73))</formula>
    </cfRule>
    <cfRule type="containsBlanks" dxfId="103" priority="44">
      <formula>LEN(TRIM(E73))=0</formula>
    </cfRule>
  </conditionalFormatting>
  <conditionalFormatting sqref="F20:H20">
    <cfRule type="cellIs" dxfId="102" priority="83" operator="equal">
      <formula>"CUMPLE"</formula>
    </cfRule>
    <cfRule type="cellIs" dxfId="101" priority="84" operator="equal">
      <formula>"NO CUMPLE"</formula>
    </cfRule>
    <cfRule type="cellIs" dxfId="100" priority="85" operator="equal">
      <formula>"""CUMPLE"""</formula>
    </cfRule>
  </conditionalFormatting>
  <conditionalFormatting sqref="F61:J67">
    <cfRule type="containsBlanks" dxfId="99" priority="31">
      <formula>LEN(TRIM(F61))=0</formula>
    </cfRule>
    <cfRule type="notContainsErrors" dxfId="98" priority="32">
      <formula>NOT(ISERROR(F61))</formula>
    </cfRule>
  </conditionalFormatting>
  <conditionalFormatting sqref="I11">
    <cfRule type="containsText" dxfId="97" priority="89" operator="containsText" text="NO CUMPLE">
      <formula>NOT(ISERROR(SEARCH("NO CUMPLE",I11)))</formula>
    </cfRule>
    <cfRule type="containsText" dxfId="96" priority="86" operator="containsText" text="INHABILITADO">
      <formula>NOT(ISERROR(SEARCH("INHABILITADO",I11)))</formula>
    </cfRule>
    <cfRule type="containsText" dxfId="95" priority="87" operator="containsText" text="HABILITADO">
      <formula>NOT(ISERROR(SEARCH("HABILITADO",I11)))</formula>
    </cfRule>
    <cfRule type="containsText" dxfId="94" priority="88" operator="containsText" text="HABILITADO">
      <formula>NOT(ISERROR(SEARCH("HABILITADO",I11)))</formula>
    </cfRule>
  </conditionalFormatting>
  <conditionalFormatting sqref="J20">
    <cfRule type="cellIs" dxfId="93" priority="64" operator="equal">
      <formula>"NO"</formula>
    </cfRule>
    <cfRule type="cellIs" dxfId="92" priority="65" operator="equal">
      <formula>"SI"</formula>
    </cfRule>
  </conditionalFormatting>
  <conditionalFormatting sqref="K16">
    <cfRule type="cellIs" dxfId="91" priority="39" operator="equal">
      <formula>"""CUMPLE"""</formula>
    </cfRule>
    <cfRule type="cellIs" dxfId="90" priority="38" operator="equal">
      <formula>"NO CUMPLE"</formula>
    </cfRule>
    <cfRule type="cellIs" dxfId="89" priority="37" operator="equal">
      <formula>"CUMPLE"</formula>
    </cfRule>
  </conditionalFormatting>
  <conditionalFormatting sqref="K25:K67">
    <cfRule type="notContainsErrors" dxfId="88" priority="2">
      <formula>NOT(ISERROR(K25))</formula>
    </cfRule>
    <cfRule type="containsBlanks" dxfId="87" priority="1">
      <formula>LEN(TRIM(K25))=0</formula>
    </cfRule>
  </conditionalFormatting>
  <conditionalFormatting sqref="K68:L68">
    <cfRule type="containsBlanks" dxfId="86" priority="70">
      <formula>LEN(TRIM(K68))=0</formula>
    </cfRule>
    <cfRule type="notContainsErrors" dxfId="85" priority="71">
      <formula>NOT(ISERROR(K68))</formula>
    </cfRule>
  </conditionalFormatting>
  <conditionalFormatting sqref="L14">
    <cfRule type="cellIs" dxfId="84" priority="80" operator="equal">
      <formula>"CUMPLE"</formula>
    </cfRule>
    <cfRule type="cellIs" dxfId="83" priority="81" operator="equal">
      <formula>"NO CUMPLE"</formula>
    </cfRule>
    <cfRule type="cellIs" dxfId="82" priority="82" operator="equal">
      <formula>"""CUMPLE"""</formula>
    </cfRule>
  </conditionalFormatting>
  <conditionalFormatting sqref="L20">
    <cfRule type="cellIs" dxfId="81" priority="62" operator="equal">
      <formula>"NO"</formula>
    </cfRule>
    <cfRule type="cellIs" dxfId="80" priority="63" operator="equal">
      <formula>"SI"</formula>
    </cfRule>
  </conditionalFormatting>
  <dataValidations count="4">
    <dataValidation type="list" allowBlank="1" showInputMessage="1" showErrorMessage="1" sqref="J48:J53" xr:uid="{25D4E80B-201F-4DEC-8924-E770B5452002}">
      <formula1>$C$45:$C$46</formula1>
    </dataValidation>
    <dataValidation type="list" allowBlank="1" showInputMessage="1" showErrorMessage="1" sqref="D73" xr:uid="{3EF20188-748B-40AD-B054-9D6084AF5821}">
      <formula1>$A$50:$A$52</formula1>
    </dataValidation>
    <dataValidation type="list" allowBlank="1" showInputMessage="1" showErrorMessage="1" sqref="L61:L69" xr:uid="{078A6DC1-0A2B-4CD1-A871-10028EAAAA45}">
      <formula1>"0,1,2,3,4,5,6"</formula1>
    </dataValidation>
    <dataValidation type="list" allowBlank="1" showInputMessage="1" showErrorMessage="1" sqref="D24:J26" xr:uid="{F8EFA829-8851-4922-8E83-9CE72E899870}">
      <formula1>$C$15:$C$19</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15260A58-63C8-4E5C-A0B2-435E59A4B716}">
          <x14:formula1>
            <xm:f>'DATOS INICIALES'!$C$45:$C$46</xm:f>
          </x14:formula1>
          <xm:sqref>F48:I54 D52:E54</xm:sqref>
        </x14:dataValidation>
        <x14:dataValidation type="list" allowBlank="1" showInputMessage="1" showErrorMessage="1" xr:uid="{DC5BEB16-D14E-4CD5-ACFA-706B3946E286}">
          <x14:formula1>
            <xm:f>'DATOS INICIALES'!$A$50:$A$52</xm:f>
          </x14:formula1>
          <xm:sqref>F56:J67</xm:sqref>
        </x14:dataValidation>
        <x14:dataValidation type="list" allowBlank="1" showInputMessage="1" showErrorMessage="1" xr:uid="{3672CCE8-CB4F-4690-B9D9-36B37EA21BF5}">
          <x14:formula1>
            <xm:f>'DATOS INICIALES'!$A$54:$A$59</xm:f>
          </x14:formula1>
          <xm:sqref>D23:I23</xm:sqref>
        </x14:dataValidation>
        <x14:dataValidation type="list" allowBlank="1" showInputMessage="1" showErrorMessage="1" xr:uid="{5AF425D7-C900-4E18-9132-396A28348682}">
          <x14:formula1>
            <xm:f>'DATOS INICIALES'!$D$22:$D$26</xm:f>
          </x14:formula1>
          <xm:sqref>M48:M55</xm:sqref>
        </x14:dataValidation>
        <x14:dataValidation type="list" allowBlank="1" showInputMessage="1" showErrorMessage="1" xr:uid="{C4264DA7-4E05-4BA9-B5CE-7FE495F55454}">
          <x14:formula1>
            <xm:f>'DATOS INICIALES'!$A$13:$A$43</xm:f>
          </x14:formula1>
          <xm:sqref>F31:I31</xm:sqref>
        </x14:dataValidation>
        <x14:dataValidation type="list" allowBlank="1" showInputMessage="1" showErrorMessage="1" xr:uid="{CEAAF5EF-EECC-4F92-B650-AAB18D8A0907}">
          <x14:formula1>
            <xm:f>'DATOS INICIALES'!$A$50:$A$51</xm:f>
          </x14:formula1>
          <xm:sqref>F47:J47 F69:J69</xm:sqref>
        </x14:dataValidation>
      </x14:dataValidation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6D672-EF48-4A8A-B4A4-B6FC6BC648B5}">
  <dimension ref="A1:N74"/>
  <sheetViews>
    <sheetView view="pageBreakPreview" zoomScale="40" zoomScaleNormal="55" zoomScaleSheetLayoutView="40" workbookViewId="0">
      <pane ySplit="11" topLeftCell="A19" activePane="bottomLeft" state="frozenSplit"/>
      <selection activeCell="D56" sqref="D56:J67"/>
      <selection pane="bottomLeft" activeCell="E28" sqref="E28"/>
    </sheetView>
    <sheetView workbookViewId="1"/>
  </sheetViews>
  <sheetFormatPr baseColWidth="10" defaultColWidth="11.42578125" defaultRowHeight="15" x14ac:dyDescent="0.25"/>
  <cols>
    <col min="1" max="1" width="5.42578125" customWidth="1"/>
    <col min="2" max="2" width="30.85546875" customWidth="1"/>
    <col min="3" max="3" width="63.140625" customWidth="1"/>
    <col min="4" max="4" width="37.7109375" customWidth="1"/>
    <col min="5" max="5" width="35" customWidth="1"/>
    <col min="6" max="9" width="26.140625" customWidth="1"/>
    <col min="10" max="10" width="27.85546875" customWidth="1"/>
    <col min="11" max="11" width="40.85546875" customWidth="1"/>
    <col min="12" max="12" width="48.7109375" customWidth="1"/>
  </cols>
  <sheetData>
    <row r="1" spans="1:12" ht="15.75" thickBot="1" x14ac:dyDescent="0.3"/>
    <row r="2" spans="1:12" ht="18.75" x14ac:dyDescent="0.3">
      <c r="B2" s="323" t="s">
        <v>0</v>
      </c>
      <c r="C2" s="324"/>
      <c r="D2" s="324"/>
      <c r="E2" s="324"/>
      <c r="F2" s="324"/>
      <c r="G2" s="324"/>
      <c r="H2" s="324"/>
      <c r="I2" s="324"/>
      <c r="J2" s="324"/>
      <c r="K2" s="324"/>
      <c r="L2" s="325"/>
    </row>
    <row r="3" spans="1:12" ht="4.5" customHeight="1" x14ac:dyDescent="0.25">
      <c r="B3" s="326"/>
      <c r="C3" s="327"/>
      <c r="D3" s="327"/>
      <c r="E3" s="327"/>
      <c r="F3" s="327"/>
      <c r="G3" s="327"/>
      <c r="H3" s="327"/>
      <c r="I3" s="327"/>
      <c r="J3" s="327"/>
      <c r="K3" s="327"/>
      <c r="L3" s="328"/>
    </row>
    <row r="4" spans="1:12" ht="18.75" x14ac:dyDescent="0.3">
      <c r="B4" s="329" t="str">
        <f>'DATOS INICIALES'!G4</f>
        <v xml:space="preserve"> FDLK-CMA-003-2024</v>
      </c>
      <c r="C4" s="330"/>
      <c r="D4" s="330"/>
      <c r="E4" s="330"/>
      <c r="F4" s="330"/>
      <c r="G4" s="330"/>
      <c r="H4" s="330"/>
      <c r="I4" s="330"/>
      <c r="J4" s="330"/>
      <c r="K4" s="330"/>
      <c r="L4" s="331"/>
    </row>
    <row r="5" spans="1:12" ht="3.75" customHeight="1" x14ac:dyDescent="0.25">
      <c r="B5" s="326"/>
      <c r="C5" s="327"/>
      <c r="D5" s="327"/>
      <c r="E5" s="327"/>
      <c r="F5" s="327"/>
      <c r="G5" s="327"/>
      <c r="H5" s="327"/>
      <c r="I5" s="327"/>
      <c r="J5" s="327"/>
      <c r="K5" s="327"/>
      <c r="L5" s="328"/>
    </row>
    <row r="6" spans="1:12" x14ac:dyDescent="0.25">
      <c r="B6" s="13" t="s">
        <v>30</v>
      </c>
      <c r="C6" s="70" t="s">
        <v>52</v>
      </c>
      <c r="D6" s="69" t="s">
        <v>66</v>
      </c>
      <c r="E6" s="87"/>
      <c r="F6" s="64"/>
      <c r="G6" s="69" t="s">
        <v>93</v>
      </c>
      <c r="H6" s="97">
        <v>44902</v>
      </c>
      <c r="I6" s="40"/>
      <c r="J6" s="40"/>
      <c r="K6" s="40"/>
      <c r="L6" s="41"/>
    </row>
    <row r="7" spans="1:12" x14ac:dyDescent="0.25">
      <c r="B7" s="332" t="s">
        <v>85</v>
      </c>
      <c r="C7" s="333"/>
      <c r="D7" s="333"/>
      <c r="E7" s="333"/>
      <c r="F7" s="333"/>
      <c r="G7" s="333"/>
      <c r="H7" s="333"/>
      <c r="I7" s="333"/>
      <c r="J7" s="334" t="s">
        <v>67</v>
      </c>
      <c r="K7" s="333"/>
      <c r="L7" s="335"/>
    </row>
    <row r="8" spans="1:12" ht="36.75" customHeight="1" x14ac:dyDescent="0.25">
      <c r="B8" s="2" t="s">
        <v>23</v>
      </c>
      <c r="C8" s="33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37"/>
      <c r="E8" s="337"/>
      <c r="F8" s="337"/>
      <c r="G8" s="337"/>
      <c r="H8" s="337"/>
      <c r="I8" s="337"/>
      <c r="J8" s="160" t="s">
        <v>201</v>
      </c>
      <c r="K8" s="161">
        <v>1</v>
      </c>
      <c r="L8" s="162">
        <f>K8*$C$10</f>
        <v>405.24573153846154</v>
      </c>
    </row>
    <row r="9" spans="1:12" ht="28.5" customHeight="1" x14ac:dyDescent="0.25">
      <c r="B9" s="2" t="s">
        <v>64</v>
      </c>
      <c r="C9" s="338">
        <f>+'DATOS INICIALES'!C5</f>
        <v>526819451</v>
      </c>
      <c r="D9" s="339"/>
      <c r="E9" s="339"/>
      <c r="F9" s="339"/>
      <c r="G9" s="339"/>
      <c r="H9" s="339"/>
      <c r="I9" s="339"/>
      <c r="J9" s="160"/>
      <c r="K9" s="161"/>
      <c r="L9" s="162"/>
    </row>
    <row r="10" spans="1:12" ht="25.5" customHeight="1" x14ac:dyDescent="0.25">
      <c r="B10" s="2" t="s">
        <v>65</v>
      </c>
      <c r="C10" s="387">
        <f>C9/'DATOS INICIALES'!B9</f>
        <v>405.24573153846154</v>
      </c>
      <c r="D10" s="341"/>
      <c r="E10" s="341"/>
      <c r="F10" s="341"/>
      <c r="G10" s="341"/>
      <c r="H10" s="341"/>
      <c r="I10" s="341"/>
      <c r="J10" s="160"/>
      <c r="K10" s="161"/>
      <c r="L10" s="162"/>
    </row>
    <row r="11" spans="1:12" ht="59.25" customHeight="1" x14ac:dyDescent="0.25">
      <c r="A11" s="14">
        <v>37</v>
      </c>
      <c r="B11" s="2" t="s">
        <v>24</v>
      </c>
      <c r="C11" s="342" t="str">
        <f>VLOOKUP(A11,PROPONENTES!A10:B46,2,FALSE)</f>
        <v>JCB CONSULTORIA S.A.S</v>
      </c>
      <c r="D11" s="342"/>
      <c r="E11" s="342"/>
      <c r="F11" s="342"/>
      <c r="G11" s="342"/>
      <c r="H11" s="144" t="s">
        <v>166</v>
      </c>
      <c r="I11" s="346" t="str">
        <f>IF(AND(F20="CUMPLE",G20="CUMPLE",H20="CUMPLE",L14="CUMPLE",D74="CUMPLE",K16="CUMPLE"),"CUMPLE","NO CUMPLE")</f>
        <v>CUMPLE</v>
      </c>
      <c r="J11" s="346"/>
      <c r="K11" s="346"/>
      <c r="L11" s="346"/>
    </row>
    <row r="12" spans="1:12" ht="9.75" customHeight="1" x14ac:dyDescent="0.25">
      <c r="B12" s="343"/>
      <c r="C12" s="344"/>
      <c r="D12" s="344"/>
      <c r="E12" s="344"/>
      <c r="F12" s="344"/>
      <c r="G12" s="344"/>
      <c r="H12" s="344"/>
      <c r="I12" s="344"/>
      <c r="J12" s="344"/>
      <c r="K12" s="344"/>
      <c r="L12" s="345"/>
    </row>
    <row r="13" spans="1:12" s="139" customFormat="1" ht="24" customHeight="1" x14ac:dyDescent="0.25">
      <c r="B13" s="301" t="s">
        <v>74</v>
      </c>
      <c r="C13" s="302"/>
      <c r="D13" s="302"/>
      <c r="E13" s="302"/>
      <c r="F13" s="302"/>
      <c r="G13" s="302"/>
      <c r="H13" s="302"/>
      <c r="I13" s="68" t="s">
        <v>68</v>
      </c>
      <c r="J13" s="68" t="s">
        <v>134</v>
      </c>
      <c r="K13" s="68" t="s">
        <v>135</v>
      </c>
      <c r="L13" s="71" t="s">
        <v>69</v>
      </c>
    </row>
    <row r="14" spans="1:12" ht="69" customHeight="1" x14ac:dyDescent="0.25">
      <c r="B14" s="314" t="s">
        <v>31</v>
      </c>
      <c r="C14" s="71" t="s">
        <v>59</v>
      </c>
      <c r="D14" s="71" t="s">
        <v>60</v>
      </c>
      <c r="E14" s="68" t="s">
        <v>63</v>
      </c>
      <c r="F14" s="68" t="s">
        <v>71</v>
      </c>
      <c r="G14" s="68" t="s">
        <v>62</v>
      </c>
      <c r="H14" s="68" t="s">
        <v>219</v>
      </c>
      <c r="I14" s="168">
        <f>COUNTIF(D68:I68,"CUMPLE")</f>
        <v>2</v>
      </c>
      <c r="J14" s="169">
        <f>+L8</f>
        <v>405.24573153846154</v>
      </c>
      <c r="K14" s="169">
        <f>+E20</f>
        <v>1271.2325000000001</v>
      </c>
      <c r="L14" s="18" t="str">
        <f>IF(K14&gt;=J14,"CUMPLE","NO CUMPLE")</f>
        <v>CUMPLE</v>
      </c>
    </row>
    <row r="15" spans="1:12" ht="66.75" customHeight="1" x14ac:dyDescent="0.25">
      <c r="B15" s="314"/>
      <c r="C15" s="98" t="str">
        <f>IF(VLOOKUP(C11,PROPONENTES!B10:N46,2,FALSE)=0,"",VLOOKUP(C11,PROPONENTES!B10:N46,2,FALSE))</f>
        <v>JCB CONSULTORIA S.A.S</v>
      </c>
      <c r="D15" s="99">
        <f>IF(VLOOKUP(C11,PROPONENTES!B10:N46,3,FALSE)=0,"",VLOOKUP(C11,PROPONENTES!B10:N46,3,FALSE))</f>
        <v>1</v>
      </c>
      <c r="E15" s="100">
        <f>IF(C15="","",IF($D$68="CUMPLE",IF(C15=$D$24,$D$39)+IF(C15=$D$25,$D$42)+IF(C15=$D$26,$D$45))+IF($E$68="CUMPLE",IF(C15=$E$24,$E$39)+IF(C15=$E$25,$E$42)+IF(C15=$E$26,$E$45))+IF($F$68="CUMPLE",IF(C15=$F$24,$F$39)+IF(C15=$F$25,$F$42)+IF(C15=$F$26,$F$45))+IF($G$68="CUMPLE",IF(C15=$G$24,$G$39)+IF(C15=$G$25,$G$42)+IF(C15=$G$26,$G$45))+IF($H$68="CUMPLE",IF(C15=$H$24,$H$39)+IF(C15=$H$25,$H$42)+IF(C15=$H$26,$H$45))+IF($I$68="CUMPLE",IF(C15=$I$24,$I$39)+IF(C15=$I$25,$I$42)+IF(C15=$I$26,$I$45))+IF($J$68="CUMPLE",IF(C15=$J$24,$J$39)+IF(C15=$J$25,$J$42)+IF(C15=$J$26,$J$45)))</f>
        <v>1271.2325000000001</v>
      </c>
      <c r="F15" s="101" t="str">
        <f>IF(C15="","",IF(E15&gt;=$J$14*0.5,"SI","NO"))</f>
        <v>SI</v>
      </c>
      <c r="G15" s="102" t="str">
        <f>IF(C15="","",IF(E15&gt;=$J$14*0.05,"SI",IF(E15=0,"NO APORTA EXPERIENCIA",)))</f>
        <v>SI</v>
      </c>
      <c r="H15" s="102" t="str">
        <f>IF(C15="","",IF(AND(G15="NO APORTA EXPERIENCIA",D15&lt;=10%),"SI",IF(G15="SI","NO APLICA","NO - PORCENTAJE MAYOR AL 10%")))</f>
        <v>NO APLICA</v>
      </c>
      <c r="I15" s="68" t="s">
        <v>224</v>
      </c>
      <c r="J15" s="68" t="s">
        <v>223</v>
      </c>
      <c r="K15" s="68" t="s">
        <v>69</v>
      </c>
      <c r="L15" s="68" t="s">
        <v>205</v>
      </c>
    </row>
    <row r="16" spans="1:12" ht="33.75" customHeight="1" x14ac:dyDescent="0.25">
      <c r="B16" s="314"/>
      <c r="C16" s="98" t="str">
        <f>IF(VLOOKUP(C11,PROPONENTES!B10:N46,4,FALSE)=0,"",VLOOKUP(C11,PROPONENTES!B10:N46,4,FALSE))</f>
        <v/>
      </c>
      <c r="D16" s="99" t="str">
        <f>IF(VLOOKUP(C11,PROPONENTES!B10:N46,5,FALSE)=0,"",VLOOKUP(C11,PROPONENTES!B10:N46,5,FALSE))</f>
        <v/>
      </c>
      <c r="E16" s="100" t="str">
        <f>IF(C16="","",IF($D$68="CUMPLE",IF(C16=$D$24,$D$39)+IF(C16=$D$25,$D$42)+IF(C16=$D$26,$D$45))+IF($E$68="CUMPLE",IF(C16=$E$24,$E$39)+IF(C16=$E$25,$E$42)+IF(C16=$E$26,$E$45))+IF($F$68="CUMPLE",IF(C16=$F$24,$F$39)+IF(C16=$F$25,$F$42)+IF(C16=$F$26,$F$45))+IF($G$68="CUMPLE",IF(C16=$G$24,$G$39)+IF(C16=$G$25,$G$42)+IF(C16=$G$26,$G$45))+IF($H$68="CUMPLE",IF(C16=$H$24,$H$39)+IF(C16=$H$25,$H$42)+IF(C16=$H$26,$H$45))+IF($I$68="CUMPLE",IF(C16=$I$24,$I$39)+IF(C16=$I$25,$I$42)+IF(C16=$I$26,$I$45))+IF($J$68="CUMPLE",IF(C16=$J$24,$J$39)+IF(C16=$J$25,$J$42)+IF(C16=$J$26,$J$45)))</f>
        <v/>
      </c>
      <c r="F16" s="101" t="str">
        <f>IF(C16="","",IF(E16&gt;=$J$14*0.5,"SI","NO"))</f>
        <v/>
      </c>
      <c r="G16" s="102" t="str">
        <f>IF(C16="","",IF(E16&gt;=$J$14*0.05,"SI",IF(E16=0,"NO APORTA EXPERIENCIA",)))</f>
        <v/>
      </c>
      <c r="H16" s="102" t="str">
        <f>IF(C16="","",IF(AND(G16="NO APORTA EXPERIENCIA",D16&lt;=10%),"SI",IF(G16="SI","NO APLICA","NO - PORCENTAJE MAYOR AL 5%")))</f>
        <v/>
      </c>
      <c r="I16" s="169">
        <f>SUMIF(D69:J69,"CUMPLE",D39:J39)+SUMIF(D69:J69,"CUMPLE",D42:J42)+SUMIF(D69:J69,"CUMPLE",D45:J45)</f>
        <v>1271.2325000000001</v>
      </c>
      <c r="J16" s="169">
        <f>+L8*0.7</f>
        <v>283.67201207692307</v>
      </c>
      <c r="K16" s="18" t="str">
        <f>IF(I16&gt;=J16,"CUMPLE","NO CUMPLE")</f>
        <v>CUMPLE</v>
      </c>
      <c r="L16" s="305">
        <f>AVERAGEIF(D68:J68,"CUMPLE",D46:J46)</f>
        <v>635.61625000000004</v>
      </c>
    </row>
    <row r="17" spans="2:14" ht="33.75" customHeight="1" x14ac:dyDescent="0.25">
      <c r="B17" s="314"/>
      <c r="C17" s="98" t="str">
        <f>IF(VLOOKUP(C11,PROPONENTES!B10:N46,6,FALSE)=0,"",VLOOKUP(C11,PROPONENTES!B10:N46,6,FALSE))</f>
        <v/>
      </c>
      <c r="D17" s="99" t="str">
        <f>IF(VLOOKUP(C11,PROPONENTES!B10:N46,7,FALSE)=0,"",VLOOKUP(C11,PROPONENTES!B10:N46,7,FALSE))</f>
        <v/>
      </c>
      <c r="E17" s="100" t="str">
        <f>IF(C17="","",IF($D$68="CUMPLE",IF(C17=$D$24,$D$39)+IF(C17=$D$25,$D$42)+IF(C17=$D$26,$D$45))+IF($E$68="CUMPLE",IF(C17=$E$24,$E$39)+IF(C17=$E$25,$E$42)+IF(C17=$E$26,$E$45))+IF($F$68="CUMPLE",IF(C17=$F$24,$F$39)+IF(C17=$F$25,$F$42)+IF(C17=$F$26,$F$45))+IF($G$68="CUMPLE",IF(C17=$G$24,$G$39)+IF(C17=$G$25,$G$42)+IF(C17=$G$26,$G$45))+IF($H$68="CUMPLE",IF(C17=$H$24,$H$39)+IF(C17=$H$25,$H$42)+IF(C17=$H$26,$H$45))+IF($I$68="CUMPLE",IF(C17=$I$24,$I$39)+IF(C17=$I$25,$I$42)+IF(C17=$I$26,$I$45))+IF($J$68="CUMPLE",IF(C17=$J$24,$J$39)+IF(C17=$J$25,$J$42)+IF(C17=$J$26,$J$45)))</f>
        <v/>
      </c>
      <c r="F17" s="101" t="str">
        <f>IF(C17="","",IF(E17&gt;=$J$14*0.5,"SI","NO"))</f>
        <v/>
      </c>
      <c r="G17" s="102" t="str">
        <f>IF(C17="","",IF(E17&gt;=$J$14*0.05,"SI",IF(E17=0,"NO APORTA EXPERIENCIA",)))</f>
        <v/>
      </c>
      <c r="H17" s="102" t="str">
        <f>IF(C17="","",IF(AND(G17="NO APORTA EXPERIENCIA",D17&lt;=10%),"SI",IF(G17="SI","NO APLICA","NO - PORCENTAJE MAYOR AL 5%")))</f>
        <v/>
      </c>
      <c r="I17" s="196"/>
      <c r="J17" s="196"/>
      <c r="K17" s="196"/>
      <c r="L17" s="306"/>
    </row>
    <row r="18" spans="2:14" ht="50.25" customHeight="1" x14ac:dyDescent="0.25">
      <c r="B18" s="314"/>
      <c r="C18" s="98" t="str">
        <f>IF(VLOOKUP(C11,PROPONENTES!B10:N46,8,FALSE)=0,"",VLOOKUP(C11,PROPONENTES!B10:N46,8,FALSE))</f>
        <v/>
      </c>
      <c r="D18" s="99" t="str">
        <f>IF(VLOOKUP(C11,PROPONENTES!B10:N46,9,FALSE)=0,"",VLOOKUP(C11,PROPONENTES!B10:N46,9,FALSE))</f>
        <v/>
      </c>
      <c r="E18" s="100" t="str">
        <f>IF(C18="","",IF($D$68="CUMPLE",IF(C18=$D$24,$D$39)+IF(C18=$D$25,$D$42)+IF(C18=$D$26,$D$45))+IF($E$68="CUMPLE",IF(C18=$E$24,$E$39)+IF(C18=$E$25,$E$42)+IF(C18=$E$26,$E$45))+IF($F$68="CUMPLE",IF(C18=$F$24,$F$39)+IF(C18=$F$25,$F$42)+IF(C18=$F$26,$F$45))+IF($G$68="CUMPLE",IF(C18=$G$24,$G$39)+IF(C18=$G$25,$G$42)+IF(C18=$G$26,$G$45))+IF($H$68="CUMPLE",IF(C18=$H$24,$H$39)+IF(C18=$H$25,$H$42)+IF(C18=$H$26,$H$45))+IF($I$68="CUMPLE",IF(C18=$I$24,$I$39)+IF(C18=$I$25,$I$42)+IF(C18=$I$26,$I$45))+IF($J$68="CUMPLE",IF(C18=$J$24,$J$39)+IF(C18=$J$25,$J$42)+IF(C18=$J$26,$J$45)))</f>
        <v/>
      </c>
      <c r="F18" s="101" t="str">
        <f>IF(C18="","",IF(E18&gt;=$J$14*0.5,"SI","NO"))</f>
        <v/>
      </c>
      <c r="G18" s="102" t="str">
        <f>IF(C18="","",IF(E18&gt;=$J$14*0.05,"SI",IF(E18=0,"NO APORTA EXPERIENCIA",)))</f>
        <v/>
      </c>
      <c r="H18" s="102" t="str">
        <f>IF(C18="","",IF(AND(G18="NO APORTA EXPERIENCIA",D18&lt;=10%),"SI",IF(G18="SI","NO APLICA","NO - PORCENTAJE MAYOR AL 5%")))</f>
        <v/>
      </c>
      <c r="I18" s="196"/>
      <c r="J18" s="196"/>
      <c r="K18" s="196"/>
      <c r="L18" s="306"/>
    </row>
    <row r="19" spans="2:14" ht="33.75" customHeight="1" x14ac:dyDescent="0.25">
      <c r="B19" s="314"/>
      <c r="C19" s="98" t="str">
        <f>IF(VLOOKUP(C11,PROPONENTES!B10:N46,10,FALSE)=0,"",VLOOKUP(C11,PROPONENTES!B10:N46,10,FALSE))</f>
        <v/>
      </c>
      <c r="D19" s="99" t="str">
        <f>IF(VLOOKUP(C11,PROPONENTES!B10:N46,11,FALSE)=0,"",VLOOKUP(C11,PROPONENTES!B10:N46,11,FALSE))</f>
        <v/>
      </c>
      <c r="E19" s="100" t="str">
        <f>IF(C19="","",IF($D$68="CUMPLE",IF(C19=$D$24,$D$39)+IF(C19=$D$25,$D$42)+IF(C19=$D$26,$D$45))+IF($E$68="CUMPLE",IF(C19=$E$24,$E$39)+IF(C19=$E$25,$E$42)+IF(C19=$E$26,$E$45))+IF($F$68="CUMPLE",IF(C19=$F$24,$F$39)+IF(C19=$F$25,$F$42)+IF(C19=$F$26,$F$45))+IF($G$68="CUMPLE",IF(C19=$G$24,$G$39)+IF(C19=$G$25,$G$42)+IF(C19=$G$26,$G$45))+IF($H$68="CUMPLE",IF(C19=$H$24,$H$39)+IF(C19=$H$25,$H$42)+IF(C19=$H$26,$H$45))+IF($I$68="CUMPLE",IF(C19=$I$24,$I$39)+IF(C19=$I$25,$I$42)+IF(C19=$I$26,$I$45))+IF($J$68="CUMPLE",IF(C19=$J$24,$J$39)+IF(C19=$J$25,$J$42)+IF(C19=$J$26,$J$45)))</f>
        <v/>
      </c>
      <c r="F19" s="101" t="str">
        <f>IF(C19="","",IF(E19&gt;=$J$14*0.5,"SI","NO"))</f>
        <v/>
      </c>
      <c r="G19" s="102" t="str">
        <f>IF(C19="","",IF(E19&gt;=$J$14*0.05,"SI",IF(E19=0,"NO APORTA EXPERIENCIA",)))</f>
        <v/>
      </c>
      <c r="H19" s="102" t="str">
        <f>IF(C19="","",IF(AND(G19="NO APORTA EXPERIENCIA",D19&lt;=10%),"SI",IF(G19="SI","NO APLICA","NO - PORCENTAJE MAYOR AL 5%")))</f>
        <v/>
      </c>
      <c r="I19" s="196"/>
      <c r="J19" s="196"/>
      <c r="K19" s="196"/>
      <c r="L19" s="307"/>
    </row>
    <row r="20" spans="2:14" ht="84.75" customHeight="1" x14ac:dyDescent="0.25">
      <c r="B20" s="31" t="s">
        <v>61</v>
      </c>
      <c r="C20" s="26">
        <f>+VLOOKUP(C11,PROPONENTES!B10:N46,12,FALSE)</f>
        <v>1</v>
      </c>
      <c r="D20" s="99">
        <f>+VLOOKUP(C11,PROPONENTES!B10:N46,13,FALSE)</f>
        <v>1</v>
      </c>
      <c r="E20" s="35">
        <f>SUM(E15:E19)</f>
        <v>1271.2325000000001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68" t="s">
        <v>168</v>
      </c>
      <c r="J20" s="141" t="str">
        <f>IF(VLOOKUP(C11,PUNTAJE!B15:AD199,25,FALSE)=0.25,"SI","NO")</f>
        <v>SI</v>
      </c>
      <c r="K20" s="68" t="s">
        <v>167</v>
      </c>
      <c r="L20" s="141" t="str">
        <f>IF(VLOOKUP(C11,PUNTAJE!B15:AD199,29,FALSE)=0.25,"SI","NO")</f>
        <v>SI</v>
      </c>
      <c r="N20" s="68"/>
    </row>
    <row r="21" spans="2:14" ht="10.5" customHeight="1" thickBot="1" x14ac:dyDescent="0.3">
      <c r="B21" s="308"/>
      <c r="C21" s="309"/>
      <c r="D21" s="309"/>
      <c r="E21" s="309"/>
      <c r="F21" s="309"/>
      <c r="G21" s="309"/>
      <c r="H21" s="309"/>
      <c r="I21" s="309"/>
      <c r="J21" s="309"/>
      <c r="K21" s="309"/>
      <c r="L21" s="310"/>
    </row>
    <row r="22" spans="2:14" ht="54" customHeight="1" thickBot="1" x14ac:dyDescent="0.3">
      <c r="B22" s="311" t="str">
        <f>CONCATENATE("ACREDITACION EXPERIENCIA ",'DATOS INICIALES'!G4)</f>
        <v>ACREDITACION EXPERIENCIA  FDLK-CMA-003-2024</v>
      </c>
      <c r="C22" s="312"/>
      <c r="D22" s="312"/>
      <c r="E22" s="312"/>
      <c r="F22" s="312"/>
      <c r="G22" s="312"/>
      <c r="H22" s="312"/>
      <c r="I22" s="312"/>
      <c r="J22" s="312"/>
      <c r="K22" s="312"/>
      <c r="L22" s="313"/>
    </row>
    <row r="23" spans="2:14" ht="40.5" customHeight="1" x14ac:dyDescent="0.25">
      <c r="B23" s="188" t="s">
        <v>32</v>
      </c>
      <c r="C23" s="189" t="s">
        <v>164</v>
      </c>
      <c r="D23" s="190" t="s">
        <v>16</v>
      </c>
      <c r="E23" s="190" t="s">
        <v>17</v>
      </c>
      <c r="F23" s="190" t="s">
        <v>18</v>
      </c>
      <c r="G23" s="190" t="s">
        <v>19</v>
      </c>
      <c r="H23" s="190" t="s">
        <v>20</v>
      </c>
      <c r="I23" s="190" t="s">
        <v>21</v>
      </c>
      <c r="J23" s="191"/>
      <c r="K23" s="321" t="s">
        <v>70</v>
      </c>
      <c r="L23" s="322"/>
    </row>
    <row r="24" spans="2:14" ht="39.75" customHeight="1" x14ac:dyDescent="0.25">
      <c r="B24" s="303" t="s">
        <v>121</v>
      </c>
      <c r="C24" s="304"/>
      <c r="D24" s="88" t="s">
        <v>299</v>
      </c>
      <c r="E24" s="88" t="s">
        <v>299</v>
      </c>
      <c r="F24" s="88"/>
      <c r="G24" s="88"/>
      <c r="H24" s="88"/>
      <c r="I24" s="88"/>
      <c r="J24" s="88"/>
      <c r="K24" s="297"/>
      <c r="L24" s="298"/>
    </row>
    <row r="25" spans="2:14" ht="39.75" customHeight="1" x14ac:dyDescent="0.25">
      <c r="B25" s="303" t="s">
        <v>122</v>
      </c>
      <c r="C25" s="304"/>
      <c r="D25" s="88"/>
      <c r="E25" s="88"/>
      <c r="F25" s="88"/>
      <c r="G25" s="88"/>
      <c r="H25" s="88"/>
      <c r="I25" s="88"/>
      <c r="J25" s="88"/>
      <c r="K25" s="297"/>
      <c r="L25" s="298"/>
    </row>
    <row r="26" spans="2:14" ht="39.75" customHeight="1" x14ac:dyDescent="0.25">
      <c r="B26" s="303" t="s">
        <v>123</v>
      </c>
      <c r="C26" s="304"/>
      <c r="D26" s="88"/>
      <c r="E26" s="88"/>
      <c r="F26" s="88"/>
      <c r="G26" s="88"/>
      <c r="H26" s="88"/>
      <c r="I26" s="88"/>
      <c r="J26" s="88"/>
      <c r="K26" s="297"/>
      <c r="L26" s="298"/>
    </row>
    <row r="27" spans="2:14" ht="45.75" customHeight="1" x14ac:dyDescent="0.25">
      <c r="B27" s="318" t="s">
        <v>58</v>
      </c>
      <c r="C27" s="27" t="s">
        <v>35</v>
      </c>
      <c r="D27" s="89" t="s">
        <v>556</v>
      </c>
      <c r="E27" s="89" t="s">
        <v>578</v>
      </c>
      <c r="F27" s="89"/>
      <c r="G27" s="89"/>
      <c r="H27" s="89"/>
      <c r="I27" s="89"/>
      <c r="J27" s="89"/>
      <c r="K27" s="297"/>
      <c r="L27" s="298"/>
    </row>
    <row r="28" spans="2:14" ht="156.75" customHeight="1" x14ac:dyDescent="0.25">
      <c r="B28" s="319"/>
      <c r="C28" s="27" t="s">
        <v>36</v>
      </c>
      <c r="D28" s="89" t="s">
        <v>557</v>
      </c>
      <c r="E28" s="89" t="s">
        <v>558</v>
      </c>
      <c r="F28" s="89"/>
      <c r="G28" s="89"/>
      <c r="H28" s="89"/>
      <c r="I28" s="89"/>
      <c r="J28" s="89"/>
      <c r="K28" s="297"/>
      <c r="L28" s="298"/>
    </row>
    <row r="29" spans="2:14" ht="52.5" customHeight="1" x14ac:dyDescent="0.25">
      <c r="B29" s="319"/>
      <c r="C29" s="27" t="s">
        <v>165</v>
      </c>
      <c r="D29" s="93">
        <v>42237</v>
      </c>
      <c r="E29" s="93">
        <v>43787</v>
      </c>
      <c r="F29" s="93"/>
      <c r="G29" s="93"/>
      <c r="H29" s="93"/>
      <c r="I29" s="93"/>
      <c r="J29" s="93"/>
      <c r="K29" s="297"/>
      <c r="L29" s="298"/>
    </row>
    <row r="30" spans="2:14" ht="54.75" customHeight="1" x14ac:dyDescent="0.25">
      <c r="B30" s="319"/>
      <c r="C30" s="27" t="s">
        <v>40</v>
      </c>
      <c r="D30" s="93">
        <v>42947</v>
      </c>
      <c r="E30" s="93">
        <v>43878</v>
      </c>
      <c r="F30" s="93"/>
      <c r="G30" s="93"/>
      <c r="H30" s="93"/>
      <c r="I30" s="93"/>
      <c r="J30" s="93"/>
      <c r="K30" s="297"/>
      <c r="L30" s="298"/>
    </row>
    <row r="31" spans="2:14" ht="41.25" customHeight="1" x14ac:dyDescent="0.25">
      <c r="B31" s="319"/>
      <c r="C31" s="27" t="s">
        <v>37</v>
      </c>
      <c r="D31" s="90">
        <v>2017</v>
      </c>
      <c r="E31" s="90">
        <v>2020</v>
      </c>
      <c r="F31" s="90"/>
      <c r="G31" s="90"/>
      <c r="H31" s="90"/>
      <c r="I31" s="90"/>
      <c r="J31" s="90"/>
      <c r="K31" s="297"/>
      <c r="L31" s="298"/>
    </row>
    <row r="32" spans="2:14" ht="63" customHeight="1" x14ac:dyDescent="0.25">
      <c r="B32" s="319"/>
      <c r="C32" s="27" t="s">
        <v>38</v>
      </c>
      <c r="D32" s="89" t="s">
        <v>559</v>
      </c>
      <c r="E32" s="89" t="s">
        <v>560</v>
      </c>
      <c r="F32" s="89"/>
      <c r="G32" s="89"/>
      <c r="H32" s="89"/>
      <c r="I32" s="89"/>
      <c r="J32" s="89"/>
      <c r="K32" s="297"/>
      <c r="L32" s="298"/>
    </row>
    <row r="33" spans="2:12" ht="46.5" customHeight="1" x14ac:dyDescent="0.25">
      <c r="B33" s="319"/>
      <c r="C33" s="27" t="s">
        <v>39</v>
      </c>
      <c r="D33" s="89" t="s">
        <v>561</v>
      </c>
      <c r="E33" s="89" t="s">
        <v>562</v>
      </c>
      <c r="F33" s="89"/>
      <c r="G33" s="89"/>
      <c r="H33" s="89"/>
      <c r="I33" s="89"/>
      <c r="J33" s="89"/>
      <c r="K33" s="297"/>
      <c r="L33" s="298"/>
    </row>
    <row r="34" spans="2:12" ht="27.75" customHeight="1" x14ac:dyDescent="0.25">
      <c r="B34" s="319"/>
      <c r="C34" s="28" t="s">
        <v>33</v>
      </c>
      <c r="D34" s="94">
        <v>68</v>
      </c>
      <c r="E34" s="94">
        <v>86</v>
      </c>
      <c r="F34" s="94"/>
      <c r="G34" s="95"/>
      <c r="H34" s="95"/>
      <c r="I34" s="95"/>
      <c r="J34" s="95"/>
      <c r="K34" s="297"/>
      <c r="L34" s="298"/>
    </row>
    <row r="35" spans="2:12" ht="102.75" customHeight="1" x14ac:dyDescent="0.25">
      <c r="B35" s="319"/>
      <c r="C35" s="27" t="s">
        <v>124</v>
      </c>
      <c r="D35" s="91">
        <v>1257.02</v>
      </c>
      <c r="E35" s="187">
        <v>56.85</v>
      </c>
      <c r="F35" s="91"/>
      <c r="G35" s="91"/>
      <c r="H35" s="91"/>
      <c r="I35" s="91"/>
      <c r="J35" s="91"/>
      <c r="K35" s="299"/>
      <c r="L35" s="300"/>
    </row>
    <row r="36" spans="2:12" ht="48" customHeight="1" x14ac:dyDescent="0.25">
      <c r="B36" s="319"/>
      <c r="C36" s="27" t="s">
        <v>72</v>
      </c>
      <c r="D36" s="103">
        <f>IFERROR(D35*VLOOKUP(D31,'DATOS INICIALES'!$A$12:$B$43,2,0),"0")</f>
        <v>927325023.34000003</v>
      </c>
      <c r="E36" s="103">
        <f>IFERROR(E35*VLOOKUP(E31,'DATOS INICIALES'!$A$12:$B$43,2,0),"0")</f>
        <v>49903100.550000004</v>
      </c>
      <c r="F36" s="103" t="str">
        <f>IFERROR(F35*VLOOKUP(F31,'DATOS INICIALES'!$A$12:$B$43,2,0),"0")</f>
        <v>0</v>
      </c>
      <c r="G36" s="103" t="str">
        <f>IFERROR(G35*VLOOKUP(G31,'DATOS INICIALES'!$A$12:$B$43,2,0),"0")</f>
        <v>0</v>
      </c>
      <c r="H36" s="103" t="str">
        <f>IFERROR(H35*VLOOKUP(H31,'DATOS INICIALES'!$A$12:$B$43,2,0),"0")</f>
        <v>0</v>
      </c>
      <c r="I36" s="103" t="str">
        <f>IFERROR(I35*VLOOKUP(I31,'DATOS INICIALES'!$A$12:$B$43,2,0),"0")</f>
        <v>0</v>
      </c>
      <c r="J36" s="103" t="str">
        <f>IFERROR(J35*VLOOKUP(J31,'DATOS INICIALES'!$A$12:$B$43,2,0),"0")</f>
        <v>0</v>
      </c>
      <c r="K36" s="297"/>
      <c r="L36" s="298"/>
    </row>
    <row r="37" spans="2:12" ht="33.75" customHeight="1" x14ac:dyDescent="0.25">
      <c r="B37" s="319"/>
      <c r="C37" s="27" t="s">
        <v>125</v>
      </c>
      <c r="D37" s="92">
        <v>1</v>
      </c>
      <c r="E37" s="92">
        <v>0.25</v>
      </c>
      <c r="F37" s="92"/>
      <c r="G37" s="92"/>
      <c r="H37" s="92"/>
      <c r="I37" s="92"/>
      <c r="J37" s="92"/>
      <c r="K37" s="297"/>
      <c r="L37" s="298"/>
    </row>
    <row r="38" spans="2:12" ht="48.75" customHeight="1" x14ac:dyDescent="0.25">
      <c r="B38" s="319"/>
      <c r="C38" s="27" t="s">
        <v>131</v>
      </c>
      <c r="D38" s="103">
        <f t="shared" ref="D38:J38" si="0">IF(D24="","0",D37*D36)</f>
        <v>927325023.34000003</v>
      </c>
      <c r="E38" s="103">
        <f t="shared" si="0"/>
        <v>12475775.137500001</v>
      </c>
      <c r="F38" s="103" t="str">
        <f t="shared" si="0"/>
        <v>0</v>
      </c>
      <c r="G38" s="103" t="str">
        <f t="shared" si="0"/>
        <v>0</v>
      </c>
      <c r="H38" s="103" t="str">
        <f t="shared" si="0"/>
        <v>0</v>
      </c>
      <c r="I38" s="103" t="str">
        <f t="shared" si="0"/>
        <v>0</v>
      </c>
      <c r="J38" s="103" t="str">
        <f t="shared" si="0"/>
        <v>0</v>
      </c>
      <c r="K38" s="297"/>
      <c r="L38" s="298"/>
    </row>
    <row r="39" spans="2:12" ht="65.25" customHeight="1" x14ac:dyDescent="0.25">
      <c r="B39" s="319"/>
      <c r="C39" s="27" t="s">
        <v>126</v>
      </c>
      <c r="D39" s="104">
        <f t="shared" ref="D39:J39" si="1">IFERROR(D35*D37,"0")</f>
        <v>1257.02</v>
      </c>
      <c r="E39" s="104">
        <f t="shared" si="1"/>
        <v>14.2125</v>
      </c>
      <c r="F39" s="104">
        <f t="shared" si="1"/>
        <v>0</v>
      </c>
      <c r="G39" s="104">
        <f t="shared" si="1"/>
        <v>0</v>
      </c>
      <c r="H39" s="104">
        <f t="shared" si="1"/>
        <v>0</v>
      </c>
      <c r="I39" s="104">
        <f t="shared" si="1"/>
        <v>0</v>
      </c>
      <c r="J39" s="104">
        <f t="shared" si="1"/>
        <v>0</v>
      </c>
      <c r="K39" s="297"/>
      <c r="L39" s="298"/>
    </row>
    <row r="40" spans="2:12" ht="65.25" customHeight="1" x14ac:dyDescent="0.25">
      <c r="B40" s="319"/>
      <c r="C40" s="27" t="s">
        <v>127</v>
      </c>
      <c r="D40" s="92">
        <v>0</v>
      </c>
      <c r="E40" s="92">
        <v>0</v>
      </c>
      <c r="F40" s="92"/>
      <c r="G40" s="92"/>
      <c r="H40" s="92"/>
      <c r="I40" s="92"/>
      <c r="J40" s="92"/>
      <c r="K40" s="297"/>
      <c r="L40" s="298"/>
    </row>
    <row r="41" spans="2:12" ht="65.25" customHeight="1" x14ac:dyDescent="0.25">
      <c r="B41" s="319"/>
      <c r="C41" s="27" t="s">
        <v>132</v>
      </c>
      <c r="D41" s="105" t="str">
        <f t="shared" ref="D41:J41" si="2">IF(D25="","0",D40*D36)</f>
        <v>0</v>
      </c>
      <c r="E41" s="105" t="str">
        <f t="shared" si="2"/>
        <v>0</v>
      </c>
      <c r="F41" s="105" t="str">
        <f t="shared" si="2"/>
        <v>0</v>
      </c>
      <c r="G41" s="105" t="str">
        <f t="shared" si="2"/>
        <v>0</v>
      </c>
      <c r="H41" s="105" t="str">
        <f t="shared" si="2"/>
        <v>0</v>
      </c>
      <c r="I41" s="105" t="str">
        <f t="shared" si="2"/>
        <v>0</v>
      </c>
      <c r="J41" s="105" t="str">
        <f t="shared" si="2"/>
        <v>0</v>
      </c>
      <c r="K41" s="297"/>
      <c r="L41" s="298"/>
    </row>
    <row r="42" spans="2:12" ht="65.25" customHeight="1" x14ac:dyDescent="0.25">
      <c r="B42" s="319"/>
      <c r="C42" s="27" t="s">
        <v>128</v>
      </c>
      <c r="D42" s="104">
        <f>IF(D25="",0,D35*D40)</f>
        <v>0</v>
      </c>
      <c r="E42" s="104">
        <f t="shared" ref="E42:J42" si="3">IF(E25="",0,E35*E40)</f>
        <v>0</v>
      </c>
      <c r="F42" s="104">
        <f t="shared" si="3"/>
        <v>0</v>
      </c>
      <c r="G42" s="104">
        <f t="shared" si="3"/>
        <v>0</v>
      </c>
      <c r="H42" s="104">
        <f t="shared" si="3"/>
        <v>0</v>
      </c>
      <c r="I42" s="104">
        <f t="shared" si="3"/>
        <v>0</v>
      </c>
      <c r="J42" s="104">
        <f t="shared" si="3"/>
        <v>0</v>
      </c>
      <c r="K42" s="297"/>
      <c r="L42" s="298"/>
    </row>
    <row r="43" spans="2:12" ht="65.25" customHeight="1" x14ac:dyDescent="0.25">
      <c r="B43" s="319"/>
      <c r="C43" s="27" t="s">
        <v>129</v>
      </c>
      <c r="D43" s="92">
        <v>0</v>
      </c>
      <c r="E43" s="92">
        <v>0</v>
      </c>
      <c r="F43" s="92"/>
      <c r="G43" s="92"/>
      <c r="H43" s="92"/>
      <c r="I43" s="92"/>
      <c r="J43" s="92"/>
      <c r="K43" s="297"/>
      <c r="L43" s="298"/>
    </row>
    <row r="44" spans="2:12" ht="65.25" customHeight="1" x14ac:dyDescent="0.25">
      <c r="B44" s="319"/>
      <c r="C44" s="27" t="s">
        <v>133</v>
      </c>
      <c r="D44" s="105" t="str">
        <f>IF(D26="","0",D43*D36)</f>
        <v>0</v>
      </c>
      <c r="E44" s="105" t="str">
        <f t="shared" ref="E44:J44" si="4">IF(E26="","0",E43*E36)</f>
        <v>0</v>
      </c>
      <c r="F44" s="105" t="str">
        <f t="shared" si="4"/>
        <v>0</v>
      </c>
      <c r="G44" s="105" t="str">
        <f t="shared" si="4"/>
        <v>0</v>
      </c>
      <c r="H44" s="105" t="str">
        <f t="shared" si="4"/>
        <v>0</v>
      </c>
      <c r="I44" s="105" t="str">
        <f t="shared" si="4"/>
        <v>0</v>
      </c>
      <c r="J44" s="105" t="str">
        <f t="shared" si="4"/>
        <v>0</v>
      </c>
      <c r="K44" s="297"/>
      <c r="L44" s="298"/>
    </row>
    <row r="45" spans="2:12" ht="65.25" customHeight="1" x14ac:dyDescent="0.25">
      <c r="B45" s="320"/>
      <c r="C45" s="27" t="s">
        <v>130</v>
      </c>
      <c r="D45" s="104">
        <f>IF(D26="",0,D35*D43)</f>
        <v>0</v>
      </c>
      <c r="E45" s="104">
        <f t="shared" ref="E45:J45" si="5">IF(E26="",0,E35*E43)</f>
        <v>0</v>
      </c>
      <c r="F45" s="104">
        <f t="shared" si="5"/>
        <v>0</v>
      </c>
      <c r="G45" s="104">
        <f t="shared" si="5"/>
        <v>0</v>
      </c>
      <c r="H45" s="104">
        <f t="shared" si="5"/>
        <v>0</v>
      </c>
      <c r="I45" s="104">
        <f t="shared" si="5"/>
        <v>0</v>
      </c>
      <c r="J45" s="104">
        <f t="shared" si="5"/>
        <v>0</v>
      </c>
      <c r="K45" s="297"/>
      <c r="L45" s="298"/>
    </row>
    <row r="46" spans="2:12" ht="65.25" customHeight="1" x14ac:dyDescent="0.25">
      <c r="B46" s="170"/>
      <c r="C46" s="28" t="s">
        <v>197</v>
      </c>
      <c r="D46" s="104">
        <f>+D39+D42+D45</f>
        <v>1257.02</v>
      </c>
      <c r="E46" s="104">
        <f t="shared" ref="E46:G46" si="6">+E39+E42+E45</f>
        <v>14.2125</v>
      </c>
      <c r="F46" s="104">
        <f t="shared" si="6"/>
        <v>0</v>
      </c>
      <c r="G46" s="104">
        <f t="shared" si="6"/>
        <v>0</v>
      </c>
      <c r="H46" s="104">
        <f>+H39+H42+H45</f>
        <v>0</v>
      </c>
      <c r="I46" s="104">
        <f t="shared" ref="I46:J46" si="7">+I39+I42+I45</f>
        <v>0</v>
      </c>
      <c r="J46" s="104">
        <f t="shared" si="7"/>
        <v>0</v>
      </c>
      <c r="K46" s="167"/>
      <c r="L46" s="158"/>
    </row>
    <row r="47" spans="2:12" ht="39.75" customHeight="1" x14ac:dyDescent="0.25">
      <c r="B47" s="140" t="s">
        <v>55</v>
      </c>
      <c r="C47" s="30" t="s">
        <v>56</v>
      </c>
      <c r="D47" s="88" t="s">
        <v>14</v>
      </c>
      <c r="E47" s="88" t="s">
        <v>14</v>
      </c>
      <c r="F47" s="88"/>
      <c r="G47" s="88"/>
      <c r="H47" s="88"/>
      <c r="I47" s="88"/>
      <c r="J47" s="88"/>
      <c r="K47" s="297"/>
      <c r="L47" s="298"/>
    </row>
    <row r="48" spans="2:12" ht="24.75" customHeight="1" x14ac:dyDescent="0.25">
      <c r="B48" s="315" t="s">
        <v>34</v>
      </c>
      <c r="C48" s="29">
        <f>+'DATOS INICIALES'!D22</f>
        <v>81141500</v>
      </c>
      <c r="D48" s="94"/>
      <c r="E48" s="94"/>
      <c r="F48" s="94"/>
      <c r="G48" s="94"/>
      <c r="H48" s="94"/>
      <c r="I48" s="94"/>
      <c r="J48" s="95"/>
      <c r="K48" s="297"/>
      <c r="L48" s="298"/>
    </row>
    <row r="49" spans="2:12" ht="24.75" customHeight="1" x14ac:dyDescent="0.25">
      <c r="B49" s="316"/>
      <c r="C49" s="29">
        <f>+'DATOS INICIALES'!D23</f>
        <v>80101500</v>
      </c>
      <c r="D49" s="94"/>
      <c r="E49" s="94"/>
      <c r="F49" s="94"/>
      <c r="G49" s="94"/>
      <c r="H49" s="94"/>
      <c r="I49" s="94"/>
      <c r="J49" s="95"/>
      <c r="K49" s="297"/>
      <c r="L49" s="298"/>
    </row>
    <row r="50" spans="2:12" ht="24.75" customHeight="1" x14ac:dyDescent="0.25">
      <c r="B50" s="316"/>
      <c r="C50" s="29">
        <f>+'DATOS INICIALES'!D24</f>
        <v>80101600</v>
      </c>
      <c r="D50" s="94" t="s">
        <v>75</v>
      </c>
      <c r="E50" s="94" t="s">
        <v>75</v>
      </c>
      <c r="F50" s="94"/>
      <c r="G50" s="94"/>
      <c r="H50" s="94"/>
      <c r="I50" s="94"/>
      <c r="J50" s="95"/>
      <c r="K50" s="297"/>
      <c r="L50" s="298"/>
    </row>
    <row r="51" spans="2:12" ht="24.75" customHeight="1" x14ac:dyDescent="0.25">
      <c r="B51" s="316"/>
      <c r="C51" s="29">
        <f>+'DATOS INICIALES'!D25</f>
        <v>81101500</v>
      </c>
      <c r="D51" s="94"/>
      <c r="E51" s="94"/>
      <c r="F51" s="94"/>
      <c r="G51" s="94"/>
      <c r="H51" s="94"/>
      <c r="I51" s="94"/>
      <c r="J51" s="95"/>
      <c r="K51" s="297"/>
      <c r="L51" s="298"/>
    </row>
    <row r="52" spans="2:12" ht="24.75" hidden="1" customHeight="1" x14ac:dyDescent="0.25">
      <c r="B52" s="316"/>
      <c r="C52" s="29">
        <f>+'DATOS INICIALES'!D26</f>
        <v>0</v>
      </c>
      <c r="D52" s="94"/>
      <c r="E52" s="94"/>
      <c r="F52" s="94"/>
      <c r="G52" s="94"/>
      <c r="H52" s="94"/>
      <c r="I52" s="94"/>
      <c r="J52" s="95"/>
      <c r="K52" s="297"/>
      <c r="L52" s="298"/>
    </row>
    <row r="53" spans="2:12" ht="24.75" hidden="1" customHeight="1" x14ac:dyDescent="0.25">
      <c r="B53" s="316"/>
      <c r="C53" s="29">
        <f>+'DATOS INICIALES'!D27</f>
        <v>0</v>
      </c>
      <c r="D53" s="94"/>
      <c r="E53" s="94"/>
      <c r="F53" s="94"/>
      <c r="G53" s="94"/>
      <c r="H53" s="94"/>
      <c r="I53" s="94"/>
      <c r="J53" s="95"/>
      <c r="K53" s="297"/>
      <c r="L53" s="298"/>
    </row>
    <row r="54" spans="2:12" ht="24.75" hidden="1" customHeight="1" x14ac:dyDescent="0.25">
      <c r="B54" s="316"/>
      <c r="C54" s="29"/>
      <c r="D54" s="94"/>
      <c r="E54" s="94"/>
      <c r="F54" s="94"/>
      <c r="G54" s="94"/>
      <c r="H54" s="94"/>
      <c r="I54" s="94"/>
      <c r="J54" s="94"/>
      <c r="K54" s="297"/>
      <c r="L54" s="298"/>
    </row>
    <row r="55" spans="2:12" ht="60.75" customHeight="1" x14ac:dyDescent="0.25">
      <c r="B55" s="317"/>
      <c r="C55" s="18" t="s">
        <v>57</v>
      </c>
      <c r="D55" s="18" t="str">
        <f t="shared" ref="D55:J55" si="8">IF(D24="","N/A",IF(D48="SI","CUMPLE",IF(D49="SI","CUMPLE",IF(D50="SI","CUMPLE",IF(D51="SI","CUMPLE",IF(D52="SI","CUMPLE",IF(D53="SI","CUMPLE",IF(D54="SI","CUMPLE","NO CUMPLE"))))))))</f>
        <v>CUMPLE</v>
      </c>
      <c r="E55" s="18" t="str">
        <f t="shared" si="8"/>
        <v>CUMPLE</v>
      </c>
      <c r="F55" s="18" t="str">
        <f t="shared" si="8"/>
        <v>N/A</v>
      </c>
      <c r="G55" s="18" t="str">
        <f t="shared" si="8"/>
        <v>N/A</v>
      </c>
      <c r="H55" s="18" t="str">
        <f t="shared" si="8"/>
        <v>N/A</v>
      </c>
      <c r="I55" s="18" t="str">
        <f t="shared" si="8"/>
        <v>N/A</v>
      </c>
      <c r="J55" s="18" t="str">
        <f t="shared" si="8"/>
        <v>N/A</v>
      </c>
      <c r="K55" s="297"/>
      <c r="L55" s="298"/>
    </row>
    <row r="56" spans="2:12" ht="295.5" customHeight="1" x14ac:dyDescent="0.25">
      <c r="B56" s="295" t="s">
        <v>217</v>
      </c>
      <c r="C56" s="296"/>
      <c r="D56" s="88" t="s">
        <v>14</v>
      </c>
      <c r="E56" s="88" t="s">
        <v>14</v>
      </c>
      <c r="F56" s="88"/>
      <c r="G56" s="88"/>
      <c r="H56" s="88"/>
      <c r="I56" s="88"/>
      <c r="J56" s="88"/>
      <c r="K56" s="282"/>
      <c r="L56" s="283"/>
    </row>
    <row r="57" spans="2:12" ht="57.75" hidden="1" customHeight="1" x14ac:dyDescent="0.25">
      <c r="B57" s="295"/>
      <c r="C57" s="296"/>
      <c r="D57" s="88"/>
      <c r="E57" s="88"/>
      <c r="F57" s="88"/>
      <c r="G57" s="88"/>
      <c r="H57" s="88"/>
      <c r="I57" s="88"/>
      <c r="J57" s="88"/>
      <c r="K57" s="282"/>
      <c r="L57" s="283"/>
    </row>
    <row r="58" spans="2:12" ht="51.75" hidden="1" customHeight="1" x14ac:dyDescent="0.25">
      <c r="B58" s="295"/>
      <c r="C58" s="296"/>
      <c r="D58" s="88"/>
      <c r="E58" s="88"/>
      <c r="F58" s="88"/>
      <c r="G58" s="88"/>
      <c r="H58" s="88"/>
      <c r="I58" s="88"/>
      <c r="J58" s="88"/>
      <c r="K58" s="282"/>
      <c r="L58" s="283"/>
    </row>
    <row r="59" spans="2:12" ht="97.5" hidden="1" customHeight="1" x14ac:dyDescent="0.25">
      <c r="B59" s="295"/>
      <c r="C59" s="296"/>
      <c r="D59" s="88"/>
      <c r="E59" s="88"/>
      <c r="F59" s="88"/>
      <c r="G59" s="88"/>
      <c r="H59" s="88"/>
      <c r="I59" s="88"/>
      <c r="J59" s="88"/>
      <c r="K59" s="282"/>
      <c r="L59" s="283"/>
    </row>
    <row r="60" spans="2:12" ht="77.25" hidden="1" customHeight="1" x14ac:dyDescent="0.25">
      <c r="B60" s="295"/>
      <c r="C60" s="296"/>
      <c r="D60" s="88"/>
      <c r="E60" s="88"/>
      <c r="F60" s="88"/>
      <c r="G60" s="88"/>
      <c r="H60" s="88"/>
      <c r="I60" s="88"/>
      <c r="J60" s="88"/>
      <c r="K60" s="282"/>
      <c r="L60" s="283"/>
    </row>
    <row r="61" spans="2:12" ht="99.75" customHeight="1" x14ac:dyDescent="0.25">
      <c r="B61" s="290" t="s">
        <v>206</v>
      </c>
      <c r="C61" s="291"/>
      <c r="D61" s="88" t="s">
        <v>14</v>
      </c>
      <c r="E61" s="88" t="s">
        <v>14</v>
      </c>
      <c r="F61" s="88"/>
      <c r="G61" s="88"/>
      <c r="H61" s="88"/>
      <c r="I61" s="88"/>
      <c r="J61" s="88"/>
      <c r="K61" s="297"/>
      <c r="L61" s="298"/>
    </row>
    <row r="62" spans="2:12" ht="45" customHeight="1" x14ac:dyDescent="0.25">
      <c r="B62" s="290" t="s">
        <v>207</v>
      </c>
      <c r="C62" s="291"/>
      <c r="D62" s="88" t="s">
        <v>14</v>
      </c>
      <c r="E62" s="88" t="s">
        <v>14</v>
      </c>
      <c r="F62" s="88"/>
      <c r="G62" s="88"/>
      <c r="H62" s="88"/>
      <c r="I62" s="88"/>
      <c r="J62" s="88"/>
      <c r="K62" s="297"/>
      <c r="L62" s="298"/>
    </row>
    <row r="63" spans="2:12" ht="181.5" customHeight="1" x14ac:dyDescent="0.25">
      <c r="B63" s="290" t="s">
        <v>218</v>
      </c>
      <c r="C63" s="291"/>
      <c r="D63" s="88" t="s">
        <v>13</v>
      </c>
      <c r="E63" s="88" t="s">
        <v>13</v>
      </c>
      <c r="F63" s="88"/>
      <c r="G63" s="88"/>
      <c r="H63" s="88"/>
      <c r="I63" s="88"/>
      <c r="J63" s="88"/>
      <c r="K63" s="297"/>
      <c r="L63" s="298"/>
    </row>
    <row r="64" spans="2:12" ht="336" customHeight="1" x14ac:dyDescent="0.25">
      <c r="B64" s="242" t="s">
        <v>220</v>
      </c>
      <c r="C64" s="242"/>
      <c r="D64" s="88" t="s">
        <v>14</v>
      </c>
      <c r="E64" s="88" t="s">
        <v>14</v>
      </c>
      <c r="F64" s="88"/>
      <c r="G64" s="88"/>
      <c r="H64" s="88"/>
      <c r="I64" s="88"/>
      <c r="J64" s="88"/>
      <c r="K64" s="299"/>
      <c r="L64" s="300"/>
    </row>
    <row r="65" spans="2:12" ht="143.25" customHeight="1" x14ac:dyDescent="0.25">
      <c r="B65" s="293" t="s">
        <v>221</v>
      </c>
      <c r="C65" s="294"/>
      <c r="D65" s="88" t="s">
        <v>13</v>
      </c>
      <c r="E65" s="88" t="s">
        <v>13</v>
      </c>
      <c r="F65" s="88"/>
      <c r="G65" s="88"/>
      <c r="H65" s="88"/>
      <c r="I65" s="88"/>
      <c r="J65" s="88"/>
      <c r="K65" s="297"/>
      <c r="L65" s="298"/>
    </row>
    <row r="66" spans="2:12" ht="408.75" customHeight="1" x14ac:dyDescent="0.25">
      <c r="B66" s="292" t="s">
        <v>208</v>
      </c>
      <c r="C66" s="292"/>
      <c r="D66" s="88" t="s">
        <v>13</v>
      </c>
      <c r="E66" s="88" t="s">
        <v>13</v>
      </c>
      <c r="F66" s="88"/>
      <c r="G66" s="88"/>
      <c r="H66" s="88"/>
      <c r="I66" s="88"/>
      <c r="J66" s="88"/>
      <c r="K66" s="297"/>
      <c r="L66" s="298"/>
    </row>
    <row r="67" spans="2:12" ht="312.75" customHeight="1" x14ac:dyDescent="0.25">
      <c r="B67" s="242" t="s">
        <v>209</v>
      </c>
      <c r="C67" s="242"/>
      <c r="D67" s="88" t="s">
        <v>14</v>
      </c>
      <c r="E67" s="88" t="s">
        <v>14</v>
      </c>
      <c r="F67" s="88"/>
      <c r="G67" s="88"/>
      <c r="H67" s="88"/>
      <c r="I67" s="88"/>
      <c r="J67" s="88"/>
      <c r="K67" s="297"/>
      <c r="L67" s="298"/>
    </row>
    <row r="68" spans="2:12" ht="70.5" customHeight="1" x14ac:dyDescent="0.25">
      <c r="B68" s="289" t="s">
        <v>76</v>
      </c>
      <c r="C68" s="289"/>
      <c r="D68" s="18" t="str">
        <f t="shared" ref="D68:J68" si="9">IF(D24="","N/A",IF(AND(D47="CUMPLE",D55="CUMPLE",D56="CUMPLE",D61="CUMPLE",D62="CUMPLE",OR(D63="CUMPLE",D63="N/A"),D64="CUMPLE",OR(D65="CUMPLE",D65="N/A"),D67="CUMPLE",OR(D66="CUMPLE",D66="N/A")),"CUMPLE","NO CUMPLE"))</f>
        <v>CUMPLE</v>
      </c>
      <c r="E68" s="18" t="str">
        <f t="shared" si="9"/>
        <v>CUMPLE</v>
      </c>
      <c r="F68" s="18" t="str">
        <f t="shared" si="9"/>
        <v>N/A</v>
      </c>
      <c r="G68" s="18" t="str">
        <f t="shared" si="9"/>
        <v>N/A</v>
      </c>
      <c r="H68" s="18" t="str">
        <f t="shared" si="9"/>
        <v>N/A</v>
      </c>
      <c r="I68" s="18" t="str">
        <f t="shared" si="9"/>
        <v>N/A</v>
      </c>
      <c r="J68" s="18" t="str">
        <f t="shared" si="9"/>
        <v>N/A</v>
      </c>
      <c r="K68" s="157"/>
      <c r="L68" s="158"/>
    </row>
    <row r="69" spans="2:12" ht="81.75" customHeight="1" x14ac:dyDescent="0.25">
      <c r="B69" s="242" t="s">
        <v>222</v>
      </c>
      <c r="C69" s="242"/>
      <c r="D69" s="88" t="s">
        <v>14</v>
      </c>
      <c r="E69" s="88" t="s">
        <v>14</v>
      </c>
      <c r="F69" s="88"/>
      <c r="G69" s="88"/>
      <c r="H69" s="88"/>
      <c r="I69" s="88"/>
      <c r="J69" s="88"/>
      <c r="K69" s="276"/>
      <c r="L69" s="277"/>
    </row>
    <row r="70" spans="2:12" ht="15.75" thickBot="1" x14ac:dyDescent="0.3"/>
    <row r="71" spans="2:12" ht="15.75" thickBot="1" x14ac:dyDescent="0.3">
      <c r="B71" s="284" t="s">
        <v>183</v>
      </c>
      <c r="C71" s="285"/>
      <c r="D71" s="285"/>
      <c r="E71" s="286"/>
    </row>
    <row r="72" spans="2:12" x14ac:dyDescent="0.25">
      <c r="B72" s="287" t="s">
        <v>184</v>
      </c>
      <c r="C72" s="288"/>
      <c r="D72" s="172" t="s">
        <v>69</v>
      </c>
      <c r="E72" s="173" t="s">
        <v>70</v>
      </c>
    </row>
    <row r="73" spans="2:12" ht="276" customHeight="1" x14ac:dyDescent="0.25">
      <c r="B73" s="278" t="s">
        <v>225</v>
      </c>
      <c r="C73" s="279"/>
      <c r="D73" s="88" t="s">
        <v>14</v>
      </c>
      <c r="E73" s="174"/>
    </row>
    <row r="74" spans="2:12" ht="25.5" customHeight="1" thickBot="1" x14ac:dyDescent="0.3">
      <c r="B74" s="280" t="s">
        <v>185</v>
      </c>
      <c r="C74" s="281"/>
      <c r="D74" s="171" t="str">
        <f>IF(D73="CUMPLE","CUMPLE","NO CUMPLE")</f>
        <v>CUMPLE</v>
      </c>
      <c r="E74" s="175"/>
    </row>
  </sheetData>
  <sheetProtection formatCells="0" formatColumns="0" formatRows="0"/>
  <mergeCells count="85">
    <mergeCell ref="B12:L12"/>
    <mergeCell ref="B2:L2"/>
    <mergeCell ref="B3:L3"/>
    <mergeCell ref="B4:L4"/>
    <mergeCell ref="B5:L5"/>
    <mergeCell ref="B7:I7"/>
    <mergeCell ref="J7:L7"/>
    <mergeCell ref="C8:I8"/>
    <mergeCell ref="C9:I9"/>
    <mergeCell ref="C10:I10"/>
    <mergeCell ref="C11:G11"/>
    <mergeCell ref="I11:L11"/>
    <mergeCell ref="B26:C26"/>
    <mergeCell ref="K26:L26"/>
    <mergeCell ref="B13:H13"/>
    <mergeCell ref="B14:B19"/>
    <mergeCell ref="L16:L19"/>
    <mergeCell ref="B21:L21"/>
    <mergeCell ref="B22:L22"/>
    <mergeCell ref="K23:L23"/>
    <mergeCell ref="B24:C24"/>
    <mergeCell ref="K24:L24"/>
    <mergeCell ref="B25:C25"/>
    <mergeCell ref="K25:L25"/>
    <mergeCell ref="K41:L41"/>
    <mergeCell ref="B27:B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2:L42"/>
    <mergeCell ref="K43:L43"/>
    <mergeCell ref="K44:L44"/>
    <mergeCell ref="K45:L45"/>
    <mergeCell ref="K47:L47"/>
    <mergeCell ref="K52:L52"/>
    <mergeCell ref="K53:L53"/>
    <mergeCell ref="K54:L54"/>
    <mergeCell ref="K55:L55"/>
    <mergeCell ref="B56:C56"/>
    <mergeCell ref="K56:L56"/>
    <mergeCell ref="B48:B55"/>
    <mergeCell ref="K48:L48"/>
    <mergeCell ref="K49:L49"/>
    <mergeCell ref="K50:L50"/>
    <mergeCell ref="K51:L51"/>
    <mergeCell ref="B57:C57"/>
    <mergeCell ref="K57:L57"/>
    <mergeCell ref="B58:C58"/>
    <mergeCell ref="K58:L58"/>
    <mergeCell ref="B59:C59"/>
    <mergeCell ref="K59:L59"/>
    <mergeCell ref="B60:C60"/>
    <mergeCell ref="K60:L60"/>
    <mergeCell ref="B61:C61"/>
    <mergeCell ref="K61:L61"/>
    <mergeCell ref="B62:C62"/>
    <mergeCell ref="K62:L62"/>
    <mergeCell ref="B63:C63"/>
    <mergeCell ref="K63:L63"/>
    <mergeCell ref="B64:C64"/>
    <mergeCell ref="K64:L64"/>
    <mergeCell ref="B65:C65"/>
    <mergeCell ref="K65:L65"/>
    <mergeCell ref="B66:C66"/>
    <mergeCell ref="K66:L66"/>
    <mergeCell ref="B67:C67"/>
    <mergeCell ref="K67:L67"/>
    <mergeCell ref="B68:C68"/>
    <mergeCell ref="B74:C74"/>
    <mergeCell ref="B72:C72"/>
    <mergeCell ref="B73:C73"/>
    <mergeCell ref="B69:C69"/>
    <mergeCell ref="K69:L69"/>
    <mergeCell ref="B71:E71"/>
  </mergeCells>
  <conditionalFormatting sqref="D61:D67">
    <cfRule type="containsBlanks" dxfId="79" priority="5">
      <formula>LEN(TRIM(D61))=0</formula>
    </cfRule>
    <cfRule type="notContainsErrors" dxfId="78" priority="6">
      <formula>NOT(ISERROR(D61))</formula>
    </cfRule>
  </conditionalFormatting>
  <conditionalFormatting sqref="D73">
    <cfRule type="containsBlanks" dxfId="77" priority="54">
      <formula>LEN(TRIM(D73))=0</formula>
    </cfRule>
    <cfRule type="notContainsErrors" dxfId="76" priority="55">
      <formula>NOT(ISERROR(D73))</formula>
    </cfRule>
    <cfRule type="cellIs" dxfId="75" priority="56" operator="equal">
      <formula>"NO CUMPLE"</formula>
    </cfRule>
    <cfRule type="cellIs" dxfId="74" priority="57" operator="equal">
      <formula>"CUMPLE"</formula>
    </cfRule>
  </conditionalFormatting>
  <conditionalFormatting sqref="D74">
    <cfRule type="cellIs" dxfId="73" priority="58" operator="equal">
      <formula>"N/A"</formula>
    </cfRule>
    <cfRule type="cellIs" dxfId="72" priority="59" operator="equal">
      <formula>"CUMPLE"</formula>
    </cfRule>
    <cfRule type="cellIs" dxfId="71" priority="60" operator="equal">
      <formula>"NO CUMPLE"</formula>
    </cfRule>
    <cfRule type="cellIs" dxfId="70" priority="61" operator="equal">
      <formula>"""CUMPLE"""</formula>
    </cfRule>
  </conditionalFormatting>
  <conditionalFormatting sqref="D25:J35">
    <cfRule type="notContainsErrors" dxfId="69" priority="24">
      <formula>NOT(ISERROR(D25))</formula>
    </cfRule>
    <cfRule type="containsBlanks" dxfId="68" priority="23">
      <formula>LEN(TRIM(D25))=0</formula>
    </cfRule>
  </conditionalFormatting>
  <conditionalFormatting sqref="D34:J34 D24:K24">
    <cfRule type="containsBlanks" dxfId="67" priority="25">
      <formula>LEN(TRIM(D24))=0</formula>
    </cfRule>
  </conditionalFormatting>
  <conditionalFormatting sqref="D37:J37">
    <cfRule type="containsBlanks" dxfId="66" priority="21">
      <formula>LEN(TRIM(D37))=0</formula>
    </cfRule>
    <cfRule type="notContainsErrors" dxfId="65" priority="22">
      <formula>NOT(ISERROR(D37))</formula>
    </cfRule>
  </conditionalFormatting>
  <conditionalFormatting sqref="D40:J40">
    <cfRule type="notContainsErrors" dxfId="64" priority="20">
      <formula>NOT(ISERROR(D40))</formula>
    </cfRule>
    <cfRule type="containsBlanks" dxfId="63" priority="19">
      <formula>LEN(TRIM(D40))=0</formula>
    </cfRule>
  </conditionalFormatting>
  <conditionalFormatting sqref="D43:J43">
    <cfRule type="notContainsErrors" dxfId="62" priority="18">
      <formula>NOT(ISERROR(D43))</formula>
    </cfRule>
    <cfRule type="containsBlanks" dxfId="61" priority="17">
      <formula>LEN(TRIM(D43))=0</formula>
    </cfRule>
  </conditionalFormatting>
  <conditionalFormatting sqref="D47:J54">
    <cfRule type="notContainsErrors" dxfId="60" priority="16">
      <formula>NOT(ISERROR(D47))</formula>
    </cfRule>
    <cfRule type="containsBlanks" dxfId="59" priority="15">
      <formula>LEN(TRIM(D47))=0</formula>
    </cfRule>
    <cfRule type="cellIs" dxfId="58" priority="14" operator="equal">
      <formula>"CUMPLE"</formula>
    </cfRule>
    <cfRule type="cellIs" dxfId="57" priority="13" operator="equal">
      <formula>"NO CUMPLE"</formula>
    </cfRule>
  </conditionalFormatting>
  <conditionalFormatting sqref="D55:J55">
    <cfRule type="cellIs" dxfId="56" priority="84" operator="equal">
      <formula>"N/A"</formula>
    </cfRule>
    <cfRule type="cellIs" dxfId="55" priority="85" operator="equal">
      <formula>"CUMPLE"</formula>
    </cfRule>
    <cfRule type="cellIs" dxfId="54" priority="86" operator="equal">
      <formula>"NO CUMPLE"</formula>
    </cfRule>
    <cfRule type="cellIs" dxfId="53" priority="87" operator="equal">
      <formula>"""CUMPLE"""</formula>
    </cfRule>
  </conditionalFormatting>
  <conditionalFormatting sqref="D56:J67">
    <cfRule type="cellIs" dxfId="52" priority="7" operator="equal">
      <formula>"NO CUMPLE"</formula>
    </cfRule>
    <cfRule type="notContainsErrors" dxfId="51" priority="10">
      <formula>NOT(ISERROR(D56))</formula>
    </cfRule>
    <cfRule type="containsBlanks" dxfId="50" priority="9">
      <formula>LEN(TRIM(D56))=0</formula>
    </cfRule>
    <cfRule type="cellIs" dxfId="49" priority="8" operator="equal">
      <formula>"CUMPLE"</formula>
    </cfRule>
  </conditionalFormatting>
  <conditionalFormatting sqref="D68:J68">
    <cfRule type="cellIs" dxfId="48" priority="83" operator="equal">
      <formula>"""CUMPLE"""</formula>
    </cfRule>
    <cfRule type="cellIs" dxfId="47" priority="82" operator="equal">
      <formula>"NO CUMPLE"</formula>
    </cfRule>
    <cfRule type="cellIs" dxfId="46" priority="81" operator="equal">
      <formula>"CUMPLE"</formula>
    </cfRule>
    <cfRule type="cellIs" dxfId="45" priority="80" operator="equal">
      <formula>"N/A"</formula>
    </cfRule>
  </conditionalFormatting>
  <conditionalFormatting sqref="D69:J69">
    <cfRule type="cellIs" dxfId="44" priority="2" operator="equal">
      <formula>"CUMPLE"</formula>
    </cfRule>
    <cfRule type="cellIs" dxfId="43" priority="1" operator="equal">
      <formula>"NO CUMPLE"</formula>
    </cfRule>
  </conditionalFormatting>
  <conditionalFormatting sqref="D24:K24 D34:J34">
    <cfRule type="notContainsErrors" dxfId="42" priority="26">
      <formula>NOT(ISERROR(D24))</formula>
    </cfRule>
  </conditionalFormatting>
  <conditionalFormatting sqref="D69:K69">
    <cfRule type="containsBlanks" dxfId="41" priority="3">
      <formula>LEN(TRIM(D69))=0</formula>
    </cfRule>
    <cfRule type="notContainsErrors" dxfId="40" priority="4">
      <formula>NOT(ISERROR(D69))</formula>
    </cfRule>
  </conditionalFormatting>
  <conditionalFormatting sqref="E73:E74">
    <cfRule type="notContainsErrors" dxfId="39" priority="53">
      <formula>NOT(ISERROR(E73))</formula>
    </cfRule>
    <cfRule type="containsBlanks" dxfId="38" priority="52">
      <formula>LEN(TRIM(E73))=0</formula>
    </cfRule>
  </conditionalFormatting>
  <conditionalFormatting sqref="F20:H20">
    <cfRule type="cellIs" dxfId="37" priority="93" operator="equal">
      <formula>"""CUMPLE"""</formula>
    </cfRule>
    <cfRule type="cellIs" dxfId="36" priority="92" operator="equal">
      <formula>"NO CUMPLE"</formula>
    </cfRule>
    <cfRule type="cellIs" dxfId="35" priority="91" operator="equal">
      <formula>"CUMPLE"</formula>
    </cfRule>
  </conditionalFormatting>
  <conditionalFormatting sqref="F61:J67">
    <cfRule type="containsBlanks" dxfId="34" priority="31">
      <formula>LEN(TRIM(F61))=0</formula>
    </cfRule>
    <cfRule type="notContainsErrors" dxfId="33" priority="32">
      <formula>NOT(ISERROR(F61))</formula>
    </cfRule>
  </conditionalFormatting>
  <conditionalFormatting sqref="I11">
    <cfRule type="containsText" dxfId="32" priority="97" operator="containsText" text="NO CUMPLE">
      <formula>NOT(ISERROR(SEARCH("NO CUMPLE",I11)))</formula>
    </cfRule>
    <cfRule type="containsText" dxfId="31" priority="96" operator="containsText" text="HABILITADO">
      <formula>NOT(ISERROR(SEARCH("HABILITADO",I11)))</formula>
    </cfRule>
    <cfRule type="containsText" dxfId="30" priority="95" operator="containsText" text="HABILITADO">
      <formula>NOT(ISERROR(SEARCH("HABILITADO",I11)))</formula>
    </cfRule>
    <cfRule type="containsText" dxfId="29" priority="94" operator="containsText" text="INHABILITADO">
      <formula>NOT(ISERROR(SEARCH("INHABILITADO",I11)))</formula>
    </cfRule>
  </conditionalFormatting>
  <conditionalFormatting sqref="J20">
    <cfRule type="cellIs" dxfId="28" priority="72" operator="equal">
      <formula>"NO"</formula>
    </cfRule>
    <cfRule type="cellIs" dxfId="27" priority="73" operator="equal">
      <formula>"SI"</formula>
    </cfRule>
  </conditionalFormatting>
  <conditionalFormatting sqref="K16">
    <cfRule type="cellIs" dxfId="26" priority="47" operator="equal">
      <formula>"""CUMPLE"""</formula>
    </cfRule>
    <cfRule type="cellIs" dxfId="25" priority="46" operator="equal">
      <formula>"NO CUMPLE"</formula>
    </cfRule>
    <cfRule type="cellIs" dxfId="24" priority="45" operator="equal">
      <formula>"CUMPLE"</formula>
    </cfRule>
  </conditionalFormatting>
  <conditionalFormatting sqref="K25:K67">
    <cfRule type="containsBlanks" dxfId="23" priority="62">
      <formula>LEN(TRIM(K25))=0</formula>
    </cfRule>
    <cfRule type="notContainsErrors" dxfId="22" priority="63">
      <formula>NOT(ISERROR(K25))</formula>
    </cfRule>
  </conditionalFormatting>
  <conditionalFormatting sqref="K68:L68">
    <cfRule type="notContainsErrors" dxfId="21" priority="79">
      <formula>NOT(ISERROR(K68))</formula>
    </cfRule>
    <cfRule type="containsBlanks" dxfId="20" priority="78">
      <formula>LEN(TRIM(K68))=0</formula>
    </cfRule>
  </conditionalFormatting>
  <conditionalFormatting sqref="L14">
    <cfRule type="cellIs" dxfId="19" priority="88" operator="equal">
      <formula>"CUMPLE"</formula>
    </cfRule>
    <cfRule type="cellIs" dxfId="18" priority="89" operator="equal">
      <formula>"NO CUMPLE"</formula>
    </cfRule>
    <cfRule type="cellIs" dxfId="17" priority="90" operator="equal">
      <formula>"""CUMPLE"""</formula>
    </cfRule>
  </conditionalFormatting>
  <conditionalFormatting sqref="L20">
    <cfRule type="cellIs" dxfId="16" priority="71" operator="equal">
      <formula>"SI"</formula>
    </cfRule>
    <cfRule type="cellIs" dxfId="15" priority="70" operator="equal">
      <formula>"NO"</formula>
    </cfRule>
  </conditionalFormatting>
  <dataValidations count="4">
    <dataValidation type="list" allowBlank="1" showInputMessage="1" showErrorMessage="1" sqref="D24:J26" xr:uid="{18080ABC-1113-4115-A1C1-F261116F2CA5}">
      <formula1>$C$15:$C$19</formula1>
    </dataValidation>
    <dataValidation type="list" allowBlank="1" showInputMessage="1" showErrorMessage="1" sqref="L61:L69" xr:uid="{136A2A7E-8294-4792-94CC-C0BDE3A8F6D6}">
      <formula1>"0,1,2,3,4,5,6"</formula1>
    </dataValidation>
    <dataValidation type="list" allowBlank="1" showInputMessage="1" showErrorMessage="1" sqref="D73" xr:uid="{719090AF-033E-4749-AAE1-903C5A451B13}">
      <formula1>$A$50:$A$52</formula1>
    </dataValidation>
    <dataValidation type="list" allowBlank="1" showInputMessage="1" showErrorMessage="1" sqref="J48:J53" xr:uid="{F0F7F1EF-D362-420D-A8CA-A848CFA63D0A}">
      <formula1>$C$45:$C$46</formula1>
    </dataValidation>
  </dataValidations>
  <printOptions horizontalCentered="1"/>
  <pageMargins left="0.51181102362204722" right="0.51181102362204722" top="0.74803149606299213" bottom="0.74803149606299213" header="0.31496062992125984" footer="0.31496062992125984"/>
  <pageSetup scale="32" orientation="landscape" r:id="rId1"/>
  <rowBreaks count="2" manualBreakCount="2">
    <brk id="34" max="16383" man="1"/>
    <brk id="62" max="11" man="1"/>
  </rowBreak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740FE3D9-0E33-4EE8-BB52-36170AD34A41}">
          <x14:formula1>
            <xm:f>'DATOS INICIALES'!$A$13:$A$43</xm:f>
          </x14:formula1>
          <xm:sqref>F31:I31</xm:sqref>
        </x14:dataValidation>
        <x14:dataValidation type="list" allowBlank="1" showInputMessage="1" showErrorMessage="1" xr:uid="{710119F2-DCC3-4343-857B-0CF29A2CBB43}">
          <x14:formula1>
            <xm:f>'DATOS INICIALES'!$D$22:$D$26</xm:f>
          </x14:formula1>
          <xm:sqref>M48:M55</xm:sqref>
        </x14:dataValidation>
        <x14:dataValidation type="list" allowBlank="1" showInputMessage="1" showErrorMessage="1" xr:uid="{DCC1691B-C4A8-4DEF-B21F-2BCAE18BC677}">
          <x14:formula1>
            <xm:f>'DATOS INICIALES'!$A$54:$A$59</xm:f>
          </x14:formula1>
          <xm:sqref>D23:I23</xm:sqref>
        </x14:dataValidation>
        <x14:dataValidation type="list" allowBlank="1" showInputMessage="1" showErrorMessage="1" xr:uid="{B9277489-CCA0-4BD0-8FBA-81B57C10BC07}">
          <x14:formula1>
            <xm:f>'DATOS INICIALES'!$A$50:$A$52</xm:f>
          </x14:formula1>
          <xm:sqref>F56:J67</xm:sqref>
        </x14:dataValidation>
        <x14:dataValidation type="list" allowBlank="1" showInputMessage="1" showErrorMessage="1" xr:uid="{09615A62-08EC-48B1-9B3A-E487B7D8B22E}">
          <x14:formula1>
            <xm:f>'DATOS INICIALES'!$C$45:$C$46</xm:f>
          </x14:formula1>
          <xm:sqref>F48:I54 D52:E54</xm:sqref>
        </x14:dataValidation>
        <x14:dataValidation type="list" allowBlank="1" showInputMessage="1" showErrorMessage="1" xr:uid="{A05474CB-8F50-45E7-A436-B5B387853206}">
          <x14:formula1>
            <xm:f>'DATOS INICIALES'!$A$50:$A$51</xm:f>
          </x14:formula1>
          <xm:sqref>F47:J47 F69:J69</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J48"/>
  <sheetViews>
    <sheetView view="pageBreakPreview" zoomScale="70" zoomScaleNormal="80" zoomScaleSheetLayoutView="70" workbookViewId="0">
      <pane ySplit="9" topLeftCell="A20" activePane="bottomLeft" state="frozenSplit"/>
      <selection pane="bottomLeft" activeCell="G27" sqref="G27"/>
    </sheetView>
    <sheetView topLeftCell="B15" zoomScale="85" zoomScaleNormal="85" workbookViewId="1">
      <selection activeCell="K9" sqref="K9"/>
    </sheetView>
  </sheetViews>
  <sheetFormatPr baseColWidth="10" defaultColWidth="11.42578125" defaultRowHeight="15" x14ac:dyDescent="0.25"/>
  <cols>
    <col min="1" max="1" width="6.28515625" style="14" customWidth="1"/>
    <col min="2" max="2" width="46.7109375" customWidth="1"/>
    <col min="3" max="3" width="20.140625" style="15" customWidth="1"/>
    <col min="4" max="4" width="18.5703125" customWidth="1"/>
    <col min="5" max="5" width="22.5703125" customWidth="1"/>
    <col min="6" max="6" width="21.5703125" customWidth="1"/>
    <col min="7" max="8" width="22" customWidth="1"/>
    <col min="9" max="9" width="28.140625" customWidth="1"/>
    <col min="10" max="10" width="32.7109375" customWidth="1"/>
    <col min="11" max="11" width="11.42578125" customWidth="1"/>
  </cols>
  <sheetData>
    <row r="1" spans="1:10" x14ac:dyDescent="0.25">
      <c r="A1" s="393"/>
      <c r="B1" s="393"/>
      <c r="C1" s="393"/>
      <c r="D1" s="393"/>
      <c r="E1" s="393"/>
      <c r="F1" s="393"/>
      <c r="G1" s="393"/>
      <c r="H1" s="393"/>
      <c r="I1" s="393"/>
      <c r="J1" s="393"/>
    </row>
    <row r="2" spans="1:10" ht="24.75" customHeight="1" x14ac:dyDescent="0.25">
      <c r="A2" s="395" t="s">
        <v>0</v>
      </c>
      <c r="B2" s="395"/>
      <c r="C2" s="395"/>
      <c r="D2" s="395"/>
      <c r="E2" s="395"/>
      <c r="F2" s="395"/>
      <c r="G2" s="395"/>
      <c r="H2" s="395"/>
      <c r="I2" s="395"/>
      <c r="J2" s="395"/>
    </row>
    <row r="3" spans="1:10" ht="8.4499999999999993" customHeight="1" x14ac:dyDescent="0.25">
      <c r="A3" s="393"/>
      <c r="B3" s="393"/>
      <c r="C3" s="393"/>
      <c r="D3" s="393"/>
      <c r="E3" s="393"/>
      <c r="F3" s="393"/>
      <c r="G3" s="393"/>
      <c r="H3" s="393"/>
      <c r="I3" s="393"/>
      <c r="J3" s="393"/>
    </row>
    <row r="4" spans="1:10" ht="73.5" customHeight="1" x14ac:dyDescent="0.25">
      <c r="A4" s="393"/>
      <c r="B4" s="393"/>
      <c r="C4" s="395" t="s">
        <v>25</v>
      </c>
      <c r="D4" s="395"/>
      <c r="E4" s="369"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F4" s="369"/>
      <c r="G4" s="369"/>
      <c r="H4" s="369"/>
      <c r="I4" s="369"/>
      <c r="J4" s="369"/>
    </row>
    <row r="5" spans="1:10" ht="55.5" customHeight="1" x14ac:dyDescent="0.25">
      <c r="A5" s="393"/>
      <c r="B5" s="393"/>
      <c r="C5" s="395" t="s">
        <v>26</v>
      </c>
      <c r="D5" s="395"/>
      <c r="E5" s="396" t="str">
        <f>'DATOS INICIALES'!G4</f>
        <v xml:space="preserve"> FDLK-CMA-003-2024</v>
      </c>
      <c r="F5" s="396"/>
      <c r="G5" s="396"/>
      <c r="H5" s="396"/>
      <c r="I5" s="397">
        <f>'DATOS INICIALES'!C5</f>
        <v>526819451</v>
      </c>
      <c r="J5" s="397"/>
    </row>
    <row r="6" spans="1:10" ht="7.5" customHeight="1" x14ac:dyDescent="0.25">
      <c r="A6" s="34"/>
      <c r="B6" s="398"/>
      <c r="C6" s="398"/>
      <c r="D6" s="398"/>
      <c r="E6" s="398"/>
      <c r="F6" s="398"/>
      <c r="G6" s="398"/>
      <c r="H6" s="398"/>
      <c r="I6" s="398"/>
      <c r="J6" s="398"/>
    </row>
    <row r="7" spans="1:10" ht="21.75" customHeight="1" x14ac:dyDescent="0.25">
      <c r="A7" s="395" t="str">
        <f>CONCATENATE("RESUMEN DE EVALUACIÓN REQUISITOS HABILITANTES - ",'DATOS INICIALES'!G4)</f>
        <v>RESUMEN DE EVALUACIÓN REQUISITOS HABILITANTES -  FDLK-CMA-003-2024</v>
      </c>
      <c r="B7" s="395"/>
      <c r="C7" s="395"/>
      <c r="D7" s="395"/>
      <c r="E7" s="395"/>
      <c r="F7" s="395"/>
      <c r="G7" s="395"/>
      <c r="H7" s="395"/>
      <c r="I7" s="395"/>
      <c r="J7" s="395"/>
    </row>
    <row r="8" spans="1:10" ht="8.25" customHeight="1" x14ac:dyDescent="0.25">
      <c r="A8" s="393"/>
      <c r="B8" s="393"/>
      <c r="C8" s="393"/>
      <c r="D8" s="393"/>
      <c r="E8" s="393"/>
      <c r="F8" s="393"/>
      <c r="G8" s="393"/>
      <c r="H8" s="393"/>
      <c r="I8" s="393"/>
      <c r="J8" s="393"/>
    </row>
    <row r="9" spans="1:10" s="3" customFormat="1" ht="30" x14ac:dyDescent="0.25">
      <c r="A9" s="68" t="s">
        <v>77</v>
      </c>
      <c r="B9" s="68" t="s">
        <v>27</v>
      </c>
      <c r="C9" s="68" t="s">
        <v>49</v>
      </c>
      <c r="D9" s="68" t="s">
        <v>28</v>
      </c>
      <c r="E9" s="68" t="s">
        <v>41</v>
      </c>
      <c r="F9" s="68" t="s">
        <v>42</v>
      </c>
      <c r="G9" s="68" t="s">
        <v>43</v>
      </c>
      <c r="H9" s="68" t="s">
        <v>189</v>
      </c>
      <c r="I9" s="68" t="s">
        <v>29</v>
      </c>
      <c r="J9" s="68" t="s">
        <v>70</v>
      </c>
    </row>
    <row r="10" spans="1:10" ht="6.75" customHeight="1" x14ac:dyDescent="0.25">
      <c r="A10" s="394"/>
      <c r="B10" s="394"/>
      <c r="C10" s="394"/>
      <c r="D10" s="394"/>
      <c r="E10" s="394"/>
      <c r="F10" s="394"/>
      <c r="G10" s="394"/>
      <c r="H10" s="394"/>
      <c r="I10" s="394"/>
      <c r="J10" s="394"/>
    </row>
    <row r="11" spans="1:10" ht="23.25" customHeight="1" x14ac:dyDescent="0.25">
      <c r="A11" s="34">
        <v>1</v>
      </c>
      <c r="B11" s="17" t="str">
        <f>+PROPONENTES!B10</f>
        <v>SOLIUN INGENIERIA SAS</v>
      </c>
      <c r="C11" s="34">
        <f>+PROPONENTES!M10</f>
        <v>1</v>
      </c>
      <c r="D11" s="147">
        <f>+PROPONENTES!N10</f>
        <v>1</v>
      </c>
      <c r="E11" s="18" t="str">
        <f>+'1'!$I$11</f>
        <v>CUMPLE</v>
      </c>
      <c r="F11" s="18" t="s">
        <v>14</v>
      </c>
      <c r="G11" s="18" t="s">
        <v>14</v>
      </c>
      <c r="H11" s="66" t="s">
        <v>14</v>
      </c>
      <c r="I11" s="66" t="str">
        <f t="shared" ref="I11" si="0">IF(AND(E11="",F11="",G11=""),"",IF(AND(E11="CUMPLE",F11="CUMPLE",G11="CUMPLE",H11="CUMPLE"),"HABILITADO","INHABILITADO"))</f>
        <v>HABILITADO</v>
      </c>
      <c r="J11" s="176"/>
    </row>
    <row r="12" spans="1:10" ht="23.25" customHeight="1" x14ac:dyDescent="0.25">
      <c r="A12" s="34">
        <v>2</v>
      </c>
      <c r="B12" s="17" t="str">
        <f>+PROPONENTES!B11</f>
        <v>VELNEC S.A.</v>
      </c>
      <c r="C12" s="34">
        <f>+PROPONENTES!M11</f>
        <v>1</v>
      </c>
      <c r="D12" s="147">
        <f>+PROPONENTES!N11</f>
        <v>1</v>
      </c>
      <c r="E12" s="18" t="str">
        <f>+'2'!$I$11</f>
        <v>CUMPLE</v>
      </c>
      <c r="F12" s="18" t="s">
        <v>14</v>
      </c>
      <c r="G12" s="18" t="s">
        <v>14</v>
      </c>
      <c r="H12" s="66" t="s">
        <v>14</v>
      </c>
      <c r="I12" s="66" t="str">
        <f>IF(AND(E12="",F12="",G12=""),"",IF(AND(E12="CUMPLE",F12="CUMPLE",G12="CUMPLE",H12="CUMPLE"),"HABILITADO","INHABILITADO"))</f>
        <v>HABILITADO</v>
      </c>
      <c r="J12" s="176"/>
    </row>
    <row r="13" spans="1:10" ht="23.25" customHeight="1" x14ac:dyDescent="0.25">
      <c r="A13" s="34">
        <v>3</v>
      </c>
      <c r="B13" s="17" t="str">
        <f>+PROPONENTES!B12</f>
        <v>ARQUITECTURA URBANA LTDA</v>
      </c>
      <c r="C13" s="34">
        <f>+PROPONENTES!M12</f>
        <v>1</v>
      </c>
      <c r="D13" s="147">
        <f>+PROPONENTES!N12</f>
        <v>1</v>
      </c>
      <c r="E13" s="18" t="str">
        <f>+'3'!$I$11</f>
        <v>CUMPLE</v>
      </c>
      <c r="F13" s="18" t="s">
        <v>14</v>
      </c>
      <c r="G13" s="18" t="s">
        <v>14</v>
      </c>
      <c r="H13" s="66" t="s">
        <v>14</v>
      </c>
      <c r="I13" s="66" t="str">
        <f t="shared" ref="I13:I47" si="1">IF(AND(E13="",F13="",G13=""),"",IF(AND(E13="CUMPLE",F13="CUMPLE",G13="CUMPLE",H13="CUMPLE"),"HABILITADO","INHABILITADO"))</f>
        <v>HABILITADO</v>
      </c>
      <c r="J13" s="176"/>
    </row>
    <row r="14" spans="1:10" ht="23.25" customHeight="1" x14ac:dyDescent="0.25">
      <c r="A14" s="34">
        <v>4</v>
      </c>
      <c r="B14" s="17" t="str">
        <f>+PROPONENTES!B13</f>
        <v>ABDO JOSÉ SALGADO AYOLA</v>
      </c>
      <c r="C14" s="34">
        <f>+PROPONENTES!M13</f>
        <v>1</v>
      </c>
      <c r="D14" s="147">
        <f>+PROPONENTES!N13</f>
        <v>1</v>
      </c>
      <c r="E14" s="18" t="str">
        <f>+'4'!$I$11</f>
        <v>NO CUMPLE</v>
      </c>
      <c r="F14" s="18" t="s">
        <v>14</v>
      </c>
      <c r="G14" s="18" t="s">
        <v>14</v>
      </c>
      <c r="H14" s="66" t="s">
        <v>15</v>
      </c>
      <c r="I14" s="199" t="s">
        <v>309</v>
      </c>
      <c r="J14" s="199" t="s">
        <v>309</v>
      </c>
    </row>
    <row r="15" spans="1:10" ht="23.25" customHeight="1" x14ac:dyDescent="0.25">
      <c r="A15" s="34">
        <v>5</v>
      </c>
      <c r="B15" s="17" t="str">
        <f>+PROPONENTES!B14</f>
        <v>PRODEINCOL S.A.S.</v>
      </c>
      <c r="C15" s="34">
        <f>+PROPONENTES!M14</f>
        <v>1</v>
      </c>
      <c r="D15" s="147">
        <f>+PROPONENTES!N14</f>
        <v>1</v>
      </c>
      <c r="E15" s="18" t="str">
        <f>+'5'!$I$11</f>
        <v>CUMPLE</v>
      </c>
      <c r="F15" s="18" t="s">
        <v>14</v>
      </c>
      <c r="G15" s="18" t="s">
        <v>14</v>
      </c>
      <c r="H15" s="66" t="s">
        <v>14</v>
      </c>
      <c r="I15" s="66" t="str">
        <f t="shared" si="1"/>
        <v>HABILITADO</v>
      </c>
      <c r="J15" s="176"/>
    </row>
    <row r="16" spans="1:10" ht="23.25" customHeight="1" x14ac:dyDescent="0.25">
      <c r="A16" s="34">
        <v>6</v>
      </c>
      <c r="B16" s="17" t="str">
        <f>+PROPONENTES!B15</f>
        <v>CONSORCIO INTERVEP KM</v>
      </c>
      <c r="C16" s="34">
        <f>+PROPONENTES!M15</f>
        <v>2</v>
      </c>
      <c r="D16" s="147">
        <f>+PROPONENTES!N15</f>
        <v>1</v>
      </c>
      <c r="E16" s="18" t="str">
        <f>+'6'!$I$11</f>
        <v>CUMPLE</v>
      </c>
      <c r="F16" s="18" t="s">
        <v>14</v>
      </c>
      <c r="G16" s="18" t="s">
        <v>14</v>
      </c>
      <c r="H16" s="66" t="s">
        <v>14</v>
      </c>
      <c r="I16" s="66" t="str">
        <f t="shared" si="1"/>
        <v>HABILITADO</v>
      </c>
      <c r="J16" s="176"/>
    </row>
    <row r="17" spans="1:10" ht="23.25" customHeight="1" x14ac:dyDescent="0.25">
      <c r="A17" s="34">
        <v>7</v>
      </c>
      <c r="B17" s="17" t="str">
        <f>+PROPONENTES!B16</f>
        <v>CONSULTORES DEL OCCIDENTE SAS</v>
      </c>
      <c r="C17" s="34">
        <f>+PROPONENTES!M16</f>
        <v>1</v>
      </c>
      <c r="D17" s="147">
        <f>+PROPONENTES!N16</f>
        <v>1</v>
      </c>
      <c r="E17" s="18" t="str">
        <f>'7'!$I$11</f>
        <v>CUMPLE</v>
      </c>
      <c r="F17" s="18" t="s">
        <v>14</v>
      </c>
      <c r="G17" s="18" t="s">
        <v>14</v>
      </c>
      <c r="H17" s="66" t="s">
        <v>14</v>
      </c>
      <c r="I17" s="66" t="str">
        <f t="shared" si="1"/>
        <v>HABILITADO</v>
      </c>
      <c r="J17" s="176"/>
    </row>
    <row r="18" spans="1:10" ht="23.25" customHeight="1" x14ac:dyDescent="0.25">
      <c r="A18" s="34">
        <v>8</v>
      </c>
      <c r="B18" s="17" t="str">
        <f>+PROPONENTES!B17</f>
        <v>CONSULTORES DONOVAN SAS</v>
      </c>
      <c r="C18" s="34">
        <f>+PROPONENTES!M17</f>
        <v>1</v>
      </c>
      <c r="D18" s="147">
        <f>+PROPONENTES!N17</f>
        <v>1</v>
      </c>
      <c r="E18" s="18" t="str">
        <f>'8'!$I$11</f>
        <v>CUMPLE</v>
      </c>
      <c r="F18" s="18" t="s">
        <v>14</v>
      </c>
      <c r="G18" s="18" t="s">
        <v>15</v>
      </c>
      <c r="H18" s="66" t="s">
        <v>14</v>
      </c>
      <c r="I18" s="66" t="str">
        <f t="shared" si="1"/>
        <v>INHABILITADO</v>
      </c>
      <c r="J18" s="176"/>
    </row>
    <row r="19" spans="1:10" ht="23.25" customHeight="1" x14ac:dyDescent="0.25">
      <c r="A19" s="34">
        <v>9</v>
      </c>
      <c r="B19" s="17" t="str">
        <f>+PROPONENTES!B18</f>
        <v>JESAK SAS</v>
      </c>
      <c r="C19" s="34">
        <f>+PROPONENTES!M18</f>
        <v>1</v>
      </c>
      <c r="D19" s="147">
        <f>+PROPONENTES!N18</f>
        <v>1</v>
      </c>
      <c r="E19" s="18" t="str">
        <f>'9'!$I$11</f>
        <v>CUMPLE</v>
      </c>
      <c r="F19" s="18" t="s">
        <v>14</v>
      </c>
      <c r="G19" s="18" t="s">
        <v>14</v>
      </c>
      <c r="H19" s="66" t="s">
        <v>14</v>
      </c>
      <c r="I19" s="66" t="str">
        <f t="shared" si="1"/>
        <v>HABILITADO</v>
      </c>
      <c r="J19" s="176"/>
    </row>
    <row r="20" spans="1:10" ht="23.25" customHeight="1" x14ac:dyDescent="0.25">
      <c r="A20" s="34">
        <v>10</v>
      </c>
      <c r="B20" s="17" t="str">
        <f>+PROPONENTES!B19</f>
        <v xml:space="preserve">R&amp;M CONSTRUCCIONES E INTERVENTORIAS SAS </v>
      </c>
      <c r="C20" s="34">
        <f>+PROPONENTES!M19</f>
        <v>1</v>
      </c>
      <c r="D20" s="147">
        <f>+PROPONENTES!N19</f>
        <v>1</v>
      </c>
      <c r="E20" s="18" t="str">
        <f>'10'!$I$11</f>
        <v>CUMPLE</v>
      </c>
      <c r="F20" s="18" t="s">
        <v>14</v>
      </c>
      <c r="G20" s="18" t="s">
        <v>14</v>
      </c>
      <c r="H20" s="66" t="s">
        <v>14</v>
      </c>
      <c r="I20" s="66" t="str">
        <f t="shared" si="1"/>
        <v>HABILITADO</v>
      </c>
      <c r="J20" s="176"/>
    </row>
    <row r="21" spans="1:10" ht="23.25" customHeight="1" x14ac:dyDescent="0.25">
      <c r="A21" s="34">
        <v>11</v>
      </c>
      <c r="B21" s="17" t="str">
        <f>+PROPONENTES!B20</f>
        <v>CONSORCIO INTERVENTORÍA DSG</v>
      </c>
      <c r="C21" s="34">
        <f>+PROPONENTES!M20</f>
        <v>3</v>
      </c>
      <c r="D21" s="147">
        <f>+PROPONENTES!N20</f>
        <v>0.99999999999999989</v>
      </c>
      <c r="E21" s="18" t="str">
        <f>'11'!$I$11</f>
        <v>CUMPLE</v>
      </c>
      <c r="F21" s="18" t="s">
        <v>15</v>
      </c>
      <c r="G21" s="18" t="s">
        <v>14</v>
      </c>
      <c r="H21" s="66" t="s">
        <v>14</v>
      </c>
      <c r="I21" s="66" t="str">
        <f t="shared" si="1"/>
        <v>INHABILITADO</v>
      </c>
      <c r="J21" s="176"/>
    </row>
    <row r="22" spans="1:10" ht="23.25" customHeight="1" x14ac:dyDescent="0.25">
      <c r="A22" s="34">
        <v>12</v>
      </c>
      <c r="B22" s="17" t="str">
        <f>+PROPONENTES!B21</f>
        <v>INGENIEROS CONSTRUCTORES Y ASESORES SAS</v>
      </c>
      <c r="C22" s="34">
        <f>+PROPONENTES!M21</f>
        <v>1</v>
      </c>
      <c r="D22" s="147">
        <f>+PROPONENTES!N21</f>
        <v>1</v>
      </c>
      <c r="E22" s="18" t="str">
        <f>'12'!$I$11</f>
        <v>CUMPLE</v>
      </c>
      <c r="F22" s="18" t="s">
        <v>14</v>
      </c>
      <c r="G22" s="18" t="s">
        <v>14</v>
      </c>
      <c r="H22" s="66" t="s">
        <v>14</v>
      </c>
      <c r="I22" s="66" t="str">
        <f t="shared" si="1"/>
        <v>HABILITADO</v>
      </c>
      <c r="J22" s="176"/>
    </row>
    <row r="23" spans="1:10" ht="23.25" customHeight="1" x14ac:dyDescent="0.25">
      <c r="A23" s="34">
        <v>13</v>
      </c>
      <c r="B23" s="17" t="str">
        <f>+PROPONENTES!B22</f>
        <v>CONSORCIO INTERVENTOR ANFAO</v>
      </c>
      <c r="C23" s="34">
        <f>+PROPONENTES!M22</f>
        <v>2</v>
      </c>
      <c r="D23" s="147">
        <f>+PROPONENTES!N22</f>
        <v>1</v>
      </c>
      <c r="E23" s="18" t="str">
        <f>'13'!$I$11</f>
        <v>NO CUMPLE</v>
      </c>
      <c r="F23" s="18" t="s">
        <v>14</v>
      </c>
      <c r="G23" s="18" t="s">
        <v>14</v>
      </c>
      <c r="H23" s="66" t="s">
        <v>15</v>
      </c>
      <c r="I23" s="199" t="s">
        <v>309</v>
      </c>
      <c r="J23" s="199" t="s">
        <v>309</v>
      </c>
    </row>
    <row r="24" spans="1:10" ht="23.25" customHeight="1" x14ac:dyDescent="0.25">
      <c r="A24" s="34">
        <v>14</v>
      </c>
      <c r="B24" s="17" t="str">
        <f>+PROPONENTES!B23</f>
        <v>GRUPO METRO COLOMBIA SAS</v>
      </c>
      <c r="C24" s="34">
        <f>+PROPONENTES!M23</f>
        <v>1</v>
      </c>
      <c r="D24" s="147">
        <f>+PROPONENTES!N23</f>
        <v>1</v>
      </c>
      <c r="E24" s="18" t="str">
        <f>'14'!$I$11</f>
        <v>CUMPLE</v>
      </c>
      <c r="F24" s="18" t="s">
        <v>14</v>
      </c>
      <c r="G24" s="18" t="s">
        <v>14</v>
      </c>
      <c r="H24" s="66" t="s">
        <v>14</v>
      </c>
      <c r="I24" s="66" t="str">
        <f t="shared" si="1"/>
        <v>HABILITADO</v>
      </c>
      <c r="J24" s="176"/>
    </row>
    <row r="25" spans="1:10" ht="23.25" customHeight="1" x14ac:dyDescent="0.25">
      <c r="A25" s="34">
        <v>15</v>
      </c>
      <c r="B25" s="17" t="str">
        <f>+PROPONENTES!B24</f>
        <v>CONSORCIO INTERPROYECTOS CAREN</v>
      </c>
      <c r="C25" s="34">
        <f>+PROPONENTES!M24</f>
        <v>2</v>
      </c>
      <c r="D25" s="147">
        <f>+PROPONENTES!N24</f>
        <v>1</v>
      </c>
      <c r="E25" s="18" t="str">
        <f>'15'!$I$11</f>
        <v>NO CUMPLE</v>
      </c>
      <c r="F25" s="18" t="s">
        <v>14</v>
      </c>
      <c r="G25" s="18" t="s">
        <v>14</v>
      </c>
      <c r="H25" s="66" t="s">
        <v>15</v>
      </c>
      <c r="I25" s="199" t="s">
        <v>309</v>
      </c>
      <c r="J25" s="199" t="s">
        <v>309</v>
      </c>
    </row>
    <row r="26" spans="1:10" ht="23.25" customHeight="1" x14ac:dyDescent="0.25">
      <c r="A26" s="34">
        <v>16</v>
      </c>
      <c r="B26" s="17" t="str">
        <f>+PROPONENTES!B25</f>
        <v>CONSORCIO INTER PARQUES IYC 2024</v>
      </c>
      <c r="C26" s="34">
        <f>+PROPONENTES!M25</f>
        <v>2</v>
      </c>
      <c r="D26" s="147">
        <f>+PROPONENTES!N25</f>
        <v>1</v>
      </c>
      <c r="E26" s="18" t="str">
        <f>'16'!$I$11</f>
        <v>NO CUMPLE</v>
      </c>
      <c r="F26" s="18" t="s">
        <v>14</v>
      </c>
      <c r="G26" s="18" t="s">
        <v>14</v>
      </c>
      <c r="H26" s="66" t="s">
        <v>15</v>
      </c>
      <c r="I26" s="199" t="s">
        <v>309</v>
      </c>
      <c r="J26" s="199" t="s">
        <v>309</v>
      </c>
    </row>
    <row r="27" spans="1:10" ht="23.25" customHeight="1" x14ac:dyDescent="0.25">
      <c r="A27" s="34">
        <v>17</v>
      </c>
      <c r="B27" s="17" t="str">
        <f>+PROPONENTES!B26</f>
        <v>CONSORCIO-INTER-P-KENEDY</v>
      </c>
      <c r="C27" s="34">
        <f>+PROPONENTES!M26</f>
        <v>2</v>
      </c>
      <c r="D27" s="147">
        <f>+PROPONENTES!N26</f>
        <v>1</v>
      </c>
      <c r="E27" s="18" t="str">
        <f>'17'!$I$11</f>
        <v>CUMPLE</v>
      </c>
      <c r="F27" s="18" t="s">
        <v>15</v>
      </c>
      <c r="G27" s="18" t="s">
        <v>15</v>
      </c>
      <c r="H27" s="66" t="s">
        <v>14</v>
      </c>
      <c r="I27" s="66" t="str">
        <f t="shared" si="1"/>
        <v>INHABILITADO</v>
      </c>
      <c r="J27" s="176"/>
    </row>
    <row r="28" spans="1:10" ht="23.25" customHeight="1" x14ac:dyDescent="0.25">
      <c r="A28" s="34">
        <v>18</v>
      </c>
      <c r="B28" s="17" t="str">
        <f>+PROPONENTES!B27</f>
        <v>CONSORCIO INTERPARQUES BOGOTÁ</v>
      </c>
      <c r="C28" s="34">
        <f>+PROPONENTES!M27</f>
        <v>2</v>
      </c>
      <c r="D28" s="147">
        <f>+PROPONENTES!N27</f>
        <v>1</v>
      </c>
      <c r="E28" s="18" t="str">
        <f>'18'!$I$11</f>
        <v>NO CUMPLE</v>
      </c>
      <c r="F28" s="18" t="s">
        <v>14</v>
      </c>
      <c r="G28" s="18" t="s">
        <v>14</v>
      </c>
      <c r="H28" s="66" t="s">
        <v>15</v>
      </c>
      <c r="I28" s="199" t="s">
        <v>309</v>
      </c>
      <c r="J28" s="199" t="s">
        <v>309</v>
      </c>
    </row>
    <row r="29" spans="1:10" ht="23.25" customHeight="1" x14ac:dyDescent="0.25">
      <c r="A29" s="34">
        <v>19</v>
      </c>
      <c r="B29" s="17" t="str">
        <f>+PROPONENTES!B28</f>
        <v xml:space="preserve">CONSORCIO PARQUES VECINALES 2025 </v>
      </c>
      <c r="C29" s="34">
        <f>+PROPONENTES!M28</f>
        <v>2</v>
      </c>
      <c r="D29" s="147">
        <f>+PROPONENTES!N28</f>
        <v>1</v>
      </c>
      <c r="E29" s="18" t="str">
        <f>'19'!$I$11</f>
        <v>NO CUMPLE</v>
      </c>
      <c r="F29" s="18" t="s">
        <v>14</v>
      </c>
      <c r="G29" s="18" t="s">
        <v>14</v>
      </c>
      <c r="H29" s="66" t="s">
        <v>14</v>
      </c>
      <c r="I29" s="66" t="str">
        <f t="shared" si="1"/>
        <v>INHABILITADO</v>
      </c>
      <c r="J29" s="176"/>
    </row>
    <row r="30" spans="1:10" ht="23.25" customHeight="1" x14ac:dyDescent="0.25">
      <c r="A30" s="34">
        <v>20</v>
      </c>
      <c r="B30" s="17" t="str">
        <f>+PROPONENTES!B29</f>
        <v>DF CONSULTORIA SAS</v>
      </c>
      <c r="C30" s="34">
        <f>+PROPONENTES!M29</f>
        <v>1</v>
      </c>
      <c r="D30" s="147">
        <f>+PROPONENTES!N29</f>
        <v>1</v>
      </c>
      <c r="E30" s="18" t="str">
        <f>'20'!$I$11</f>
        <v>CUMPLE</v>
      </c>
      <c r="F30" s="18" t="s">
        <v>15</v>
      </c>
      <c r="G30" s="18" t="s">
        <v>14</v>
      </c>
      <c r="H30" s="66" t="s">
        <v>14</v>
      </c>
      <c r="I30" s="66" t="str">
        <f t="shared" si="1"/>
        <v>INHABILITADO</v>
      </c>
      <c r="J30" s="176"/>
    </row>
    <row r="31" spans="1:10" ht="23.25" customHeight="1" x14ac:dyDescent="0.25">
      <c r="A31" s="34">
        <v>21</v>
      </c>
      <c r="B31" s="17" t="str">
        <f>+PROPONENTES!B30</f>
        <v>CONSORCIO COMODORO</v>
      </c>
      <c r="C31" s="34">
        <f>+PROPONENTES!M30</f>
        <v>3</v>
      </c>
      <c r="D31" s="147">
        <f>+PROPONENTES!N30</f>
        <v>1</v>
      </c>
      <c r="E31" s="18" t="str">
        <f>'21'!$I$11</f>
        <v>CUMPLE</v>
      </c>
      <c r="F31" s="18" t="s">
        <v>14</v>
      </c>
      <c r="G31" s="18" t="s">
        <v>14</v>
      </c>
      <c r="H31" s="66" t="s">
        <v>14</v>
      </c>
      <c r="I31" s="66" t="str">
        <f t="shared" si="1"/>
        <v>HABILITADO</v>
      </c>
      <c r="J31" s="176"/>
    </row>
    <row r="32" spans="1:10" ht="23.25" customHeight="1" x14ac:dyDescent="0.25">
      <c r="A32" s="34">
        <v>22</v>
      </c>
      <c r="B32" s="17" t="str">
        <f>+PROPONENTES!B31</f>
        <v>CONSORCIO PRO_CARING</v>
      </c>
      <c r="C32" s="34">
        <f>+PROPONENTES!M31</f>
        <v>2</v>
      </c>
      <c r="D32" s="147">
        <f>+PROPONENTES!N31</f>
        <v>1</v>
      </c>
      <c r="E32" s="18" t="str">
        <f>'22'!$I$11</f>
        <v>CUMPLE</v>
      </c>
      <c r="F32" s="18" t="s">
        <v>15</v>
      </c>
      <c r="G32" s="18" t="s">
        <v>14</v>
      </c>
      <c r="H32" s="66" t="s">
        <v>14</v>
      </c>
      <c r="I32" s="66" t="str">
        <f t="shared" si="1"/>
        <v>INHABILITADO</v>
      </c>
      <c r="J32" s="176"/>
    </row>
    <row r="33" spans="1:10" ht="23.25" customHeight="1" x14ac:dyDescent="0.25">
      <c r="A33" s="34">
        <v>23</v>
      </c>
      <c r="B33" s="17" t="str">
        <f>+PROPONENTES!B32</f>
        <v xml:space="preserve"> SOLUCIONES PARA LA INGENIERÍA S.A.S.</v>
      </c>
      <c r="C33" s="34">
        <f>+PROPONENTES!M32</f>
        <v>1</v>
      </c>
      <c r="D33" s="147">
        <f>+PROPONENTES!N32</f>
        <v>1</v>
      </c>
      <c r="E33" s="18" t="str">
        <f>'23'!$I$11</f>
        <v>CUMPLE</v>
      </c>
      <c r="F33" s="18" t="s">
        <v>14</v>
      </c>
      <c r="G33" s="18" t="s">
        <v>14</v>
      </c>
      <c r="H33" s="66" t="s">
        <v>14</v>
      </c>
      <c r="I33" s="66" t="str">
        <f t="shared" si="1"/>
        <v>HABILITADO</v>
      </c>
      <c r="J33" s="176"/>
    </row>
    <row r="34" spans="1:10" ht="23.25" customHeight="1" x14ac:dyDescent="0.25">
      <c r="A34" s="34">
        <v>24</v>
      </c>
      <c r="B34" s="17" t="str">
        <f>+PROPONENTES!B33</f>
        <v>CONSORCIO ARALEP 003</v>
      </c>
      <c r="C34" s="34">
        <f>+PROPONENTES!M33</f>
        <v>2</v>
      </c>
      <c r="D34" s="147">
        <f>+PROPONENTES!N33</f>
        <v>1</v>
      </c>
      <c r="E34" s="18" t="str">
        <f>'24'!$I$11</f>
        <v>CUMPLE</v>
      </c>
      <c r="F34" s="18" t="s">
        <v>15</v>
      </c>
      <c r="G34" s="18" t="s">
        <v>14</v>
      </c>
      <c r="H34" s="66" t="s">
        <v>14</v>
      </c>
      <c r="I34" s="66" t="str">
        <f t="shared" si="1"/>
        <v>INHABILITADO</v>
      </c>
      <c r="J34" s="176"/>
    </row>
    <row r="35" spans="1:10" ht="23.25" customHeight="1" x14ac:dyDescent="0.25">
      <c r="A35" s="34">
        <v>25</v>
      </c>
      <c r="B35" s="17" t="str">
        <f>+PROPONENTES!B34</f>
        <v>PRAN CONSTRUCCIONES S.A.S.</v>
      </c>
      <c r="C35" s="34">
        <f>+PROPONENTES!M34</f>
        <v>1</v>
      </c>
      <c r="D35" s="147">
        <f>+PROPONENTES!N34</f>
        <v>1</v>
      </c>
      <c r="E35" s="18" t="str">
        <f>'25'!$I$11</f>
        <v>CUMPLE</v>
      </c>
      <c r="F35" s="18" t="s">
        <v>14</v>
      </c>
      <c r="G35" s="18" t="s">
        <v>14</v>
      </c>
      <c r="H35" s="66" t="s">
        <v>14</v>
      </c>
      <c r="I35" s="66" t="str">
        <f t="shared" si="1"/>
        <v>HABILITADO</v>
      </c>
      <c r="J35" s="176"/>
    </row>
    <row r="36" spans="1:10" ht="23.25" customHeight="1" x14ac:dyDescent="0.25">
      <c r="A36" s="34">
        <v>26</v>
      </c>
      <c r="B36" s="17" t="str">
        <f>+PROPONENTES!B35</f>
        <v>CONSORCIO PROYECTOS 2024</v>
      </c>
      <c r="C36" s="34">
        <f>+PROPONENTES!M35</f>
        <v>2</v>
      </c>
      <c r="D36" s="147">
        <f>+PROPONENTES!N35</f>
        <v>1</v>
      </c>
      <c r="E36" s="18" t="str">
        <f>'26'!$I$11</f>
        <v>CUMPLE</v>
      </c>
      <c r="F36" s="18" t="s">
        <v>14</v>
      </c>
      <c r="G36" s="18" t="s">
        <v>14</v>
      </c>
      <c r="H36" s="66" t="s">
        <v>14</v>
      </c>
      <c r="I36" s="66" t="str">
        <f t="shared" si="1"/>
        <v>HABILITADO</v>
      </c>
      <c r="J36" s="176"/>
    </row>
    <row r="37" spans="1:10" ht="23.25" customHeight="1" x14ac:dyDescent="0.25">
      <c r="A37" s="34">
        <v>27</v>
      </c>
      <c r="B37" s="17" t="str">
        <f>+PROPONENTES!B36</f>
        <v>CONSORCIO KENNEDY JINT 3</v>
      </c>
      <c r="C37" s="34">
        <f>+PROPONENTES!M36</f>
        <v>2</v>
      </c>
      <c r="D37" s="147">
        <f>+PROPONENTES!N36</f>
        <v>1</v>
      </c>
      <c r="E37" s="18" t="str">
        <f>'27'!$I$11</f>
        <v>CUMPLE</v>
      </c>
      <c r="F37" s="18" t="s">
        <v>14</v>
      </c>
      <c r="G37" s="18" t="s">
        <v>14</v>
      </c>
      <c r="H37" s="66" t="s">
        <v>14</v>
      </c>
      <c r="I37" s="66" t="str">
        <f t="shared" si="1"/>
        <v>HABILITADO</v>
      </c>
      <c r="J37" s="176"/>
    </row>
    <row r="38" spans="1:10" ht="23.25" customHeight="1" x14ac:dyDescent="0.25">
      <c r="A38" s="34">
        <v>28</v>
      </c>
      <c r="B38" s="17" t="str">
        <f>+PROPONENTES!B37</f>
        <v>CABA INTERVENTORÍA SAS</v>
      </c>
      <c r="C38" s="34">
        <f>+PROPONENTES!M37</f>
        <v>0</v>
      </c>
      <c r="D38" s="147">
        <f>+PROPONENTES!N37</f>
        <v>0</v>
      </c>
      <c r="E38" s="18" t="str">
        <f>'28'!$I$11</f>
        <v>CUMPLE</v>
      </c>
      <c r="F38" s="18" t="s">
        <v>14</v>
      </c>
      <c r="G38" s="18" t="s">
        <v>14</v>
      </c>
      <c r="H38" s="66" t="s">
        <v>14</v>
      </c>
      <c r="I38" s="66" t="str">
        <f t="shared" si="1"/>
        <v>HABILITADO</v>
      </c>
      <c r="J38" s="176"/>
    </row>
    <row r="39" spans="1:10" ht="23.25" customHeight="1" x14ac:dyDescent="0.25">
      <c r="A39" s="34">
        <v>29</v>
      </c>
      <c r="B39" s="17" t="str">
        <f>+PROPONENTES!B38</f>
        <v>MIRS LATINOAMERICA S.A.S</v>
      </c>
      <c r="C39" s="34">
        <f>+PROPONENTES!M38</f>
        <v>0</v>
      </c>
      <c r="D39" s="147">
        <f>+PROPONENTES!N38</f>
        <v>0</v>
      </c>
      <c r="E39" s="18" t="str">
        <f>'29'!$I$11</f>
        <v>CUMPLE</v>
      </c>
      <c r="F39" s="18" t="s">
        <v>14</v>
      </c>
      <c r="G39" s="18" t="s">
        <v>14</v>
      </c>
      <c r="H39" s="66" t="s">
        <v>14</v>
      </c>
      <c r="I39" s="66" t="str">
        <f t="shared" si="1"/>
        <v>HABILITADO</v>
      </c>
      <c r="J39" s="176"/>
    </row>
    <row r="40" spans="1:10" ht="23.25" customHeight="1" x14ac:dyDescent="0.25">
      <c r="A40" s="34">
        <v>30</v>
      </c>
      <c r="B40" s="17" t="str">
        <f>+PROPONENTES!B39</f>
        <v>CONSORCIO MULTIPARK KENNEDY</v>
      </c>
      <c r="C40" s="34">
        <f>+PROPONENTES!M39</f>
        <v>0</v>
      </c>
      <c r="D40" s="147">
        <f>+PROPONENTES!N39</f>
        <v>0</v>
      </c>
      <c r="E40" s="18" t="str">
        <f>'30'!$I$11</f>
        <v>CUMPLE</v>
      </c>
      <c r="F40" s="18" t="s">
        <v>14</v>
      </c>
      <c r="G40" s="18" t="s">
        <v>14</v>
      </c>
      <c r="H40" s="66" t="s">
        <v>14</v>
      </c>
      <c r="I40" s="66" t="str">
        <f t="shared" si="1"/>
        <v>HABILITADO</v>
      </c>
      <c r="J40" s="176"/>
    </row>
    <row r="41" spans="1:10" ht="23.25" customHeight="1" x14ac:dyDescent="0.25">
      <c r="A41" s="34">
        <v>31</v>
      </c>
      <c r="B41" s="17" t="str">
        <f>+PROPONENTES!B40</f>
        <v>CONSORCIO PRO-TEV 20</v>
      </c>
      <c r="C41" s="34">
        <f>+PROPONENTES!M40</f>
        <v>0</v>
      </c>
      <c r="D41" s="147">
        <f>+PROPONENTES!N40</f>
        <v>0</v>
      </c>
      <c r="E41" s="18" t="str">
        <f>'31'!$I$11</f>
        <v>CUMPLE</v>
      </c>
      <c r="F41" s="18" t="s">
        <v>14</v>
      </c>
      <c r="G41" s="18" t="s">
        <v>14</v>
      </c>
      <c r="H41" s="66" t="s">
        <v>14</v>
      </c>
      <c r="I41" s="66" t="str">
        <f t="shared" si="1"/>
        <v>HABILITADO</v>
      </c>
      <c r="J41" s="176"/>
    </row>
    <row r="42" spans="1:10" ht="23.25" customHeight="1" x14ac:dyDescent="0.25">
      <c r="A42" s="34">
        <v>32</v>
      </c>
      <c r="B42" s="17" t="str">
        <f>+PROPONENTES!B41</f>
        <v>LOGIA 3 ASOCIADOS S.A.S – BIC</v>
      </c>
      <c r="C42" s="34">
        <f>+PROPONENTES!M41</f>
        <v>0</v>
      </c>
      <c r="D42" s="147">
        <f>+PROPONENTES!N41</f>
        <v>0</v>
      </c>
      <c r="E42" s="18" t="str">
        <f>'32'!$I$11</f>
        <v>CUMPLE</v>
      </c>
      <c r="F42" s="18" t="s">
        <v>14</v>
      </c>
      <c r="G42" s="18" t="s">
        <v>14</v>
      </c>
      <c r="H42" s="66" t="s">
        <v>14</v>
      </c>
      <c r="I42" s="66" t="str">
        <f t="shared" si="1"/>
        <v>HABILITADO</v>
      </c>
      <c r="J42" s="176"/>
    </row>
    <row r="43" spans="1:10" ht="23.25" customHeight="1" x14ac:dyDescent="0.25">
      <c r="A43" s="34">
        <v>33</v>
      </c>
      <c r="B43" s="17" t="str">
        <f>+PROPONENTES!B42</f>
        <v xml:space="preserve">CONSORCIO AL PARK 003 </v>
      </c>
      <c r="C43" s="34">
        <f>+PROPONENTES!M42</f>
        <v>0</v>
      </c>
      <c r="D43" s="147">
        <f>+PROPONENTES!N42</f>
        <v>0</v>
      </c>
      <c r="E43" s="18" t="str">
        <f>'33'!$I$11</f>
        <v>CUMPLE</v>
      </c>
      <c r="F43" s="18" t="s">
        <v>14</v>
      </c>
      <c r="G43" s="18" t="s">
        <v>14</v>
      </c>
      <c r="H43" s="66" t="s">
        <v>14</v>
      </c>
      <c r="I43" s="66" t="str">
        <f t="shared" si="1"/>
        <v>HABILITADO</v>
      </c>
      <c r="J43" s="176"/>
    </row>
    <row r="44" spans="1:10" ht="23.25" customHeight="1" x14ac:dyDescent="0.25">
      <c r="A44" s="34">
        <v>34</v>
      </c>
      <c r="B44" s="17" t="str">
        <f>+PROPONENTES!B43</f>
        <v>CONSORCIO INT PARQUES KENNEDY 2024</v>
      </c>
      <c r="C44" s="34">
        <f>+PROPONENTES!M43</f>
        <v>0</v>
      </c>
      <c r="D44" s="147">
        <f>+PROPONENTES!N43</f>
        <v>0</v>
      </c>
      <c r="E44" s="18" t="str">
        <f>'34'!$I$11</f>
        <v>NO CUMPLE</v>
      </c>
      <c r="F44" s="18" t="s">
        <v>14</v>
      </c>
      <c r="G44" s="18" t="s">
        <v>14</v>
      </c>
      <c r="H44" s="66" t="s">
        <v>15</v>
      </c>
      <c r="I44" s="199" t="s">
        <v>309</v>
      </c>
      <c r="J44" s="199" t="s">
        <v>309</v>
      </c>
    </row>
    <row r="45" spans="1:10" ht="23.25" customHeight="1" x14ac:dyDescent="0.25">
      <c r="A45" s="34">
        <v>35</v>
      </c>
      <c r="B45" s="17" t="str">
        <f>+PROPONENTES!B44</f>
        <v>CONSORCIO INTERKENNEDY EYD</v>
      </c>
      <c r="C45" s="34">
        <f>+PROPONENTES!M44</f>
        <v>0</v>
      </c>
      <c r="D45" s="147">
        <f>+PROPONENTES!N44</f>
        <v>0</v>
      </c>
      <c r="E45" s="18" t="str">
        <f>'35'!$I$11</f>
        <v>CUMPLE</v>
      </c>
      <c r="F45" s="18" t="s">
        <v>14</v>
      </c>
      <c r="G45" s="18" t="s">
        <v>14</v>
      </c>
      <c r="H45" s="66" t="s">
        <v>14</v>
      </c>
      <c r="I45" s="66" t="str">
        <f t="shared" si="1"/>
        <v>HABILITADO</v>
      </c>
      <c r="J45" s="176"/>
    </row>
    <row r="46" spans="1:10" ht="23.25" customHeight="1" x14ac:dyDescent="0.25">
      <c r="A46" s="34">
        <v>36</v>
      </c>
      <c r="B46" s="17" t="str">
        <f>+PROPONENTES!B45</f>
        <v>CONSORCIO INTER KENNEDY PARQUES</v>
      </c>
      <c r="C46" s="34">
        <f>+PROPONENTES!M45</f>
        <v>0</v>
      </c>
      <c r="D46" s="147">
        <f>+PROPONENTES!N45</f>
        <v>0</v>
      </c>
      <c r="E46" s="18" t="str">
        <f>'36'!$I$11</f>
        <v>NO CUMPLE</v>
      </c>
      <c r="F46" s="18" t="s">
        <v>14</v>
      </c>
      <c r="G46" s="18" t="s">
        <v>14</v>
      </c>
      <c r="H46" s="66" t="s">
        <v>14</v>
      </c>
      <c r="I46" s="66" t="str">
        <f t="shared" si="1"/>
        <v>INHABILITADO</v>
      </c>
      <c r="J46" s="176"/>
    </row>
    <row r="47" spans="1:10" ht="23.25" customHeight="1" x14ac:dyDescent="0.25">
      <c r="A47" s="34">
        <v>37</v>
      </c>
      <c r="B47" s="17" t="str">
        <f>+PROPONENTES!B46</f>
        <v>JCB CONSULTORIA S.A.S</v>
      </c>
      <c r="C47" s="34">
        <f>+PROPONENTES!M46</f>
        <v>1</v>
      </c>
      <c r="D47" s="147">
        <f>+PROPONENTES!N46</f>
        <v>1</v>
      </c>
      <c r="E47" s="18" t="str">
        <f>'37'!$I$11</f>
        <v>CUMPLE</v>
      </c>
      <c r="F47" s="18" t="s">
        <v>14</v>
      </c>
      <c r="G47" s="18" t="s">
        <v>14</v>
      </c>
      <c r="H47" s="66" t="s">
        <v>14</v>
      </c>
      <c r="I47" s="66" t="str">
        <f t="shared" si="1"/>
        <v>HABILITADO</v>
      </c>
      <c r="J47" s="176"/>
    </row>
    <row r="48" spans="1:10" ht="6.75" customHeight="1" x14ac:dyDescent="0.25"/>
  </sheetData>
  <mergeCells count="13">
    <mergeCell ref="A2:J2"/>
    <mergeCell ref="I5:J5"/>
    <mergeCell ref="A7:J7"/>
    <mergeCell ref="A1:J1"/>
    <mergeCell ref="A3:J3"/>
    <mergeCell ref="B6:J6"/>
    <mergeCell ref="A8:J8"/>
    <mergeCell ref="A10:J10"/>
    <mergeCell ref="A4:B5"/>
    <mergeCell ref="C5:D5"/>
    <mergeCell ref="C4:D4"/>
    <mergeCell ref="E4:J4"/>
    <mergeCell ref="E5:H5"/>
  </mergeCells>
  <phoneticPr fontId="16" type="noConversion"/>
  <conditionalFormatting sqref="E11:H47">
    <cfRule type="cellIs" dxfId="14" priority="1" operator="equal">
      <formula>"CUMPLE"</formula>
    </cfRule>
    <cfRule type="cellIs" dxfId="13" priority="2" operator="equal">
      <formula>"NO CUMPLE"</formula>
    </cfRule>
    <cfRule type="cellIs" dxfId="12" priority="3" operator="equal">
      <formula>"""CUMPLE"""</formula>
    </cfRule>
  </conditionalFormatting>
  <conditionalFormatting sqref="I11:I13 I15:I22 I24 I27 I29:I43 I45:I47">
    <cfRule type="containsText" dxfId="11" priority="190" operator="containsText" text="INHABILITADO">
      <formula>NOT(ISERROR(SEARCH("INHABILITADO",I11)))</formula>
    </cfRule>
    <cfRule type="containsText" dxfId="10" priority="191" operator="containsText" text="HABILITADO">
      <formula>NOT(ISERROR(SEARCH("HABILITADO",I11)))</formula>
    </cfRule>
  </conditionalFormatting>
  <pageMargins left="0.7" right="0.7" top="0.75" bottom="0.75" header="0.3" footer="0.3"/>
  <pageSetup scale="50"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2000-000000000000}">
          <x14:formula1>
            <xm:f>'DATOS INICIALES'!$A$50:$A$51</xm:f>
          </x14:formula1>
          <xm:sqref>H21:H47 H11:H13 F11:G47</xm:sqref>
        </x14:dataValidation>
        <x14:dataValidation type="list" allowBlank="1" showInputMessage="1" showErrorMessage="1" xr:uid="{00000000-0002-0000-2000-000001000000}">
          <x14:formula1>
            <xm:f>'DATOS INICIALES'!$A$45:$A$46</xm:f>
          </x14:formula1>
          <xm:sqref>I11:I13 I15:I22 I24 I27 I29:I43 I45:I47</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G199"/>
  <sheetViews>
    <sheetView view="pageBreakPreview" zoomScale="55" zoomScaleNormal="70" zoomScaleSheetLayoutView="55" workbookViewId="0">
      <pane xSplit="4" ySplit="14" topLeftCell="X181" activePane="bottomRight" state="frozen"/>
      <selection pane="topRight" activeCell="E1" sqref="E1"/>
      <selection pane="bottomLeft" activeCell="A15" sqref="A15"/>
      <selection pane="bottomRight" activeCell="AG180" sqref="AG180:AG184"/>
    </sheetView>
    <sheetView workbookViewId="1"/>
  </sheetViews>
  <sheetFormatPr baseColWidth="10" defaultColWidth="11.42578125" defaultRowHeight="15" x14ac:dyDescent="0.25"/>
  <cols>
    <col min="1" max="1" width="4.140625" style="16" customWidth="1"/>
    <col min="2" max="2" width="22.42578125" style="16" customWidth="1"/>
    <col min="3" max="3" width="28" style="16" customWidth="1"/>
    <col min="4" max="4" width="7.85546875" style="37" customWidth="1"/>
    <col min="5" max="5" width="22.28515625" style="65" customWidth="1"/>
    <col min="6" max="6" width="23.140625" style="65" customWidth="1"/>
    <col min="7" max="7" width="21.28515625" style="16" customWidth="1"/>
    <col min="8" max="8" width="25.7109375" style="16" customWidth="1"/>
    <col min="9" max="9" width="21.85546875" style="16" customWidth="1"/>
    <col min="10" max="10" width="20.5703125" style="16" customWidth="1"/>
    <col min="11" max="11" width="18" style="16" customWidth="1"/>
    <col min="12" max="12" width="17.7109375" style="16" customWidth="1"/>
    <col min="13" max="14" width="16.42578125" style="16" customWidth="1"/>
    <col min="15" max="15" width="14.42578125" style="16" customWidth="1"/>
    <col min="16" max="16" width="36.42578125" style="16" customWidth="1"/>
    <col min="17" max="17" width="37.7109375" style="16" customWidth="1"/>
    <col min="18" max="18" width="22.140625" style="16" customWidth="1"/>
    <col min="19" max="19" width="26" style="16" customWidth="1"/>
    <col min="20" max="20" width="17" style="16" customWidth="1"/>
    <col min="21" max="23" width="23.28515625" style="16" customWidth="1"/>
    <col min="24" max="32" width="37" style="16" customWidth="1"/>
    <col min="33" max="33" width="65.140625" style="16" customWidth="1"/>
    <col min="34" max="16384" width="11.42578125" style="16"/>
  </cols>
  <sheetData>
    <row r="1" spans="1:33" x14ac:dyDescent="0.25">
      <c r="B1"/>
      <c r="C1"/>
      <c r="D1"/>
      <c r="E1"/>
      <c r="F1"/>
      <c r="G1"/>
      <c r="H1"/>
      <c r="I1"/>
      <c r="J1"/>
      <c r="K1"/>
      <c r="L1"/>
      <c r="M1"/>
      <c r="N1"/>
      <c r="O1"/>
      <c r="P1"/>
      <c r="Q1"/>
      <c r="R1"/>
    </row>
    <row r="2" spans="1:33" ht="18.75" x14ac:dyDescent="0.3">
      <c r="A2" s="268" t="s">
        <v>0</v>
      </c>
      <c r="B2" s="268"/>
      <c r="C2" s="268"/>
      <c r="D2" s="268"/>
      <c r="E2" s="268"/>
      <c r="F2" s="268"/>
      <c r="G2" s="268"/>
      <c r="H2" s="268"/>
      <c r="I2" s="268"/>
      <c r="J2" s="268"/>
      <c r="K2" s="268"/>
      <c r="L2" s="268"/>
      <c r="M2" s="268"/>
      <c r="N2" s="268"/>
      <c r="O2" s="268"/>
      <c r="P2" s="268"/>
      <c r="Q2" s="268"/>
      <c r="R2" s="268"/>
      <c r="S2" s="268"/>
      <c r="T2" s="268"/>
      <c r="U2" s="268"/>
      <c r="V2" s="268"/>
      <c r="W2" s="268"/>
      <c r="X2" s="268"/>
      <c r="Y2" s="268"/>
      <c r="Z2" s="268"/>
      <c r="AA2" s="268"/>
      <c r="AB2" s="268"/>
      <c r="AC2" s="268"/>
      <c r="AD2" s="268"/>
      <c r="AE2" s="268"/>
      <c r="AF2" s="268"/>
      <c r="AG2" s="268"/>
    </row>
    <row r="3" spans="1:33" x14ac:dyDescent="0.25">
      <c r="A3" s="351"/>
      <c r="B3" s="351"/>
      <c r="C3" s="351"/>
      <c r="D3" s="351"/>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row>
    <row r="4" spans="1:33" ht="18.75" x14ac:dyDescent="0.3">
      <c r="A4" s="268" t="str">
        <f>'DATOS INICIALES'!G4</f>
        <v xml:space="preserve"> FDLK-CMA-003-2024</v>
      </c>
      <c r="B4" s="268"/>
      <c r="C4" s="268"/>
      <c r="D4" s="268"/>
      <c r="E4" s="268"/>
      <c r="F4" s="268"/>
      <c r="G4" s="268"/>
      <c r="H4" s="268"/>
      <c r="I4" s="268"/>
      <c r="J4" s="268"/>
      <c r="K4" s="268"/>
      <c r="L4" s="268"/>
      <c r="M4" s="268"/>
      <c r="N4" s="268"/>
      <c r="O4" s="268"/>
      <c r="P4" s="268"/>
      <c r="Q4" s="268"/>
      <c r="R4" s="268"/>
      <c r="S4" s="268"/>
      <c r="T4" s="268"/>
      <c r="U4" s="268"/>
      <c r="V4" s="268"/>
      <c r="W4" s="268"/>
      <c r="X4" s="268"/>
      <c r="Y4" s="268"/>
      <c r="Z4" s="268"/>
      <c r="AA4" s="268"/>
      <c r="AB4" s="268"/>
      <c r="AC4" s="268"/>
      <c r="AD4" s="268"/>
      <c r="AE4" s="268"/>
      <c r="AF4" s="268"/>
      <c r="AG4" s="268"/>
    </row>
    <row r="5" spans="1:33" x14ac:dyDescent="0.25">
      <c r="A5" s="351"/>
      <c r="B5" s="351"/>
      <c r="C5" s="351"/>
      <c r="D5" s="351"/>
      <c r="E5" s="351"/>
      <c r="F5" s="351"/>
      <c r="G5" s="351"/>
      <c r="H5" s="351"/>
      <c r="I5" s="351"/>
      <c r="J5" s="351"/>
      <c r="K5" s="351"/>
      <c r="L5" s="351"/>
      <c r="M5" s="351"/>
      <c r="N5" s="351"/>
      <c r="O5" s="351"/>
      <c r="P5" s="351"/>
      <c r="Q5" s="351"/>
      <c r="R5" s="351"/>
      <c r="S5" s="351"/>
      <c r="T5" s="351"/>
      <c r="U5" s="351"/>
      <c r="V5" s="351"/>
      <c r="W5" s="351"/>
      <c r="X5" s="351"/>
      <c r="Y5" s="351"/>
      <c r="Z5" s="351"/>
      <c r="AA5" s="351"/>
      <c r="AB5" s="351"/>
      <c r="AC5" s="351"/>
      <c r="AD5" s="351"/>
      <c r="AE5" s="351"/>
      <c r="AF5" s="351"/>
      <c r="AG5" s="351"/>
    </row>
    <row r="6" spans="1:33" x14ac:dyDescent="0.25">
      <c r="A6" s="347" t="s">
        <v>30</v>
      </c>
      <c r="B6" s="347"/>
      <c r="C6" s="63" t="s">
        <v>52</v>
      </c>
      <c r="D6" s="348" t="s">
        <v>66</v>
      </c>
      <c r="E6" s="348"/>
      <c r="F6" s="348"/>
      <c r="G6" s="348"/>
      <c r="H6" s="87"/>
      <c r="I6" s="352"/>
      <c r="J6" s="352"/>
      <c r="K6" s="352"/>
      <c r="L6" s="352"/>
      <c r="M6" s="352"/>
      <c r="N6" s="352"/>
      <c r="O6" s="352"/>
      <c r="P6" s="352"/>
      <c r="Q6" s="352"/>
      <c r="R6" s="352"/>
      <c r="S6" s="352"/>
      <c r="T6" s="352"/>
      <c r="U6" s="352"/>
      <c r="V6" s="352"/>
      <c r="W6" s="352"/>
      <c r="X6" s="352"/>
      <c r="Y6" s="352"/>
      <c r="Z6" s="352"/>
      <c r="AA6" s="352"/>
      <c r="AB6" s="352"/>
      <c r="AC6" s="352"/>
      <c r="AD6" s="352"/>
      <c r="AE6" s="352"/>
      <c r="AF6" s="352"/>
      <c r="AG6" s="352"/>
    </row>
    <row r="7" spans="1:33" x14ac:dyDescent="0.25">
      <c r="A7" s="354" t="s">
        <v>85</v>
      </c>
      <c r="B7" s="354"/>
      <c r="C7" s="354"/>
      <c r="D7" s="354"/>
      <c r="E7" s="354"/>
      <c r="F7" s="354"/>
      <c r="G7" s="354"/>
      <c r="H7" s="354"/>
      <c r="I7" s="354"/>
      <c r="J7" s="354"/>
      <c r="K7" s="354"/>
      <c r="L7" s="354"/>
      <c r="M7" s="354"/>
      <c r="N7" s="354"/>
      <c r="O7" s="354"/>
      <c r="P7" s="354"/>
      <c r="Q7" s="354"/>
      <c r="R7" s="354"/>
      <c r="S7" s="354"/>
      <c r="T7" s="354"/>
      <c r="U7" s="354"/>
      <c r="V7" s="354"/>
      <c r="W7" s="354"/>
      <c r="X7" s="354"/>
      <c r="Y7" s="354"/>
      <c r="Z7" s="354"/>
      <c r="AA7" s="354"/>
      <c r="AB7" s="354"/>
      <c r="AC7" s="354"/>
      <c r="AD7" s="354"/>
      <c r="AE7" s="354"/>
      <c r="AF7" s="354"/>
      <c r="AG7" s="354"/>
    </row>
    <row r="8" spans="1:33" ht="36" customHeight="1" x14ac:dyDescent="0.25">
      <c r="A8" s="349" t="s">
        <v>23</v>
      </c>
      <c r="B8" s="349"/>
      <c r="C8" s="386"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D8" s="386"/>
      <c r="E8" s="386"/>
      <c r="F8" s="386"/>
      <c r="G8" s="386"/>
      <c r="H8" s="386"/>
      <c r="I8" s="386"/>
      <c r="J8" s="386"/>
      <c r="K8" s="386"/>
      <c r="L8" s="386"/>
      <c r="M8" s="386"/>
      <c r="N8" s="386"/>
      <c r="O8" s="386"/>
      <c r="P8" s="386"/>
      <c r="Q8" s="386"/>
      <c r="R8" s="386"/>
      <c r="S8" s="386"/>
      <c r="T8" s="386"/>
      <c r="U8" s="386"/>
      <c r="V8" s="386"/>
      <c r="W8" s="386"/>
      <c r="X8" s="386"/>
      <c r="Y8" s="386"/>
      <c r="Z8" s="386"/>
      <c r="AA8" s="386"/>
      <c r="AB8" s="386"/>
      <c r="AC8" s="386"/>
      <c r="AD8" s="386"/>
      <c r="AE8" s="386"/>
      <c r="AF8" s="386"/>
      <c r="AG8" s="386"/>
    </row>
    <row r="9" spans="1:33" ht="40.5" customHeight="1" x14ac:dyDescent="0.25">
      <c r="A9" s="349" t="s">
        <v>64</v>
      </c>
      <c r="B9" s="349"/>
      <c r="C9" s="446">
        <f>+'DATOS INICIALES'!C5</f>
        <v>526819451</v>
      </c>
      <c r="D9" s="446"/>
      <c r="E9" s="446"/>
      <c r="F9" s="418" t="s">
        <v>91</v>
      </c>
      <c r="G9" s="419"/>
      <c r="H9" s="118">
        <f>+'DATOS INICIALES'!G5</f>
        <v>7</v>
      </c>
      <c r="I9" s="440"/>
      <c r="J9" s="440"/>
      <c r="K9" s="440"/>
      <c r="L9" s="440"/>
      <c r="M9" s="440"/>
      <c r="N9" s="440"/>
      <c r="O9" s="440"/>
      <c r="P9" s="440"/>
      <c r="Q9" s="440"/>
      <c r="R9" s="440"/>
      <c r="S9" s="440"/>
      <c r="T9" s="440"/>
      <c r="U9" s="440"/>
      <c r="V9" s="440"/>
      <c r="W9" s="440"/>
      <c r="X9" s="440"/>
      <c r="Y9" s="440"/>
      <c r="Z9" s="440"/>
      <c r="AA9" s="440"/>
      <c r="AB9" s="440"/>
      <c r="AC9" s="440"/>
      <c r="AD9" s="440"/>
      <c r="AE9" s="440"/>
      <c r="AF9" s="440"/>
      <c r="AG9" s="440"/>
    </row>
    <row r="10" spans="1:33" ht="30" customHeight="1" x14ac:dyDescent="0.25">
      <c r="A10" s="349" t="s">
        <v>65</v>
      </c>
      <c r="B10" s="349"/>
      <c r="C10" s="382">
        <f>C9/'DATOS INICIALES'!B43</f>
        <v>454.15469913793106</v>
      </c>
      <c r="D10" s="382"/>
      <c r="E10" s="382"/>
      <c r="F10" s="420" t="s">
        <v>92</v>
      </c>
      <c r="G10" s="421"/>
      <c r="H10" s="120">
        <v>0</v>
      </c>
      <c r="I10" s="441"/>
      <c r="J10" s="441"/>
      <c r="K10" s="441"/>
      <c r="L10" s="441"/>
      <c r="M10" s="441"/>
      <c r="N10" s="441"/>
      <c r="O10" s="441"/>
      <c r="P10" s="441"/>
      <c r="Q10" s="441"/>
      <c r="R10" s="441"/>
      <c r="S10" s="441"/>
      <c r="T10" s="441"/>
      <c r="U10" s="441"/>
      <c r="V10" s="441"/>
      <c r="W10" s="441"/>
      <c r="X10" s="441"/>
      <c r="Y10" s="441"/>
      <c r="Z10" s="441"/>
      <c r="AA10" s="441"/>
      <c r="AB10" s="441"/>
      <c r="AC10" s="441"/>
      <c r="AD10" s="441"/>
      <c r="AE10" s="441"/>
      <c r="AF10" s="441"/>
      <c r="AG10" s="441"/>
    </row>
    <row r="11" spans="1:33" ht="9" customHeight="1" thickBot="1" x14ac:dyDescent="0.3">
      <c r="E11" s="37"/>
      <c r="F11" s="37"/>
    </row>
    <row r="12" spans="1:33" ht="45.75" customHeight="1" thickBot="1" x14ac:dyDescent="0.3">
      <c r="A12" s="442" t="s">
        <v>169</v>
      </c>
      <c r="B12" s="443"/>
      <c r="C12" s="443"/>
      <c r="D12" s="443"/>
      <c r="E12" s="443"/>
      <c r="F12" s="443"/>
      <c r="G12" s="443"/>
      <c r="H12" s="443"/>
      <c r="I12" s="443"/>
      <c r="J12" s="443"/>
      <c r="K12" s="443"/>
      <c r="L12" s="443"/>
      <c r="M12" s="443"/>
      <c r="N12" s="443"/>
      <c r="O12" s="443"/>
      <c r="P12" s="443"/>
      <c r="Q12" s="443"/>
      <c r="R12" s="443"/>
      <c r="S12" s="443"/>
      <c r="T12" s="443"/>
      <c r="U12" s="444"/>
      <c r="V12" s="444"/>
      <c r="W12" s="444"/>
      <c r="X12" s="444"/>
      <c r="Y12" s="444"/>
      <c r="Z12" s="444"/>
      <c r="AA12" s="444"/>
      <c r="AB12" s="444"/>
      <c r="AC12" s="444"/>
      <c r="AD12" s="444"/>
      <c r="AE12" s="444"/>
      <c r="AF12" s="444"/>
      <c r="AG12" s="445"/>
    </row>
    <row r="13" spans="1:33" ht="18.75" customHeight="1" x14ac:dyDescent="0.25">
      <c r="A13" s="436" t="s">
        <v>77</v>
      </c>
      <c r="B13" s="434" t="s">
        <v>24</v>
      </c>
      <c r="C13" s="434" t="s">
        <v>59</v>
      </c>
      <c r="D13" s="434" t="s">
        <v>78</v>
      </c>
      <c r="E13" s="448" t="s">
        <v>108</v>
      </c>
      <c r="F13" s="448"/>
      <c r="G13" s="448"/>
      <c r="H13" s="448"/>
      <c r="I13" s="448"/>
      <c r="J13" s="448"/>
      <c r="K13" s="447" t="s">
        <v>186</v>
      </c>
      <c r="L13" s="447"/>
      <c r="M13" s="447"/>
      <c r="N13" s="447"/>
      <c r="O13" s="447"/>
      <c r="P13" s="431" t="s">
        <v>211</v>
      </c>
      <c r="Q13" s="433"/>
      <c r="R13" s="447" t="s">
        <v>111</v>
      </c>
      <c r="S13" s="447"/>
      <c r="T13" s="447"/>
      <c r="U13" s="431" t="s">
        <v>170</v>
      </c>
      <c r="V13" s="432"/>
      <c r="W13" s="432"/>
      <c r="X13" s="432"/>
      <c r="Y13" s="432"/>
      <c r="Z13" s="433"/>
      <c r="AA13" s="431" t="s">
        <v>177</v>
      </c>
      <c r="AB13" s="432"/>
      <c r="AC13" s="432"/>
      <c r="AD13" s="433"/>
      <c r="AE13" s="195"/>
      <c r="AF13" s="195"/>
      <c r="AG13" s="438" t="s">
        <v>70</v>
      </c>
    </row>
    <row r="14" spans="1:33" ht="123" customHeight="1" thickBot="1" x14ac:dyDescent="0.3">
      <c r="A14" s="437"/>
      <c r="B14" s="435"/>
      <c r="C14" s="435"/>
      <c r="D14" s="435"/>
      <c r="E14" s="145" t="s">
        <v>198</v>
      </c>
      <c r="F14" s="145" t="s">
        <v>107</v>
      </c>
      <c r="G14" s="145" t="s">
        <v>136</v>
      </c>
      <c r="H14" s="145" t="s">
        <v>105</v>
      </c>
      <c r="I14" s="145" t="s">
        <v>106</v>
      </c>
      <c r="J14" s="145" t="s">
        <v>118</v>
      </c>
      <c r="K14" s="145" t="s">
        <v>210</v>
      </c>
      <c r="L14" s="145" t="s">
        <v>300</v>
      </c>
      <c r="M14" s="145" t="s">
        <v>210</v>
      </c>
      <c r="N14" s="145" t="s">
        <v>301</v>
      </c>
      <c r="O14" s="145" t="s">
        <v>187</v>
      </c>
      <c r="P14" s="145" t="s">
        <v>211</v>
      </c>
      <c r="Q14" s="145" t="s">
        <v>212</v>
      </c>
      <c r="R14" s="145" t="s">
        <v>188</v>
      </c>
      <c r="S14" s="145" t="s">
        <v>112</v>
      </c>
      <c r="T14" s="145" t="s">
        <v>113</v>
      </c>
      <c r="U14" s="163" t="s">
        <v>171</v>
      </c>
      <c r="V14" s="163" t="s">
        <v>172</v>
      </c>
      <c r="W14" s="163" t="s">
        <v>173</v>
      </c>
      <c r="X14" s="163" t="s">
        <v>174</v>
      </c>
      <c r="Y14" s="163" t="s">
        <v>175</v>
      </c>
      <c r="Z14" s="163" t="s">
        <v>176</v>
      </c>
      <c r="AA14" s="163" t="s">
        <v>180</v>
      </c>
      <c r="AB14" s="163" t="s">
        <v>178</v>
      </c>
      <c r="AC14" s="163" t="s">
        <v>179</v>
      </c>
      <c r="AD14" s="163" t="s">
        <v>181</v>
      </c>
      <c r="AE14" s="145" t="s">
        <v>302</v>
      </c>
      <c r="AF14" s="145" t="s">
        <v>303</v>
      </c>
      <c r="AG14" s="439"/>
    </row>
    <row r="15" spans="1:33" x14ac:dyDescent="0.25">
      <c r="A15" s="359">
        <v>1</v>
      </c>
      <c r="B15" s="362" t="str">
        <f>+PROPONENTES!B10</f>
        <v>SOLIUN INGENIERIA SAS</v>
      </c>
      <c r="C15" s="43" t="str">
        <f>IF(VLOOKUP(B15,PROPONENTES!$B$10:$N$46,2,FALSE)="","",VLOOKUP(B15,PROPONENTES!$B$10:$N$46,2,FALSE))</f>
        <v>SOLIUN INGENIERIA SAS</v>
      </c>
      <c r="D15" s="44">
        <f>VLOOKUP(B15,PROPONENTES!$B$10:$N$46,3,FALSE)</f>
        <v>1</v>
      </c>
      <c r="E15" s="107" t="s">
        <v>75</v>
      </c>
      <c r="F15" s="107" t="s">
        <v>75</v>
      </c>
      <c r="G15" s="121">
        <f>+'1'!E15</f>
        <v>666.91</v>
      </c>
      <c r="H15" s="122" t="str">
        <f>IF(C15="","",IF(G15&gt;'1'!$J$14*0.4,"SI","NO"))</f>
        <v>SI</v>
      </c>
      <c r="I15" s="43">
        <f>IF(C15="",0,IF(AND(E15="SI",H15="SI",F15="SI"),1,0))</f>
        <v>1</v>
      </c>
      <c r="J15" s="362">
        <f>IF((I15+I16+I17+I18+I19)&gt;=1,1,0)</f>
        <v>1</v>
      </c>
      <c r="K15" s="402" t="s">
        <v>14</v>
      </c>
      <c r="L15" s="408">
        <f>IF(K15="CUMPLE",5,0)</f>
        <v>5</v>
      </c>
      <c r="M15" s="402" t="s">
        <v>14</v>
      </c>
      <c r="N15" s="408">
        <f>IF(M15="CUMPLE",5,0)</f>
        <v>5</v>
      </c>
      <c r="O15" s="411">
        <f>+L15+N15</f>
        <v>10</v>
      </c>
      <c r="P15" s="192" t="s">
        <v>110</v>
      </c>
      <c r="Q15" s="411" t="str">
        <f>IF(OR(P15="REPORTADO",P16="REPORTADO",P17="REPORTADO",P18="REPORTADO",P19="REPORTADO"),-1,"0")</f>
        <v>0</v>
      </c>
      <c r="R15" s="402" t="s">
        <v>14</v>
      </c>
      <c r="S15" s="197" t="s">
        <v>14</v>
      </c>
      <c r="T15" s="414">
        <f>IF(AND(R15="",S15="",S16="",S17="",S18="",S19=""),"",IF(AND(R15="CUMPLE",S15="",S16="",S17="",S18="",S19=""),"",IF(AND(R15="CUMPLE",OR(S15="CUMPLE",S15=""),OR(S16="CUMPLE",S16=""),OR(S17="CUMPLE",S17=""),OR(S18="CUMPLE",S18=""),OR(S19="CUMPLE",S19="")),20,0)))</f>
        <v>20</v>
      </c>
      <c r="U15" s="109" t="s">
        <v>14</v>
      </c>
      <c r="V15" s="109" t="s">
        <v>14</v>
      </c>
      <c r="W15" s="109" t="s">
        <v>13</v>
      </c>
      <c r="X15" s="109" t="s">
        <v>13</v>
      </c>
      <c r="Y15" s="164">
        <f t="shared" ref="Y15:Y78" si="0">IF(C15="",0,IF(AND(OR(V15="CUMPLE",V15="N/A"),OR(W15="CUMPLE",W15="N/A"),OR(X15="CUMPLE",X15="N/A"),AND(U15="CUMPLE",D15&gt;=10%)),0.25,))</f>
        <v>0.25</v>
      </c>
      <c r="Z15" s="414">
        <f>IF((Y15+Y16+Y17+Y18+Y19)&gt;=0.25,0.25,0)</f>
        <v>0.25</v>
      </c>
      <c r="AA15" s="109" t="s">
        <v>14</v>
      </c>
      <c r="AB15" s="109" t="s">
        <v>14</v>
      </c>
      <c r="AC15" s="164">
        <f t="shared" ref="AC15:AC46" si="1">IF(C15="",0,IF(AND(AA15="CUMPLE",AB15="CUMPLE",D15&gt;=10%),0.25,0))</f>
        <v>0.25</v>
      </c>
      <c r="AD15" s="408">
        <f>IF((AC15+AC16+AC17+AC18+AC19)&gt;=0.25,0.25,0)</f>
        <v>0.25</v>
      </c>
      <c r="AE15" s="402" t="s">
        <v>14</v>
      </c>
      <c r="AF15" s="408">
        <f>IF(AE15="CUMPLE",1,0)</f>
        <v>1</v>
      </c>
      <c r="AG15" s="399"/>
    </row>
    <row r="16" spans="1:33" x14ac:dyDescent="0.25">
      <c r="A16" s="360"/>
      <c r="B16" s="351"/>
      <c r="C16" s="26" t="str">
        <f>IF(VLOOKUP(B15,PROPONENTES!$B$10:$N$46,4,FALSE)="","",VLOOKUP(B15,PROPONENTES!$B$10:$N$46,4,FALSE))</f>
        <v/>
      </c>
      <c r="D16" s="36">
        <f>VLOOKUP(B15,PROPONENTES!$B$10:$N$46,5,FALSE)</f>
        <v>0</v>
      </c>
      <c r="E16" s="112"/>
      <c r="F16" s="112"/>
      <c r="G16" s="123" t="str">
        <f>+'1'!E16</f>
        <v/>
      </c>
      <c r="H16" s="124" t="str">
        <f>IF(C16="","",IF(G16&gt;'1'!$J$14*0.4,"SI","NO"))</f>
        <v/>
      </c>
      <c r="I16" s="26">
        <f t="shared" ref="I16:I20" si="2">IF(C16="",0,IF(AND(E16="SI",H16="SI",F16="SI"),1,0))</f>
        <v>0</v>
      </c>
      <c r="J16" s="351"/>
      <c r="K16" s="403"/>
      <c r="L16" s="409"/>
      <c r="M16" s="403"/>
      <c r="N16" s="409"/>
      <c r="O16" s="412"/>
      <c r="P16" s="193"/>
      <c r="Q16" s="412"/>
      <c r="R16" s="403"/>
      <c r="S16" s="114"/>
      <c r="T16" s="373"/>
      <c r="U16" s="114"/>
      <c r="V16" s="114"/>
      <c r="W16" s="114"/>
      <c r="X16" s="114"/>
      <c r="Y16" s="165">
        <f t="shared" si="0"/>
        <v>0</v>
      </c>
      <c r="Z16" s="373"/>
      <c r="AA16" s="114"/>
      <c r="AB16" s="114"/>
      <c r="AC16" s="165">
        <f t="shared" si="1"/>
        <v>0</v>
      </c>
      <c r="AD16" s="409"/>
      <c r="AE16" s="403"/>
      <c r="AF16" s="409"/>
      <c r="AG16" s="400"/>
    </row>
    <row r="17" spans="1:33" x14ac:dyDescent="0.25">
      <c r="A17" s="360"/>
      <c r="B17" s="351"/>
      <c r="C17" s="26" t="str">
        <f>IF(VLOOKUP(B15,PROPONENTES!$B$10:$N$46,6,FALSE)="","",VLOOKUP(B15,PROPONENTES!$B$10:$N$46,6,FALSE))</f>
        <v/>
      </c>
      <c r="D17" s="36">
        <f>VLOOKUP(B15,PROPONENTES!$B$10:$N$46,7,FALSE)</f>
        <v>0</v>
      </c>
      <c r="E17" s="112"/>
      <c r="F17" s="112"/>
      <c r="G17" s="123" t="str">
        <f>+'1'!E17</f>
        <v/>
      </c>
      <c r="H17" s="124" t="str">
        <f>IF(C17="","",IF(G17&gt;'1'!$J$14*0.4,"SI","NO"))</f>
        <v/>
      </c>
      <c r="I17" s="26">
        <f t="shared" si="2"/>
        <v>0</v>
      </c>
      <c r="J17" s="351"/>
      <c r="K17" s="403"/>
      <c r="L17" s="409"/>
      <c r="M17" s="403"/>
      <c r="N17" s="409"/>
      <c r="O17" s="412"/>
      <c r="P17" s="193"/>
      <c r="Q17" s="412"/>
      <c r="R17" s="403"/>
      <c r="S17" s="114"/>
      <c r="T17" s="373"/>
      <c r="U17" s="114"/>
      <c r="V17" s="114"/>
      <c r="W17" s="114"/>
      <c r="X17" s="114"/>
      <c r="Y17" s="165">
        <f t="shared" si="0"/>
        <v>0</v>
      </c>
      <c r="Z17" s="373"/>
      <c r="AA17" s="114"/>
      <c r="AB17" s="114"/>
      <c r="AC17" s="165">
        <f t="shared" si="1"/>
        <v>0</v>
      </c>
      <c r="AD17" s="409"/>
      <c r="AE17" s="403"/>
      <c r="AF17" s="409"/>
      <c r="AG17" s="400"/>
    </row>
    <row r="18" spans="1:33" x14ac:dyDescent="0.25">
      <c r="A18" s="360"/>
      <c r="B18" s="351"/>
      <c r="C18" s="26" t="str">
        <f>IF(VLOOKUP(B15,PROPONENTES!$B$10:$N$46,8,FALSE)="","",VLOOKUP(B15,PROPONENTES!$B$10:$N$46,8,FALSE))</f>
        <v/>
      </c>
      <c r="D18" s="36">
        <f>VLOOKUP(B15,PROPONENTES!$B$10:$N$46,9,FALSE)</f>
        <v>0</v>
      </c>
      <c r="E18" s="112"/>
      <c r="F18" s="112"/>
      <c r="G18" s="123" t="str">
        <f>+'1'!E18</f>
        <v/>
      </c>
      <c r="H18" s="124" t="str">
        <f>IF(C18="","",IF(G18&gt;'1'!$J$14*0.4,"SI","NO"))</f>
        <v/>
      </c>
      <c r="I18" s="124">
        <f t="shared" si="2"/>
        <v>0</v>
      </c>
      <c r="J18" s="351"/>
      <c r="K18" s="403"/>
      <c r="L18" s="409"/>
      <c r="M18" s="403"/>
      <c r="N18" s="409"/>
      <c r="O18" s="412"/>
      <c r="P18" s="193"/>
      <c r="Q18" s="412"/>
      <c r="R18" s="403"/>
      <c r="S18" s="114"/>
      <c r="T18" s="373"/>
      <c r="U18" s="114"/>
      <c r="V18" s="114"/>
      <c r="W18" s="114"/>
      <c r="X18" s="114"/>
      <c r="Y18" s="165">
        <f t="shared" si="0"/>
        <v>0</v>
      </c>
      <c r="Z18" s="373"/>
      <c r="AA18" s="114"/>
      <c r="AB18" s="114"/>
      <c r="AC18" s="165">
        <f t="shared" si="1"/>
        <v>0</v>
      </c>
      <c r="AD18" s="409"/>
      <c r="AE18" s="403"/>
      <c r="AF18" s="409"/>
      <c r="AG18" s="400"/>
    </row>
    <row r="19" spans="1:33" ht="15.75" thickBot="1" x14ac:dyDescent="0.3">
      <c r="A19" s="361"/>
      <c r="B19" s="363"/>
      <c r="C19" s="48" t="str">
        <f>IF(VLOOKUP(B15,PROPONENTES!$B$10:$N$46,10,FALSE)="","",VLOOKUP(B15,PROPONENTES!$B$10:$N$46,10,FALSE))</f>
        <v/>
      </c>
      <c r="D19" s="49">
        <f>VLOOKUP(B15,PROPONENTES!$B$10:$N$46,11,FALSE)</f>
        <v>0</v>
      </c>
      <c r="E19" s="116"/>
      <c r="F19" s="116"/>
      <c r="G19" s="125" t="str">
        <f>+'1'!E19</f>
        <v/>
      </c>
      <c r="H19" s="126" t="str">
        <f>IF(C19="","",IF(G19&gt;'1'!$J$14*0.4,"SI","NO"))</f>
        <v/>
      </c>
      <c r="I19" s="126">
        <f t="shared" si="2"/>
        <v>0</v>
      </c>
      <c r="J19" s="363"/>
      <c r="K19" s="404"/>
      <c r="L19" s="410"/>
      <c r="M19" s="404"/>
      <c r="N19" s="410"/>
      <c r="O19" s="413"/>
      <c r="P19" s="194"/>
      <c r="Q19" s="413"/>
      <c r="R19" s="404"/>
      <c r="S19" s="198"/>
      <c r="T19" s="374"/>
      <c r="U19" s="146"/>
      <c r="V19" s="146"/>
      <c r="W19" s="146"/>
      <c r="X19" s="146"/>
      <c r="Y19" s="166">
        <f t="shared" si="0"/>
        <v>0</v>
      </c>
      <c r="Z19" s="374"/>
      <c r="AA19" s="146"/>
      <c r="AB19" s="146"/>
      <c r="AC19" s="166">
        <f t="shared" si="1"/>
        <v>0</v>
      </c>
      <c r="AD19" s="410"/>
      <c r="AE19" s="404"/>
      <c r="AF19" s="410"/>
      <c r="AG19" s="401"/>
    </row>
    <row r="20" spans="1:33" ht="73.5" customHeight="1" x14ac:dyDescent="0.25">
      <c r="A20" s="359">
        <v>2</v>
      </c>
      <c r="B20" s="362" t="str">
        <f>+PROPONENTES!B11</f>
        <v>VELNEC S.A.</v>
      </c>
      <c r="C20" s="43" t="str">
        <f>IF(VLOOKUP(B20,PROPONENTES!$B$10:$N$46,2,FALSE)="","",VLOOKUP(B20,PROPONENTES!$B$10:$N$46,2,FALSE))</f>
        <v>VELNEC S.A.</v>
      </c>
      <c r="D20" s="44">
        <f>VLOOKUP(B20,PROPONENTES!$B$10:$N$46,3,FALSE)</f>
        <v>1</v>
      </c>
      <c r="E20" s="107" t="s">
        <v>75</v>
      </c>
      <c r="F20" s="107" t="s">
        <v>75</v>
      </c>
      <c r="G20" s="121">
        <f>+'2'!E15</f>
        <v>3397.6099999999997</v>
      </c>
      <c r="H20" s="122" t="str">
        <f>IF(C20="","",IF(G20&gt;'2'!$J$14*0.4,"SI","NO"))</f>
        <v>SI</v>
      </c>
      <c r="I20" s="43">
        <f t="shared" si="2"/>
        <v>1</v>
      </c>
      <c r="J20" s="362">
        <f t="shared" ref="J20" si="3">IF((I20+I21+I22+I23+I24)&gt;=1,1,0)</f>
        <v>1</v>
      </c>
      <c r="K20" s="402" t="s">
        <v>14</v>
      </c>
      <c r="L20" s="408">
        <f t="shared" ref="L20" si="4">IF(K20="CUMPLE",5,0)</f>
        <v>5</v>
      </c>
      <c r="M20" s="402" t="s">
        <v>14</v>
      </c>
      <c r="N20" s="408">
        <f t="shared" ref="N20" si="5">IF(M20="CUMPLE",5,0)</f>
        <v>5</v>
      </c>
      <c r="O20" s="411">
        <f t="shared" ref="O20" si="6">+L20+N20</f>
        <v>10</v>
      </c>
      <c r="P20" s="192" t="s">
        <v>110</v>
      </c>
      <c r="Q20" s="411" t="str">
        <f t="shared" ref="Q20" si="7">IF(OR(P20="REPORTADO",P21="REPORTADO",P22="REPORTADO",P23="REPORTADO",P24="REPORTADO"),-1,"0")</f>
        <v>0</v>
      </c>
      <c r="R20" s="402" t="s">
        <v>14</v>
      </c>
      <c r="S20" s="197" t="s">
        <v>14</v>
      </c>
      <c r="T20" s="414">
        <f t="shared" ref="T20" si="8">IF(AND(R20="",S20="",S21="",S22="",S23="",S24=""),"",IF(AND(R20="CUMPLE",S20="",S21="",S22="",S23="",S24=""),"",IF(AND(R20="CUMPLE",OR(S20="CUMPLE",S20=""),OR(S21="CUMPLE",S21=""),OR(S22="CUMPLE",S22=""),OR(S23="CUMPLE",S23=""),OR(S24="CUMPLE",S24="")),20,0)))</f>
        <v>20</v>
      </c>
      <c r="U20" s="109" t="s">
        <v>14</v>
      </c>
      <c r="V20" s="109" t="s">
        <v>14</v>
      </c>
      <c r="W20" s="109" t="s">
        <v>14</v>
      </c>
      <c r="X20" s="109" t="s">
        <v>14</v>
      </c>
      <c r="Y20" s="164">
        <f t="shared" si="0"/>
        <v>0.25</v>
      </c>
      <c r="Z20" s="414">
        <f t="shared" ref="Z20" si="9">IF((Y20+Y21+Y22+Y23+Y24)&gt;=0.25,0.25,0)</f>
        <v>0.25</v>
      </c>
      <c r="AA20" s="109" t="s">
        <v>14</v>
      </c>
      <c r="AB20" s="109" t="s">
        <v>14</v>
      </c>
      <c r="AC20" s="164">
        <f t="shared" si="1"/>
        <v>0.25</v>
      </c>
      <c r="AD20" s="408">
        <f t="shared" ref="AD20" si="10">IF((AC20+AC21+AC22+AC23+AC24)&gt;=0.25,0.25,0)</f>
        <v>0.25</v>
      </c>
      <c r="AE20" s="402" t="s">
        <v>14</v>
      </c>
      <c r="AF20" s="408">
        <f t="shared" ref="AF20" si="11">IF(AE20="CUMPLE",1,0)</f>
        <v>1</v>
      </c>
      <c r="AG20" s="450"/>
    </row>
    <row r="21" spans="1:33" ht="38.25" customHeight="1" x14ac:dyDescent="0.25">
      <c r="A21" s="360"/>
      <c r="B21" s="351"/>
      <c r="C21" s="26" t="str">
        <f>IF(VLOOKUP(B20,PROPONENTES!$B$10:$N$46,4,FALSE)="","",VLOOKUP(B20,PROPONENTES!$B$10:$N$46,4,FALSE))</f>
        <v/>
      </c>
      <c r="D21" s="36">
        <f>VLOOKUP(B20,PROPONENTES!$B$10:$N$46,5,FALSE)</f>
        <v>0</v>
      </c>
      <c r="E21" s="112"/>
      <c r="F21" s="112"/>
      <c r="G21" s="123" t="str">
        <f>+'2'!E16</f>
        <v/>
      </c>
      <c r="H21" s="124" t="str">
        <f>IF(C21="","",IF(G21&gt;'2'!$J$14*0.4,"SI","NO"))</f>
        <v/>
      </c>
      <c r="I21" s="26">
        <f t="shared" ref="I21:I49" si="12">IF(C21="",0,IF(AND(E21="SI",H21="SI",F21="SI"),1,0))</f>
        <v>0</v>
      </c>
      <c r="J21" s="351"/>
      <c r="K21" s="403"/>
      <c r="L21" s="409"/>
      <c r="M21" s="403"/>
      <c r="N21" s="409"/>
      <c r="O21" s="412"/>
      <c r="P21" s="193"/>
      <c r="Q21" s="412"/>
      <c r="R21" s="403"/>
      <c r="S21" s="114"/>
      <c r="T21" s="373"/>
      <c r="U21" s="114"/>
      <c r="V21" s="114"/>
      <c r="W21" s="114"/>
      <c r="X21" s="114"/>
      <c r="Y21" s="165">
        <f t="shared" si="0"/>
        <v>0</v>
      </c>
      <c r="Z21" s="373"/>
      <c r="AA21" s="114"/>
      <c r="AB21" s="114"/>
      <c r="AC21" s="165">
        <f t="shared" si="1"/>
        <v>0</v>
      </c>
      <c r="AD21" s="409"/>
      <c r="AE21" s="403"/>
      <c r="AF21" s="409"/>
      <c r="AG21" s="451"/>
    </row>
    <row r="22" spans="1:33" x14ac:dyDescent="0.25">
      <c r="A22" s="360"/>
      <c r="B22" s="351"/>
      <c r="C22" s="26" t="str">
        <f>IF(VLOOKUP(B20,PROPONENTES!$B$10:$N$46,6,FALSE)="","",VLOOKUP(B20,PROPONENTES!$B$10:$N$46,6,FALSE))</f>
        <v/>
      </c>
      <c r="D22" s="36">
        <f>VLOOKUP(B20,PROPONENTES!$B$10:$N$46,7,FALSE)</f>
        <v>0</v>
      </c>
      <c r="E22" s="112"/>
      <c r="F22" s="112"/>
      <c r="G22" s="123" t="str">
        <f>+'2'!E17</f>
        <v/>
      </c>
      <c r="H22" s="124" t="str">
        <f>IF(C22="","",IF(G22&gt;'2'!$J$14*0.4,"SI","NO"))</f>
        <v/>
      </c>
      <c r="I22" s="26">
        <f t="shared" si="12"/>
        <v>0</v>
      </c>
      <c r="J22" s="351"/>
      <c r="K22" s="403"/>
      <c r="L22" s="409"/>
      <c r="M22" s="403"/>
      <c r="N22" s="409"/>
      <c r="O22" s="412"/>
      <c r="P22" s="193"/>
      <c r="Q22" s="412"/>
      <c r="R22" s="403"/>
      <c r="S22" s="114"/>
      <c r="T22" s="373"/>
      <c r="U22" s="114"/>
      <c r="V22" s="114"/>
      <c r="W22" s="114"/>
      <c r="X22" s="114"/>
      <c r="Y22" s="165">
        <f t="shared" si="0"/>
        <v>0</v>
      </c>
      <c r="Z22" s="373"/>
      <c r="AA22" s="114"/>
      <c r="AB22" s="114"/>
      <c r="AC22" s="165">
        <f t="shared" si="1"/>
        <v>0</v>
      </c>
      <c r="AD22" s="409"/>
      <c r="AE22" s="403"/>
      <c r="AF22" s="409"/>
      <c r="AG22" s="451"/>
    </row>
    <row r="23" spans="1:33" x14ac:dyDescent="0.25">
      <c r="A23" s="360"/>
      <c r="B23" s="351"/>
      <c r="C23" s="26" t="str">
        <f>IF(VLOOKUP(B20,PROPONENTES!$B$10:$N$46,8,FALSE)="","",VLOOKUP(B20,PROPONENTES!$B$10:$N$46,8,FALSE))</f>
        <v/>
      </c>
      <c r="D23" s="36">
        <f>VLOOKUP(B20,PROPONENTES!$B$10:$N$46,9,FALSE)</f>
        <v>0</v>
      </c>
      <c r="E23" s="112"/>
      <c r="F23" s="112"/>
      <c r="G23" s="123" t="str">
        <f>+'2'!E18</f>
        <v/>
      </c>
      <c r="H23" s="124" t="str">
        <f>IF(C23="","",IF(G23&gt;'2'!$J$14*0.4,"SI","NO"))</f>
        <v/>
      </c>
      <c r="I23" s="124">
        <f t="shared" si="12"/>
        <v>0</v>
      </c>
      <c r="J23" s="351"/>
      <c r="K23" s="403"/>
      <c r="L23" s="409"/>
      <c r="M23" s="403"/>
      <c r="N23" s="409"/>
      <c r="O23" s="412"/>
      <c r="P23" s="193"/>
      <c r="Q23" s="412"/>
      <c r="R23" s="403"/>
      <c r="S23" s="114"/>
      <c r="T23" s="373"/>
      <c r="U23" s="114"/>
      <c r="V23" s="114"/>
      <c r="W23" s="114"/>
      <c r="X23" s="114"/>
      <c r="Y23" s="165">
        <f t="shared" si="0"/>
        <v>0</v>
      </c>
      <c r="Z23" s="373"/>
      <c r="AA23" s="114"/>
      <c r="AB23" s="114"/>
      <c r="AC23" s="165">
        <f t="shared" si="1"/>
        <v>0</v>
      </c>
      <c r="AD23" s="409"/>
      <c r="AE23" s="403"/>
      <c r="AF23" s="409"/>
      <c r="AG23" s="451"/>
    </row>
    <row r="24" spans="1:33" ht="15.75" thickBot="1" x14ac:dyDescent="0.3">
      <c r="A24" s="361"/>
      <c r="B24" s="363"/>
      <c r="C24" s="48" t="str">
        <f>IF(VLOOKUP(B20,PROPONENTES!$B$10:$N$46,10,FALSE)="","",VLOOKUP(B20,PROPONENTES!$B$10:$N$46,10,FALSE))</f>
        <v/>
      </c>
      <c r="D24" s="49">
        <f>VLOOKUP(B20,PROPONENTES!$B$10:$N$46,11,FALSE)</f>
        <v>0</v>
      </c>
      <c r="E24" s="116"/>
      <c r="F24" s="116"/>
      <c r="G24" s="125" t="str">
        <f>+'2'!E19</f>
        <v/>
      </c>
      <c r="H24" s="126" t="str">
        <f>IF(C24="","",IF(G24&gt;'2'!$J$14*0.4,"SI","NO"))</f>
        <v/>
      </c>
      <c r="I24" s="126">
        <f t="shared" si="12"/>
        <v>0</v>
      </c>
      <c r="J24" s="363"/>
      <c r="K24" s="404"/>
      <c r="L24" s="410"/>
      <c r="M24" s="404"/>
      <c r="N24" s="410"/>
      <c r="O24" s="413"/>
      <c r="P24" s="194"/>
      <c r="Q24" s="413"/>
      <c r="R24" s="404"/>
      <c r="S24" s="198"/>
      <c r="T24" s="374"/>
      <c r="U24" s="146"/>
      <c r="V24" s="146"/>
      <c r="W24" s="146"/>
      <c r="X24" s="146"/>
      <c r="Y24" s="166">
        <f t="shared" si="0"/>
        <v>0</v>
      </c>
      <c r="Z24" s="374"/>
      <c r="AA24" s="146"/>
      <c r="AB24" s="146"/>
      <c r="AC24" s="166">
        <f t="shared" si="1"/>
        <v>0</v>
      </c>
      <c r="AD24" s="410"/>
      <c r="AE24" s="404"/>
      <c r="AF24" s="410"/>
      <c r="AG24" s="452"/>
    </row>
    <row r="25" spans="1:33" ht="21.75" customHeight="1" x14ac:dyDescent="0.25">
      <c r="A25" s="359">
        <v>3</v>
      </c>
      <c r="B25" s="362" t="str">
        <f>+PROPONENTES!B12</f>
        <v>ARQUITECTURA URBANA LTDA</v>
      </c>
      <c r="C25" s="43" t="str">
        <f>IF(VLOOKUP(B25,PROPONENTES!$B$10:$N$46,2,FALSE)="","",VLOOKUP(B25,PROPONENTES!$B$10:$N$46,2,FALSE))</f>
        <v>ARQUITECTURA URBANA LTDA</v>
      </c>
      <c r="D25" s="44">
        <f>VLOOKUP(B25,PROPONENTES!$B$10:$N$46,3,FALSE)</f>
        <v>1</v>
      </c>
      <c r="E25" s="107" t="s">
        <v>75</v>
      </c>
      <c r="F25" s="107" t="s">
        <v>75</v>
      </c>
      <c r="G25" s="121">
        <f>+'3'!E15</f>
        <v>1848.84</v>
      </c>
      <c r="H25" s="122" t="str">
        <f>IF(C25="","",IF(G25&gt;'3'!$J$14*0.4,"SI","NO"))</f>
        <v>SI</v>
      </c>
      <c r="I25" s="43">
        <f t="shared" si="12"/>
        <v>1</v>
      </c>
      <c r="J25" s="362">
        <f t="shared" ref="J25" si="13">IF((I25+I26+I27+I28+I29)&gt;=1,1,0)</f>
        <v>1</v>
      </c>
      <c r="K25" s="402" t="s">
        <v>14</v>
      </c>
      <c r="L25" s="408">
        <f t="shared" ref="L25" si="14">IF(K25="CUMPLE",5,0)</f>
        <v>5</v>
      </c>
      <c r="M25" s="402" t="s">
        <v>14</v>
      </c>
      <c r="N25" s="408">
        <f t="shared" ref="N25" si="15">IF(M25="CUMPLE",5,0)</f>
        <v>5</v>
      </c>
      <c r="O25" s="411">
        <f t="shared" ref="O25" si="16">+L25+N25</f>
        <v>10</v>
      </c>
      <c r="P25" s="192" t="s">
        <v>110</v>
      </c>
      <c r="Q25" s="411" t="str">
        <f t="shared" ref="Q25" si="17">IF(OR(P25="REPORTADO",P26="REPORTADO",P27="REPORTADO",P28="REPORTADO",P29="REPORTADO"),-1,"0")</f>
        <v>0</v>
      </c>
      <c r="R25" s="402" t="s">
        <v>14</v>
      </c>
      <c r="S25" s="197" t="s">
        <v>14</v>
      </c>
      <c r="T25" s="414">
        <f t="shared" ref="T25" si="18">IF(AND(R25="",S25="",S26="",S27="",S28="",S29=""),"",IF(AND(R25="CUMPLE",S25="",S26="",S27="",S28="",S29=""),"",IF(AND(R25="CUMPLE",OR(S25="CUMPLE",S25=""),OR(S26="CUMPLE",S26=""),OR(S27="CUMPLE",S27=""),OR(S28="CUMPLE",S28=""),OR(S29="CUMPLE",S29="")),20,0)))</f>
        <v>20</v>
      </c>
      <c r="U25" s="109" t="s">
        <v>14</v>
      </c>
      <c r="V25" s="109" t="s">
        <v>14</v>
      </c>
      <c r="W25" s="109" t="s">
        <v>13</v>
      </c>
      <c r="X25" s="109" t="s">
        <v>13</v>
      </c>
      <c r="Y25" s="164">
        <f t="shared" si="0"/>
        <v>0.25</v>
      </c>
      <c r="Z25" s="414">
        <f t="shared" ref="Z25" si="19">IF((Y25+Y26+Y27+Y28+Y29)&gt;=0.25,0.25,0)</f>
        <v>0.25</v>
      </c>
      <c r="AA25" s="109" t="s">
        <v>14</v>
      </c>
      <c r="AB25" s="109" t="s">
        <v>14</v>
      </c>
      <c r="AC25" s="164">
        <f t="shared" si="1"/>
        <v>0.25</v>
      </c>
      <c r="AD25" s="408">
        <f t="shared" ref="AD25" si="20">IF((AC25+AC26+AC27+AC28+AC29)&gt;=0.25,0.25,0)</f>
        <v>0.25</v>
      </c>
      <c r="AE25" s="402" t="s">
        <v>14</v>
      </c>
      <c r="AF25" s="408">
        <f t="shared" ref="AF25" si="21">IF(AE25="CUMPLE",1,0)</f>
        <v>1</v>
      </c>
      <c r="AG25" s="449"/>
    </row>
    <row r="26" spans="1:33" ht="15" customHeight="1" x14ac:dyDescent="0.25">
      <c r="A26" s="360"/>
      <c r="B26" s="351"/>
      <c r="C26" s="26" t="str">
        <f>IF(VLOOKUP(B25,PROPONENTES!$B$10:$N$46,4,FALSE)="","",VLOOKUP(B25,PROPONENTES!$B$10:$N$46,4,FALSE))</f>
        <v/>
      </c>
      <c r="D26" s="36">
        <f>VLOOKUP(B25,PROPONENTES!$B$10:$N$46,5,FALSE)</f>
        <v>0</v>
      </c>
      <c r="E26" s="112"/>
      <c r="F26" s="112"/>
      <c r="G26" s="123" t="str">
        <f>+'3'!E16</f>
        <v/>
      </c>
      <c r="H26" s="124" t="str">
        <f>IF(C26="","",IF(G26&gt;'3'!$J$14*0.4,"SI","NO"))</f>
        <v/>
      </c>
      <c r="I26" s="26">
        <f t="shared" si="12"/>
        <v>0</v>
      </c>
      <c r="J26" s="351"/>
      <c r="K26" s="403"/>
      <c r="L26" s="409"/>
      <c r="M26" s="403"/>
      <c r="N26" s="409"/>
      <c r="O26" s="412"/>
      <c r="P26" s="193"/>
      <c r="Q26" s="412"/>
      <c r="R26" s="403"/>
      <c r="S26" s="114"/>
      <c r="T26" s="373"/>
      <c r="U26" s="114"/>
      <c r="V26" s="114"/>
      <c r="W26" s="114"/>
      <c r="X26" s="114"/>
      <c r="Y26" s="165">
        <f t="shared" si="0"/>
        <v>0</v>
      </c>
      <c r="Z26" s="373"/>
      <c r="AA26" s="114"/>
      <c r="AB26" s="114"/>
      <c r="AC26" s="165">
        <f t="shared" si="1"/>
        <v>0</v>
      </c>
      <c r="AD26" s="409"/>
      <c r="AE26" s="403"/>
      <c r="AF26" s="409"/>
      <c r="AG26" s="400"/>
    </row>
    <row r="27" spans="1:33" x14ac:dyDescent="0.25">
      <c r="A27" s="360"/>
      <c r="B27" s="351"/>
      <c r="C27" s="26" t="str">
        <f>IF(VLOOKUP(B25,PROPONENTES!$B$10:$N$46,6,FALSE)="","",VLOOKUP(B25,PROPONENTES!$B$10:$N$46,6,FALSE))</f>
        <v/>
      </c>
      <c r="D27" s="36">
        <f>VLOOKUP(B25,PROPONENTES!$B$10:$N$46,7,FALSE)</f>
        <v>0</v>
      </c>
      <c r="E27" s="112"/>
      <c r="F27" s="112"/>
      <c r="G27" s="123" t="str">
        <f>+'3'!E17</f>
        <v/>
      </c>
      <c r="H27" s="124" t="str">
        <f>IF(C27="","",IF(G27&gt;'3'!$J$14*0.4,"SI","NO"))</f>
        <v/>
      </c>
      <c r="I27" s="26">
        <f t="shared" si="12"/>
        <v>0</v>
      </c>
      <c r="J27" s="351"/>
      <c r="K27" s="403"/>
      <c r="L27" s="409"/>
      <c r="M27" s="403"/>
      <c r="N27" s="409"/>
      <c r="O27" s="412"/>
      <c r="P27" s="193"/>
      <c r="Q27" s="412"/>
      <c r="R27" s="403"/>
      <c r="S27" s="114"/>
      <c r="T27" s="373"/>
      <c r="U27" s="114"/>
      <c r="V27" s="114"/>
      <c r="W27" s="114"/>
      <c r="X27" s="114"/>
      <c r="Y27" s="165">
        <f t="shared" si="0"/>
        <v>0</v>
      </c>
      <c r="Z27" s="373"/>
      <c r="AA27" s="114"/>
      <c r="AB27" s="114"/>
      <c r="AC27" s="165">
        <f t="shared" si="1"/>
        <v>0</v>
      </c>
      <c r="AD27" s="409"/>
      <c r="AE27" s="403"/>
      <c r="AF27" s="409"/>
      <c r="AG27" s="400"/>
    </row>
    <row r="28" spans="1:33" x14ac:dyDescent="0.25">
      <c r="A28" s="360"/>
      <c r="B28" s="351"/>
      <c r="C28" s="26" t="str">
        <f>IF(VLOOKUP(B25,PROPONENTES!$B$10:$N$46,8,FALSE)="","",VLOOKUP(B25,PROPONENTES!$B$10:$N$46,8,FALSE))</f>
        <v/>
      </c>
      <c r="D28" s="36">
        <f>VLOOKUP(B25,PROPONENTES!$B$10:$N$46,9,FALSE)</f>
        <v>0</v>
      </c>
      <c r="E28" s="112"/>
      <c r="F28" s="112"/>
      <c r="G28" s="123" t="str">
        <f>+'3'!E18</f>
        <v/>
      </c>
      <c r="H28" s="124" t="str">
        <f>IF(C28="","",IF(G28&gt;'3'!$J$14*0.4,"SI","NO"))</f>
        <v/>
      </c>
      <c r="I28" s="124">
        <f t="shared" si="12"/>
        <v>0</v>
      </c>
      <c r="J28" s="351"/>
      <c r="K28" s="403"/>
      <c r="L28" s="409"/>
      <c r="M28" s="403"/>
      <c r="N28" s="409"/>
      <c r="O28" s="412"/>
      <c r="P28" s="193"/>
      <c r="Q28" s="412"/>
      <c r="R28" s="403"/>
      <c r="S28" s="114"/>
      <c r="T28" s="373"/>
      <c r="U28" s="114"/>
      <c r="V28" s="114"/>
      <c r="W28" s="114"/>
      <c r="X28" s="114"/>
      <c r="Y28" s="165">
        <f t="shared" si="0"/>
        <v>0</v>
      </c>
      <c r="Z28" s="373"/>
      <c r="AA28" s="114"/>
      <c r="AB28" s="114"/>
      <c r="AC28" s="165">
        <f t="shared" si="1"/>
        <v>0</v>
      </c>
      <c r="AD28" s="409"/>
      <c r="AE28" s="403"/>
      <c r="AF28" s="409"/>
      <c r="AG28" s="400"/>
    </row>
    <row r="29" spans="1:33" ht="15.75" thickBot="1" x14ac:dyDescent="0.3">
      <c r="A29" s="361"/>
      <c r="B29" s="363"/>
      <c r="C29" s="48" t="str">
        <f>IF(VLOOKUP(B25,PROPONENTES!$B$10:$N$46,10,FALSE)="","",VLOOKUP(B25,PROPONENTES!$B$10:$N$46,10,FALSE))</f>
        <v/>
      </c>
      <c r="D29" s="49">
        <f>VLOOKUP(B25,PROPONENTES!$B$10:$N$46,11,FALSE)</f>
        <v>0</v>
      </c>
      <c r="E29" s="116"/>
      <c r="F29" s="116"/>
      <c r="G29" s="125" t="str">
        <f>+'3'!E19</f>
        <v/>
      </c>
      <c r="H29" s="126" t="str">
        <f>IF(C29="","",IF(G29&gt;'3'!$J$14*0.4,"SI","NO"))</f>
        <v/>
      </c>
      <c r="I29" s="126">
        <f t="shared" si="12"/>
        <v>0</v>
      </c>
      <c r="J29" s="363"/>
      <c r="K29" s="404"/>
      <c r="L29" s="410"/>
      <c r="M29" s="404"/>
      <c r="N29" s="410"/>
      <c r="O29" s="413"/>
      <c r="P29" s="194"/>
      <c r="Q29" s="413"/>
      <c r="R29" s="404"/>
      <c r="S29" s="198"/>
      <c r="T29" s="374"/>
      <c r="U29" s="146"/>
      <c r="V29" s="146"/>
      <c r="W29" s="146"/>
      <c r="X29" s="146"/>
      <c r="Y29" s="166">
        <f t="shared" si="0"/>
        <v>0</v>
      </c>
      <c r="Z29" s="374"/>
      <c r="AA29" s="146"/>
      <c r="AB29" s="146"/>
      <c r="AC29" s="166">
        <f t="shared" si="1"/>
        <v>0</v>
      </c>
      <c r="AD29" s="410"/>
      <c r="AE29" s="404"/>
      <c r="AF29" s="410"/>
      <c r="AG29" s="401"/>
    </row>
    <row r="30" spans="1:33" ht="15" customHeight="1" x14ac:dyDescent="0.25">
      <c r="A30" s="422">
        <v>4</v>
      </c>
      <c r="B30" s="425" t="str">
        <f>+PROPONENTES!B13</f>
        <v>ABDO JOSÉ SALGADO AYOLA</v>
      </c>
      <c r="C30" s="43" t="str">
        <f>IF(VLOOKUP(B30,PROPONENTES!$B$10:$N$46,2,FALSE)="","",VLOOKUP(B30,PROPONENTES!$B$10:$N$46,2,FALSE))</f>
        <v>ABDO JOSÉ SALGADO AYOLA</v>
      </c>
      <c r="D30" s="44">
        <f>VLOOKUP(B30,PROPONENTES!$B$10:$N$46,3,FALSE)</f>
        <v>1</v>
      </c>
      <c r="E30" s="107" t="s">
        <v>75</v>
      </c>
      <c r="F30" s="107" t="s">
        <v>75</v>
      </c>
      <c r="G30" s="121">
        <f>+'4'!E15</f>
        <v>0</v>
      </c>
      <c r="H30" s="122" t="str">
        <f>IF(C30="","",IF(G30&gt;'4'!$J$14*0.4,"SI","NO"))</f>
        <v>NO</v>
      </c>
      <c r="I30" s="43">
        <f t="shared" si="12"/>
        <v>0</v>
      </c>
      <c r="J30" s="362">
        <f t="shared" ref="J30" si="22">IF((I30+I31+I32+I33+I34)&gt;=1,1,0)</f>
        <v>0</v>
      </c>
      <c r="K30" s="428"/>
      <c r="L30" s="408">
        <f t="shared" ref="L30" si="23">IF(K30="CUMPLE",5,0)</f>
        <v>0</v>
      </c>
      <c r="M30" s="428"/>
      <c r="N30" s="408">
        <f t="shared" ref="N30" si="24">IF(M30="CUMPLE",5,0)</f>
        <v>0</v>
      </c>
      <c r="O30" s="411">
        <f t="shared" ref="O30" si="25">+L30+N30</f>
        <v>0</v>
      </c>
      <c r="P30" s="192"/>
      <c r="Q30" s="411" t="str">
        <f t="shared" ref="Q30" si="26">IF(OR(P30="REPORTADO",P31="REPORTADO",P32="REPORTADO",P33="REPORTADO",P34="REPORTADO"),-1,"0")</f>
        <v>0</v>
      </c>
      <c r="R30" s="402"/>
      <c r="S30" s="197"/>
      <c r="T30" s="414" t="str">
        <f t="shared" ref="T30" si="27">IF(AND(R30="",S30="",S31="",S32="",S33="",S34=""),"",IF(AND(R30="CUMPLE",S30="",S31="",S32="",S33="",S34=""),"",IF(AND(R30="CUMPLE",OR(S30="CUMPLE",S30=""),OR(S31="CUMPLE",S31=""),OR(S32="CUMPLE",S32=""),OR(S33="CUMPLE",S33=""),OR(S34="CUMPLE",S34="")),20,0)))</f>
        <v/>
      </c>
      <c r="U30" s="109"/>
      <c r="V30" s="109"/>
      <c r="W30" s="109"/>
      <c r="X30" s="109"/>
      <c r="Y30" s="164">
        <f t="shared" si="0"/>
        <v>0</v>
      </c>
      <c r="Z30" s="414">
        <f t="shared" ref="Z30" si="28">IF((Y30+Y31+Y32+Y33+Y34)&gt;=0.25,0.25,0)</f>
        <v>0</v>
      </c>
      <c r="AA30" s="109"/>
      <c r="AB30" s="109"/>
      <c r="AC30" s="164">
        <f t="shared" si="1"/>
        <v>0</v>
      </c>
      <c r="AD30" s="408">
        <f t="shared" ref="AD30" si="29">IF((AC30+AC31+AC32+AC33+AC34)&gt;=0.25,0.25,0)</f>
        <v>0</v>
      </c>
      <c r="AE30" s="402"/>
      <c r="AF30" s="408">
        <f t="shared" ref="AF30" si="30">IF(AE30="CUMPLE",1,0)</f>
        <v>0</v>
      </c>
      <c r="AG30" s="415" t="s">
        <v>309</v>
      </c>
    </row>
    <row r="31" spans="1:33" x14ac:dyDescent="0.25">
      <c r="A31" s="423"/>
      <c r="B31" s="426"/>
      <c r="C31" s="26" t="str">
        <f>IF(VLOOKUP(B30,PROPONENTES!$B$10:$N$46,4,FALSE)="","",VLOOKUP(B30,PROPONENTES!$B$10:$N$46,4,FALSE))</f>
        <v/>
      </c>
      <c r="D31" s="36">
        <f>VLOOKUP(B30,PROPONENTES!$B$10:$N$46,5,FALSE)</f>
        <v>0</v>
      </c>
      <c r="E31" s="112"/>
      <c r="F31" s="112"/>
      <c r="G31" s="123" t="str">
        <f>+'4'!E16</f>
        <v/>
      </c>
      <c r="H31" s="124" t="str">
        <f>IF(C31="","",IF(G31&gt;'4'!$J$14*0.4,"SI","NO"))</f>
        <v/>
      </c>
      <c r="I31" s="26">
        <f t="shared" si="12"/>
        <v>0</v>
      </c>
      <c r="J31" s="351"/>
      <c r="K31" s="429"/>
      <c r="L31" s="409"/>
      <c r="M31" s="429"/>
      <c r="N31" s="409"/>
      <c r="O31" s="412"/>
      <c r="P31" s="193"/>
      <c r="Q31" s="412"/>
      <c r="R31" s="403"/>
      <c r="S31" s="114"/>
      <c r="T31" s="373"/>
      <c r="U31" s="114"/>
      <c r="V31" s="114"/>
      <c r="W31" s="114"/>
      <c r="X31" s="114"/>
      <c r="Y31" s="165">
        <f t="shared" si="0"/>
        <v>0</v>
      </c>
      <c r="Z31" s="373"/>
      <c r="AA31" s="114"/>
      <c r="AB31" s="114"/>
      <c r="AC31" s="165">
        <f t="shared" si="1"/>
        <v>0</v>
      </c>
      <c r="AD31" s="409"/>
      <c r="AE31" s="403"/>
      <c r="AF31" s="409"/>
      <c r="AG31" s="416"/>
    </row>
    <row r="32" spans="1:33" x14ac:dyDescent="0.25">
      <c r="A32" s="423"/>
      <c r="B32" s="426"/>
      <c r="C32" s="26" t="str">
        <f>IF(VLOOKUP(B30,PROPONENTES!$B$10:$N$46,6,FALSE)="","",VLOOKUP(B30,PROPONENTES!$B$10:$N$46,6,FALSE))</f>
        <v/>
      </c>
      <c r="D32" s="36">
        <f>VLOOKUP(B30,PROPONENTES!$B$10:$N$46,7,FALSE)</f>
        <v>0</v>
      </c>
      <c r="E32" s="112"/>
      <c r="F32" s="112"/>
      <c r="G32" s="123" t="str">
        <f>+'4'!E17</f>
        <v/>
      </c>
      <c r="H32" s="124" t="str">
        <f>IF(C32="","",IF(G32&gt;'4'!$J$14*0.4,"SI","NO"))</f>
        <v/>
      </c>
      <c r="I32" s="26">
        <f t="shared" si="12"/>
        <v>0</v>
      </c>
      <c r="J32" s="351"/>
      <c r="K32" s="429"/>
      <c r="L32" s="409"/>
      <c r="M32" s="429"/>
      <c r="N32" s="409"/>
      <c r="O32" s="412"/>
      <c r="P32" s="193"/>
      <c r="Q32" s="412"/>
      <c r="R32" s="403"/>
      <c r="S32" s="114"/>
      <c r="T32" s="373"/>
      <c r="U32" s="114"/>
      <c r="V32" s="114"/>
      <c r="W32" s="114"/>
      <c r="X32" s="114"/>
      <c r="Y32" s="165">
        <f t="shared" si="0"/>
        <v>0</v>
      </c>
      <c r="Z32" s="373"/>
      <c r="AA32" s="114"/>
      <c r="AB32" s="114"/>
      <c r="AC32" s="165">
        <f t="shared" si="1"/>
        <v>0</v>
      </c>
      <c r="AD32" s="409"/>
      <c r="AE32" s="403"/>
      <c r="AF32" s="409"/>
      <c r="AG32" s="416"/>
    </row>
    <row r="33" spans="1:33" x14ac:dyDescent="0.25">
      <c r="A33" s="423"/>
      <c r="B33" s="426"/>
      <c r="C33" s="26" t="str">
        <f>IF(VLOOKUP(B30,PROPONENTES!$B$10:$N$46,8,FALSE)="","",VLOOKUP(B30,PROPONENTES!$B$10:$N$46,8,FALSE))</f>
        <v/>
      </c>
      <c r="D33" s="36">
        <f>VLOOKUP(B30,PROPONENTES!$B$10:$N$46,9,FALSE)</f>
        <v>0</v>
      </c>
      <c r="E33" s="112"/>
      <c r="F33" s="112"/>
      <c r="G33" s="123" t="str">
        <f>+'4'!E18</f>
        <v/>
      </c>
      <c r="H33" s="124" t="str">
        <f>IF(C33="","",IF(G33&gt;'4'!$J$14*0.4,"SI","NO"))</f>
        <v/>
      </c>
      <c r="I33" s="124">
        <f t="shared" si="12"/>
        <v>0</v>
      </c>
      <c r="J33" s="351"/>
      <c r="K33" s="429"/>
      <c r="L33" s="409"/>
      <c r="M33" s="429"/>
      <c r="N33" s="409"/>
      <c r="O33" s="412"/>
      <c r="P33" s="193"/>
      <c r="Q33" s="412"/>
      <c r="R33" s="403"/>
      <c r="S33" s="114"/>
      <c r="T33" s="373"/>
      <c r="U33" s="114"/>
      <c r="V33" s="114"/>
      <c r="W33" s="114"/>
      <c r="X33" s="114"/>
      <c r="Y33" s="165">
        <f t="shared" si="0"/>
        <v>0</v>
      </c>
      <c r="Z33" s="373"/>
      <c r="AA33" s="114"/>
      <c r="AB33" s="114"/>
      <c r="AC33" s="165">
        <f t="shared" si="1"/>
        <v>0</v>
      </c>
      <c r="AD33" s="409"/>
      <c r="AE33" s="403"/>
      <c r="AF33" s="409"/>
      <c r="AG33" s="416"/>
    </row>
    <row r="34" spans="1:33" ht="15.75" thickBot="1" x14ac:dyDescent="0.3">
      <c r="A34" s="424"/>
      <c r="B34" s="427"/>
      <c r="C34" s="48" t="str">
        <f>IF(VLOOKUP(B30,PROPONENTES!$B$10:$N$46,10,FALSE)="","",VLOOKUP(B30,PROPONENTES!$B$10:$N$46,10,FALSE))</f>
        <v/>
      </c>
      <c r="D34" s="49">
        <f>VLOOKUP(B30,PROPONENTES!$B$10:$N$46,11,FALSE)</f>
        <v>0</v>
      </c>
      <c r="E34" s="116"/>
      <c r="F34" s="116"/>
      <c r="G34" s="125" t="str">
        <f>+'4'!E19</f>
        <v/>
      </c>
      <c r="H34" s="126" t="str">
        <f>IF(C34="","",IF(G34&gt;'4'!$J$14*0.4,"SI","NO"))</f>
        <v/>
      </c>
      <c r="I34" s="126">
        <f t="shared" si="12"/>
        <v>0</v>
      </c>
      <c r="J34" s="363"/>
      <c r="K34" s="430"/>
      <c r="L34" s="410"/>
      <c r="M34" s="430"/>
      <c r="N34" s="410"/>
      <c r="O34" s="413"/>
      <c r="P34" s="194"/>
      <c r="Q34" s="413"/>
      <c r="R34" s="404"/>
      <c r="S34" s="198"/>
      <c r="T34" s="374"/>
      <c r="U34" s="146"/>
      <c r="V34" s="146"/>
      <c r="W34" s="146"/>
      <c r="X34" s="146"/>
      <c r="Y34" s="166">
        <f t="shared" si="0"/>
        <v>0</v>
      </c>
      <c r="Z34" s="374"/>
      <c r="AA34" s="146"/>
      <c r="AB34" s="146"/>
      <c r="AC34" s="166">
        <f t="shared" si="1"/>
        <v>0</v>
      </c>
      <c r="AD34" s="410"/>
      <c r="AE34" s="404"/>
      <c r="AF34" s="410"/>
      <c r="AG34" s="417"/>
    </row>
    <row r="35" spans="1:33" x14ac:dyDescent="0.25">
      <c r="A35" s="359">
        <v>5</v>
      </c>
      <c r="B35" s="362" t="str">
        <f>+PROPONENTES!B14</f>
        <v>PRODEINCOL S.A.S.</v>
      </c>
      <c r="C35" s="43" t="str">
        <f>IF(VLOOKUP(B35,PROPONENTES!$B$10:$N$46,2,FALSE)="","",VLOOKUP(B35,PROPONENTES!$B$10:$N$46,2,FALSE))</f>
        <v>PRODEINCOL S.A.S.</v>
      </c>
      <c r="D35" s="44">
        <f>VLOOKUP(B35,PROPONENTES!$B$10:$N$46,3,FALSE)</f>
        <v>1</v>
      </c>
      <c r="E35" s="107" t="s">
        <v>73</v>
      </c>
      <c r="F35" s="107" t="s">
        <v>73</v>
      </c>
      <c r="G35" s="121">
        <f>+'5'!E15</f>
        <v>685.875</v>
      </c>
      <c r="H35" s="122" t="str">
        <f>IF(C35="","",IF(G35&gt;'5'!$J$14*0.4,"SI","NO"))</f>
        <v>SI</v>
      </c>
      <c r="I35" s="43">
        <f t="shared" si="12"/>
        <v>0</v>
      </c>
      <c r="J35" s="362">
        <f t="shared" ref="J35" si="31">IF((I35+I36+I37+I38+I39)&gt;=1,1,0)</f>
        <v>0</v>
      </c>
      <c r="K35" s="428" t="s">
        <v>14</v>
      </c>
      <c r="L35" s="408">
        <f t="shared" ref="L35" si="32">IF(K35="CUMPLE",5,0)</f>
        <v>5</v>
      </c>
      <c r="M35" s="428" t="s">
        <v>14</v>
      </c>
      <c r="N35" s="408">
        <f t="shared" ref="N35" si="33">IF(M35="CUMPLE",5,0)</f>
        <v>5</v>
      </c>
      <c r="O35" s="411">
        <f t="shared" ref="O35" si="34">+L35+N35</f>
        <v>10</v>
      </c>
      <c r="P35" s="193" t="s">
        <v>110</v>
      </c>
      <c r="Q35" s="411" t="str">
        <f t="shared" ref="Q35" si="35">IF(OR(P35="REPORTADO",P36="REPORTADO",P37="REPORTADO",P38="REPORTADO",P39="REPORTADO"),-1,"0")</f>
        <v>0</v>
      </c>
      <c r="R35" s="402" t="s">
        <v>14</v>
      </c>
      <c r="S35" s="197" t="s">
        <v>14</v>
      </c>
      <c r="T35" s="414">
        <f t="shared" ref="T35" si="36">IF(AND(R35="",S35="",S36="",S37="",S38="",S39=""),"",IF(AND(R35="CUMPLE",S35="",S36="",S37="",S38="",S39=""),"",IF(AND(R35="CUMPLE",OR(S35="CUMPLE",S35=""),OR(S36="CUMPLE",S36=""),OR(S37="CUMPLE",S37=""),OR(S38="CUMPLE",S38=""),OR(S39="CUMPLE",S39="")),20,0)))</f>
        <v>20</v>
      </c>
      <c r="U35" s="200" t="s">
        <v>14</v>
      </c>
      <c r="V35" s="200" t="s">
        <v>14</v>
      </c>
      <c r="W35" s="200" t="s">
        <v>14</v>
      </c>
      <c r="X35" s="200" t="s">
        <v>14</v>
      </c>
      <c r="Y35" s="164">
        <f t="shared" si="0"/>
        <v>0.25</v>
      </c>
      <c r="Z35" s="414">
        <f t="shared" ref="Z35" si="37">IF((Y35+Y36+Y37+Y38+Y39)&gt;=0.25,0.25,0)</f>
        <v>0.25</v>
      </c>
      <c r="AA35" s="109" t="s">
        <v>14</v>
      </c>
      <c r="AB35" s="109" t="s">
        <v>14</v>
      </c>
      <c r="AC35" s="164">
        <f t="shared" si="1"/>
        <v>0.25</v>
      </c>
      <c r="AD35" s="408">
        <f t="shared" ref="AD35" si="38">IF((AC35+AC36+AC37+AC38+AC39)&gt;=0.25,0.25,0)</f>
        <v>0.25</v>
      </c>
      <c r="AE35" s="402" t="s">
        <v>14</v>
      </c>
      <c r="AF35" s="408">
        <f t="shared" ref="AF35" si="39">IF(AE35="CUMPLE",1,0)</f>
        <v>1</v>
      </c>
      <c r="AG35" s="449" t="s">
        <v>579</v>
      </c>
    </row>
    <row r="36" spans="1:33" x14ac:dyDescent="0.25">
      <c r="A36" s="360"/>
      <c r="B36" s="351"/>
      <c r="C36" s="26" t="str">
        <f>IF(VLOOKUP(B35,PROPONENTES!$B$10:$N$46,4,FALSE)="","",VLOOKUP(B35,PROPONENTES!$B$10:$N$46,4,FALSE))</f>
        <v/>
      </c>
      <c r="D36" s="36">
        <f>VLOOKUP(B35,PROPONENTES!$B$10:$N$46,5,FALSE)</f>
        <v>0</v>
      </c>
      <c r="E36" s="112"/>
      <c r="F36" s="112"/>
      <c r="G36" s="123" t="str">
        <f>+'5'!E16</f>
        <v/>
      </c>
      <c r="H36" s="124" t="str">
        <f>IF(C36="","",IF(G36&gt;'5'!$J$14*0.4,"SI","NO"))</f>
        <v/>
      </c>
      <c r="I36" s="26">
        <f t="shared" si="12"/>
        <v>0</v>
      </c>
      <c r="J36" s="351"/>
      <c r="K36" s="429"/>
      <c r="L36" s="409"/>
      <c r="M36" s="429"/>
      <c r="N36" s="409"/>
      <c r="O36" s="412"/>
      <c r="P36" s="193"/>
      <c r="Q36" s="412"/>
      <c r="R36" s="403"/>
      <c r="S36" s="114"/>
      <c r="T36" s="373"/>
      <c r="U36" s="114"/>
      <c r="V36" s="114"/>
      <c r="W36" s="114"/>
      <c r="X36" s="114"/>
      <c r="Y36" s="165">
        <f t="shared" si="0"/>
        <v>0</v>
      </c>
      <c r="Z36" s="373"/>
      <c r="AA36" s="114"/>
      <c r="AB36" s="114"/>
      <c r="AC36" s="165">
        <f t="shared" si="1"/>
        <v>0</v>
      </c>
      <c r="AD36" s="409"/>
      <c r="AE36" s="403"/>
      <c r="AF36" s="409"/>
      <c r="AG36" s="400"/>
    </row>
    <row r="37" spans="1:33" x14ac:dyDescent="0.25">
      <c r="A37" s="360"/>
      <c r="B37" s="351"/>
      <c r="C37" s="26" t="str">
        <f>IF(VLOOKUP(B35,PROPONENTES!$B$10:$N$46,6,FALSE)="","",VLOOKUP(B35,PROPONENTES!$B$10:$N$46,6,FALSE))</f>
        <v/>
      </c>
      <c r="D37" s="36">
        <f>VLOOKUP(B35,PROPONENTES!$B$10:$N$46,7,FALSE)</f>
        <v>0</v>
      </c>
      <c r="E37" s="112"/>
      <c r="F37" s="112"/>
      <c r="G37" s="123" t="str">
        <f>+'5'!E17</f>
        <v/>
      </c>
      <c r="H37" s="124" t="str">
        <f>IF(C37="","",IF(G37&gt;'5'!$J$14*0.4,"SI","NO"))</f>
        <v/>
      </c>
      <c r="I37" s="26">
        <f t="shared" si="12"/>
        <v>0</v>
      </c>
      <c r="J37" s="351"/>
      <c r="K37" s="429"/>
      <c r="L37" s="409"/>
      <c r="M37" s="429"/>
      <c r="N37" s="409"/>
      <c r="O37" s="412"/>
      <c r="P37" s="193"/>
      <c r="Q37" s="412"/>
      <c r="R37" s="403"/>
      <c r="S37" s="114"/>
      <c r="T37" s="373"/>
      <c r="U37" s="114"/>
      <c r="V37" s="114"/>
      <c r="W37" s="114"/>
      <c r="X37" s="114"/>
      <c r="Y37" s="165">
        <f t="shared" si="0"/>
        <v>0</v>
      </c>
      <c r="Z37" s="373"/>
      <c r="AA37" s="114"/>
      <c r="AB37" s="114"/>
      <c r="AC37" s="165">
        <f t="shared" si="1"/>
        <v>0</v>
      </c>
      <c r="AD37" s="409"/>
      <c r="AE37" s="403"/>
      <c r="AF37" s="409"/>
      <c r="AG37" s="400"/>
    </row>
    <row r="38" spans="1:33" x14ac:dyDescent="0.25">
      <c r="A38" s="360"/>
      <c r="B38" s="351"/>
      <c r="C38" s="26" t="str">
        <f>IF(VLOOKUP(B35,PROPONENTES!$B$10:$N$46,8,FALSE)="","",VLOOKUP(B35,PROPONENTES!$B$10:$N$46,8,FALSE))</f>
        <v/>
      </c>
      <c r="D38" s="36">
        <f>VLOOKUP(B35,PROPONENTES!$B$10:$N$46,9,FALSE)</f>
        <v>0</v>
      </c>
      <c r="E38" s="112"/>
      <c r="F38" s="112"/>
      <c r="G38" s="123" t="str">
        <f>+'5'!E18</f>
        <v/>
      </c>
      <c r="H38" s="124" t="str">
        <f>IF(C38="","",IF(G38&gt;'5'!$J$14*0.4,"SI","NO"))</f>
        <v/>
      </c>
      <c r="I38" s="124">
        <f t="shared" si="12"/>
        <v>0</v>
      </c>
      <c r="J38" s="351"/>
      <c r="K38" s="429"/>
      <c r="L38" s="409"/>
      <c r="M38" s="429"/>
      <c r="N38" s="409"/>
      <c r="O38" s="412"/>
      <c r="P38" s="193"/>
      <c r="Q38" s="412"/>
      <c r="R38" s="403"/>
      <c r="S38" s="114"/>
      <c r="T38" s="373"/>
      <c r="U38" s="114"/>
      <c r="V38" s="114"/>
      <c r="W38" s="114"/>
      <c r="X38" s="114"/>
      <c r="Y38" s="165">
        <f t="shared" si="0"/>
        <v>0</v>
      </c>
      <c r="Z38" s="373"/>
      <c r="AA38" s="114"/>
      <c r="AB38" s="114"/>
      <c r="AC38" s="165">
        <f t="shared" si="1"/>
        <v>0</v>
      </c>
      <c r="AD38" s="409"/>
      <c r="AE38" s="403"/>
      <c r="AF38" s="409"/>
      <c r="AG38" s="400"/>
    </row>
    <row r="39" spans="1:33" ht="15.75" thickBot="1" x14ac:dyDescent="0.3">
      <c r="A39" s="361"/>
      <c r="B39" s="363"/>
      <c r="C39" s="48" t="str">
        <f>IF(VLOOKUP(B35,PROPONENTES!$B$10:$N$46,10,FALSE)="","",VLOOKUP(B35,PROPONENTES!$B$10:$N$46,10,FALSE))</f>
        <v/>
      </c>
      <c r="D39" s="49">
        <f>VLOOKUP(B35,PROPONENTES!$B$10:$N$46,11,FALSE)</f>
        <v>0</v>
      </c>
      <c r="E39" s="116"/>
      <c r="F39" s="116"/>
      <c r="G39" s="125" t="str">
        <f>+'5'!E19</f>
        <v/>
      </c>
      <c r="H39" s="126" t="str">
        <f>IF(C39="","",IF(G39&gt;'5'!$J$14*0.4,"SI","NO"))</f>
        <v/>
      </c>
      <c r="I39" s="126">
        <f t="shared" si="12"/>
        <v>0</v>
      </c>
      <c r="J39" s="363"/>
      <c r="K39" s="430"/>
      <c r="L39" s="410"/>
      <c r="M39" s="430"/>
      <c r="N39" s="410"/>
      <c r="O39" s="413"/>
      <c r="P39" s="194"/>
      <c r="Q39" s="413"/>
      <c r="R39" s="404"/>
      <c r="S39" s="198"/>
      <c r="T39" s="374"/>
      <c r="U39" s="146"/>
      <c r="V39" s="146"/>
      <c r="W39" s="146"/>
      <c r="X39" s="146"/>
      <c r="Y39" s="166">
        <f t="shared" si="0"/>
        <v>0</v>
      </c>
      <c r="Z39" s="374"/>
      <c r="AA39" s="146"/>
      <c r="AB39" s="146"/>
      <c r="AC39" s="166">
        <f t="shared" si="1"/>
        <v>0</v>
      </c>
      <c r="AD39" s="410"/>
      <c r="AE39" s="404"/>
      <c r="AF39" s="410"/>
      <c r="AG39" s="401"/>
    </row>
    <row r="40" spans="1:33" ht="21.75" customHeight="1" x14ac:dyDescent="0.25">
      <c r="A40" s="359">
        <v>6</v>
      </c>
      <c r="B40" s="362" t="str">
        <f>+PROPONENTES!B15</f>
        <v>CONSORCIO INTERVEP KM</v>
      </c>
      <c r="C40" s="43" t="str">
        <f>IF(VLOOKUP(B40,PROPONENTES!$B$10:$N$46,2,FALSE)="","",VLOOKUP(B40,PROPONENTES!$B$10:$N$46,2,FALSE))</f>
        <v>KALPA INGENIERIA SAS SOCIEDAD DE BENEFICIO E INTERES COLECTIVO - BIC</v>
      </c>
      <c r="D40" s="44">
        <f>VLOOKUP(B40,PROPONENTES!$B$10:$N$46,3,FALSE)</f>
        <v>0.99</v>
      </c>
      <c r="E40" s="107" t="s">
        <v>75</v>
      </c>
      <c r="F40" s="107" t="s">
        <v>75</v>
      </c>
      <c r="G40" s="121">
        <f>+'6'!E15</f>
        <v>525.65</v>
      </c>
      <c r="H40" s="122" t="str">
        <f>IF(C40="","",IF(G40&gt;='6'!$J$14*0.4,"SI","NO"))</f>
        <v>SI</v>
      </c>
      <c r="I40" s="43">
        <f t="shared" si="12"/>
        <v>1</v>
      </c>
      <c r="J40" s="362">
        <f t="shared" ref="J40" si="40">IF((I40+I41+I42+I43+I44)&gt;=1,1,0)</f>
        <v>1</v>
      </c>
      <c r="K40" s="402" t="s">
        <v>14</v>
      </c>
      <c r="L40" s="408">
        <f t="shared" ref="L40" si="41">IF(K40="CUMPLE",5,0)</f>
        <v>5</v>
      </c>
      <c r="M40" s="402" t="s">
        <v>14</v>
      </c>
      <c r="N40" s="408">
        <f t="shared" ref="N40" si="42">IF(M40="CUMPLE",5,0)</f>
        <v>5</v>
      </c>
      <c r="O40" s="411">
        <f t="shared" ref="O40" si="43">+L40+N40</f>
        <v>10</v>
      </c>
      <c r="P40" s="192" t="s">
        <v>110</v>
      </c>
      <c r="Q40" s="411" t="str">
        <f t="shared" ref="Q40" si="44">IF(OR(P40="REPORTADO",P41="REPORTADO",P42="REPORTADO",P43="REPORTADO",P44="REPORTADO"),-1,"0")</f>
        <v>0</v>
      </c>
      <c r="R40" s="402" t="s">
        <v>14</v>
      </c>
      <c r="S40" s="197" t="s">
        <v>14</v>
      </c>
      <c r="T40" s="414">
        <f t="shared" ref="T40" si="45">IF(AND(R40="",S40="",S41="",S42="",S43="",S44=""),"",IF(AND(R40="CUMPLE",S40="",S41="",S42="",S43="",S44=""),"",IF(AND(R40="CUMPLE",OR(S40="CUMPLE",S40=""),OR(S41="CUMPLE",S41=""),OR(S42="CUMPLE",S42=""),OR(S43="CUMPLE",S43=""),OR(S44="CUMPLE",S44="")),20,0)))</f>
        <v>20</v>
      </c>
      <c r="U40" s="109" t="s">
        <v>14</v>
      </c>
      <c r="V40" s="109" t="s">
        <v>14</v>
      </c>
      <c r="W40" s="109" t="s">
        <v>13</v>
      </c>
      <c r="X40" s="109" t="s">
        <v>13</v>
      </c>
      <c r="Y40" s="164">
        <f t="shared" si="0"/>
        <v>0.25</v>
      </c>
      <c r="Z40" s="414">
        <f t="shared" ref="Z40" si="46">IF((Y40+Y41+Y42+Y43+Y44)&gt;=0.25,0.25,0)</f>
        <v>0.25</v>
      </c>
      <c r="AA40" s="109" t="s">
        <v>14</v>
      </c>
      <c r="AB40" s="109" t="s">
        <v>14</v>
      </c>
      <c r="AC40" s="164">
        <f t="shared" si="1"/>
        <v>0.25</v>
      </c>
      <c r="AD40" s="408">
        <f t="shared" ref="AD40" si="47">IF((AC40+AC41+AC42+AC43+AC44)&gt;=0.25,0.25,0)</f>
        <v>0.25</v>
      </c>
      <c r="AE40" s="402" t="s">
        <v>14</v>
      </c>
      <c r="AF40" s="408">
        <f t="shared" ref="AF40" si="48">IF(AE40="CUMPLE",1,0)</f>
        <v>1</v>
      </c>
      <c r="AG40" s="449"/>
    </row>
    <row r="41" spans="1:33" ht="75" customHeight="1" x14ac:dyDescent="0.25">
      <c r="A41" s="360"/>
      <c r="B41" s="351"/>
      <c r="C41" s="26" t="str">
        <f>IF(VLOOKUP(B40,PROPONENTES!$B$10:$N$46,4,FALSE)="","",VLOOKUP(B40,PROPONENTES!$B$10:$N$46,4,FALSE))</f>
        <v xml:space="preserve"> MEDINA &amp; RIVERA INGENIEROS ASOCIADOS SAS</v>
      </c>
      <c r="D41" s="36">
        <f>VLOOKUP(B40,PROPONENTES!$B$10:$N$46,5,FALSE)</f>
        <v>0.01</v>
      </c>
      <c r="E41" s="112" t="s">
        <v>75</v>
      </c>
      <c r="F41" s="112" t="s">
        <v>75</v>
      </c>
      <c r="G41" s="123">
        <f>+'6'!E16</f>
        <v>3436.9250000000002</v>
      </c>
      <c r="H41" s="124" t="str">
        <f>IF(C41="","",IF(G41&gt;'6'!$J$14*0.4,"SI","NO"))</f>
        <v>SI</v>
      </c>
      <c r="I41" s="26">
        <f t="shared" si="12"/>
        <v>1</v>
      </c>
      <c r="J41" s="351"/>
      <c r="K41" s="403"/>
      <c r="L41" s="409"/>
      <c r="M41" s="403"/>
      <c r="N41" s="409"/>
      <c r="O41" s="412"/>
      <c r="P41" s="193" t="s">
        <v>110</v>
      </c>
      <c r="Q41" s="412"/>
      <c r="R41" s="403"/>
      <c r="S41" s="114" t="s">
        <v>14</v>
      </c>
      <c r="T41" s="373"/>
      <c r="U41" s="114" t="s">
        <v>13</v>
      </c>
      <c r="V41" s="114"/>
      <c r="W41" s="114"/>
      <c r="X41" s="114"/>
      <c r="Y41" s="165">
        <f t="shared" si="0"/>
        <v>0</v>
      </c>
      <c r="Z41" s="373"/>
      <c r="AA41" s="114" t="s">
        <v>14</v>
      </c>
      <c r="AB41" s="114" t="s">
        <v>14</v>
      </c>
      <c r="AC41" s="165">
        <f t="shared" si="1"/>
        <v>0</v>
      </c>
      <c r="AD41" s="409"/>
      <c r="AE41" s="403"/>
      <c r="AF41" s="409"/>
      <c r="AG41" s="400"/>
    </row>
    <row r="42" spans="1:33" x14ac:dyDescent="0.25">
      <c r="A42" s="360"/>
      <c r="B42" s="351"/>
      <c r="C42" s="26" t="str">
        <f>IF(VLOOKUP(B40,PROPONENTES!$B$10:$N$46,6,FALSE)="","",VLOOKUP(B40,PROPONENTES!$B$10:$N$46,6,FALSE))</f>
        <v/>
      </c>
      <c r="D42" s="36">
        <f>VLOOKUP(B40,PROPONENTES!$B$10:$N$46,7,FALSE)</f>
        <v>0</v>
      </c>
      <c r="E42" s="112"/>
      <c r="F42" s="112"/>
      <c r="G42" s="123" t="str">
        <f>+'6'!E17</f>
        <v/>
      </c>
      <c r="H42" s="124" t="str">
        <f>IF(C42="","",IF(G42&gt;'6'!$J$14*0.4,"SI","NO"))</f>
        <v/>
      </c>
      <c r="I42" s="26">
        <f t="shared" si="12"/>
        <v>0</v>
      </c>
      <c r="J42" s="351"/>
      <c r="K42" s="403"/>
      <c r="L42" s="409"/>
      <c r="M42" s="403"/>
      <c r="N42" s="409"/>
      <c r="O42" s="412"/>
      <c r="P42" s="193"/>
      <c r="Q42" s="412"/>
      <c r="R42" s="403"/>
      <c r="S42" s="114"/>
      <c r="T42" s="373"/>
      <c r="U42" s="114"/>
      <c r="V42" s="114"/>
      <c r="W42" s="114"/>
      <c r="X42" s="114"/>
      <c r="Y42" s="165">
        <f t="shared" si="0"/>
        <v>0</v>
      </c>
      <c r="Z42" s="373"/>
      <c r="AA42" s="114"/>
      <c r="AB42" s="114"/>
      <c r="AC42" s="165">
        <f t="shared" si="1"/>
        <v>0</v>
      </c>
      <c r="AD42" s="409"/>
      <c r="AE42" s="403"/>
      <c r="AF42" s="409"/>
      <c r="AG42" s="400"/>
    </row>
    <row r="43" spans="1:33" x14ac:dyDescent="0.25">
      <c r="A43" s="360"/>
      <c r="B43" s="351"/>
      <c r="C43" s="26" t="str">
        <f>IF(VLOOKUP(B40,PROPONENTES!$B$10:$N$46,8,FALSE)="","",VLOOKUP(B40,PROPONENTES!$B$10:$N$46,8,FALSE))</f>
        <v/>
      </c>
      <c r="D43" s="36">
        <f>VLOOKUP(B40,PROPONENTES!$B$10:$N$46,9,FALSE)</f>
        <v>0</v>
      </c>
      <c r="E43" s="112"/>
      <c r="F43" s="112"/>
      <c r="G43" s="123" t="str">
        <f>+'6'!E18</f>
        <v/>
      </c>
      <c r="H43" s="124" t="str">
        <f>IF(C43="","",IF(G43&gt;'6'!$J$14*0.4,"SI","NO"))</f>
        <v/>
      </c>
      <c r="I43" s="124">
        <f t="shared" si="12"/>
        <v>0</v>
      </c>
      <c r="J43" s="351"/>
      <c r="K43" s="403"/>
      <c r="L43" s="409"/>
      <c r="M43" s="403"/>
      <c r="N43" s="409"/>
      <c r="O43" s="412"/>
      <c r="P43" s="193"/>
      <c r="Q43" s="412"/>
      <c r="R43" s="403"/>
      <c r="S43" s="114"/>
      <c r="T43" s="373"/>
      <c r="U43" s="114"/>
      <c r="V43" s="114"/>
      <c r="W43" s="114"/>
      <c r="X43" s="114"/>
      <c r="Y43" s="165">
        <f t="shared" si="0"/>
        <v>0</v>
      </c>
      <c r="Z43" s="373"/>
      <c r="AA43" s="114"/>
      <c r="AB43" s="114"/>
      <c r="AC43" s="165">
        <f t="shared" si="1"/>
        <v>0</v>
      </c>
      <c r="AD43" s="409"/>
      <c r="AE43" s="403"/>
      <c r="AF43" s="409"/>
      <c r="AG43" s="400"/>
    </row>
    <row r="44" spans="1:33" ht="15.75" thickBot="1" x14ac:dyDescent="0.3">
      <c r="A44" s="361"/>
      <c r="B44" s="363"/>
      <c r="C44" s="48" t="str">
        <f>IF(VLOOKUP(B40,PROPONENTES!$B$10:$N$46,10,FALSE)="","",VLOOKUP(B40,PROPONENTES!$B$10:$N$46,10,FALSE))</f>
        <v/>
      </c>
      <c r="D44" s="49">
        <f>VLOOKUP(B40,PROPONENTES!$B$10:$N$46,11,FALSE)</f>
        <v>0</v>
      </c>
      <c r="E44" s="116"/>
      <c r="F44" s="116"/>
      <c r="G44" s="125" t="str">
        <f>+'6'!E19</f>
        <v/>
      </c>
      <c r="H44" s="126" t="str">
        <f>IF(C44="","",IF(G44&gt;'6'!$J$14*0.4,"SI","NO"))</f>
        <v/>
      </c>
      <c r="I44" s="126">
        <f t="shared" si="12"/>
        <v>0</v>
      </c>
      <c r="J44" s="363"/>
      <c r="K44" s="404"/>
      <c r="L44" s="410"/>
      <c r="M44" s="404"/>
      <c r="N44" s="410"/>
      <c r="O44" s="413"/>
      <c r="P44" s="194"/>
      <c r="Q44" s="413"/>
      <c r="R44" s="404"/>
      <c r="S44" s="198"/>
      <c r="T44" s="374"/>
      <c r="U44" s="146"/>
      <c r="V44" s="146"/>
      <c r="W44" s="146"/>
      <c r="X44" s="146"/>
      <c r="Y44" s="166">
        <f t="shared" si="0"/>
        <v>0</v>
      </c>
      <c r="Z44" s="374"/>
      <c r="AA44" s="146"/>
      <c r="AB44" s="146"/>
      <c r="AC44" s="166">
        <f t="shared" si="1"/>
        <v>0</v>
      </c>
      <c r="AD44" s="410"/>
      <c r="AE44" s="404"/>
      <c r="AF44" s="410"/>
      <c r="AG44" s="401"/>
    </row>
    <row r="45" spans="1:33" ht="30" x14ac:dyDescent="0.25">
      <c r="A45" s="359">
        <v>7</v>
      </c>
      <c r="B45" s="362" t="str">
        <f>+PROPONENTES!B16</f>
        <v>CONSULTORES DEL OCCIDENTE SAS</v>
      </c>
      <c r="C45" s="43" t="str">
        <f>IF(VLOOKUP(B45,PROPONENTES!$B$10:$N$46,2,FALSE)="","",VLOOKUP(B45,PROPONENTES!$B$10:$N$46,2,FALSE))</f>
        <v>CONSULTORES DEL OCCIDENTE SAS</v>
      </c>
      <c r="D45" s="44">
        <f>VLOOKUP(B45,PROPONENTES!$B$10:$N$46,3,FALSE)</f>
        <v>1</v>
      </c>
      <c r="E45" s="107" t="s">
        <v>75</v>
      </c>
      <c r="F45" s="107" t="s">
        <v>75</v>
      </c>
      <c r="G45" s="121">
        <f>+'7'!E15</f>
        <v>1988.0650000000001</v>
      </c>
      <c r="H45" s="122" t="str">
        <f>IF(C45="","",IF(G45&gt;'7'!$J$14*0.4,"SI","NO"))</f>
        <v>SI</v>
      </c>
      <c r="I45" s="43">
        <f t="shared" si="12"/>
        <v>1</v>
      </c>
      <c r="J45" s="362">
        <f t="shared" ref="J45" si="49">IF((I45+I46+I47+I48+I49)&gt;=1,1,0)</f>
        <v>1</v>
      </c>
      <c r="K45" s="402" t="s">
        <v>14</v>
      </c>
      <c r="L45" s="408">
        <f t="shared" ref="L45" si="50">IF(K45="CUMPLE",5,0)</f>
        <v>5</v>
      </c>
      <c r="M45" s="402" t="s">
        <v>14</v>
      </c>
      <c r="N45" s="408">
        <f t="shared" ref="N45" si="51">IF(M45="CUMPLE",5,0)</f>
        <v>5</v>
      </c>
      <c r="O45" s="411">
        <f t="shared" ref="O45" si="52">+L45+N45</f>
        <v>10</v>
      </c>
      <c r="P45" s="192" t="s">
        <v>110</v>
      </c>
      <c r="Q45" s="411" t="str">
        <f t="shared" ref="Q45" si="53">IF(OR(P45="REPORTADO",P46="REPORTADO",P47="REPORTADO",P48="REPORTADO",P49="REPORTADO"),-1,"0")</f>
        <v>0</v>
      </c>
      <c r="R45" s="402" t="s">
        <v>14</v>
      </c>
      <c r="S45" s="197" t="s">
        <v>14</v>
      </c>
      <c r="T45" s="414">
        <f t="shared" ref="T45:T105" si="54">IF(AND(R45="",S45="",S46="",S47="",S48="",S49=""),"",IF(AND(R45="CUMPLE",S45="",S46="",S47="",S48="",S49=""),"",IF(AND(R45="CUMPLE",OR(S45="CUMPLE",S45=""),OR(S46="CUMPLE",S46=""),OR(S47="CUMPLE",S47=""),OR(S48="CUMPLE",S48=""),OR(S49="CUMPLE",S49="")),20,0)))</f>
        <v>20</v>
      </c>
      <c r="U45" s="109" t="s">
        <v>14</v>
      </c>
      <c r="V45" s="109" t="s">
        <v>14</v>
      </c>
      <c r="W45" s="109" t="s">
        <v>13</v>
      </c>
      <c r="X45" s="109" t="s">
        <v>13</v>
      </c>
      <c r="Y45" s="164">
        <f t="shared" si="0"/>
        <v>0.25</v>
      </c>
      <c r="Z45" s="414">
        <f t="shared" ref="Z45" si="55">IF((Y45+Y46+Y47+Y48+Y49)&gt;=0.25,0.25,0)</f>
        <v>0.25</v>
      </c>
      <c r="AA45" s="109" t="s">
        <v>14</v>
      </c>
      <c r="AB45" s="109" t="s">
        <v>14</v>
      </c>
      <c r="AC45" s="164">
        <f t="shared" si="1"/>
        <v>0.25</v>
      </c>
      <c r="AD45" s="408">
        <f t="shared" ref="AD45" si="56">IF((AC45+AC46+AC47+AC48+AC49)&gt;=0.25,0.25,0)</f>
        <v>0.25</v>
      </c>
      <c r="AE45" s="402" t="s">
        <v>14</v>
      </c>
      <c r="AF45" s="408">
        <f t="shared" ref="AF45" si="57">IF(AE45="CUMPLE",1,0)</f>
        <v>1</v>
      </c>
      <c r="AG45" s="399"/>
    </row>
    <row r="46" spans="1:33" x14ac:dyDescent="0.25">
      <c r="A46" s="360"/>
      <c r="B46" s="351"/>
      <c r="C46" s="26" t="str">
        <f>IF(VLOOKUP(B45,PROPONENTES!$B$10:$N$46,4,FALSE)="","",VLOOKUP(B45,PROPONENTES!$B$10:$N$46,4,FALSE))</f>
        <v/>
      </c>
      <c r="D46" s="36">
        <f>VLOOKUP(B45,PROPONENTES!$B$10:$N$46,5,FALSE)</f>
        <v>0</v>
      </c>
      <c r="E46" s="112"/>
      <c r="F46" s="112"/>
      <c r="G46" s="123" t="str">
        <f>+'7'!E16</f>
        <v/>
      </c>
      <c r="H46" s="124" t="str">
        <f>IF(C46="","",IF(G46&gt;'7'!$J$14*0.4,"SI","NO"))</f>
        <v/>
      </c>
      <c r="I46" s="26">
        <f t="shared" si="12"/>
        <v>0</v>
      </c>
      <c r="J46" s="351"/>
      <c r="K46" s="403"/>
      <c r="L46" s="409"/>
      <c r="M46" s="403"/>
      <c r="N46" s="409"/>
      <c r="O46" s="412"/>
      <c r="P46" s="193"/>
      <c r="Q46" s="412"/>
      <c r="R46" s="403"/>
      <c r="S46" s="114"/>
      <c r="T46" s="373"/>
      <c r="U46" s="114"/>
      <c r="V46" s="114"/>
      <c r="W46" s="114"/>
      <c r="X46" s="114"/>
      <c r="Y46" s="165">
        <f t="shared" si="0"/>
        <v>0</v>
      </c>
      <c r="Z46" s="373"/>
      <c r="AA46" s="114"/>
      <c r="AB46" s="114"/>
      <c r="AC46" s="165">
        <f t="shared" si="1"/>
        <v>0</v>
      </c>
      <c r="AD46" s="409"/>
      <c r="AE46" s="403"/>
      <c r="AF46" s="409"/>
      <c r="AG46" s="400"/>
    </row>
    <row r="47" spans="1:33" x14ac:dyDescent="0.25">
      <c r="A47" s="360"/>
      <c r="B47" s="351"/>
      <c r="C47" s="26" t="str">
        <f>IF(VLOOKUP(B45,PROPONENTES!$B$10:$N$46,6,FALSE)="","",VLOOKUP(B45,PROPONENTES!$B$10:$N$46,6,FALSE))</f>
        <v/>
      </c>
      <c r="D47" s="36">
        <f>VLOOKUP(B45,PROPONENTES!$B$10:$N$46,7,FALSE)</f>
        <v>0</v>
      </c>
      <c r="E47" s="112"/>
      <c r="F47" s="112"/>
      <c r="G47" s="123" t="str">
        <f>+'7'!E17</f>
        <v/>
      </c>
      <c r="H47" s="124" t="str">
        <f>IF(C47="","",IF(G47&gt;'7'!$J$14*0.4,"SI","NO"))</f>
        <v/>
      </c>
      <c r="I47" s="26">
        <f t="shared" si="12"/>
        <v>0</v>
      </c>
      <c r="J47" s="351"/>
      <c r="K47" s="403"/>
      <c r="L47" s="409"/>
      <c r="M47" s="403"/>
      <c r="N47" s="409"/>
      <c r="O47" s="412"/>
      <c r="P47" s="193"/>
      <c r="Q47" s="412"/>
      <c r="R47" s="403"/>
      <c r="S47" s="114"/>
      <c r="T47" s="373"/>
      <c r="U47" s="114"/>
      <c r="V47" s="114"/>
      <c r="W47" s="114"/>
      <c r="X47" s="114"/>
      <c r="Y47" s="165">
        <f t="shared" si="0"/>
        <v>0</v>
      </c>
      <c r="Z47" s="373"/>
      <c r="AA47" s="114"/>
      <c r="AB47" s="114"/>
      <c r="AC47" s="165">
        <f t="shared" ref="AC47:AC78" si="58">IF(C47="",0,IF(AND(AA47="CUMPLE",AB47="CUMPLE",D47&gt;=10%),0.25,0))</f>
        <v>0</v>
      </c>
      <c r="AD47" s="409"/>
      <c r="AE47" s="403"/>
      <c r="AF47" s="409"/>
      <c r="AG47" s="400"/>
    </row>
    <row r="48" spans="1:33" x14ac:dyDescent="0.25">
      <c r="A48" s="360"/>
      <c r="B48" s="351"/>
      <c r="C48" s="26" t="str">
        <f>IF(VLOOKUP(B45,PROPONENTES!$B$10:$N$46,8,FALSE)="","",VLOOKUP(B45,PROPONENTES!$B$10:$N$46,8,FALSE))</f>
        <v/>
      </c>
      <c r="D48" s="36">
        <f>VLOOKUP(B45,PROPONENTES!$B$10:$N$46,9,FALSE)</f>
        <v>0</v>
      </c>
      <c r="E48" s="112"/>
      <c r="F48" s="112"/>
      <c r="G48" s="123" t="str">
        <f>+'7'!E18</f>
        <v/>
      </c>
      <c r="H48" s="124" t="str">
        <f>IF(C48="","",IF(G48&gt;'7'!$J$14*0.4,"SI","NO"))</f>
        <v/>
      </c>
      <c r="I48" s="124">
        <f t="shared" si="12"/>
        <v>0</v>
      </c>
      <c r="J48" s="351"/>
      <c r="K48" s="403"/>
      <c r="L48" s="409"/>
      <c r="M48" s="403"/>
      <c r="N48" s="409"/>
      <c r="O48" s="412"/>
      <c r="P48" s="193"/>
      <c r="Q48" s="412"/>
      <c r="R48" s="403"/>
      <c r="S48" s="114"/>
      <c r="T48" s="373"/>
      <c r="U48" s="114"/>
      <c r="V48" s="114"/>
      <c r="W48" s="114"/>
      <c r="X48" s="114"/>
      <c r="Y48" s="165">
        <f t="shared" si="0"/>
        <v>0</v>
      </c>
      <c r="Z48" s="373"/>
      <c r="AA48" s="114"/>
      <c r="AB48" s="114"/>
      <c r="AC48" s="165">
        <f t="shared" si="58"/>
        <v>0</v>
      </c>
      <c r="AD48" s="409"/>
      <c r="AE48" s="403"/>
      <c r="AF48" s="409"/>
      <c r="AG48" s="400"/>
    </row>
    <row r="49" spans="1:33" ht="15.75" thickBot="1" x14ac:dyDescent="0.3">
      <c r="A49" s="361"/>
      <c r="B49" s="363"/>
      <c r="C49" s="48" t="str">
        <f>IF(VLOOKUP(B45,PROPONENTES!$B$10:$N$46,10,FALSE)="","",VLOOKUP(B45,PROPONENTES!$B$10:$N$46,10,FALSE))</f>
        <v/>
      </c>
      <c r="D49" s="49">
        <f>VLOOKUP(B45,PROPONENTES!$B$10:$N$46,11,FALSE)</f>
        <v>0</v>
      </c>
      <c r="E49" s="116"/>
      <c r="F49" s="116"/>
      <c r="G49" s="125" t="str">
        <f>+'7'!E19</f>
        <v/>
      </c>
      <c r="H49" s="126" t="str">
        <f>IF(C49="","",IF(G49&gt;'7'!$J$14*0.4,"SI","NO"))</f>
        <v/>
      </c>
      <c r="I49" s="126">
        <f t="shared" si="12"/>
        <v>0</v>
      </c>
      <c r="J49" s="363"/>
      <c r="K49" s="404"/>
      <c r="L49" s="410"/>
      <c r="M49" s="404"/>
      <c r="N49" s="410"/>
      <c r="O49" s="413"/>
      <c r="P49" s="194"/>
      <c r="Q49" s="413"/>
      <c r="R49" s="404"/>
      <c r="S49" s="198"/>
      <c r="T49" s="374"/>
      <c r="U49" s="146"/>
      <c r="V49" s="146"/>
      <c r="W49" s="146"/>
      <c r="X49" s="146"/>
      <c r="Y49" s="166">
        <f t="shared" si="0"/>
        <v>0</v>
      </c>
      <c r="Z49" s="374"/>
      <c r="AA49" s="146"/>
      <c r="AB49" s="146"/>
      <c r="AC49" s="166">
        <f t="shared" si="58"/>
        <v>0</v>
      </c>
      <c r="AD49" s="410"/>
      <c r="AE49" s="404"/>
      <c r="AF49" s="410"/>
      <c r="AG49" s="401"/>
    </row>
    <row r="50" spans="1:33" x14ac:dyDescent="0.25">
      <c r="A50" s="359">
        <v>8</v>
      </c>
      <c r="B50" s="362" t="str">
        <f>+PROPONENTES!B17</f>
        <v>CONSULTORES DONOVAN SAS</v>
      </c>
      <c r="C50" s="43" t="str">
        <f>IF(VLOOKUP(B50,PROPONENTES!$B$10:$N$46,2,FALSE)="","",VLOOKUP(B50,PROPONENTES!$B$10:$N$46,2,FALSE))</f>
        <v>CONSULTORES DONOVAN SAS</v>
      </c>
      <c r="D50" s="44">
        <f>VLOOKUP(B50,PROPONENTES!$B$10:$N$46,3,FALSE)</f>
        <v>1</v>
      </c>
      <c r="E50" s="107" t="s">
        <v>75</v>
      </c>
      <c r="F50" s="107" t="s">
        <v>75</v>
      </c>
      <c r="G50" s="121">
        <f>+'8'!E15</f>
        <v>1586.9499999999998</v>
      </c>
      <c r="H50" s="122" t="str">
        <f>IF(C50="","",IF(G50&gt;'8'!$J$14*0.4,"SI","NO"))</f>
        <v>SI</v>
      </c>
      <c r="I50" s="43">
        <f>IF(C50="",0,IF(AND(E50="SI",H50="SI",F50="SI"),1,0))</f>
        <v>1</v>
      </c>
      <c r="J50" s="362">
        <f>IF((I50+I51+I52+I53+I54)&gt;=1,1,0)</f>
        <v>1</v>
      </c>
      <c r="K50" s="402" t="s">
        <v>14</v>
      </c>
      <c r="L50" s="408">
        <f t="shared" ref="L50" si="59">IF(K50="CUMPLE",5,0)</f>
        <v>5</v>
      </c>
      <c r="M50" s="402" t="s">
        <v>14</v>
      </c>
      <c r="N50" s="408">
        <f t="shared" ref="N50" si="60">IF(M50="CUMPLE",5,0)</f>
        <v>5</v>
      </c>
      <c r="O50" s="411">
        <f t="shared" ref="O50" si="61">+L50+N50</f>
        <v>10</v>
      </c>
      <c r="P50" s="192" t="s">
        <v>110</v>
      </c>
      <c r="Q50" s="411" t="str">
        <f t="shared" ref="Q50" si="62">IF(OR(P50="REPORTADO",P51="REPORTADO",P52="REPORTADO",P53="REPORTADO",P54="REPORTADO"),-1,"0")</f>
        <v>0</v>
      </c>
      <c r="R50" s="402" t="s">
        <v>14</v>
      </c>
      <c r="S50" s="197" t="s">
        <v>14</v>
      </c>
      <c r="T50" s="414">
        <f t="shared" si="54"/>
        <v>20</v>
      </c>
      <c r="U50" s="109" t="s">
        <v>14</v>
      </c>
      <c r="V50" s="109" t="s">
        <v>14</v>
      </c>
      <c r="W50" s="109" t="s">
        <v>14</v>
      </c>
      <c r="X50" s="109" t="s">
        <v>14</v>
      </c>
      <c r="Y50" s="164">
        <f t="shared" si="0"/>
        <v>0.25</v>
      </c>
      <c r="Z50" s="414">
        <f t="shared" ref="Z50" si="63">IF((Y50+Y51+Y52+Y53+Y54)&gt;=0.25,0.25,0)</f>
        <v>0.25</v>
      </c>
      <c r="AA50" s="109" t="s">
        <v>14</v>
      </c>
      <c r="AB50" s="109" t="s">
        <v>14</v>
      </c>
      <c r="AC50" s="164">
        <f t="shared" si="58"/>
        <v>0.25</v>
      </c>
      <c r="AD50" s="408">
        <f t="shared" ref="AD50" si="64">IF((AC50+AC51+AC52+AC53+AC54)&gt;=0.25,0.25,0)</f>
        <v>0.25</v>
      </c>
      <c r="AE50" s="402" t="s">
        <v>14</v>
      </c>
      <c r="AF50" s="408">
        <f t="shared" ref="AF50:AF110" si="65">IF(AE50="CUMPLE",1,0)</f>
        <v>1</v>
      </c>
      <c r="AG50" s="399"/>
    </row>
    <row r="51" spans="1:33" x14ac:dyDescent="0.25">
      <c r="A51" s="360"/>
      <c r="B51" s="351"/>
      <c r="C51" s="26" t="str">
        <f>IF(VLOOKUP(B50,PROPONENTES!$B$10:$N$46,4,FALSE)="","",VLOOKUP(B50,PROPONENTES!$B$10:$N$46,4,FALSE))</f>
        <v/>
      </c>
      <c r="D51" s="36">
        <f>VLOOKUP(B50,PROPONENTES!$B$10:$N$46,5,FALSE)</f>
        <v>0</v>
      </c>
      <c r="E51" s="112"/>
      <c r="F51" s="112"/>
      <c r="G51" s="123" t="str">
        <f>+'8'!E16</f>
        <v/>
      </c>
      <c r="H51" s="124" t="str">
        <f>IF(C51="","",IF(G51&gt;'8'!$J$14*0.4,"SI","NO"))</f>
        <v/>
      </c>
      <c r="I51" s="26">
        <f t="shared" ref="I51:I54" si="66">IF(C51="",0,IF(AND(E51="SI",H51="SI",F51="SI"),1,0))</f>
        <v>0</v>
      </c>
      <c r="J51" s="351"/>
      <c r="K51" s="403"/>
      <c r="L51" s="409"/>
      <c r="M51" s="403"/>
      <c r="N51" s="409"/>
      <c r="O51" s="412"/>
      <c r="P51" s="193"/>
      <c r="Q51" s="412"/>
      <c r="R51" s="403"/>
      <c r="S51" s="114"/>
      <c r="T51" s="373"/>
      <c r="U51" s="114"/>
      <c r="V51" s="114"/>
      <c r="W51" s="114"/>
      <c r="X51" s="114"/>
      <c r="Y51" s="165">
        <f t="shared" si="0"/>
        <v>0</v>
      </c>
      <c r="Z51" s="373"/>
      <c r="AA51" s="114"/>
      <c r="AB51" s="114"/>
      <c r="AC51" s="165">
        <f t="shared" si="58"/>
        <v>0</v>
      </c>
      <c r="AD51" s="409"/>
      <c r="AE51" s="403"/>
      <c r="AF51" s="409"/>
      <c r="AG51" s="400"/>
    </row>
    <row r="52" spans="1:33" x14ac:dyDescent="0.25">
      <c r="A52" s="360"/>
      <c r="B52" s="351"/>
      <c r="C52" s="26" t="str">
        <f>IF(VLOOKUP(B50,PROPONENTES!$B$10:$N$46,6,FALSE)="","",VLOOKUP(B50,PROPONENTES!$B$10:$N$46,6,FALSE))</f>
        <v/>
      </c>
      <c r="D52" s="36">
        <f>VLOOKUP(B50,PROPONENTES!$B$10:$N$46,7,FALSE)</f>
        <v>0</v>
      </c>
      <c r="E52" s="112"/>
      <c r="F52" s="112"/>
      <c r="G52" s="123" t="str">
        <f>+'8'!E17</f>
        <v/>
      </c>
      <c r="H52" s="124" t="str">
        <f>IF(C52="","",IF(G52&gt;'8'!$J$14*0.4,"SI","NO"))</f>
        <v/>
      </c>
      <c r="I52" s="26">
        <f t="shared" si="66"/>
        <v>0</v>
      </c>
      <c r="J52" s="351"/>
      <c r="K52" s="403"/>
      <c r="L52" s="409"/>
      <c r="M52" s="403"/>
      <c r="N52" s="409"/>
      <c r="O52" s="412"/>
      <c r="P52" s="193"/>
      <c r="Q52" s="412"/>
      <c r="R52" s="403"/>
      <c r="S52" s="114"/>
      <c r="T52" s="373"/>
      <c r="U52" s="114"/>
      <c r="V52" s="114"/>
      <c r="W52" s="114"/>
      <c r="X52" s="114"/>
      <c r="Y52" s="165">
        <f t="shared" si="0"/>
        <v>0</v>
      </c>
      <c r="Z52" s="373"/>
      <c r="AA52" s="114"/>
      <c r="AB52" s="114"/>
      <c r="AC52" s="165">
        <f t="shared" si="58"/>
        <v>0</v>
      </c>
      <c r="AD52" s="409"/>
      <c r="AE52" s="403"/>
      <c r="AF52" s="409"/>
      <c r="AG52" s="400"/>
    </row>
    <row r="53" spans="1:33" x14ac:dyDescent="0.25">
      <c r="A53" s="360"/>
      <c r="B53" s="351"/>
      <c r="C53" s="26" t="str">
        <f>IF(VLOOKUP(B50,PROPONENTES!$B$10:$N$46,8,FALSE)="","",VLOOKUP(B50,PROPONENTES!$B$10:$N$46,8,FALSE))</f>
        <v/>
      </c>
      <c r="D53" s="36">
        <f>VLOOKUP(B50,PROPONENTES!$B$10:$N$46,9,FALSE)</f>
        <v>0</v>
      </c>
      <c r="E53" s="112"/>
      <c r="F53" s="112"/>
      <c r="G53" s="123" t="str">
        <f>+'8'!E18</f>
        <v/>
      </c>
      <c r="H53" s="124" t="str">
        <f>IF(C53="","",IF(G53&gt;'8'!$J$14*0.4,"SI","NO"))</f>
        <v/>
      </c>
      <c r="I53" s="124">
        <f t="shared" si="66"/>
        <v>0</v>
      </c>
      <c r="J53" s="351"/>
      <c r="K53" s="403"/>
      <c r="L53" s="409"/>
      <c r="M53" s="403"/>
      <c r="N53" s="409"/>
      <c r="O53" s="412"/>
      <c r="P53" s="193"/>
      <c r="Q53" s="412"/>
      <c r="R53" s="403"/>
      <c r="S53" s="114"/>
      <c r="T53" s="373"/>
      <c r="U53" s="114"/>
      <c r="V53" s="114"/>
      <c r="W53" s="114"/>
      <c r="X53" s="114"/>
      <c r="Y53" s="165">
        <f t="shared" si="0"/>
        <v>0</v>
      </c>
      <c r="Z53" s="373"/>
      <c r="AA53" s="114"/>
      <c r="AB53" s="114"/>
      <c r="AC53" s="165">
        <f t="shared" si="58"/>
        <v>0</v>
      </c>
      <c r="AD53" s="409"/>
      <c r="AE53" s="403"/>
      <c r="AF53" s="409"/>
      <c r="AG53" s="400"/>
    </row>
    <row r="54" spans="1:33" ht="15.75" thickBot="1" x14ac:dyDescent="0.3">
      <c r="A54" s="361"/>
      <c r="B54" s="363"/>
      <c r="C54" s="48" t="str">
        <f>IF(VLOOKUP(B50,PROPONENTES!$B$10:$N$46,10,FALSE)="","",VLOOKUP(B50,PROPONENTES!$B$10:$N$46,10,FALSE))</f>
        <v/>
      </c>
      <c r="D54" s="49">
        <f>VLOOKUP(B50,PROPONENTES!$B$10:$N$46,11,FALSE)</f>
        <v>0</v>
      </c>
      <c r="E54" s="116"/>
      <c r="F54" s="116"/>
      <c r="G54" s="125" t="str">
        <f>+'8'!E19</f>
        <v/>
      </c>
      <c r="H54" s="126" t="str">
        <f>IF(C54="","",IF(G54&gt;'8'!$J$14*0.4,"SI","NO"))</f>
        <v/>
      </c>
      <c r="I54" s="126">
        <f t="shared" si="66"/>
        <v>0</v>
      </c>
      <c r="J54" s="363"/>
      <c r="K54" s="404"/>
      <c r="L54" s="410"/>
      <c r="M54" s="404"/>
      <c r="N54" s="410"/>
      <c r="O54" s="413"/>
      <c r="P54" s="194"/>
      <c r="Q54" s="413"/>
      <c r="R54" s="404"/>
      <c r="S54" s="198"/>
      <c r="T54" s="374"/>
      <c r="U54" s="146"/>
      <c r="V54" s="146"/>
      <c r="W54" s="146"/>
      <c r="X54" s="146"/>
      <c r="Y54" s="166">
        <f t="shared" si="0"/>
        <v>0</v>
      </c>
      <c r="Z54" s="374"/>
      <c r="AA54" s="146"/>
      <c r="AB54" s="146"/>
      <c r="AC54" s="166">
        <f t="shared" si="58"/>
        <v>0</v>
      </c>
      <c r="AD54" s="410"/>
      <c r="AE54" s="404"/>
      <c r="AF54" s="410"/>
      <c r="AG54" s="401"/>
    </row>
    <row r="55" spans="1:33" ht="30" customHeight="1" x14ac:dyDescent="0.25">
      <c r="A55" s="359">
        <v>9</v>
      </c>
      <c r="B55" s="362" t="str">
        <f>+PROPONENTES!B18</f>
        <v>JESAK SAS</v>
      </c>
      <c r="C55" s="43" t="str">
        <f>IF(VLOOKUP(B55,PROPONENTES!$B$10:$N$46,2,FALSE)="","",VLOOKUP(B55,PROPONENTES!$B$10:$N$46,2,FALSE))</f>
        <v>JESAK SAS</v>
      </c>
      <c r="D55" s="44">
        <f>VLOOKUP(B55,PROPONENTES!$B$10:$N$46,3,FALSE)</f>
        <v>1</v>
      </c>
      <c r="E55" s="107" t="s">
        <v>75</v>
      </c>
      <c r="F55" s="107" t="s">
        <v>75</v>
      </c>
      <c r="G55" s="121">
        <f>+'9'!E15</f>
        <v>2473.8900000000003</v>
      </c>
      <c r="H55" s="122" t="str">
        <f>IF(C55="","",IF(G55&gt;'9'!$J$14*0.4,"SI","NO"))</f>
        <v>SI</v>
      </c>
      <c r="I55" s="43">
        <f>IF(C55="",0,IF(AND(E55="SI",H55="SI",F55="SI"),1,0))</f>
        <v>1</v>
      </c>
      <c r="J55" s="362">
        <f>IF((I55+I56+I57+I58+I59)&gt;=1,1,0)</f>
        <v>1</v>
      </c>
      <c r="K55" s="402" t="s">
        <v>14</v>
      </c>
      <c r="L55" s="408">
        <f t="shared" ref="L55" si="67">IF(K55="CUMPLE",5,0)</f>
        <v>5</v>
      </c>
      <c r="M55" s="402" t="s">
        <v>14</v>
      </c>
      <c r="N55" s="408">
        <f t="shared" ref="N55" si="68">IF(M55="CUMPLE",5,0)</f>
        <v>5</v>
      </c>
      <c r="O55" s="411">
        <f t="shared" ref="O55" si="69">+L55+N55</f>
        <v>10</v>
      </c>
      <c r="P55" s="192" t="s">
        <v>110</v>
      </c>
      <c r="Q55" s="411" t="str">
        <f t="shared" ref="Q55" si="70">IF(OR(P55="REPORTADO",P56="REPORTADO",P57="REPORTADO",P58="REPORTADO",P59="REPORTADO"),-1,"0")</f>
        <v>0</v>
      </c>
      <c r="R55" s="402" t="s">
        <v>14</v>
      </c>
      <c r="S55" s="197" t="s">
        <v>14</v>
      </c>
      <c r="T55" s="414">
        <f t="shared" si="54"/>
        <v>20</v>
      </c>
      <c r="U55" s="109" t="s">
        <v>14</v>
      </c>
      <c r="V55" s="109" t="s">
        <v>14</v>
      </c>
      <c r="W55" s="109" t="s">
        <v>13</v>
      </c>
      <c r="X55" s="109" t="s">
        <v>13</v>
      </c>
      <c r="Y55" s="164">
        <f t="shared" si="0"/>
        <v>0.25</v>
      </c>
      <c r="Z55" s="414">
        <f t="shared" ref="Z55" si="71">IF((Y55+Y56+Y57+Y58+Y59)&gt;=0.25,0.25,0)</f>
        <v>0.25</v>
      </c>
      <c r="AA55" s="109" t="s">
        <v>14</v>
      </c>
      <c r="AB55" s="109" t="s">
        <v>14</v>
      </c>
      <c r="AC55" s="164">
        <f t="shared" si="58"/>
        <v>0.25</v>
      </c>
      <c r="AD55" s="408">
        <f t="shared" ref="AD55" si="72">IF((AC55+AC56+AC57+AC58+AC59)&gt;=0.25,0.25,0)</f>
        <v>0.25</v>
      </c>
      <c r="AE55" s="402" t="s">
        <v>14</v>
      </c>
      <c r="AF55" s="408">
        <f t="shared" ref="AF55:AF115" si="73">IF(AE55="CUMPLE",1,0)</f>
        <v>1</v>
      </c>
      <c r="AG55" s="399"/>
    </row>
    <row r="56" spans="1:33" x14ac:dyDescent="0.25">
      <c r="A56" s="360"/>
      <c r="B56" s="351"/>
      <c r="C56" s="26" t="str">
        <f>IF(VLOOKUP(B55,PROPONENTES!$B$10:$N$46,4,FALSE)="","",VLOOKUP(B55,PROPONENTES!$B$10:$N$46,4,FALSE))</f>
        <v/>
      </c>
      <c r="D56" s="36">
        <f>VLOOKUP(B55,PROPONENTES!$B$10:$N$46,5,FALSE)</f>
        <v>0</v>
      </c>
      <c r="E56" s="112"/>
      <c r="F56" s="112"/>
      <c r="G56" s="123" t="str">
        <f>+'9'!E16</f>
        <v/>
      </c>
      <c r="H56" s="124" t="str">
        <f>IF(C56="","",IF(G56&gt;'9'!$J$14*0.4,"SI","NO"))</f>
        <v/>
      </c>
      <c r="I56" s="26">
        <f t="shared" ref="I56:I59" si="74">IF(C56="",0,IF(AND(E56="SI",H56="SI",F56="SI"),1,0))</f>
        <v>0</v>
      </c>
      <c r="J56" s="351"/>
      <c r="K56" s="403"/>
      <c r="L56" s="409"/>
      <c r="M56" s="403"/>
      <c r="N56" s="409"/>
      <c r="O56" s="412"/>
      <c r="P56" s="193"/>
      <c r="Q56" s="412"/>
      <c r="R56" s="403"/>
      <c r="S56" s="114"/>
      <c r="T56" s="373"/>
      <c r="U56" s="114"/>
      <c r="V56" s="114"/>
      <c r="W56" s="114"/>
      <c r="X56" s="114"/>
      <c r="Y56" s="165">
        <f t="shared" si="0"/>
        <v>0</v>
      </c>
      <c r="Z56" s="373"/>
      <c r="AA56" s="114"/>
      <c r="AB56" s="114"/>
      <c r="AC56" s="165">
        <f t="shared" si="58"/>
        <v>0</v>
      </c>
      <c r="AD56" s="409"/>
      <c r="AE56" s="403"/>
      <c r="AF56" s="409"/>
      <c r="AG56" s="400"/>
    </row>
    <row r="57" spans="1:33" x14ac:dyDescent="0.25">
      <c r="A57" s="360"/>
      <c r="B57" s="351"/>
      <c r="C57" s="26" t="str">
        <f>IF(VLOOKUP(B55,PROPONENTES!$B$10:$N$46,6,FALSE)="","",VLOOKUP(B55,PROPONENTES!$B$10:$N$46,6,FALSE))</f>
        <v/>
      </c>
      <c r="D57" s="36">
        <f>VLOOKUP(B55,PROPONENTES!$B$10:$N$46,7,FALSE)</f>
        <v>0</v>
      </c>
      <c r="E57" s="112"/>
      <c r="F57" s="112"/>
      <c r="G57" s="123" t="str">
        <f>+'9'!E17</f>
        <v/>
      </c>
      <c r="H57" s="124" t="str">
        <f>IF(C57="","",IF(G57&gt;'9'!$J$14*0.4,"SI","NO"))</f>
        <v/>
      </c>
      <c r="I57" s="26">
        <f t="shared" si="74"/>
        <v>0</v>
      </c>
      <c r="J57" s="351"/>
      <c r="K57" s="403"/>
      <c r="L57" s="409"/>
      <c r="M57" s="403"/>
      <c r="N57" s="409"/>
      <c r="O57" s="412"/>
      <c r="P57" s="193"/>
      <c r="Q57" s="412"/>
      <c r="R57" s="403"/>
      <c r="S57" s="114"/>
      <c r="T57" s="373"/>
      <c r="U57" s="114"/>
      <c r="V57" s="114"/>
      <c r="W57" s="114"/>
      <c r="X57" s="114"/>
      <c r="Y57" s="165">
        <f t="shared" si="0"/>
        <v>0</v>
      </c>
      <c r="Z57" s="373"/>
      <c r="AA57" s="114"/>
      <c r="AB57" s="114"/>
      <c r="AC57" s="165">
        <f t="shared" si="58"/>
        <v>0</v>
      </c>
      <c r="AD57" s="409"/>
      <c r="AE57" s="403"/>
      <c r="AF57" s="409"/>
      <c r="AG57" s="400"/>
    </row>
    <row r="58" spans="1:33" x14ac:dyDescent="0.25">
      <c r="A58" s="360"/>
      <c r="B58" s="351"/>
      <c r="C58" s="26" t="str">
        <f>IF(VLOOKUP(B55,PROPONENTES!$B$10:$N$46,8,FALSE)="","",VLOOKUP(B55,PROPONENTES!$B$10:$N$46,8,FALSE))</f>
        <v/>
      </c>
      <c r="D58" s="36">
        <f>VLOOKUP(B55,PROPONENTES!$B$10:$N$46,9,FALSE)</f>
        <v>0</v>
      </c>
      <c r="E58" s="112"/>
      <c r="F58" s="112"/>
      <c r="G58" s="123" t="str">
        <f>+'9'!E18</f>
        <v/>
      </c>
      <c r="H58" s="124" t="str">
        <f>IF(C58="","",IF(G58&gt;'9'!$J$14*0.4,"SI","NO"))</f>
        <v/>
      </c>
      <c r="I58" s="124">
        <f t="shared" si="74"/>
        <v>0</v>
      </c>
      <c r="J58" s="351"/>
      <c r="K58" s="403"/>
      <c r="L58" s="409"/>
      <c r="M58" s="403"/>
      <c r="N58" s="409"/>
      <c r="O58" s="412"/>
      <c r="P58" s="193"/>
      <c r="Q58" s="412"/>
      <c r="R58" s="403"/>
      <c r="S58" s="114"/>
      <c r="T58" s="373"/>
      <c r="U58" s="114"/>
      <c r="V58" s="114"/>
      <c r="W58" s="114"/>
      <c r="X58" s="114"/>
      <c r="Y58" s="165">
        <f t="shared" si="0"/>
        <v>0</v>
      </c>
      <c r="Z58" s="373"/>
      <c r="AA58" s="114"/>
      <c r="AB58" s="114"/>
      <c r="AC58" s="165">
        <f t="shared" si="58"/>
        <v>0</v>
      </c>
      <c r="AD58" s="409"/>
      <c r="AE58" s="403"/>
      <c r="AF58" s="409"/>
      <c r="AG58" s="400"/>
    </row>
    <row r="59" spans="1:33" ht="15.75" thickBot="1" x14ac:dyDescent="0.3">
      <c r="A59" s="361"/>
      <c r="B59" s="363"/>
      <c r="C59" s="48" t="str">
        <f>IF(VLOOKUP(B55,PROPONENTES!$B$10:$N$46,10,FALSE)="","",VLOOKUP(B55,PROPONENTES!$B$10:$N$46,10,FALSE))</f>
        <v/>
      </c>
      <c r="D59" s="49">
        <f>VLOOKUP(B55,PROPONENTES!$B$10:$N$46,11,FALSE)</f>
        <v>0</v>
      </c>
      <c r="E59" s="116"/>
      <c r="F59" s="116"/>
      <c r="G59" s="125" t="str">
        <f>+'9'!E19</f>
        <v/>
      </c>
      <c r="H59" s="126" t="str">
        <f>IF(C59="","",IF(G59&gt;'9'!$J$14*0.4,"SI","NO"))</f>
        <v/>
      </c>
      <c r="I59" s="126">
        <f t="shared" si="74"/>
        <v>0</v>
      </c>
      <c r="J59" s="363"/>
      <c r="K59" s="404"/>
      <c r="L59" s="410"/>
      <c r="M59" s="404"/>
      <c r="N59" s="410"/>
      <c r="O59" s="413"/>
      <c r="P59" s="194"/>
      <c r="Q59" s="413"/>
      <c r="R59" s="404"/>
      <c r="S59" s="198"/>
      <c r="T59" s="374"/>
      <c r="U59" s="146"/>
      <c r="V59" s="146"/>
      <c r="W59" s="146"/>
      <c r="X59" s="146"/>
      <c r="Y59" s="166">
        <f t="shared" si="0"/>
        <v>0</v>
      </c>
      <c r="Z59" s="374"/>
      <c r="AA59" s="146"/>
      <c r="AB59" s="146"/>
      <c r="AC59" s="166">
        <f t="shared" si="58"/>
        <v>0</v>
      </c>
      <c r="AD59" s="410"/>
      <c r="AE59" s="404"/>
      <c r="AF59" s="410"/>
      <c r="AG59" s="401"/>
    </row>
    <row r="60" spans="1:33" ht="15" customHeight="1" x14ac:dyDescent="0.25">
      <c r="A60" s="359">
        <v>10</v>
      </c>
      <c r="B60" s="362" t="str">
        <f>+PROPONENTES!B19</f>
        <v xml:space="preserve">R&amp;M CONSTRUCCIONES E INTERVENTORIAS SAS </v>
      </c>
      <c r="C60" s="43" t="str">
        <f>IF(VLOOKUP(B60,PROPONENTES!$B$10:$N$46,2,FALSE)="","",VLOOKUP(B60,PROPONENTES!$B$10:$N$46,2,FALSE))</f>
        <v xml:space="preserve">R&amp;M CONSTRUCCIONES E INTERVENTORIAS SAS </v>
      </c>
      <c r="D60" s="44">
        <f>VLOOKUP(B60,PROPONENTES!$B$10:$N$46,3,FALSE)</f>
        <v>1</v>
      </c>
      <c r="E60" s="107" t="s">
        <v>75</v>
      </c>
      <c r="F60" s="107" t="s">
        <v>75</v>
      </c>
      <c r="G60" s="121">
        <f>+'10'!E15</f>
        <v>1824.038</v>
      </c>
      <c r="H60" s="122" t="str">
        <f>IF(C60="","",IF(G60&gt;'10'!$J$14*0.4,"SI","NO"))</f>
        <v>SI</v>
      </c>
      <c r="I60" s="43">
        <f>IF(C60="",0,IF(AND(E60="SI",H60="SI",F60="SI"),1,0))</f>
        <v>1</v>
      </c>
      <c r="J60" s="362">
        <f>IF((I60+I61+I62+I63+I64)&gt;=1,1,0)</f>
        <v>1</v>
      </c>
      <c r="K60" s="402" t="s">
        <v>14</v>
      </c>
      <c r="L60" s="408">
        <f t="shared" ref="L60" si="75">IF(K60="CUMPLE",5,0)</f>
        <v>5</v>
      </c>
      <c r="M60" s="402" t="s">
        <v>14</v>
      </c>
      <c r="N60" s="408">
        <f t="shared" ref="N60" si="76">IF(M60="CUMPLE",5,0)</f>
        <v>5</v>
      </c>
      <c r="O60" s="411">
        <f t="shared" ref="O60" si="77">+L60+N60</f>
        <v>10</v>
      </c>
      <c r="P60" s="192" t="s">
        <v>110</v>
      </c>
      <c r="Q60" s="411" t="str">
        <f t="shared" ref="Q60" si="78">IF(OR(P60="REPORTADO",P61="REPORTADO",P62="REPORTADO",P63="REPORTADO",P64="REPORTADO"),-1,"0")</f>
        <v>0</v>
      </c>
      <c r="R60" s="402" t="s">
        <v>14</v>
      </c>
      <c r="S60" s="197" t="s">
        <v>14</v>
      </c>
      <c r="T60" s="414">
        <f t="shared" si="54"/>
        <v>20</v>
      </c>
      <c r="U60" s="109" t="s">
        <v>14</v>
      </c>
      <c r="V60" s="109" t="s">
        <v>14</v>
      </c>
      <c r="W60" s="109" t="s">
        <v>13</v>
      </c>
      <c r="X60" s="109" t="s">
        <v>13</v>
      </c>
      <c r="Y60" s="164">
        <f t="shared" si="0"/>
        <v>0.25</v>
      </c>
      <c r="Z60" s="414">
        <f t="shared" ref="Z60" si="79">IF((Y60+Y61+Y62+Y63+Y64)&gt;=0.25,0.25,0)</f>
        <v>0.25</v>
      </c>
      <c r="AA60" s="109" t="s">
        <v>14</v>
      </c>
      <c r="AB60" s="109" t="s">
        <v>14</v>
      </c>
      <c r="AC60" s="164">
        <f t="shared" si="58"/>
        <v>0.25</v>
      </c>
      <c r="AD60" s="408">
        <f t="shared" ref="AD60" si="80">IF((AC60+AC61+AC62+AC63+AC64)&gt;=0.25,0.25,0)</f>
        <v>0.25</v>
      </c>
      <c r="AE60" s="402" t="s">
        <v>14</v>
      </c>
      <c r="AF60" s="408">
        <f t="shared" ref="AF60:AF120" si="81">IF(AE60="CUMPLE",1,0)</f>
        <v>1</v>
      </c>
      <c r="AG60" s="399"/>
    </row>
    <row r="61" spans="1:33" x14ac:dyDescent="0.25">
      <c r="A61" s="360"/>
      <c r="B61" s="351"/>
      <c r="C61" s="26" t="str">
        <f>IF(VLOOKUP(B60,PROPONENTES!$B$10:$N$46,4,FALSE)="","",VLOOKUP(B60,PROPONENTES!$B$10:$N$46,4,FALSE))</f>
        <v/>
      </c>
      <c r="D61" s="36">
        <f>VLOOKUP(B60,PROPONENTES!$B$10:$N$46,5,FALSE)</f>
        <v>0</v>
      </c>
      <c r="E61" s="112"/>
      <c r="F61" s="112"/>
      <c r="G61" s="123" t="str">
        <f>+'10'!E16</f>
        <v/>
      </c>
      <c r="H61" s="124" t="str">
        <f>IF(C61="","",IF(G61&gt;'10'!$J$14*0.4,"SI","NO"))</f>
        <v/>
      </c>
      <c r="I61" s="26">
        <f t="shared" ref="I61:I64" si="82">IF(C61="",0,IF(AND(E61="SI",H61="SI",F61="SI"),1,0))</f>
        <v>0</v>
      </c>
      <c r="J61" s="351"/>
      <c r="K61" s="403"/>
      <c r="L61" s="409"/>
      <c r="M61" s="403"/>
      <c r="N61" s="409"/>
      <c r="O61" s="412"/>
      <c r="P61" s="193"/>
      <c r="Q61" s="412"/>
      <c r="R61" s="403"/>
      <c r="S61" s="114"/>
      <c r="T61" s="373"/>
      <c r="U61" s="114"/>
      <c r="V61" s="114"/>
      <c r="W61" s="114"/>
      <c r="X61" s="114"/>
      <c r="Y61" s="165">
        <f t="shared" si="0"/>
        <v>0</v>
      </c>
      <c r="Z61" s="373"/>
      <c r="AA61" s="114"/>
      <c r="AB61" s="114"/>
      <c r="AC61" s="165">
        <f t="shared" si="58"/>
        <v>0</v>
      </c>
      <c r="AD61" s="409"/>
      <c r="AE61" s="403"/>
      <c r="AF61" s="409"/>
      <c r="AG61" s="400"/>
    </row>
    <row r="62" spans="1:33" x14ac:dyDescent="0.25">
      <c r="A62" s="360"/>
      <c r="B62" s="351"/>
      <c r="C62" s="26" t="str">
        <f>IF(VLOOKUP(B60,PROPONENTES!$B$10:$N$46,6,FALSE)="","",VLOOKUP(B60,PROPONENTES!$B$10:$N$46,6,FALSE))</f>
        <v/>
      </c>
      <c r="D62" s="36">
        <f>VLOOKUP(B60,PROPONENTES!$B$10:$N$46,7,FALSE)</f>
        <v>0</v>
      </c>
      <c r="E62" s="112"/>
      <c r="F62" s="112"/>
      <c r="G62" s="123" t="str">
        <f>+'10'!E17</f>
        <v/>
      </c>
      <c r="H62" s="124" t="str">
        <f>IF(C62="","",IF(G62&gt;'10'!$J$14*0.4,"SI","NO"))</f>
        <v/>
      </c>
      <c r="I62" s="26">
        <f t="shared" si="82"/>
        <v>0</v>
      </c>
      <c r="J62" s="351"/>
      <c r="K62" s="403"/>
      <c r="L62" s="409"/>
      <c r="M62" s="403"/>
      <c r="N62" s="409"/>
      <c r="O62" s="412"/>
      <c r="P62" s="193"/>
      <c r="Q62" s="412"/>
      <c r="R62" s="403"/>
      <c r="S62" s="114"/>
      <c r="T62" s="373"/>
      <c r="U62" s="114"/>
      <c r="V62" s="114"/>
      <c r="W62" s="114"/>
      <c r="X62" s="114"/>
      <c r="Y62" s="165">
        <f t="shared" si="0"/>
        <v>0</v>
      </c>
      <c r="Z62" s="373"/>
      <c r="AA62" s="114"/>
      <c r="AB62" s="114"/>
      <c r="AC62" s="165">
        <f t="shared" si="58"/>
        <v>0</v>
      </c>
      <c r="AD62" s="409"/>
      <c r="AE62" s="403"/>
      <c r="AF62" s="409"/>
      <c r="AG62" s="400"/>
    </row>
    <row r="63" spans="1:33" x14ac:dyDescent="0.25">
      <c r="A63" s="360"/>
      <c r="B63" s="351"/>
      <c r="C63" s="26" t="str">
        <f>IF(VLOOKUP(B60,PROPONENTES!$B$10:$N$46,8,FALSE)="","",VLOOKUP(B60,PROPONENTES!$B$10:$N$46,8,FALSE))</f>
        <v/>
      </c>
      <c r="D63" s="36">
        <f>VLOOKUP(B60,PROPONENTES!$B$10:$N$46,9,FALSE)</f>
        <v>0</v>
      </c>
      <c r="E63" s="112"/>
      <c r="F63" s="112"/>
      <c r="G63" s="123" t="str">
        <f>+'10'!E18</f>
        <v/>
      </c>
      <c r="H63" s="124" t="str">
        <f>IF(C63="","",IF(G63&gt;'10'!$J$14*0.4,"SI","NO"))</f>
        <v/>
      </c>
      <c r="I63" s="124">
        <f t="shared" si="82"/>
        <v>0</v>
      </c>
      <c r="J63" s="351"/>
      <c r="K63" s="403"/>
      <c r="L63" s="409"/>
      <c r="M63" s="403"/>
      <c r="N63" s="409"/>
      <c r="O63" s="412"/>
      <c r="P63" s="193"/>
      <c r="Q63" s="412"/>
      <c r="R63" s="403"/>
      <c r="S63" s="114"/>
      <c r="T63" s="373"/>
      <c r="U63" s="114"/>
      <c r="V63" s="114"/>
      <c r="W63" s="114"/>
      <c r="X63" s="114"/>
      <c r="Y63" s="165">
        <f t="shared" si="0"/>
        <v>0</v>
      </c>
      <c r="Z63" s="373"/>
      <c r="AA63" s="114"/>
      <c r="AB63" s="114"/>
      <c r="AC63" s="165">
        <f t="shared" si="58"/>
        <v>0</v>
      </c>
      <c r="AD63" s="409"/>
      <c r="AE63" s="403"/>
      <c r="AF63" s="409"/>
      <c r="AG63" s="400"/>
    </row>
    <row r="64" spans="1:33" ht="15.75" thickBot="1" x14ac:dyDescent="0.3">
      <c r="A64" s="361"/>
      <c r="B64" s="363"/>
      <c r="C64" s="48" t="str">
        <f>IF(VLOOKUP(B60,PROPONENTES!$B$10:$N$46,10,FALSE)="","",VLOOKUP(B60,PROPONENTES!$B$10:$N$46,10,FALSE))</f>
        <v/>
      </c>
      <c r="D64" s="49">
        <f>VLOOKUP(B60,PROPONENTES!$B$10:$N$46,11,FALSE)</f>
        <v>0</v>
      </c>
      <c r="E64" s="116"/>
      <c r="F64" s="116"/>
      <c r="G64" s="125" t="str">
        <f>+'10'!E19</f>
        <v/>
      </c>
      <c r="H64" s="126" t="str">
        <f>IF(C64="","",IF(G64&gt;'10'!$J$14*0.4,"SI","NO"))</f>
        <v/>
      </c>
      <c r="I64" s="126">
        <f t="shared" si="82"/>
        <v>0</v>
      </c>
      <c r="J64" s="363"/>
      <c r="K64" s="404"/>
      <c r="L64" s="410"/>
      <c r="M64" s="404"/>
      <c r="N64" s="410"/>
      <c r="O64" s="413"/>
      <c r="P64" s="194"/>
      <c r="Q64" s="413"/>
      <c r="R64" s="404"/>
      <c r="S64" s="198"/>
      <c r="T64" s="374"/>
      <c r="U64" s="146"/>
      <c r="V64" s="146"/>
      <c r="W64" s="146"/>
      <c r="X64" s="146"/>
      <c r="Y64" s="166">
        <f t="shared" si="0"/>
        <v>0</v>
      </c>
      <c r="Z64" s="374"/>
      <c r="AA64" s="146"/>
      <c r="AB64" s="146"/>
      <c r="AC64" s="166">
        <f t="shared" si="58"/>
        <v>0</v>
      </c>
      <c r="AD64" s="410"/>
      <c r="AE64" s="404"/>
      <c r="AF64" s="410"/>
      <c r="AG64" s="401"/>
    </row>
    <row r="65" spans="1:33" ht="30" customHeight="1" x14ac:dyDescent="0.25">
      <c r="A65" s="359">
        <v>11</v>
      </c>
      <c r="B65" s="362" t="str">
        <f>+PROPONENTES!B20</f>
        <v>CONSORCIO INTERVENTORÍA DSG</v>
      </c>
      <c r="C65" s="43" t="str">
        <f>IF(VLOOKUP(B65,PROPONENTES!$B$10:$N$46,2,FALSE)="","",VLOOKUP(B65,PROPONENTES!$B$10:$N$46,2,FALSE))</f>
        <v>SESAC S.A.</v>
      </c>
      <c r="D65" s="44">
        <f>VLOOKUP(B65,PROPONENTES!$B$10:$N$46,3,FALSE)</f>
        <v>0.7</v>
      </c>
      <c r="E65" s="107" t="s">
        <v>75</v>
      </c>
      <c r="F65" s="107" t="s">
        <v>75</v>
      </c>
      <c r="G65" s="121">
        <f>+'11'!E15</f>
        <v>1127.0159999999998</v>
      </c>
      <c r="H65" s="122" t="str">
        <f>IF(C65="","",IF(G65&gt;'11'!$J$14*0.4,"SI","NO"))</f>
        <v>SI</v>
      </c>
      <c r="I65" s="43">
        <f>IF(C65="",0,IF(AND(E65="SI",H65="SI",F65="SI"),1,0))</f>
        <v>1</v>
      </c>
      <c r="J65" s="362">
        <f>IF((I65+I66+I67+I68+I69)&gt;=1,1,0)</f>
        <v>1</v>
      </c>
      <c r="K65" s="402" t="s">
        <v>14</v>
      </c>
      <c r="L65" s="408">
        <f t="shared" ref="L65" si="83">IF(K65="CUMPLE",5,0)</f>
        <v>5</v>
      </c>
      <c r="M65" s="402" t="s">
        <v>14</v>
      </c>
      <c r="N65" s="408">
        <f t="shared" ref="N65" si="84">IF(M65="CUMPLE",5,0)</f>
        <v>5</v>
      </c>
      <c r="O65" s="411">
        <f t="shared" ref="O65" si="85">+L65+N65</f>
        <v>10</v>
      </c>
      <c r="P65" s="192" t="s">
        <v>110</v>
      </c>
      <c r="Q65" s="411" t="str">
        <f t="shared" ref="Q65" si="86">IF(OR(P65="REPORTADO",P66="REPORTADO",P67="REPORTADO",P68="REPORTADO",P69="REPORTADO"),-1,"0")</f>
        <v>0</v>
      </c>
      <c r="R65" s="402" t="s">
        <v>14</v>
      </c>
      <c r="S65" s="197"/>
      <c r="T65" s="414">
        <f t="shared" si="54"/>
        <v>20</v>
      </c>
      <c r="U65" s="109"/>
      <c r="V65" s="109"/>
      <c r="W65" s="109"/>
      <c r="X65" s="109"/>
      <c r="Y65" s="164">
        <f t="shared" si="0"/>
        <v>0</v>
      </c>
      <c r="Z65" s="414">
        <f t="shared" ref="Z65" si="87">IF((Y65+Y66+Y67+Y68+Y69)&gt;=0.25,0.25,0)</f>
        <v>0.25</v>
      </c>
      <c r="AA65" s="109" t="s">
        <v>14</v>
      </c>
      <c r="AB65" s="109" t="s">
        <v>14</v>
      </c>
      <c r="AC65" s="164">
        <f t="shared" si="58"/>
        <v>0.25</v>
      </c>
      <c r="AD65" s="408">
        <f t="shared" ref="AD65" si="88">IF((AC65+AC66+AC67+AC68+AC69)&gt;=0.25,0.25,0)</f>
        <v>0.25</v>
      </c>
      <c r="AE65" s="402" t="s">
        <v>14</v>
      </c>
      <c r="AF65" s="408">
        <f t="shared" ref="AF65:AF125" si="89">IF(AE65="CUMPLE",1,0)</f>
        <v>1</v>
      </c>
      <c r="AG65" s="399"/>
    </row>
    <row r="66" spans="1:33" x14ac:dyDescent="0.25">
      <c r="A66" s="360"/>
      <c r="B66" s="351"/>
      <c r="C66" s="26" t="str">
        <f>IF(VLOOKUP(B65,PROPONENTES!$B$10:$N$46,4,FALSE)="","",VLOOKUP(B65,PROPONENTES!$B$10:$N$46,4,FALSE))</f>
        <v>DEIGMA S.A.S.</v>
      </c>
      <c r="D66" s="36">
        <f>VLOOKUP(B65,PROPONENTES!$B$10:$N$46,5,FALSE)</f>
        <v>0.2</v>
      </c>
      <c r="E66" s="112"/>
      <c r="F66" s="112"/>
      <c r="G66" s="123">
        <f>+'11'!E16</f>
        <v>751.34400000000005</v>
      </c>
      <c r="H66" s="124" t="str">
        <f>IF(C66="","",IF(G66&gt;'11'!$J$14*0.4,"SI","NO"))</f>
        <v>SI</v>
      </c>
      <c r="I66" s="26">
        <f t="shared" ref="I66:I69" si="90">IF(C66="",0,IF(AND(E66="SI",H66="SI",F66="SI"),1,0))</f>
        <v>0</v>
      </c>
      <c r="J66" s="351"/>
      <c r="K66" s="403"/>
      <c r="L66" s="409"/>
      <c r="M66" s="403"/>
      <c r="N66" s="409"/>
      <c r="O66" s="412"/>
      <c r="P66" s="193" t="s">
        <v>110</v>
      </c>
      <c r="Q66" s="412"/>
      <c r="R66" s="403"/>
      <c r="S66" s="114"/>
      <c r="T66" s="373"/>
      <c r="U66" s="114"/>
      <c r="V66" s="114"/>
      <c r="W66" s="114"/>
      <c r="X66" s="114"/>
      <c r="Y66" s="165">
        <f t="shared" si="0"/>
        <v>0</v>
      </c>
      <c r="Z66" s="373"/>
      <c r="AA66" s="114" t="s">
        <v>14</v>
      </c>
      <c r="AB66" s="114" t="s">
        <v>14</v>
      </c>
      <c r="AC66" s="165">
        <f t="shared" si="58"/>
        <v>0.25</v>
      </c>
      <c r="AD66" s="409"/>
      <c r="AE66" s="403"/>
      <c r="AF66" s="409"/>
      <c r="AG66" s="400"/>
    </row>
    <row r="67" spans="1:33" x14ac:dyDescent="0.25">
      <c r="A67" s="360"/>
      <c r="B67" s="351"/>
      <c r="C67" s="26" t="str">
        <f>IF(VLOOKUP(B65,PROPONENTES!$B$10:$N$46,6,FALSE)="","",VLOOKUP(B65,PROPONENTES!$B$10:$N$46,6,FALSE))</f>
        <v>GESSI ALVERA S.A.S.</v>
      </c>
      <c r="D67" s="36">
        <f>VLOOKUP(B65,PROPONENTES!$B$10:$N$46,7,FALSE)</f>
        <v>0.1</v>
      </c>
      <c r="E67" s="112"/>
      <c r="F67" s="112"/>
      <c r="G67" s="123">
        <f>+'11'!E17</f>
        <v>0</v>
      </c>
      <c r="H67" s="124" t="str">
        <f>IF(C67="","",IF(G67&gt;'11'!$J$14*0.4,"SI","NO"))</f>
        <v>NO</v>
      </c>
      <c r="I67" s="26">
        <f t="shared" si="90"/>
        <v>0</v>
      </c>
      <c r="J67" s="351"/>
      <c r="K67" s="403"/>
      <c r="L67" s="409"/>
      <c r="M67" s="403"/>
      <c r="N67" s="409"/>
      <c r="O67" s="412"/>
      <c r="P67" s="193" t="s">
        <v>110</v>
      </c>
      <c r="Q67" s="412"/>
      <c r="R67" s="403"/>
      <c r="S67" s="114" t="s">
        <v>14</v>
      </c>
      <c r="T67" s="373"/>
      <c r="U67" s="114" t="s">
        <v>14</v>
      </c>
      <c r="V67" s="114" t="s">
        <v>14</v>
      </c>
      <c r="W67" s="114" t="s">
        <v>14</v>
      </c>
      <c r="X67" s="114" t="s">
        <v>14</v>
      </c>
      <c r="Y67" s="165">
        <f t="shared" si="0"/>
        <v>0.25</v>
      </c>
      <c r="Z67" s="373"/>
      <c r="AA67" s="114" t="s">
        <v>14</v>
      </c>
      <c r="AB67" s="114" t="s">
        <v>14</v>
      </c>
      <c r="AC67" s="165">
        <f t="shared" si="58"/>
        <v>0.25</v>
      </c>
      <c r="AD67" s="409"/>
      <c r="AE67" s="403"/>
      <c r="AF67" s="409"/>
      <c r="AG67" s="400"/>
    </row>
    <row r="68" spans="1:33" x14ac:dyDescent="0.25">
      <c r="A68" s="360"/>
      <c r="B68" s="351"/>
      <c r="C68" s="26" t="str">
        <f>IF(VLOOKUP(B65,PROPONENTES!$B$10:$N$46,8,FALSE)="","",VLOOKUP(B65,PROPONENTES!$B$10:$N$46,8,FALSE))</f>
        <v/>
      </c>
      <c r="D68" s="36">
        <f>VLOOKUP(B65,PROPONENTES!$B$10:$N$46,9,FALSE)</f>
        <v>0</v>
      </c>
      <c r="E68" s="112"/>
      <c r="F68" s="112"/>
      <c r="G68" s="123" t="str">
        <f>+'11'!E18</f>
        <v/>
      </c>
      <c r="H68" s="124" t="str">
        <f>IF(C68="","",IF(G68&gt;'11'!$J$14*0.4,"SI","NO"))</f>
        <v/>
      </c>
      <c r="I68" s="124">
        <f t="shared" si="90"/>
        <v>0</v>
      </c>
      <c r="J68" s="351"/>
      <c r="K68" s="403"/>
      <c r="L68" s="409"/>
      <c r="M68" s="403"/>
      <c r="N68" s="409"/>
      <c r="O68" s="412"/>
      <c r="P68" s="193"/>
      <c r="Q68" s="412"/>
      <c r="R68" s="403"/>
      <c r="S68" s="114"/>
      <c r="T68" s="373"/>
      <c r="U68" s="114"/>
      <c r="V68" s="114"/>
      <c r="W68" s="114"/>
      <c r="X68" s="114"/>
      <c r="Y68" s="165">
        <f t="shared" si="0"/>
        <v>0</v>
      </c>
      <c r="Z68" s="373"/>
      <c r="AA68" s="114"/>
      <c r="AB68" s="114"/>
      <c r="AC68" s="165">
        <f t="shared" si="58"/>
        <v>0</v>
      </c>
      <c r="AD68" s="409"/>
      <c r="AE68" s="403"/>
      <c r="AF68" s="409"/>
      <c r="AG68" s="400"/>
    </row>
    <row r="69" spans="1:33" ht="15.75" thickBot="1" x14ac:dyDescent="0.3">
      <c r="A69" s="361"/>
      <c r="B69" s="363"/>
      <c r="C69" s="48" t="str">
        <f>IF(VLOOKUP(B65,PROPONENTES!$B$10:$N$46,10,FALSE)="","",VLOOKUP(B65,PROPONENTES!$B$10:$N$46,10,FALSE))</f>
        <v/>
      </c>
      <c r="D69" s="49">
        <f>VLOOKUP(B65,PROPONENTES!$B$10:$N$46,11,FALSE)</f>
        <v>0</v>
      </c>
      <c r="E69" s="116"/>
      <c r="F69" s="116"/>
      <c r="G69" s="125" t="str">
        <f>+'11'!E19</f>
        <v/>
      </c>
      <c r="H69" s="126" t="str">
        <f>IF(C69="","",IF(G69&gt;'11'!$J$14*0.4,"SI","NO"))</f>
        <v/>
      </c>
      <c r="I69" s="126">
        <f t="shared" si="90"/>
        <v>0</v>
      </c>
      <c r="J69" s="363"/>
      <c r="K69" s="404"/>
      <c r="L69" s="410"/>
      <c r="M69" s="404"/>
      <c r="N69" s="410"/>
      <c r="O69" s="413"/>
      <c r="P69" s="194"/>
      <c r="Q69" s="413"/>
      <c r="R69" s="404"/>
      <c r="S69" s="198"/>
      <c r="T69" s="374"/>
      <c r="U69" s="146"/>
      <c r="V69" s="146"/>
      <c r="W69" s="146"/>
      <c r="X69" s="146"/>
      <c r="Y69" s="166">
        <f t="shared" si="0"/>
        <v>0</v>
      </c>
      <c r="Z69" s="374"/>
      <c r="AA69" s="146"/>
      <c r="AB69" s="146"/>
      <c r="AC69" s="166">
        <f t="shared" si="58"/>
        <v>0</v>
      </c>
      <c r="AD69" s="410"/>
      <c r="AE69" s="404"/>
      <c r="AF69" s="410"/>
      <c r="AG69" s="401"/>
    </row>
    <row r="70" spans="1:33" ht="15" customHeight="1" x14ac:dyDescent="0.25">
      <c r="A70" s="359">
        <v>12</v>
      </c>
      <c r="B70" s="362" t="str">
        <f>+PROPONENTES!B21</f>
        <v>INGENIEROS CONSTRUCTORES Y ASESORES SAS</v>
      </c>
      <c r="C70" s="43" t="str">
        <f>IF(VLOOKUP(B70,PROPONENTES!$B$10:$N$46,2,FALSE)="","",VLOOKUP(B70,PROPONENTES!$B$10:$N$46,2,FALSE))</f>
        <v>INGENIEROS CONSTRUCTORES Y ASESORES SAS</v>
      </c>
      <c r="D70" s="44">
        <f>VLOOKUP(B70,PROPONENTES!$B$10:$N$46,3,FALSE)</f>
        <v>1</v>
      </c>
      <c r="E70" s="107" t="s">
        <v>75</v>
      </c>
      <c r="F70" s="107" t="s">
        <v>75</v>
      </c>
      <c r="G70" s="121">
        <f>+'12'!E15</f>
        <v>2345.355</v>
      </c>
      <c r="H70" s="122" t="str">
        <f>IF(C70="","",IF(G70&gt;'12'!$J$14*0.4,"SI","NO"))</f>
        <v>SI</v>
      </c>
      <c r="I70" s="43">
        <f>IF(C70="",0,IF(AND(E70="SI",H70="SI",F70="SI"),1,0))</f>
        <v>1</v>
      </c>
      <c r="J70" s="362">
        <f>IF((I70+I71+I72+I73+I74)&gt;=1,1,0)</f>
        <v>1</v>
      </c>
      <c r="K70" s="402" t="s">
        <v>14</v>
      </c>
      <c r="L70" s="408">
        <f t="shared" ref="L70" si="91">IF(K70="CUMPLE",5,0)</f>
        <v>5</v>
      </c>
      <c r="M70" s="402" t="s">
        <v>14</v>
      </c>
      <c r="N70" s="408">
        <f t="shared" ref="N70" si="92">IF(M70="CUMPLE",5,0)</f>
        <v>5</v>
      </c>
      <c r="O70" s="411">
        <f t="shared" ref="O70" si="93">+L70+N70</f>
        <v>10</v>
      </c>
      <c r="P70" s="192" t="s">
        <v>110</v>
      </c>
      <c r="Q70" s="411" t="str">
        <f t="shared" ref="Q70" si="94">IF(OR(P70="REPORTADO",P71="REPORTADO",P72="REPORTADO",P73="REPORTADO",P74="REPORTADO"),-1,"0")</f>
        <v>0</v>
      </c>
      <c r="R70" s="402" t="s">
        <v>14</v>
      </c>
      <c r="S70" s="197" t="s">
        <v>14</v>
      </c>
      <c r="T70" s="414">
        <f t="shared" si="54"/>
        <v>20</v>
      </c>
      <c r="U70" s="109" t="s">
        <v>14</v>
      </c>
      <c r="V70" s="109" t="s">
        <v>13</v>
      </c>
      <c r="W70" s="109" t="s">
        <v>13</v>
      </c>
      <c r="X70" s="109" t="s">
        <v>14</v>
      </c>
      <c r="Y70" s="164">
        <f t="shared" si="0"/>
        <v>0.25</v>
      </c>
      <c r="Z70" s="414">
        <f t="shared" ref="Z70" si="95">IF((Y70+Y71+Y72+Y73+Y74)&gt;=0.25,0.25,0)</f>
        <v>0.25</v>
      </c>
      <c r="AA70" s="109" t="s">
        <v>14</v>
      </c>
      <c r="AB70" s="109" t="s">
        <v>14</v>
      </c>
      <c r="AC70" s="164">
        <f t="shared" si="58"/>
        <v>0.25</v>
      </c>
      <c r="AD70" s="408">
        <f t="shared" ref="AD70" si="96">IF((AC70+AC71+AC72+AC73+AC74)&gt;=0.25,0.25,0)</f>
        <v>0.25</v>
      </c>
      <c r="AE70" s="402" t="s">
        <v>14</v>
      </c>
      <c r="AF70" s="408">
        <f t="shared" ref="AF70:AF130" si="97">IF(AE70="CUMPLE",1,0)</f>
        <v>1</v>
      </c>
      <c r="AG70" s="399"/>
    </row>
    <row r="71" spans="1:33" x14ac:dyDescent="0.25">
      <c r="A71" s="360"/>
      <c r="B71" s="351"/>
      <c r="C71" s="26" t="str">
        <f>IF(VLOOKUP(B70,PROPONENTES!$B$10:$N$46,4,FALSE)="","",VLOOKUP(B70,PROPONENTES!$B$10:$N$46,4,FALSE))</f>
        <v/>
      </c>
      <c r="D71" s="36">
        <f>VLOOKUP(B70,PROPONENTES!$B$10:$N$46,5,FALSE)</f>
        <v>0</v>
      </c>
      <c r="E71" s="112"/>
      <c r="F71" s="112"/>
      <c r="G71" s="123" t="str">
        <f>+'12'!E16</f>
        <v/>
      </c>
      <c r="H71" s="124" t="str">
        <f>IF(C71="","",IF(G71&gt;'12'!$J$14*0.4,"SI","NO"))</f>
        <v/>
      </c>
      <c r="I71" s="26">
        <f t="shared" ref="I71:I74" si="98">IF(C71="",0,IF(AND(E71="SI",H71="SI",F71="SI"),1,0))</f>
        <v>0</v>
      </c>
      <c r="J71" s="351"/>
      <c r="K71" s="403"/>
      <c r="L71" s="409"/>
      <c r="M71" s="403"/>
      <c r="N71" s="409"/>
      <c r="O71" s="412"/>
      <c r="P71" s="193"/>
      <c r="Q71" s="412"/>
      <c r="R71" s="403"/>
      <c r="S71" s="114"/>
      <c r="T71" s="373"/>
      <c r="U71" s="114"/>
      <c r="V71" s="114"/>
      <c r="W71" s="114"/>
      <c r="X71" s="114"/>
      <c r="Y71" s="165">
        <f t="shared" si="0"/>
        <v>0</v>
      </c>
      <c r="Z71" s="373"/>
      <c r="AA71" s="114"/>
      <c r="AB71" s="114"/>
      <c r="AC71" s="165">
        <f t="shared" si="58"/>
        <v>0</v>
      </c>
      <c r="AD71" s="409"/>
      <c r="AE71" s="403"/>
      <c r="AF71" s="409"/>
      <c r="AG71" s="400"/>
    </row>
    <row r="72" spans="1:33" x14ac:dyDescent="0.25">
      <c r="A72" s="360"/>
      <c r="B72" s="351"/>
      <c r="C72" s="26" t="str">
        <f>IF(VLOOKUP(B70,PROPONENTES!$B$10:$N$46,6,FALSE)="","",VLOOKUP(B70,PROPONENTES!$B$10:$N$46,6,FALSE))</f>
        <v/>
      </c>
      <c r="D72" s="36">
        <f>VLOOKUP(B70,PROPONENTES!$B$10:$N$46,7,FALSE)</f>
        <v>0</v>
      </c>
      <c r="E72" s="112"/>
      <c r="F72" s="112"/>
      <c r="G72" s="123" t="str">
        <f>+'12'!E17</f>
        <v/>
      </c>
      <c r="H72" s="124" t="str">
        <f>IF(C72="","",IF(G72&gt;'12'!$J$14*0.4,"SI","NO"))</f>
        <v/>
      </c>
      <c r="I72" s="26">
        <f t="shared" si="98"/>
        <v>0</v>
      </c>
      <c r="J72" s="351"/>
      <c r="K72" s="403"/>
      <c r="L72" s="409"/>
      <c r="M72" s="403"/>
      <c r="N72" s="409"/>
      <c r="O72" s="412"/>
      <c r="P72" s="193"/>
      <c r="Q72" s="412"/>
      <c r="R72" s="403"/>
      <c r="S72" s="114"/>
      <c r="T72" s="373"/>
      <c r="U72" s="114"/>
      <c r="V72" s="114"/>
      <c r="W72" s="114"/>
      <c r="X72" s="114"/>
      <c r="Y72" s="165">
        <f t="shared" si="0"/>
        <v>0</v>
      </c>
      <c r="Z72" s="373"/>
      <c r="AA72" s="114"/>
      <c r="AB72" s="114"/>
      <c r="AC72" s="165">
        <f t="shared" si="58"/>
        <v>0</v>
      </c>
      <c r="AD72" s="409"/>
      <c r="AE72" s="403"/>
      <c r="AF72" s="409"/>
      <c r="AG72" s="400"/>
    </row>
    <row r="73" spans="1:33" x14ac:dyDescent="0.25">
      <c r="A73" s="360"/>
      <c r="B73" s="351"/>
      <c r="C73" s="26" t="str">
        <f>IF(VLOOKUP(B70,PROPONENTES!$B$10:$N$46,8,FALSE)="","",VLOOKUP(B70,PROPONENTES!$B$10:$N$46,8,FALSE))</f>
        <v/>
      </c>
      <c r="D73" s="36">
        <f>VLOOKUP(B70,PROPONENTES!$B$10:$N$46,9,FALSE)</f>
        <v>0</v>
      </c>
      <c r="E73" s="112"/>
      <c r="F73" s="112"/>
      <c r="G73" s="123" t="str">
        <f>+'12'!E18</f>
        <v/>
      </c>
      <c r="H73" s="124" t="str">
        <f>IF(C73="","",IF(G73&gt;'12'!$J$14*0.4,"SI","NO"))</f>
        <v/>
      </c>
      <c r="I73" s="124">
        <f t="shared" si="98"/>
        <v>0</v>
      </c>
      <c r="J73" s="351"/>
      <c r="K73" s="403"/>
      <c r="L73" s="409"/>
      <c r="M73" s="403"/>
      <c r="N73" s="409"/>
      <c r="O73" s="412"/>
      <c r="P73" s="193"/>
      <c r="Q73" s="412"/>
      <c r="R73" s="403"/>
      <c r="S73" s="114"/>
      <c r="T73" s="373"/>
      <c r="U73" s="114"/>
      <c r="V73" s="114"/>
      <c r="W73" s="114"/>
      <c r="X73" s="114"/>
      <c r="Y73" s="165">
        <f t="shared" si="0"/>
        <v>0</v>
      </c>
      <c r="Z73" s="373"/>
      <c r="AA73" s="114"/>
      <c r="AB73" s="114"/>
      <c r="AC73" s="165">
        <f t="shared" si="58"/>
        <v>0</v>
      </c>
      <c r="AD73" s="409"/>
      <c r="AE73" s="403"/>
      <c r="AF73" s="409"/>
      <c r="AG73" s="400"/>
    </row>
    <row r="74" spans="1:33" ht="15.75" thickBot="1" x14ac:dyDescent="0.3">
      <c r="A74" s="361"/>
      <c r="B74" s="363"/>
      <c r="C74" s="48" t="str">
        <f>IF(VLOOKUP(B70,PROPONENTES!$B$10:$N$46,10,FALSE)="","",VLOOKUP(B70,PROPONENTES!$B$10:$N$46,10,FALSE))</f>
        <v/>
      </c>
      <c r="D74" s="49">
        <f>VLOOKUP(B70,PROPONENTES!$B$10:$N$46,11,FALSE)</f>
        <v>0</v>
      </c>
      <c r="E74" s="116"/>
      <c r="F74" s="116"/>
      <c r="G74" s="125" t="str">
        <f>+'12'!E19</f>
        <v/>
      </c>
      <c r="H74" s="126" t="str">
        <f>IF(C74="","",IF(G74&gt;'12'!$J$14*0.4,"SI","NO"))</f>
        <v/>
      </c>
      <c r="I74" s="126">
        <f t="shared" si="98"/>
        <v>0</v>
      </c>
      <c r="J74" s="363"/>
      <c r="K74" s="404"/>
      <c r="L74" s="410"/>
      <c r="M74" s="404"/>
      <c r="N74" s="410"/>
      <c r="O74" s="413"/>
      <c r="P74" s="194"/>
      <c r="Q74" s="413"/>
      <c r="R74" s="404"/>
      <c r="S74" s="198"/>
      <c r="T74" s="374"/>
      <c r="U74" s="146"/>
      <c r="V74" s="146"/>
      <c r="W74" s="146"/>
      <c r="X74" s="146"/>
      <c r="Y74" s="166">
        <f t="shared" si="0"/>
        <v>0</v>
      </c>
      <c r="Z74" s="374"/>
      <c r="AA74" s="146"/>
      <c r="AB74" s="146"/>
      <c r="AC74" s="166">
        <f t="shared" si="58"/>
        <v>0</v>
      </c>
      <c r="AD74" s="410"/>
      <c r="AE74" s="404"/>
      <c r="AF74" s="410"/>
      <c r="AG74" s="401"/>
    </row>
    <row r="75" spans="1:33" x14ac:dyDescent="0.25">
      <c r="A75" s="422">
        <v>13</v>
      </c>
      <c r="B75" s="425" t="str">
        <f>+PROPONENTES!B22</f>
        <v>CONSORCIO INTERVENTOR ANFAO</v>
      </c>
      <c r="C75" s="43" t="str">
        <f>IF(VLOOKUP(B75,PROPONENTES!$B$10:$N$46,2,FALSE)="","",VLOOKUP(B75,PROPONENTES!$B$10:$N$46,2,FALSE))</f>
        <v xml:space="preserve">GRUPO FAO SAS </v>
      </c>
      <c r="D75" s="44">
        <f>VLOOKUP(B75,PROPONENTES!$B$10:$N$46,3,FALSE)</f>
        <v>0.9</v>
      </c>
      <c r="E75" s="107"/>
      <c r="F75" s="107"/>
      <c r="G75" s="121">
        <f>+'13'!E15</f>
        <v>0</v>
      </c>
      <c r="H75" s="122" t="str">
        <f>IF(C75="","",IF(G75&gt;'13'!$J$14*0.4,"SI","NO"))</f>
        <v>NO</v>
      </c>
      <c r="I75" s="43">
        <f>IF(C75="",0,IF(AND(E75="SI",H75="SI",F75="SI"),1,0))</f>
        <v>0</v>
      </c>
      <c r="J75" s="362">
        <f>IF((I75+I76+I77+I78+I79)&gt;=1,1,0)</f>
        <v>0</v>
      </c>
      <c r="K75" s="402"/>
      <c r="L75" s="408">
        <f t="shared" ref="L75" si="99">IF(K75="CUMPLE",5,0)</f>
        <v>0</v>
      </c>
      <c r="M75" s="402"/>
      <c r="N75" s="408">
        <f t="shared" ref="N75" si="100">IF(M75="CUMPLE",5,0)</f>
        <v>0</v>
      </c>
      <c r="O75" s="411">
        <f t="shared" ref="O75" si="101">+L75+N75</f>
        <v>0</v>
      </c>
      <c r="P75" s="192"/>
      <c r="Q75" s="411" t="str">
        <f t="shared" ref="Q75" si="102">IF(OR(P75="REPORTADO",P76="REPORTADO",P77="REPORTADO",P78="REPORTADO",P79="REPORTADO"),-1,"0")</f>
        <v>0</v>
      </c>
      <c r="R75" s="402"/>
      <c r="S75" s="197"/>
      <c r="T75" s="414" t="str">
        <f t="shared" si="54"/>
        <v/>
      </c>
      <c r="U75" s="109"/>
      <c r="V75" s="109"/>
      <c r="W75" s="109"/>
      <c r="X75" s="109"/>
      <c r="Y75" s="164">
        <f t="shared" si="0"/>
        <v>0</v>
      </c>
      <c r="Z75" s="414">
        <f t="shared" ref="Z75" si="103">IF((Y75+Y76+Y77+Y78+Y79)&gt;=0.25,0.25,0)</f>
        <v>0</v>
      </c>
      <c r="AA75" s="109"/>
      <c r="AB75" s="109"/>
      <c r="AC75" s="164">
        <f t="shared" si="58"/>
        <v>0</v>
      </c>
      <c r="AD75" s="408">
        <f t="shared" ref="AD75" si="104">IF((AC75+AC76+AC77+AC78+AC79)&gt;=0.25,0.25,0)</f>
        <v>0</v>
      </c>
      <c r="AE75" s="402"/>
      <c r="AF75" s="408">
        <f t="shared" ref="AF75" si="105">IF(AE75="CUMPLE",1,0)</f>
        <v>0</v>
      </c>
      <c r="AG75" s="415" t="s">
        <v>309</v>
      </c>
    </row>
    <row r="76" spans="1:33" ht="15" customHeight="1" x14ac:dyDescent="0.25">
      <c r="A76" s="423"/>
      <c r="B76" s="426"/>
      <c r="C76" s="26" t="str">
        <f>IF(VLOOKUP(B75,PROPONENTES!$B$10:$N$46,4,FALSE)="","",VLOOKUP(B75,PROPONENTES!$B$10:$N$46,4,FALSE))</f>
        <v>ANDINA DE CONSULTORÍA Y CONSTRUCCIONES SAS</v>
      </c>
      <c r="D76" s="36">
        <f>VLOOKUP(B75,PROPONENTES!$B$10:$N$46,5,FALSE)</f>
        <v>0.1</v>
      </c>
      <c r="E76" s="112"/>
      <c r="F76" s="112"/>
      <c r="G76" s="123">
        <f>+'13'!E16</f>
        <v>0</v>
      </c>
      <c r="H76" s="124" t="str">
        <f>IF(C76="","",IF(G76&gt;'13'!$J$14*0.4,"SI","NO"))</f>
        <v>NO</v>
      </c>
      <c r="I76" s="26">
        <f t="shared" ref="I76:I79" si="106">IF(C76="",0,IF(AND(E76="SI",H76="SI",F76="SI"),1,0))</f>
        <v>0</v>
      </c>
      <c r="J76" s="351"/>
      <c r="K76" s="403"/>
      <c r="L76" s="409"/>
      <c r="M76" s="403"/>
      <c r="N76" s="409"/>
      <c r="O76" s="412"/>
      <c r="P76" s="193"/>
      <c r="Q76" s="412"/>
      <c r="R76" s="403"/>
      <c r="S76" s="114"/>
      <c r="T76" s="373"/>
      <c r="U76" s="114"/>
      <c r="V76" s="114"/>
      <c r="W76" s="114"/>
      <c r="X76" s="114"/>
      <c r="Y76" s="165">
        <f t="shared" si="0"/>
        <v>0</v>
      </c>
      <c r="Z76" s="373"/>
      <c r="AA76" s="114"/>
      <c r="AB76" s="114"/>
      <c r="AC76" s="165">
        <f t="shared" si="58"/>
        <v>0</v>
      </c>
      <c r="AD76" s="409"/>
      <c r="AE76" s="403"/>
      <c r="AF76" s="409"/>
      <c r="AG76" s="416"/>
    </row>
    <row r="77" spans="1:33" x14ac:dyDescent="0.25">
      <c r="A77" s="423"/>
      <c r="B77" s="426"/>
      <c r="C77" s="26" t="str">
        <f>IF(VLOOKUP(B75,PROPONENTES!$B$10:$N$46,6,FALSE)="","",VLOOKUP(B75,PROPONENTES!$B$10:$N$46,6,FALSE))</f>
        <v/>
      </c>
      <c r="D77" s="36">
        <f>VLOOKUP(B75,PROPONENTES!$B$10:$N$46,7,FALSE)</f>
        <v>0</v>
      </c>
      <c r="E77" s="112"/>
      <c r="F77" s="112"/>
      <c r="G77" s="123" t="str">
        <f>+'13'!E17</f>
        <v/>
      </c>
      <c r="H77" s="124" t="str">
        <f>IF(C77="","",IF(G77&gt;'13'!$J$14*0.4,"SI","NO"))</f>
        <v/>
      </c>
      <c r="I77" s="26">
        <f t="shared" si="106"/>
        <v>0</v>
      </c>
      <c r="J77" s="351"/>
      <c r="K77" s="403"/>
      <c r="L77" s="409"/>
      <c r="M77" s="403"/>
      <c r="N77" s="409"/>
      <c r="O77" s="412"/>
      <c r="P77" s="193"/>
      <c r="Q77" s="412"/>
      <c r="R77" s="403"/>
      <c r="S77" s="114"/>
      <c r="T77" s="373"/>
      <c r="U77" s="114"/>
      <c r="V77" s="114"/>
      <c r="W77" s="114"/>
      <c r="X77" s="114"/>
      <c r="Y77" s="165">
        <f t="shared" si="0"/>
        <v>0</v>
      </c>
      <c r="Z77" s="373"/>
      <c r="AA77" s="114"/>
      <c r="AB77" s="114"/>
      <c r="AC77" s="165">
        <f t="shared" si="58"/>
        <v>0</v>
      </c>
      <c r="AD77" s="409"/>
      <c r="AE77" s="403"/>
      <c r="AF77" s="409"/>
      <c r="AG77" s="416"/>
    </row>
    <row r="78" spans="1:33" x14ac:dyDescent="0.25">
      <c r="A78" s="423"/>
      <c r="B78" s="426"/>
      <c r="C78" s="26" t="str">
        <f>IF(VLOOKUP(B75,PROPONENTES!$B$10:$N$46,8,FALSE)="","",VLOOKUP(B75,PROPONENTES!$B$10:$N$46,8,FALSE))</f>
        <v/>
      </c>
      <c r="D78" s="36">
        <f>VLOOKUP(B75,PROPONENTES!$B$10:$N$46,9,FALSE)</f>
        <v>0</v>
      </c>
      <c r="E78" s="112"/>
      <c r="F78" s="112"/>
      <c r="G78" s="123" t="str">
        <f>+'13'!E18</f>
        <v/>
      </c>
      <c r="H78" s="124" t="str">
        <f>IF(C78="","",IF(G78&gt;'13'!$J$14*0.4,"SI","NO"))</f>
        <v/>
      </c>
      <c r="I78" s="124">
        <f t="shared" si="106"/>
        <v>0</v>
      </c>
      <c r="J78" s="351"/>
      <c r="K78" s="403"/>
      <c r="L78" s="409"/>
      <c r="M78" s="403"/>
      <c r="N78" s="409"/>
      <c r="O78" s="412"/>
      <c r="P78" s="193"/>
      <c r="Q78" s="412"/>
      <c r="R78" s="403"/>
      <c r="S78" s="114"/>
      <c r="T78" s="373"/>
      <c r="U78" s="114"/>
      <c r="V78" s="114"/>
      <c r="W78" s="114"/>
      <c r="X78" s="114"/>
      <c r="Y78" s="165">
        <f t="shared" si="0"/>
        <v>0</v>
      </c>
      <c r="Z78" s="373"/>
      <c r="AA78" s="114"/>
      <c r="AB78" s="114"/>
      <c r="AC78" s="165">
        <f t="shared" si="58"/>
        <v>0</v>
      </c>
      <c r="AD78" s="409"/>
      <c r="AE78" s="403"/>
      <c r="AF78" s="409"/>
      <c r="AG78" s="416"/>
    </row>
    <row r="79" spans="1:33" ht="15.75" thickBot="1" x14ac:dyDescent="0.3">
      <c r="A79" s="424"/>
      <c r="B79" s="427"/>
      <c r="C79" s="48" t="str">
        <f>IF(VLOOKUP(B75,PROPONENTES!$B$10:$N$46,10,FALSE)="","",VLOOKUP(B75,PROPONENTES!$B$10:$N$46,10,FALSE))</f>
        <v/>
      </c>
      <c r="D79" s="49">
        <f>VLOOKUP(B75,PROPONENTES!$B$10:$N$46,11,FALSE)</f>
        <v>0</v>
      </c>
      <c r="E79" s="116"/>
      <c r="F79" s="116"/>
      <c r="G79" s="125" t="str">
        <f>+'13'!E19</f>
        <v/>
      </c>
      <c r="H79" s="126" t="str">
        <f>IF(C79="","",IF(G79&gt;'13'!$J$14*0.4,"SI","NO"))</f>
        <v/>
      </c>
      <c r="I79" s="126">
        <f t="shared" si="106"/>
        <v>0</v>
      </c>
      <c r="J79" s="363"/>
      <c r="K79" s="404"/>
      <c r="L79" s="410"/>
      <c r="M79" s="404"/>
      <c r="N79" s="410"/>
      <c r="O79" s="413"/>
      <c r="P79" s="194"/>
      <c r="Q79" s="413"/>
      <c r="R79" s="404"/>
      <c r="S79" s="198"/>
      <c r="T79" s="374"/>
      <c r="U79" s="146"/>
      <c r="V79" s="146"/>
      <c r="W79" s="146"/>
      <c r="X79" s="146"/>
      <c r="Y79" s="166">
        <f t="shared" ref="Y79:Y142" si="107">IF(C79="",0,IF(AND(OR(V79="CUMPLE",V79="N/A"),OR(W79="CUMPLE",W79="N/A"),OR(X79="CUMPLE",X79="N/A"),AND(U79="CUMPLE",D79&gt;=10%)),0.25,))</f>
        <v>0</v>
      </c>
      <c r="Z79" s="374"/>
      <c r="AA79" s="146"/>
      <c r="AB79" s="146"/>
      <c r="AC79" s="166">
        <f t="shared" ref="AC79:AC142" si="108">IF(C79="",0,IF(AND(AA79="CUMPLE",AB79="CUMPLE",D79&gt;=10%),0.25,0))</f>
        <v>0</v>
      </c>
      <c r="AD79" s="410"/>
      <c r="AE79" s="404"/>
      <c r="AF79" s="410"/>
      <c r="AG79" s="417"/>
    </row>
    <row r="80" spans="1:33" ht="15" customHeight="1" x14ac:dyDescent="0.25">
      <c r="A80" s="359">
        <v>14</v>
      </c>
      <c r="B80" s="362" t="str">
        <f>+PROPONENTES!B23</f>
        <v>GRUPO METRO COLOMBIA SAS</v>
      </c>
      <c r="C80" s="43" t="str">
        <f>IF(VLOOKUP(B80,PROPONENTES!$B$10:$N$46,2,FALSE)="","",VLOOKUP(B80,PROPONENTES!$B$10:$N$46,2,FALSE))</f>
        <v>GRUPO METRO COLOMBIA SAS</v>
      </c>
      <c r="D80" s="44">
        <f>VLOOKUP(B80,PROPONENTES!$B$10:$N$46,3,FALSE)</f>
        <v>1</v>
      </c>
      <c r="E80" s="107" t="s">
        <v>73</v>
      </c>
      <c r="F80" s="107" t="s">
        <v>75</v>
      </c>
      <c r="G80" s="121">
        <f>+'14'!E15</f>
        <v>1970.3520000000003</v>
      </c>
      <c r="H80" s="122" t="str">
        <f>IF(C80="","",IF(G80&gt;'14'!$J$14*0.4,"SI","NO"))</f>
        <v>SI</v>
      </c>
      <c r="I80" s="43">
        <f>IF(C80="",0,IF(AND(E80="SI",H80="SI",F80="SI"),1,0))</f>
        <v>0</v>
      </c>
      <c r="J80" s="362">
        <f>IF((I80+I81+I82+I83+I84)&gt;=1,1,0)</f>
        <v>0</v>
      </c>
      <c r="K80" s="402" t="s">
        <v>14</v>
      </c>
      <c r="L80" s="408">
        <f t="shared" ref="L80" si="109">IF(K80="CUMPLE",5,0)</f>
        <v>5</v>
      </c>
      <c r="M80" s="402" t="s">
        <v>14</v>
      </c>
      <c r="N80" s="408">
        <f t="shared" ref="N80" si="110">IF(M80="CUMPLE",5,0)</f>
        <v>5</v>
      </c>
      <c r="O80" s="411">
        <f t="shared" ref="O80" si="111">+L80+N80</f>
        <v>10</v>
      </c>
      <c r="P80" s="192" t="s">
        <v>110</v>
      </c>
      <c r="Q80" s="411" t="str">
        <f t="shared" ref="Q80" si="112">IF(OR(P80="REPORTADO",P81="REPORTADO",P82="REPORTADO",P83="REPORTADO",P84="REPORTADO"),-1,"0")</f>
        <v>0</v>
      </c>
      <c r="R80" s="402" t="s">
        <v>14</v>
      </c>
      <c r="S80" s="197" t="s">
        <v>14</v>
      </c>
      <c r="T80" s="414">
        <f t="shared" si="54"/>
        <v>20</v>
      </c>
      <c r="U80" s="109" t="s">
        <v>14</v>
      </c>
      <c r="V80" s="109" t="s">
        <v>14</v>
      </c>
      <c r="W80" s="109" t="s">
        <v>14</v>
      </c>
      <c r="X80" s="109" t="s">
        <v>14</v>
      </c>
      <c r="Y80" s="164">
        <f t="shared" si="107"/>
        <v>0.25</v>
      </c>
      <c r="Z80" s="414">
        <f t="shared" ref="Z80" si="113">IF((Y80+Y81+Y82+Y83+Y84)&gt;=0.25,0.25,0)</f>
        <v>0.25</v>
      </c>
      <c r="AA80" s="109" t="s">
        <v>14</v>
      </c>
      <c r="AB80" s="109" t="s">
        <v>14</v>
      </c>
      <c r="AC80" s="164">
        <f t="shared" si="108"/>
        <v>0.25</v>
      </c>
      <c r="AD80" s="408">
        <f t="shared" ref="AD80" si="114">IF((AC80+AC81+AC82+AC83+AC84)&gt;=0.25,0.25,0)</f>
        <v>0.25</v>
      </c>
      <c r="AE80" s="402" t="s">
        <v>14</v>
      </c>
      <c r="AF80" s="408">
        <f t="shared" si="65"/>
        <v>1</v>
      </c>
      <c r="AG80" s="399" t="s">
        <v>580</v>
      </c>
    </row>
    <row r="81" spans="1:33" x14ac:dyDescent="0.25">
      <c r="A81" s="360"/>
      <c r="B81" s="351"/>
      <c r="C81" s="26" t="str">
        <f>IF(VLOOKUP(B80,PROPONENTES!$B$10:$N$46,4,FALSE)="","",VLOOKUP(B80,PROPONENTES!$B$10:$N$46,4,FALSE))</f>
        <v/>
      </c>
      <c r="D81" s="36">
        <f>VLOOKUP(B80,PROPONENTES!$B$10:$N$46,5,FALSE)</f>
        <v>0</v>
      </c>
      <c r="E81" s="112"/>
      <c r="F81" s="112"/>
      <c r="G81" s="123" t="str">
        <f>+'14'!E16</f>
        <v/>
      </c>
      <c r="H81" s="124" t="str">
        <f>IF(C81="","",IF(G81&gt;'14'!$J$14*0.4,"SI","NO"))</f>
        <v/>
      </c>
      <c r="I81" s="26">
        <f t="shared" ref="I81:I84" si="115">IF(C81="",0,IF(AND(E81="SI",H81="SI",F81="SI"),1,0))</f>
        <v>0</v>
      </c>
      <c r="J81" s="351"/>
      <c r="K81" s="403"/>
      <c r="L81" s="409"/>
      <c r="M81" s="403"/>
      <c r="N81" s="409"/>
      <c r="O81" s="412"/>
      <c r="P81" s="193"/>
      <c r="Q81" s="412"/>
      <c r="R81" s="403"/>
      <c r="S81" s="114"/>
      <c r="T81" s="373"/>
      <c r="U81" s="114"/>
      <c r="V81" s="114"/>
      <c r="W81" s="114"/>
      <c r="X81" s="114"/>
      <c r="Y81" s="165">
        <f t="shared" si="107"/>
        <v>0</v>
      </c>
      <c r="Z81" s="373"/>
      <c r="AA81" s="114"/>
      <c r="AB81" s="114"/>
      <c r="AC81" s="165">
        <f t="shared" si="108"/>
        <v>0</v>
      </c>
      <c r="AD81" s="409"/>
      <c r="AE81" s="403"/>
      <c r="AF81" s="409"/>
      <c r="AG81" s="400"/>
    </row>
    <row r="82" spans="1:33" x14ac:dyDescent="0.25">
      <c r="A82" s="360"/>
      <c r="B82" s="351"/>
      <c r="C82" s="26" t="str">
        <f>IF(VLOOKUP(B80,PROPONENTES!$B$10:$N$46,6,FALSE)="","",VLOOKUP(B80,PROPONENTES!$B$10:$N$46,6,FALSE))</f>
        <v/>
      </c>
      <c r="D82" s="36">
        <f>VLOOKUP(B80,PROPONENTES!$B$10:$N$46,7,FALSE)</f>
        <v>0</v>
      </c>
      <c r="E82" s="112"/>
      <c r="F82" s="112"/>
      <c r="G82" s="123" t="str">
        <f>+'14'!E17</f>
        <v/>
      </c>
      <c r="H82" s="124" t="str">
        <f>IF(C82="","",IF(G82&gt;'14'!$J$14*0.4,"SI","NO"))</f>
        <v/>
      </c>
      <c r="I82" s="26">
        <f t="shared" si="115"/>
        <v>0</v>
      </c>
      <c r="J82" s="351"/>
      <c r="K82" s="403"/>
      <c r="L82" s="409"/>
      <c r="M82" s="403"/>
      <c r="N82" s="409"/>
      <c r="O82" s="412"/>
      <c r="P82" s="193"/>
      <c r="Q82" s="412"/>
      <c r="R82" s="403"/>
      <c r="S82" s="114"/>
      <c r="T82" s="373"/>
      <c r="U82" s="114"/>
      <c r="V82" s="114"/>
      <c r="W82" s="114"/>
      <c r="X82" s="114"/>
      <c r="Y82" s="165">
        <f t="shared" si="107"/>
        <v>0</v>
      </c>
      <c r="Z82" s="373"/>
      <c r="AA82" s="114"/>
      <c r="AB82" s="114"/>
      <c r="AC82" s="165">
        <f t="shared" si="108"/>
        <v>0</v>
      </c>
      <c r="AD82" s="409"/>
      <c r="AE82" s="403"/>
      <c r="AF82" s="409"/>
      <c r="AG82" s="400"/>
    </row>
    <row r="83" spans="1:33" x14ac:dyDescent="0.25">
      <c r="A83" s="360"/>
      <c r="B83" s="351"/>
      <c r="C83" s="26" t="str">
        <f>IF(VLOOKUP(B80,PROPONENTES!$B$10:$N$46,8,FALSE)="","",VLOOKUP(B80,PROPONENTES!$B$10:$N$46,8,FALSE))</f>
        <v/>
      </c>
      <c r="D83" s="36">
        <f>VLOOKUP(B80,PROPONENTES!$B$10:$N$46,9,FALSE)</f>
        <v>0</v>
      </c>
      <c r="E83" s="112"/>
      <c r="F83" s="112"/>
      <c r="G83" s="123" t="str">
        <f>+'14'!E18</f>
        <v/>
      </c>
      <c r="H83" s="124" t="str">
        <f>IF(C83="","",IF(G83&gt;'14'!$J$14*0.4,"SI","NO"))</f>
        <v/>
      </c>
      <c r="I83" s="124">
        <f t="shared" si="115"/>
        <v>0</v>
      </c>
      <c r="J83" s="351"/>
      <c r="K83" s="403"/>
      <c r="L83" s="409"/>
      <c r="M83" s="403"/>
      <c r="N83" s="409"/>
      <c r="O83" s="412"/>
      <c r="P83" s="193"/>
      <c r="Q83" s="412"/>
      <c r="R83" s="403"/>
      <c r="S83" s="114"/>
      <c r="T83" s="373"/>
      <c r="U83" s="114"/>
      <c r="V83" s="114"/>
      <c r="W83" s="114"/>
      <c r="X83" s="114"/>
      <c r="Y83" s="165">
        <f t="shared" si="107"/>
        <v>0</v>
      </c>
      <c r="Z83" s="373"/>
      <c r="AA83" s="114"/>
      <c r="AB83" s="114"/>
      <c r="AC83" s="165">
        <f t="shared" si="108"/>
        <v>0</v>
      </c>
      <c r="AD83" s="409"/>
      <c r="AE83" s="403"/>
      <c r="AF83" s="409"/>
      <c r="AG83" s="400"/>
    </row>
    <row r="84" spans="1:33" ht="15.75" thickBot="1" x14ac:dyDescent="0.3">
      <c r="A84" s="361"/>
      <c r="B84" s="363"/>
      <c r="C84" s="48" t="str">
        <f>IF(VLOOKUP(B80,PROPONENTES!$B$10:$N$46,10,FALSE)="","",VLOOKUP(B80,PROPONENTES!$B$10:$N$46,10,FALSE))</f>
        <v/>
      </c>
      <c r="D84" s="49">
        <f>VLOOKUP(B80,PROPONENTES!$B$10:$N$46,11,FALSE)</f>
        <v>0</v>
      </c>
      <c r="E84" s="116"/>
      <c r="F84" s="116"/>
      <c r="G84" s="125" t="str">
        <f>+'14'!E19</f>
        <v/>
      </c>
      <c r="H84" s="126" t="str">
        <f>IF(C84="","",IF(G84&gt;'14'!$J$14*0.4,"SI","NO"))</f>
        <v/>
      </c>
      <c r="I84" s="126">
        <f t="shared" si="115"/>
        <v>0</v>
      </c>
      <c r="J84" s="363"/>
      <c r="K84" s="404"/>
      <c r="L84" s="410"/>
      <c r="M84" s="404"/>
      <c r="N84" s="410"/>
      <c r="O84" s="413"/>
      <c r="P84" s="194"/>
      <c r="Q84" s="413"/>
      <c r="R84" s="404"/>
      <c r="S84" s="198"/>
      <c r="T84" s="374"/>
      <c r="U84" s="146"/>
      <c r="V84" s="146"/>
      <c r="W84" s="146"/>
      <c r="X84" s="146"/>
      <c r="Y84" s="166">
        <f t="shared" si="107"/>
        <v>0</v>
      </c>
      <c r="Z84" s="374"/>
      <c r="AA84" s="146"/>
      <c r="AB84" s="146"/>
      <c r="AC84" s="166">
        <f t="shared" si="108"/>
        <v>0</v>
      </c>
      <c r="AD84" s="410"/>
      <c r="AE84" s="404"/>
      <c r="AF84" s="410"/>
      <c r="AG84" s="401"/>
    </row>
    <row r="85" spans="1:33" ht="15" customHeight="1" x14ac:dyDescent="0.25">
      <c r="A85" s="422">
        <v>15</v>
      </c>
      <c r="B85" s="425" t="str">
        <f>+PROPONENTES!B24</f>
        <v>CONSORCIO INTERPROYECTOS CAREN</v>
      </c>
      <c r="C85" s="43" t="str">
        <f>IF(VLOOKUP(B85,PROPONENTES!$B$10:$N$46,2,FALSE)="","",VLOOKUP(B85,PROPONENTES!$B$10:$N$46,2,FALSE))</f>
        <v>COMPAÑÍA DE INTERVENTORIAS  Y CONSULTORIAS DE LA COSTA S.A.S.</v>
      </c>
      <c r="D85" s="44">
        <f>VLOOKUP(B85,PROPONENTES!$B$10:$N$46,3,FALSE)</f>
        <v>0.25</v>
      </c>
      <c r="E85" s="107"/>
      <c r="F85" s="107"/>
      <c r="G85" s="121">
        <f>+'15'!E15</f>
        <v>0</v>
      </c>
      <c r="H85" s="122" t="str">
        <f>IF(C85="","",IF(G85&gt;'15'!$J$14*0.4,"SI","NO"))</f>
        <v>NO</v>
      </c>
      <c r="I85" s="43">
        <f>IF(C85="",0,IF(AND(E85="SI",H85="SI",F85="SI"),1,0))</f>
        <v>0</v>
      </c>
      <c r="J85" s="362">
        <f>IF((I85+I86+I87+I88+I89)&gt;=1,1,0)</f>
        <v>0</v>
      </c>
      <c r="K85" s="402"/>
      <c r="L85" s="408">
        <f t="shared" ref="L85" si="116">IF(K85="CUMPLE",5,0)</f>
        <v>0</v>
      </c>
      <c r="M85" s="402"/>
      <c r="N85" s="408">
        <f t="shared" ref="N85" si="117">IF(M85="CUMPLE",5,0)</f>
        <v>0</v>
      </c>
      <c r="O85" s="411">
        <f t="shared" ref="O85" si="118">+L85+N85</f>
        <v>0</v>
      </c>
      <c r="P85" s="192"/>
      <c r="Q85" s="411" t="str">
        <f t="shared" ref="Q85" si="119">IF(OR(P85="REPORTADO",P86="REPORTADO",P87="REPORTADO",P88="REPORTADO",P89="REPORTADO"),-1,"0")</f>
        <v>0</v>
      </c>
      <c r="R85" s="402"/>
      <c r="S85" s="197"/>
      <c r="T85" s="414" t="str">
        <f t="shared" si="54"/>
        <v/>
      </c>
      <c r="U85" s="109"/>
      <c r="V85" s="109"/>
      <c r="W85" s="109"/>
      <c r="X85" s="109"/>
      <c r="Y85" s="164">
        <f t="shared" si="107"/>
        <v>0</v>
      </c>
      <c r="Z85" s="414">
        <f t="shared" ref="Z85" si="120">IF((Y85+Y86+Y87+Y88+Y89)&gt;=0.25,0.25,0)</f>
        <v>0</v>
      </c>
      <c r="AA85" s="109"/>
      <c r="AB85" s="109"/>
      <c r="AC85" s="164">
        <f t="shared" si="108"/>
        <v>0</v>
      </c>
      <c r="AD85" s="408">
        <f t="shared" ref="AD85" si="121">IF((AC85+AC86+AC87+AC88+AC89)&gt;=0.25,0.25,0)</f>
        <v>0</v>
      </c>
      <c r="AE85" s="402"/>
      <c r="AF85" s="408">
        <f t="shared" si="73"/>
        <v>0</v>
      </c>
      <c r="AG85" s="415" t="s">
        <v>309</v>
      </c>
    </row>
    <row r="86" spans="1:33" ht="15" customHeight="1" x14ac:dyDescent="0.25">
      <c r="A86" s="423"/>
      <c r="B86" s="426"/>
      <c r="C86" s="26" t="str">
        <f>IF(VLOOKUP(B85,PROPONENTES!$B$10:$N$46,4,FALSE)="","",VLOOKUP(B85,PROPONENTES!$B$10:$N$46,4,FALSE))</f>
        <v>AREN PROYECTOS &amp; CONSULTORIAS S.A.S.</v>
      </c>
      <c r="D86" s="36">
        <f>VLOOKUP(B85,PROPONENTES!$B$10:$N$46,5,FALSE)</f>
        <v>0.75</v>
      </c>
      <c r="E86" s="112"/>
      <c r="F86" s="112"/>
      <c r="G86" s="123">
        <f>+'15'!E16</f>
        <v>0</v>
      </c>
      <c r="H86" s="124" t="str">
        <f>IF(C86="","",IF(G86&gt;'15'!$J$14*0.4,"SI","NO"))</f>
        <v>NO</v>
      </c>
      <c r="I86" s="26">
        <f t="shared" ref="I86:I89" si="122">IF(C86="",0,IF(AND(E86="SI",H86="SI",F86="SI"),1,0))</f>
        <v>0</v>
      </c>
      <c r="J86" s="351"/>
      <c r="K86" s="403"/>
      <c r="L86" s="409"/>
      <c r="M86" s="403"/>
      <c r="N86" s="409"/>
      <c r="O86" s="412"/>
      <c r="P86" s="193"/>
      <c r="Q86" s="412"/>
      <c r="R86" s="403"/>
      <c r="S86" s="114"/>
      <c r="T86" s="373"/>
      <c r="U86" s="114"/>
      <c r="V86" s="114"/>
      <c r="W86" s="114"/>
      <c r="X86" s="114"/>
      <c r="Y86" s="165">
        <f t="shared" si="107"/>
        <v>0</v>
      </c>
      <c r="Z86" s="373"/>
      <c r="AA86" s="114"/>
      <c r="AB86" s="114"/>
      <c r="AC86" s="165">
        <f t="shared" si="108"/>
        <v>0</v>
      </c>
      <c r="AD86" s="409"/>
      <c r="AE86" s="403"/>
      <c r="AF86" s="409"/>
      <c r="AG86" s="416"/>
    </row>
    <row r="87" spans="1:33" x14ac:dyDescent="0.25">
      <c r="A87" s="423"/>
      <c r="B87" s="426"/>
      <c r="C87" s="26" t="str">
        <f>IF(VLOOKUP(B85,PROPONENTES!$B$10:$N$46,6,FALSE)="","",VLOOKUP(B85,PROPONENTES!$B$10:$N$46,6,FALSE))</f>
        <v/>
      </c>
      <c r="D87" s="36">
        <f>VLOOKUP(B85,PROPONENTES!$B$10:$N$46,7,FALSE)</f>
        <v>0</v>
      </c>
      <c r="E87" s="112"/>
      <c r="F87" s="112"/>
      <c r="G87" s="123" t="str">
        <f>+'15'!E17</f>
        <v/>
      </c>
      <c r="H87" s="124" t="str">
        <f>IF(C87="","",IF(G87&gt;'15'!$J$14*0.4,"SI","NO"))</f>
        <v/>
      </c>
      <c r="I87" s="26">
        <f t="shared" si="122"/>
        <v>0</v>
      </c>
      <c r="J87" s="351"/>
      <c r="K87" s="403"/>
      <c r="L87" s="409"/>
      <c r="M87" s="403"/>
      <c r="N87" s="409"/>
      <c r="O87" s="412"/>
      <c r="P87" s="193"/>
      <c r="Q87" s="412"/>
      <c r="R87" s="403"/>
      <c r="S87" s="114"/>
      <c r="T87" s="373"/>
      <c r="U87" s="114"/>
      <c r="V87" s="114"/>
      <c r="W87" s="114"/>
      <c r="X87" s="114"/>
      <c r="Y87" s="165">
        <f t="shared" si="107"/>
        <v>0</v>
      </c>
      <c r="Z87" s="373"/>
      <c r="AA87" s="114"/>
      <c r="AB87" s="114"/>
      <c r="AC87" s="165">
        <f t="shared" si="108"/>
        <v>0</v>
      </c>
      <c r="AD87" s="409"/>
      <c r="AE87" s="403"/>
      <c r="AF87" s="409"/>
      <c r="AG87" s="416"/>
    </row>
    <row r="88" spans="1:33" x14ac:dyDescent="0.25">
      <c r="A88" s="423"/>
      <c r="B88" s="426"/>
      <c r="C88" s="26" t="str">
        <f>IF(VLOOKUP(B85,PROPONENTES!$B$10:$N$46,8,FALSE)="","",VLOOKUP(B85,PROPONENTES!$B$10:$N$46,8,FALSE))</f>
        <v/>
      </c>
      <c r="D88" s="36">
        <f>VLOOKUP(B85,PROPONENTES!$B$10:$N$46,9,FALSE)</f>
        <v>0</v>
      </c>
      <c r="E88" s="112"/>
      <c r="F88" s="112"/>
      <c r="G88" s="123" t="str">
        <f>+'15'!E18</f>
        <v/>
      </c>
      <c r="H88" s="124" t="str">
        <f>IF(C88="","",IF(G88&gt;'15'!$J$14*0.4,"SI","NO"))</f>
        <v/>
      </c>
      <c r="I88" s="124">
        <f t="shared" si="122"/>
        <v>0</v>
      </c>
      <c r="J88" s="351"/>
      <c r="K88" s="403"/>
      <c r="L88" s="409"/>
      <c r="M88" s="403"/>
      <c r="N88" s="409"/>
      <c r="O88" s="412"/>
      <c r="P88" s="193"/>
      <c r="Q88" s="412"/>
      <c r="R88" s="403"/>
      <c r="S88" s="114"/>
      <c r="T88" s="373"/>
      <c r="U88" s="114"/>
      <c r="V88" s="114"/>
      <c r="W88" s="114"/>
      <c r="X88" s="114"/>
      <c r="Y88" s="165">
        <f t="shared" si="107"/>
        <v>0</v>
      </c>
      <c r="Z88" s="373"/>
      <c r="AA88" s="114"/>
      <c r="AB88" s="114"/>
      <c r="AC88" s="165">
        <f t="shared" si="108"/>
        <v>0</v>
      </c>
      <c r="AD88" s="409"/>
      <c r="AE88" s="403"/>
      <c r="AF88" s="409"/>
      <c r="AG88" s="416"/>
    </row>
    <row r="89" spans="1:33" ht="15.75" thickBot="1" x14ac:dyDescent="0.3">
      <c r="A89" s="424"/>
      <c r="B89" s="427"/>
      <c r="C89" s="48" t="str">
        <f>IF(VLOOKUP(B85,PROPONENTES!$B$10:$N$46,10,FALSE)="","",VLOOKUP(B85,PROPONENTES!$B$10:$N$46,10,FALSE))</f>
        <v/>
      </c>
      <c r="D89" s="49">
        <f>VLOOKUP(B85,PROPONENTES!$B$10:$N$46,11,FALSE)</f>
        <v>0</v>
      </c>
      <c r="E89" s="116"/>
      <c r="F89" s="116"/>
      <c r="G89" s="125" t="str">
        <f>+'15'!E19</f>
        <v/>
      </c>
      <c r="H89" s="126" t="str">
        <f>IF(C89="","",IF(G89&gt;'15'!$J$14*0.4,"SI","NO"))</f>
        <v/>
      </c>
      <c r="I89" s="126">
        <f t="shared" si="122"/>
        <v>0</v>
      </c>
      <c r="J89" s="363"/>
      <c r="K89" s="404"/>
      <c r="L89" s="410"/>
      <c r="M89" s="404"/>
      <c r="N89" s="410"/>
      <c r="O89" s="413"/>
      <c r="P89" s="194"/>
      <c r="Q89" s="413"/>
      <c r="R89" s="404"/>
      <c r="S89" s="198"/>
      <c r="T89" s="374"/>
      <c r="U89" s="146"/>
      <c r="V89" s="146"/>
      <c r="W89" s="146"/>
      <c r="X89" s="146"/>
      <c r="Y89" s="166">
        <f t="shared" si="107"/>
        <v>0</v>
      </c>
      <c r="Z89" s="374"/>
      <c r="AA89" s="146"/>
      <c r="AB89" s="146"/>
      <c r="AC89" s="166">
        <f t="shared" si="108"/>
        <v>0</v>
      </c>
      <c r="AD89" s="410"/>
      <c r="AE89" s="404"/>
      <c r="AF89" s="410"/>
      <c r="AG89" s="417"/>
    </row>
    <row r="90" spans="1:33" ht="15" customHeight="1" x14ac:dyDescent="0.25">
      <c r="A90" s="422">
        <v>16</v>
      </c>
      <c r="B90" s="425" t="str">
        <f>+PROPONENTES!B25</f>
        <v>CONSORCIO INTER PARQUES IYC 2024</v>
      </c>
      <c r="C90" s="43" t="str">
        <f>IF(VLOOKUP(B90,PROPONENTES!$B$10:$N$46,2,FALSE)="","",VLOOKUP(B90,PROPONENTES!$B$10:$N$46,2,FALSE))</f>
        <v>INTERVENTORIA Y CONSTRUCIVILES SAS</v>
      </c>
      <c r="D90" s="44">
        <f>VLOOKUP(B90,PROPONENTES!$B$10:$N$46,3,FALSE)</f>
        <v>0.5</v>
      </c>
      <c r="E90" s="107"/>
      <c r="F90" s="107"/>
      <c r="G90" s="121">
        <f>+'16'!E15</f>
        <v>0</v>
      </c>
      <c r="H90" s="122" t="str">
        <f>IF(C90="","",IF(G90&gt;'16'!$J$14*0.4,"SI","NO"))</f>
        <v>NO</v>
      </c>
      <c r="I90" s="43">
        <f>IF(C90="",0,IF(AND(E90="SI",H90="SI",F90="SI"),1,0))</f>
        <v>0</v>
      </c>
      <c r="J90" s="362">
        <f>IF((I90+I91+I92+I93+I94)&gt;=1,1,0)</f>
        <v>0</v>
      </c>
      <c r="K90" s="402"/>
      <c r="L90" s="408">
        <f t="shared" ref="L90" si="123">IF(K90="CUMPLE",5,0)</f>
        <v>0</v>
      </c>
      <c r="M90" s="402"/>
      <c r="N90" s="408">
        <f t="shared" ref="N90" si="124">IF(M90="CUMPLE",5,0)</f>
        <v>0</v>
      </c>
      <c r="O90" s="411">
        <f t="shared" ref="O90" si="125">+L90+N90</f>
        <v>0</v>
      </c>
      <c r="P90" s="192"/>
      <c r="Q90" s="411" t="str">
        <f t="shared" ref="Q90" si="126">IF(OR(P90="REPORTADO",P91="REPORTADO",P92="REPORTADO",P93="REPORTADO",P94="REPORTADO"),-1,"0")</f>
        <v>0</v>
      </c>
      <c r="R90" s="402"/>
      <c r="S90" s="197"/>
      <c r="T90" s="414" t="str">
        <f t="shared" si="54"/>
        <v/>
      </c>
      <c r="U90" s="109"/>
      <c r="V90" s="109"/>
      <c r="W90" s="109"/>
      <c r="X90" s="109"/>
      <c r="Y90" s="164">
        <f t="shared" si="107"/>
        <v>0</v>
      </c>
      <c r="Z90" s="414">
        <f t="shared" ref="Z90" si="127">IF((Y90+Y91+Y92+Y93+Y94)&gt;=0.25,0.25,0)</f>
        <v>0</v>
      </c>
      <c r="AA90" s="109"/>
      <c r="AB90" s="109"/>
      <c r="AC90" s="164">
        <f t="shared" si="108"/>
        <v>0</v>
      </c>
      <c r="AD90" s="408">
        <f t="shared" ref="AD90" si="128">IF((AC90+AC91+AC92+AC93+AC94)&gt;=0.25,0.25,0)</f>
        <v>0</v>
      </c>
      <c r="AE90" s="402"/>
      <c r="AF90" s="408">
        <f t="shared" si="81"/>
        <v>0</v>
      </c>
      <c r="AG90" s="415" t="s">
        <v>309</v>
      </c>
    </row>
    <row r="91" spans="1:33" x14ac:dyDescent="0.25">
      <c r="A91" s="423"/>
      <c r="B91" s="426"/>
      <c r="C91" s="26" t="str">
        <f>IF(VLOOKUP(B90,PROPONENTES!$B$10:$N$46,4,FALSE)="","",VLOOKUP(B90,PROPONENTES!$B$10:$N$46,4,FALSE))</f>
        <v xml:space="preserve">2L PROYECTOS S.A.S. BIC </v>
      </c>
      <c r="D91" s="36">
        <f>VLOOKUP(B90,PROPONENTES!$B$10:$N$46,5,FALSE)</f>
        <v>0.5</v>
      </c>
      <c r="E91" s="112"/>
      <c r="F91" s="112"/>
      <c r="G91" s="123">
        <f>+'16'!E16</f>
        <v>0</v>
      </c>
      <c r="H91" s="124" t="str">
        <f>IF(C91="","",IF(G91&gt;'16'!$J$14*0.4,"SI","NO"))</f>
        <v>NO</v>
      </c>
      <c r="I91" s="26">
        <f t="shared" ref="I91:I94" si="129">IF(C91="",0,IF(AND(E91="SI",H91="SI",F91="SI"),1,0))</f>
        <v>0</v>
      </c>
      <c r="J91" s="351"/>
      <c r="K91" s="403"/>
      <c r="L91" s="409"/>
      <c r="M91" s="403"/>
      <c r="N91" s="409"/>
      <c r="O91" s="412"/>
      <c r="P91" s="193"/>
      <c r="Q91" s="412"/>
      <c r="R91" s="403"/>
      <c r="S91" s="114"/>
      <c r="T91" s="373"/>
      <c r="U91" s="114"/>
      <c r="V91" s="114"/>
      <c r="W91" s="114"/>
      <c r="X91" s="114"/>
      <c r="Y91" s="165">
        <f t="shared" si="107"/>
        <v>0</v>
      </c>
      <c r="Z91" s="373"/>
      <c r="AA91" s="114"/>
      <c r="AB91" s="114"/>
      <c r="AC91" s="165">
        <f t="shared" si="108"/>
        <v>0</v>
      </c>
      <c r="AD91" s="409"/>
      <c r="AE91" s="403"/>
      <c r="AF91" s="409"/>
      <c r="AG91" s="416"/>
    </row>
    <row r="92" spans="1:33" x14ac:dyDescent="0.25">
      <c r="A92" s="423"/>
      <c r="B92" s="426"/>
      <c r="C92" s="26" t="str">
        <f>IF(VLOOKUP(B90,PROPONENTES!$B$10:$N$46,6,FALSE)="","",VLOOKUP(B90,PROPONENTES!$B$10:$N$46,6,FALSE))</f>
        <v/>
      </c>
      <c r="D92" s="36">
        <f>VLOOKUP(B90,PROPONENTES!$B$10:$N$46,7,FALSE)</f>
        <v>0</v>
      </c>
      <c r="E92" s="112"/>
      <c r="F92" s="112"/>
      <c r="G92" s="123" t="str">
        <f>+'16'!E17</f>
        <v/>
      </c>
      <c r="H92" s="124" t="str">
        <f>IF(C92="","",IF(G92&gt;'16'!$J$14*0.4,"SI","NO"))</f>
        <v/>
      </c>
      <c r="I92" s="26">
        <f t="shared" si="129"/>
        <v>0</v>
      </c>
      <c r="J92" s="351"/>
      <c r="K92" s="403"/>
      <c r="L92" s="409"/>
      <c r="M92" s="403"/>
      <c r="N92" s="409"/>
      <c r="O92" s="412"/>
      <c r="P92" s="193"/>
      <c r="Q92" s="412"/>
      <c r="R92" s="403"/>
      <c r="S92" s="114"/>
      <c r="T92" s="373"/>
      <c r="U92" s="114"/>
      <c r="V92" s="114"/>
      <c r="W92" s="114"/>
      <c r="X92" s="114"/>
      <c r="Y92" s="165">
        <f t="shared" si="107"/>
        <v>0</v>
      </c>
      <c r="Z92" s="373"/>
      <c r="AA92" s="114"/>
      <c r="AB92" s="114"/>
      <c r="AC92" s="165">
        <f t="shared" si="108"/>
        <v>0</v>
      </c>
      <c r="AD92" s="409"/>
      <c r="AE92" s="403"/>
      <c r="AF92" s="409"/>
      <c r="AG92" s="416"/>
    </row>
    <row r="93" spans="1:33" x14ac:dyDescent="0.25">
      <c r="A93" s="423"/>
      <c r="B93" s="426"/>
      <c r="C93" s="26" t="str">
        <f>IF(VLOOKUP(B90,PROPONENTES!$B$10:$N$46,8,FALSE)="","",VLOOKUP(B90,PROPONENTES!$B$10:$N$46,8,FALSE))</f>
        <v/>
      </c>
      <c r="D93" s="36">
        <f>VLOOKUP(B90,PROPONENTES!$B$10:$N$46,9,FALSE)</f>
        <v>0</v>
      </c>
      <c r="E93" s="112"/>
      <c r="F93" s="112"/>
      <c r="G93" s="123" t="str">
        <f>+'16'!E18</f>
        <v/>
      </c>
      <c r="H93" s="124" t="str">
        <f>IF(C93="","",IF(G93&gt;'16'!$J$14*0.4,"SI","NO"))</f>
        <v/>
      </c>
      <c r="I93" s="124">
        <f t="shared" si="129"/>
        <v>0</v>
      </c>
      <c r="J93" s="351"/>
      <c r="K93" s="403"/>
      <c r="L93" s="409"/>
      <c r="M93" s="403"/>
      <c r="N93" s="409"/>
      <c r="O93" s="412"/>
      <c r="P93" s="193"/>
      <c r="Q93" s="412"/>
      <c r="R93" s="403"/>
      <c r="S93" s="114"/>
      <c r="T93" s="373"/>
      <c r="U93" s="114"/>
      <c r="V93" s="114"/>
      <c r="W93" s="114"/>
      <c r="X93" s="114"/>
      <c r="Y93" s="165">
        <f t="shared" si="107"/>
        <v>0</v>
      </c>
      <c r="Z93" s="373"/>
      <c r="AA93" s="114"/>
      <c r="AB93" s="114"/>
      <c r="AC93" s="165">
        <f t="shared" si="108"/>
        <v>0</v>
      </c>
      <c r="AD93" s="409"/>
      <c r="AE93" s="403"/>
      <c r="AF93" s="409"/>
      <c r="AG93" s="416"/>
    </row>
    <row r="94" spans="1:33" ht="15.75" thickBot="1" x14ac:dyDescent="0.3">
      <c r="A94" s="424"/>
      <c r="B94" s="427"/>
      <c r="C94" s="48" t="str">
        <f>IF(VLOOKUP(B90,PROPONENTES!$B$10:$N$46,10,FALSE)="","",VLOOKUP(B90,PROPONENTES!$B$10:$N$46,10,FALSE))</f>
        <v/>
      </c>
      <c r="D94" s="49">
        <f>VLOOKUP(B90,PROPONENTES!$B$10:$N$46,11,FALSE)</f>
        <v>0</v>
      </c>
      <c r="E94" s="116"/>
      <c r="F94" s="116"/>
      <c r="G94" s="125" t="str">
        <f>+'16'!E19</f>
        <v/>
      </c>
      <c r="H94" s="126" t="str">
        <f>IF(C94="","",IF(G94&gt;'16'!$J$14*0.4,"SI","NO"))</f>
        <v/>
      </c>
      <c r="I94" s="126">
        <f t="shared" si="129"/>
        <v>0</v>
      </c>
      <c r="J94" s="363"/>
      <c r="K94" s="404"/>
      <c r="L94" s="410"/>
      <c r="M94" s="404"/>
      <c r="N94" s="410"/>
      <c r="O94" s="413"/>
      <c r="P94" s="194"/>
      <c r="Q94" s="413"/>
      <c r="R94" s="404"/>
      <c r="S94" s="198"/>
      <c r="T94" s="374"/>
      <c r="U94" s="146"/>
      <c r="V94" s="146"/>
      <c r="W94" s="146"/>
      <c r="X94" s="146"/>
      <c r="Y94" s="166">
        <f t="shared" si="107"/>
        <v>0</v>
      </c>
      <c r="Z94" s="374"/>
      <c r="AA94" s="146"/>
      <c r="AB94" s="146"/>
      <c r="AC94" s="166">
        <f t="shared" si="108"/>
        <v>0</v>
      </c>
      <c r="AD94" s="410"/>
      <c r="AE94" s="404"/>
      <c r="AF94" s="410"/>
      <c r="AG94" s="417"/>
    </row>
    <row r="95" spans="1:33" ht="30" customHeight="1" x14ac:dyDescent="0.25">
      <c r="A95" s="359">
        <v>17</v>
      </c>
      <c r="B95" s="362" t="str">
        <f>+PROPONENTES!B26</f>
        <v>CONSORCIO-INTER-P-KENEDY</v>
      </c>
      <c r="C95" s="43" t="str">
        <f>IF(VLOOKUP(B95,PROPONENTES!$B$10:$N$46,2,FALSE)="","",VLOOKUP(B95,PROPONENTES!$B$10:$N$46,2,FALSE))</f>
        <v>ENVIRONMENTAL AND GEOMECHANICAL SOLUTIONS EGS SAS</v>
      </c>
      <c r="D95" s="44">
        <f>VLOOKUP(B95,PROPONENTES!$B$10:$N$46,3,FALSE)</f>
        <v>0.9</v>
      </c>
      <c r="E95" s="107" t="s">
        <v>75</v>
      </c>
      <c r="F95" s="107" t="s">
        <v>75</v>
      </c>
      <c r="G95" s="121">
        <f>+'17'!E15</f>
        <v>671.04499999999996</v>
      </c>
      <c r="H95" s="122" t="str">
        <f>IF(C95="","",IF(G95&gt;'17'!$J$14*0.4,"SI","NO"))</f>
        <v>SI</v>
      </c>
      <c r="I95" s="43">
        <f>IF(C95="",0,IF(AND(E95="SI",H95="SI",F95="SI"),1,0))</f>
        <v>1</v>
      </c>
      <c r="J95" s="362">
        <f>IF((I95+I96+I97+I98+I99)&gt;=1,1,0)</f>
        <v>1</v>
      </c>
      <c r="K95" s="402" t="s">
        <v>14</v>
      </c>
      <c r="L95" s="408">
        <f t="shared" ref="L95" si="130">IF(K95="CUMPLE",5,0)</f>
        <v>5</v>
      </c>
      <c r="M95" s="402" t="s">
        <v>14</v>
      </c>
      <c r="N95" s="408">
        <f t="shared" ref="N95" si="131">IF(M95="CUMPLE",5,0)</f>
        <v>5</v>
      </c>
      <c r="O95" s="411">
        <f t="shared" ref="O95" si="132">+L95+N95</f>
        <v>10</v>
      </c>
      <c r="P95" s="192" t="s">
        <v>110</v>
      </c>
      <c r="Q95" s="411" t="str">
        <f t="shared" ref="Q95" si="133">IF(OR(P95="REPORTADO",P96="REPORTADO",P97="REPORTADO",P98="REPORTADO",P99="REPORTADO"),-1,"0")</f>
        <v>0</v>
      </c>
      <c r="R95" s="402" t="s">
        <v>14</v>
      </c>
      <c r="S95" s="197" t="s">
        <v>14</v>
      </c>
      <c r="T95" s="414">
        <f t="shared" si="54"/>
        <v>20</v>
      </c>
      <c r="U95" s="109" t="s">
        <v>14</v>
      </c>
      <c r="V95" s="109" t="s">
        <v>13</v>
      </c>
      <c r="W95" s="109" t="s">
        <v>13</v>
      </c>
      <c r="X95" s="109" t="s">
        <v>13</v>
      </c>
      <c r="Y95" s="164">
        <f t="shared" si="107"/>
        <v>0.25</v>
      </c>
      <c r="Z95" s="414">
        <f t="shared" ref="Z95" si="134">IF((Y95+Y96+Y97+Y98+Y99)&gt;=0.25,0.25,0)</f>
        <v>0.25</v>
      </c>
      <c r="AA95" s="109" t="s">
        <v>14</v>
      </c>
      <c r="AB95" s="109" t="s">
        <v>14</v>
      </c>
      <c r="AC95" s="164">
        <f t="shared" si="108"/>
        <v>0.25</v>
      </c>
      <c r="AD95" s="408">
        <f t="shared" ref="AD95" si="135">IF((AC95+AC96+AC97+AC98+AC99)&gt;=0.25,0.25,0)</f>
        <v>0.25</v>
      </c>
      <c r="AE95" s="402" t="s">
        <v>14</v>
      </c>
      <c r="AF95" s="408">
        <f t="shared" si="89"/>
        <v>1</v>
      </c>
      <c r="AG95" s="399"/>
    </row>
    <row r="96" spans="1:33" x14ac:dyDescent="0.25">
      <c r="A96" s="360"/>
      <c r="B96" s="351"/>
      <c r="C96" s="26" t="str">
        <f>IF(VLOOKUP(B95,PROPONENTES!$B$10:$N$46,4,FALSE)="","",VLOOKUP(B95,PROPONENTES!$B$10:$N$46,4,FALSE))</f>
        <v>JAPG INGENIERIA SAS</v>
      </c>
      <c r="D96" s="36">
        <f>VLOOKUP(B95,PROPONENTES!$B$10:$N$46,5,FALSE)</f>
        <v>0.1</v>
      </c>
      <c r="E96" s="112"/>
      <c r="F96" s="112"/>
      <c r="G96" s="123">
        <f>+'17'!E16</f>
        <v>0</v>
      </c>
      <c r="H96" s="124" t="str">
        <f>IF(C96="","",IF(G96&gt;'17'!$J$14*0.4,"SI","NO"))</f>
        <v>NO</v>
      </c>
      <c r="I96" s="26">
        <f t="shared" ref="I96:I99" si="136">IF(C96="",0,IF(AND(E96="SI",H96="SI",F96="SI"),1,0))</f>
        <v>0</v>
      </c>
      <c r="J96" s="351"/>
      <c r="K96" s="403"/>
      <c r="L96" s="409"/>
      <c r="M96" s="403"/>
      <c r="N96" s="409"/>
      <c r="O96" s="412"/>
      <c r="P96" s="193" t="s">
        <v>110</v>
      </c>
      <c r="Q96" s="412"/>
      <c r="R96" s="403"/>
      <c r="S96" s="114" t="s">
        <v>14</v>
      </c>
      <c r="T96" s="373"/>
      <c r="U96" s="114"/>
      <c r="V96" s="114"/>
      <c r="W96" s="114"/>
      <c r="X96" s="114"/>
      <c r="Y96" s="165">
        <f t="shared" si="107"/>
        <v>0</v>
      </c>
      <c r="Z96" s="373"/>
      <c r="AA96" s="114" t="s">
        <v>14</v>
      </c>
      <c r="AB96" s="114" t="s">
        <v>14</v>
      </c>
      <c r="AC96" s="165">
        <f t="shared" si="108"/>
        <v>0.25</v>
      </c>
      <c r="AD96" s="409"/>
      <c r="AE96" s="403"/>
      <c r="AF96" s="409"/>
      <c r="AG96" s="400"/>
    </row>
    <row r="97" spans="1:33" x14ac:dyDescent="0.25">
      <c r="A97" s="360"/>
      <c r="B97" s="351"/>
      <c r="C97" s="26" t="str">
        <f>IF(VLOOKUP(B95,PROPONENTES!$B$10:$N$46,6,FALSE)="","",VLOOKUP(B95,PROPONENTES!$B$10:$N$46,6,FALSE))</f>
        <v/>
      </c>
      <c r="D97" s="36">
        <f>VLOOKUP(B95,PROPONENTES!$B$10:$N$46,7,FALSE)</f>
        <v>0</v>
      </c>
      <c r="E97" s="112"/>
      <c r="F97" s="112"/>
      <c r="G97" s="123" t="str">
        <f>+'17'!E17</f>
        <v/>
      </c>
      <c r="H97" s="124" t="str">
        <f>IF(C97="","",IF(G97&gt;'17'!$J$14*0.4,"SI","NO"))</f>
        <v/>
      </c>
      <c r="I97" s="26">
        <f t="shared" si="136"/>
        <v>0</v>
      </c>
      <c r="J97" s="351"/>
      <c r="K97" s="403"/>
      <c r="L97" s="409"/>
      <c r="M97" s="403"/>
      <c r="N97" s="409"/>
      <c r="O97" s="412"/>
      <c r="P97" s="193"/>
      <c r="Q97" s="412"/>
      <c r="R97" s="403"/>
      <c r="S97" s="114"/>
      <c r="T97" s="373"/>
      <c r="U97" s="114"/>
      <c r="V97" s="114"/>
      <c r="W97" s="114"/>
      <c r="X97" s="114"/>
      <c r="Y97" s="165">
        <f t="shared" si="107"/>
        <v>0</v>
      </c>
      <c r="Z97" s="373"/>
      <c r="AA97" s="114"/>
      <c r="AB97" s="114"/>
      <c r="AC97" s="165">
        <f t="shared" si="108"/>
        <v>0</v>
      </c>
      <c r="AD97" s="409"/>
      <c r="AE97" s="403"/>
      <c r="AF97" s="409"/>
      <c r="AG97" s="400"/>
    </row>
    <row r="98" spans="1:33" x14ac:dyDescent="0.25">
      <c r="A98" s="360"/>
      <c r="B98" s="351"/>
      <c r="C98" s="26" t="str">
        <f>IF(VLOOKUP(B95,PROPONENTES!$B$10:$N$46,8,FALSE)="","",VLOOKUP(B95,PROPONENTES!$B$10:$N$46,8,FALSE))</f>
        <v/>
      </c>
      <c r="D98" s="36">
        <f>VLOOKUP(B95,PROPONENTES!$B$10:$N$46,9,FALSE)</f>
        <v>0</v>
      </c>
      <c r="E98" s="112"/>
      <c r="F98" s="112"/>
      <c r="G98" s="123" t="str">
        <f>+'17'!E18</f>
        <v/>
      </c>
      <c r="H98" s="124" t="str">
        <f>IF(C98="","",IF(G98&gt;'17'!$J$14*0.4,"SI","NO"))</f>
        <v/>
      </c>
      <c r="I98" s="124">
        <f t="shared" si="136"/>
        <v>0</v>
      </c>
      <c r="J98" s="351"/>
      <c r="K98" s="403"/>
      <c r="L98" s="409"/>
      <c r="M98" s="403"/>
      <c r="N98" s="409"/>
      <c r="O98" s="412"/>
      <c r="P98" s="193"/>
      <c r="Q98" s="412"/>
      <c r="R98" s="403"/>
      <c r="S98" s="114"/>
      <c r="T98" s="373"/>
      <c r="U98" s="114"/>
      <c r="V98" s="114"/>
      <c r="W98" s="114"/>
      <c r="X98" s="114"/>
      <c r="Y98" s="165">
        <f t="shared" si="107"/>
        <v>0</v>
      </c>
      <c r="Z98" s="373"/>
      <c r="AA98" s="114"/>
      <c r="AB98" s="114"/>
      <c r="AC98" s="165">
        <f t="shared" si="108"/>
        <v>0</v>
      </c>
      <c r="AD98" s="409"/>
      <c r="AE98" s="403"/>
      <c r="AF98" s="409"/>
      <c r="AG98" s="400"/>
    </row>
    <row r="99" spans="1:33" ht="15.75" thickBot="1" x14ac:dyDescent="0.3">
      <c r="A99" s="361"/>
      <c r="B99" s="363"/>
      <c r="C99" s="48" t="str">
        <f>IF(VLOOKUP(B95,PROPONENTES!$B$10:$N$46,10,FALSE)="","",VLOOKUP(B95,PROPONENTES!$B$10:$N$46,10,FALSE))</f>
        <v/>
      </c>
      <c r="D99" s="49">
        <f>VLOOKUP(B95,PROPONENTES!$B$10:$N$46,11,FALSE)</f>
        <v>0</v>
      </c>
      <c r="E99" s="116"/>
      <c r="F99" s="116"/>
      <c r="G99" s="125" t="str">
        <f>+'17'!E19</f>
        <v/>
      </c>
      <c r="H99" s="126" t="str">
        <f>IF(C99="","",IF(G99&gt;'17'!$J$14*0.4,"SI","NO"))</f>
        <v/>
      </c>
      <c r="I99" s="126">
        <f t="shared" si="136"/>
        <v>0</v>
      </c>
      <c r="J99" s="363"/>
      <c r="K99" s="404"/>
      <c r="L99" s="410"/>
      <c r="M99" s="404"/>
      <c r="N99" s="410"/>
      <c r="O99" s="413"/>
      <c r="P99" s="194"/>
      <c r="Q99" s="413"/>
      <c r="R99" s="404"/>
      <c r="S99" s="198"/>
      <c r="T99" s="374"/>
      <c r="U99" s="146"/>
      <c r="V99" s="146"/>
      <c r="W99" s="146"/>
      <c r="X99" s="146"/>
      <c r="Y99" s="166">
        <f t="shared" si="107"/>
        <v>0</v>
      </c>
      <c r="Z99" s="374"/>
      <c r="AA99" s="146"/>
      <c r="AB99" s="146"/>
      <c r="AC99" s="166">
        <f t="shared" si="108"/>
        <v>0</v>
      </c>
      <c r="AD99" s="410"/>
      <c r="AE99" s="404"/>
      <c r="AF99" s="410"/>
      <c r="AG99" s="401"/>
    </row>
    <row r="100" spans="1:33" ht="15" customHeight="1" x14ac:dyDescent="0.25">
      <c r="A100" s="422">
        <v>18</v>
      </c>
      <c r="B100" s="425" t="str">
        <f>+PROPONENTES!B27</f>
        <v>CONSORCIO INTERPARQUES BOGOTÁ</v>
      </c>
      <c r="C100" s="43" t="str">
        <f>IF(VLOOKUP(B100,PROPONENTES!$B$10:$N$46,2,FALSE)="","",VLOOKUP(B100,PROPONENTES!$B$10:$N$46,2,FALSE))</f>
        <v>CITPRO CONSULTORES S.A.S. ZOMAC</v>
      </c>
      <c r="D100" s="44">
        <f>VLOOKUP(B100,PROPONENTES!$B$10:$N$46,3,FALSE)</f>
        <v>0.3</v>
      </c>
      <c r="E100" s="107"/>
      <c r="F100" s="107"/>
      <c r="G100" s="121">
        <f>+'18'!E15</f>
        <v>0</v>
      </c>
      <c r="H100" s="122" t="str">
        <f>IF(C100="","",IF(G100&gt;'18'!$J$14*0.4,"SI","NO"))</f>
        <v>NO</v>
      </c>
      <c r="I100" s="43">
        <f>IF(C100="",0,IF(AND(E100="SI",H100="SI",F100="SI"),1,0))</f>
        <v>0</v>
      </c>
      <c r="J100" s="362">
        <f>IF((I100+I101+I102+I103+I104)&gt;=1,1,0)</f>
        <v>0</v>
      </c>
      <c r="K100" s="402"/>
      <c r="L100" s="408">
        <f t="shared" ref="L100" si="137">IF(K100="CUMPLE",5,0)</f>
        <v>0</v>
      </c>
      <c r="M100" s="402"/>
      <c r="N100" s="408">
        <f t="shared" ref="N100" si="138">IF(M100="CUMPLE",5,0)</f>
        <v>0</v>
      </c>
      <c r="O100" s="411">
        <f t="shared" ref="O100" si="139">+L100+N100</f>
        <v>0</v>
      </c>
      <c r="P100" s="192"/>
      <c r="Q100" s="411" t="str">
        <f t="shared" ref="Q100" si="140">IF(OR(P100="REPORTADO",P101="REPORTADO",P102="REPORTADO",P103="REPORTADO",P104="REPORTADO"),-1,"0")</f>
        <v>0</v>
      </c>
      <c r="R100" s="402"/>
      <c r="S100" s="197"/>
      <c r="T100" s="414" t="str">
        <f t="shared" si="54"/>
        <v/>
      </c>
      <c r="U100" s="109"/>
      <c r="V100" s="109"/>
      <c r="W100" s="109"/>
      <c r="X100" s="109"/>
      <c r="Y100" s="164">
        <f t="shared" si="107"/>
        <v>0</v>
      </c>
      <c r="Z100" s="414">
        <f t="shared" ref="Z100" si="141">IF((Y100+Y101+Y102+Y103+Y104)&gt;=0.25,0.25,0)</f>
        <v>0</v>
      </c>
      <c r="AA100" s="109"/>
      <c r="AB100" s="109"/>
      <c r="AC100" s="164">
        <f t="shared" si="108"/>
        <v>0</v>
      </c>
      <c r="AD100" s="408">
        <f t="shared" ref="AD100" si="142">IF((AC100+AC101+AC102+AC103+AC104)&gt;=0.25,0.25,0)</f>
        <v>0</v>
      </c>
      <c r="AE100" s="402"/>
      <c r="AF100" s="408">
        <f t="shared" si="97"/>
        <v>0</v>
      </c>
      <c r="AG100" s="415" t="s">
        <v>309</v>
      </c>
    </row>
    <row r="101" spans="1:33" ht="15" customHeight="1" x14ac:dyDescent="0.25">
      <c r="A101" s="423"/>
      <c r="B101" s="426"/>
      <c r="C101" s="26" t="str">
        <f>IF(VLOOKUP(B100,PROPONENTES!$B$10:$N$46,4,FALSE)="","",VLOOKUP(B100,PROPONENTES!$B$10:$N$46,4,FALSE))</f>
        <v xml:space="preserve">HG INGENIERIA Y DESARROLLO S.A.S </v>
      </c>
      <c r="D101" s="36">
        <f>VLOOKUP(B100,PROPONENTES!$B$10:$N$46,5,FALSE)</f>
        <v>0.7</v>
      </c>
      <c r="E101" s="112"/>
      <c r="F101" s="112"/>
      <c r="G101" s="123">
        <f>+'18'!E16</f>
        <v>0</v>
      </c>
      <c r="H101" s="124" t="str">
        <f>IF(C101="","",IF(G101&gt;'18'!$J$14*0.4,"SI","NO"))</f>
        <v>NO</v>
      </c>
      <c r="I101" s="26">
        <f t="shared" ref="I101:I104" si="143">IF(C101="",0,IF(AND(E101="SI",H101="SI",F101="SI"),1,0))</f>
        <v>0</v>
      </c>
      <c r="J101" s="351"/>
      <c r="K101" s="403"/>
      <c r="L101" s="409"/>
      <c r="M101" s="403"/>
      <c r="N101" s="409"/>
      <c r="O101" s="412"/>
      <c r="P101" s="193"/>
      <c r="Q101" s="412"/>
      <c r="R101" s="403"/>
      <c r="S101" s="114"/>
      <c r="T101" s="373"/>
      <c r="U101" s="114"/>
      <c r="V101" s="114"/>
      <c r="W101" s="114"/>
      <c r="X101" s="114"/>
      <c r="Y101" s="165">
        <f t="shared" si="107"/>
        <v>0</v>
      </c>
      <c r="Z101" s="373"/>
      <c r="AA101" s="114"/>
      <c r="AB101" s="114"/>
      <c r="AC101" s="165">
        <f t="shared" si="108"/>
        <v>0</v>
      </c>
      <c r="AD101" s="409"/>
      <c r="AE101" s="403"/>
      <c r="AF101" s="409"/>
      <c r="AG101" s="416"/>
    </row>
    <row r="102" spans="1:33" x14ac:dyDescent="0.25">
      <c r="A102" s="423"/>
      <c r="B102" s="426"/>
      <c r="C102" s="26" t="str">
        <f>IF(VLOOKUP(B100,PROPONENTES!$B$10:$N$46,6,FALSE)="","",VLOOKUP(B100,PROPONENTES!$B$10:$N$46,6,FALSE))</f>
        <v/>
      </c>
      <c r="D102" s="36">
        <f>VLOOKUP(B100,PROPONENTES!$B$10:$N$46,7,FALSE)</f>
        <v>0</v>
      </c>
      <c r="E102" s="112"/>
      <c r="F102" s="112"/>
      <c r="G102" s="123" t="str">
        <f>+'18'!E17</f>
        <v/>
      </c>
      <c r="H102" s="124" t="str">
        <f>IF(C102="","",IF(G102&gt;'18'!$J$14*0.4,"SI","NO"))</f>
        <v/>
      </c>
      <c r="I102" s="26">
        <f t="shared" si="143"/>
        <v>0</v>
      </c>
      <c r="J102" s="351"/>
      <c r="K102" s="403"/>
      <c r="L102" s="409"/>
      <c r="M102" s="403"/>
      <c r="N102" s="409"/>
      <c r="O102" s="412"/>
      <c r="P102" s="193"/>
      <c r="Q102" s="412"/>
      <c r="R102" s="403"/>
      <c r="S102" s="114"/>
      <c r="T102" s="373"/>
      <c r="U102" s="114"/>
      <c r="V102" s="114"/>
      <c r="W102" s="114"/>
      <c r="X102" s="114"/>
      <c r="Y102" s="165">
        <f t="shared" si="107"/>
        <v>0</v>
      </c>
      <c r="Z102" s="373"/>
      <c r="AA102" s="114"/>
      <c r="AB102" s="114"/>
      <c r="AC102" s="165">
        <f t="shared" si="108"/>
        <v>0</v>
      </c>
      <c r="AD102" s="409"/>
      <c r="AE102" s="403"/>
      <c r="AF102" s="409"/>
      <c r="AG102" s="416"/>
    </row>
    <row r="103" spans="1:33" x14ac:dyDescent="0.25">
      <c r="A103" s="423"/>
      <c r="B103" s="426"/>
      <c r="C103" s="26" t="str">
        <f>IF(VLOOKUP(B100,PROPONENTES!$B$10:$N$46,8,FALSE)="","",VLOOKUP(B100,PROPONENTES!$B$10:$N$46,8,FALSE))</f>
        <v/>
      </c>
      <c r="D103" s="36">
        <f>VLOOKUP(B100,PROPONENTES!$B$10:$N$46,9,FALSE)</f>
        <v>0</v>
      </c>
      <c r="E103" s="112"/>
      <c r="F103" s="112"/>
      <c r="G103" s="123" t="str">
        <f>+'18'!E18</f>
        <v/>
      </c>
      <c r="H103" s="124" t="str">
        <f>IF(C103="","",IF(G103&gt;'18'!$J$14*0.4,"SI","NO"))</f>
        <v/>
      </c>
      <c r="I103" s="124">
        <f t="shared" si="143"/>
        <v>0</v>
      </c>
      <c r="J103" s="351"/>
      <c r="K103" s="403"/>
      <c r="L103" s="409"/>
      <c r="M103" s="403"/>
      <c r="N103" s="409"/>
      <c r="O103" s="412"/>
      <c r="P103" s="193"/>
      <c r="Q103" s="412"/>
      <c r="R103" s="403"/>
      <c r="S103" s="114"/>
      <c r="T103" s="373"/>
      <c r="U103" s="114"/>
      <c r="V103" s="114"/>
      <c r="W103" s="114"/>
      <c r="X103" s="114"/>
      <c r="Y103" s="165">
        <f t="shared" si="107"/>
        <v>0</v>
      </c>
      <c r="Z103" s="373"/>
      <c r="AA103" s="114"/>
      <c r="AB103" s="114"/>
      <c r="AC103" s="165">
        <f t="shared" si="108"/>
        <v>0</v>
      </c>
      <c r="AD103" s="409"/>
      <c r="AE103" s="403"/>
      <c r="AF103" s="409"/>
      <c r="AG103" s="416"/>
    </row>
    <row r="104" spans="1:33" ht="15.75" thickBot="1" x14ac:dyDescent="0.3">
      <c r="A104" s="424"/>
      <c r="B104" s="427"/>
      <c r="C104" s="48" t="str">
        <f>IF(VLOOKUP(B100,PROPONENTES!$B$10:$N$46,10,FALSE)="","",VLOOKUP(B100,PROPONENTES!$B$10:$N$46,10,FALSE))</f>
        <v/>
      </c>
      <c r="D104" s="49">
        <f>VLOOKUP(B100,PROPONENTES!$B$10:$N$46,11,FALSE)</f>
        <v>0</v>
      </c>
      <c r="E104" s="116"/>
      <c r="F104" s="116"/>
      <c r="G104" s="125" t="str">
        <f>+'18'!E19</f>
        <v/>
      </c>
      <c r="H104" s="126" t="str">
        <f>IF(C104="","",IF(G104&gt;'18'!$J$14*0.4,"SI","NO"))</f>
        <v/>
      </c>
      <c r="I104" s="126">
        <f t="shared" si="143"/>
        <v>0</v>
      </c>
      <c r="J104" s="363"/>
      <c r="K104" s="404"/>
      <c r="L104" s="410"/>
      <c r="M104" s="404"/>
      <c r="N104" s="410"/>
      <c r="O104" s="413"/>
      <c r="P104" s="194"/>
      <c r="Q104" s="413"/>
      <c r="R104" s="404"/>
      <c r="S104" s="198"/>
      <c r="T104" s="374"/>
      <c r="U104" s="146"/>
      <c r="V104" s="146"/>
      <c r="W104" s="146"/>
      <c r="X104" s="146"/>
      <c r="Y104" s="166">
        <f t="shared" si="107"/>
        <v>0</v>
      </c>
      <c r="Z104" s="374"/>
      <c r="AA104" s="146"/>
      <c r="AB104" s="146"/>
      <c r="AC104" s="166">
        <f t="shared" si="108"/>
        <v>0</v>
      </c>
      <c r="AD104" s="410"/>
      <c r="AE104" s="404"/>
      <c r="AF104" s="410"/>
      <c r="AG104" s="417"/>
    </row>
    <row r="105" spans="1:33" ht="30" customHeight="1" x14ac:dyDescent="0.25">
      <c r="A105" s="359">
        <v>19</v>
      </c>
      <c r="B105" s="362" t="str">
        <f>+PROPONENTES!B28</f>
        <v xml:space="preserve">CONSORCIO PARQUES VECINALES 2025 </v>
      </c>
      <c r="C105" s="43" t="str">
        <f>IF(VLOOKUP(B105,PROPONENTES!$B$10:$N$46,2,FALSE)="","",VLOOKUP(B105,PROPONENTES!$B$10:$N$46,2,FALSE))</f>
        <v xml:space="preserve">RAZING SAS </v>
      </c>
      <c r="D105" s="44">
        <f>VLOOKUP(B105,PROPONENTES!$B$10:$N$46,3,FALSE)</f>
        <v>0.1</v>
      </c>
      <c r="E105" s="107"/>
      <c r="F105" s="107"/>
      <c r="G105" s="121">
        <f>+'19'!E15</f>
        <v>0</v>
      </c>
      <c r="H105" s="122" t="str">
        <f>IF(C105="","",IF(G105&gt;'19'!$J$14*0.4,"SI","NO"))</f>
        <v>NO</v>
      </c>
      <c r="I105" s="43">
        <f>IF(C105="",0,IF(AND(E105="SI",H105="SI",F105="SI"),1,0))</f>
        <v>0</v>
      </c>
      <c r="J105" s="362">
        <f>IF((I105+I106+I107+I108+I109)&gt;=1,1,0)</f>
        <v>1</v>
      </c>
      <c r="K105" s="402" t="s">
        <v>14</v>
      </c>
      <c r="L105" s="408">
        <f t="shared" ref="L105" si="144">IF(K105="CUMPLE",5,0)</f>
        <v>5</v>
      </c>
      <c r="M105" s="402" t="s">
        <v>14</v>
      </c>
      <c r="N105" s="408">
        <f t="shared" ref="N105" si="145">IF(M105="CUMPLE",5,0)</f>
        <v>5</v>
      </c>
      <c r="O105" s="411">
        <f t="shared" ref="O105" si="146">+L105+N105</f>
        <v>10</v>
      </c>
      <c r="P105" s="192" t="s">
        <v>110</v>
      </c>
      <c r="Q105" s="411" t="str">
        <f t="shared" ref="Q105" si="147">IF(OR(P105="REPORTADO",P106="REPORTADO",P107="REPORTADO",P108="REPORTADO",P109="REPORTADO"),-1,"0")</f>
        <v>0</v>
      </c>
      <c r="R105" s="402" t="s">
        <v>14</v>
      </c>
      <c r="S105" s="197" t="s">
        <v>14</v>
      </c>
      <c r="T105" s="414">
        <f t="shared" si="54"/>
        <v>20</v>
      </c>
      <c r="U105" s="109" t="s">
        <v>14</v>
      </c>
      <c r="V105" s="109" t="s">
        <v>13</v>
      </c>
      <c r="W105" s="109" t="s">
        <v>13</v>
      </c>
      <c r="X105" s="109" t="s">
        <v>13</v>
      </c>
      <c r="Y105" s="164">
        <f t="shared" si="107"/>
        <v>0.25</v>
      </c>
      <c r="Z105" s="414">
        <f t="shared" ref="Z105" si="148">IF((Y105+Y106+Y107+Y108+Y109)&gt;=0.25,0.25,0)</f>
        <v>0.25</v>
      </c>
      <c r="AA105" s="109" t="s">
        <v>14</v>
      </c>
      <c r="AB105" s="109" t="s">
        <v>14</v>
      </c>
      <c r="AC105" s="164">
        <f t="shared" si="108"/>
        <v>0.25</v>
      </c>
      <c r="AD105" s="408">
        <f t="shared" ref="AD105" si="149">IF((AC105+AC106+AC107+AC108+AC109)&gt;=0.25,0.25,0)</f>
        <v>0.25</v>
      </c>
      <c r="AE105" s="402" t="s">
        <v>15</v>
      </c>
      <c r="AF105" s="408">
        <f t="shared" ref="AF105" si="150">IF(AE105="CUMPLE",1,0)</f>
        <v>0</v>
      </c>
      <c r="AG105" s="399" t="s">
        <v>323</v>
      </c>
    </row>
    <row r="106" spans="1:33" ht="15" customHeight="1" x14ac:dyDescent="0.25">
      <c r="A106" s="360"/>
      <c r="B106" s="351"/>
      <c r="C106" s="26" t="str">
        <f>IF(VLOOKUP(B105,PROPONENTES!$B$10:$N$46,4,FALSE)="","",VLOOKUP(B105,PROPONENTES!$B$10:$N$46,4,FALSE))</f>
        <v>SUMMA PROYECTOS E INGENIERIA SOCIEDAD POR ACCIONES SIMPLIFICADA</v>
      </c>
      <c r="D106" s="36">
        <f>VLOOKUP(B105,PROPONENTES!$B$10:$N$46,5,FALSE)</f>
        <v>0.9</v>
      </c>
      <c r="E106" s="112" t="s">
        <v>75</v>
      </c>
      <c r="F106" s="112" t="s">
        <v>75</v>
      </c>
      <c r="G106" s="123">
        <f>+'19'!E16</f>
        <v>224.07499999999999</v>
      </c>
      <c r="H106" s="124" t="str">
        <f>IF(C106="","",IF(G106&gt;'19'!$J$14*0.4,"SI","NO"))</f>
        <v>SI</v>
      </c>
      <c r="I106" s="26">
        <f t="shared" ref="I106:I199" si="151">IF(C106="",0,IF(AND(E106="SI",H106="SI",F106="SI"),1,0))</f>
        <v>1</v>
      </c>
      <c r="J106" s="351"/>
      <c r="K106" s="403"/>
      <c r="L106" s="409"/>
      <c r="M106" s="403"/>
      <c r="N106" s="409"/>
      <c r="O106" s="412"/>
      <c r="P106" s="193" t="s">
        <v>110</v>
      </c>
      <c r="Q106" s="412"/>
      <c r="R106" s="403"/>
      <c r="S106" s="114" t="s">
        <v>14</v>
      </c>
      <c r="T106" s="373"/>
      <c r="U106" s="114"/>
      <c r="V106" s="114"/>
      <c r="W106" s="114"/>
      <c r="X106" s="114"/>
      <c r="Y106" s="165">
        <f t="shared" si="107"/>
        <v>0</v>
      </c>
      <c r="Z106" s="373"/>
      <c r="AA106" s="114"/>
      <c r="AB106" s="114"/>
      <c r="AC106" s="165">
        <f t="shared" si="108"/>
        <v>0</v>
      </c>
      <c r="AD106" s="409"/>
      <c r="AE106" s="403"/>
      <c r="AF106" s="409"/>
      <c r="AG106" s="400"/>
    </row>
    <row r="107" spans="1:33" x14ac:dyDescent="0.25">
      <c r="A107" s="360"/>
      <c r="B107" s="351"/>
      <c r="C107" s="26" t="str">
        <f>IF(VLOOKUP(B105,PROPONENTES!$B$10:$N$46,6,FALSE)="","",VLOOKUP(B105,PROPONENTES!$B$10:$N$46,6,FALSE))</f>
        <v/>
      </c>
      <c r="D107" s="36">
        <f>VLOOKUP(B105,PROPONENTES!$B$10:$N$46,7,FALSE)</f>
        <v>0</v>
      </c>
      <c r="E107" s="112"/>
      <c r="F107" s="112"/>
      <c r="G107" s="123" t="str">
        <f>+'19'!E17</f>
        <v/>
      </c>
      <c r="H107" s="124" t="str">
        <f>IF(C107="","",IF(G107&gt;'19'!$J$14*0.4,"SI","NO"))</f>
        <v/>
      </c>
      <c r="I107" s="26">
        <f t="shared" si="151"/>
        <v>0</v>
      </c>
      <c r="J107" s="351"/>
      <c r="K107" s="403"/>
      <c r="L107" s="409"/>
      <c r="M107" s="403"/>
      <c r="N107" s="409"/>
      <c r="O107" s="412"/>
      <c r="P107" s="193"/>
      <c r="Q107" s="412"/>
      <c r="R107" s="403"/>
      <c r="S107" s="114"/>
      <c r="T107" s="373"/>
      <c r="U107" s="114"/>
      <c r="V107" s="114"/>
      <c r="W107" s="114"/>
      <c r="X107" s="114"/>
      <c r="Y107" s="165">
        <f t="shared" si="107"/>
        <v>0</v>
      </c>
      <c r="Z107" s="373"/>
      <c r="AA107" s="114"/>
      <c r="AB107" s="114"/>
      <c r="AC107" s="165">
        <f t="shared" si="108"/>
        <v>0</v>
      </c>
      <c r="AD107" s="409"/>
      <c r="AE107" s="403"/>
      <c r="AF107" s="409"/>
      <c r="AG107" s="400"/>
    </row>
    <row r="108" spans="1:33" x14ac:dyDescent="0.25">
      <c r="A108" s="360"/>
      <c r="B108" s="351"/>
      <c r="C108" s="26" t="str">
        <f>IF(VLOOKUP(B105,PROPONENTES!$B$10:$N$46,8,FALSE)="","",VLOOKUP(B105,PROPONENTES!$B$10:$N$46,8,FALSE))</f>
        <v/>
      </c>
      <c r="D108" s="36">
        <f>VLOOKUP(B105,PROPONENTES!$B$10:$N$46,9,FALSE)</f>
        <v>0</v>
      </c>
      <c r="E108" s="112"/>
      <c r="F108" s="112"/>
      <c r="G108" s="123" t="str">
        <f>+'19'!E18</f>
        <v/>
      </c>
      <c r="H108" s="124" t="str">
        <f>IF(C108="","",IF(G108&gt;'19'!$J$14*0.4,"SI","NO"))</f>
        <v/>
      </c>
      <c r="I108" s="124">
        <f t="shared" si="151"/>
        <v>0</v>
      </c>
      <c r="J108" s="351"/>
      <c r="K108" s="403"/>
      <c r="L108" s="409"/>
      <c r="M108" s="403"/>
      <c r="N108" s="409"/>
      <c r="O108" s="412"/>
      <c r="P108" s="193"/>
      <c r="Q108" s="412"/>
      <c r="R108" s="403"/>
      <c r="S108" s="114"/>
      <c r="T108" s="373"/>
      <c r="U108" s="114"/>
      <c r="V108" s="114"/>
      <c r="W108" s="114"/>
      <c r="X108" s="114"/>
      <c r="Y108" s="165">
        <f t="shared" si="107"/>
        <v>0</v>
      </c>
      <c r="Z108" s="373"/>
      <c r="AA108" s="114"/>
      <c r="AB108" s="114"/>
      <c r="AC108" s="165">
        <f t="shared" si="108"/>
        <v>0</v>
      </c>
      <c r="AD108" s="409"/>
      <c r="AE108" s="403"/>
      <c r="AF108" s="409"/>
      <c r="AG108" s="400"/>
    </row>
    <row r="109" spans="1:33" ht="15.75" thickBot="1" x14ac:dyDescent="0.3">
      <c r="A109" s="361"/>
      <c r="B109" s="363"/>
      <c r="C109" s="48" t="str">
        <f>IF(VLOOKUP(B105,PROPONENTES!$B$10:$N$46,10,FALSE)="","",VLOOKUP(B105,PROPONENTES!$B$10:$N$46,10,FALSE))</f>
        <v/>
      </c>
      <c r="D109" s="49">
        <f>VLOOKUP(B105,PROPONENTES!$B$10:$N$46,11,FALSE)</f>
        <v>0</v>
      </c>
      <c r="E109" s="116"/>
      <c r="F109" s="116"/>
      <c r="G109" s="125" t="str">
        <f>+'19'!E19</f>
        <v/>
      </c>
      <c r="H109" s="126" t="str">
        <f>IF(C109="","",IF(G109&gt;'19'!$J$14*0.4,"SI","NO"))</f>
        <v/>
      </c>
      <c r="I109" s="126">
        <f t="shared" si="151"/>
        <v>0</v>
      </c>
      <c r="J109" s="363"/>
      <c r="K109" s="404"/>
      <c r="L109" s="410"/>
      <c r="M109" s="404"/>
      <c r="N109" s="410"/>
      <c r="O109" s="413"/>
      <c r="P109" s="194"/>
      <c r="Q109" s="413"/>
      <c r="R109" s="404"/>
      <c r="S109" s="198"/>
      <c r="T109" s="374"/>
      <c r="U109" s="146"/>
      <c r="V109" s="146"/>
      <c r="W109" s="146"/>
      <c r="X109" s="146"/>
      <c r="Y109" s="166">
        <f t="shared" si="107"/>
        <v>0</v>
      </c>
      <c r="Z109" s="374"/>
      <c r="AA109" s="146"/>
      <c r="AB109" s="146"/>
      <c r="AC109" s="166">
        <f t="shared" si="108"/>
        <v>0</v>
      </c>
      <c r="AD109" s="410"/>
      <c r="AE109" s="404"/>
      <c r="AF109" s="410"/>
      <c r="AG109" s="401"/>
    </row>
    <row r="110" spans="1:33" x14ac:dyDescent="0.25">
      <c r="A110" s="359">
        <v>20</v>
      </c>
      <c r="B110" s="362" t="str">
        <f>+PROPONENTES!B29</f>
        <v>DF CONSULTORIA SAS</v>
      </c>
      <c r="C110" s="43" t="str">
        <f>IF(VLOOKUP(B110,PROPONENTES!$B$10:$N$46,2,FALSE)="","",VLOOKUP(B110,PROPONENTES!$B$10:$N$46,2,FALSE))</f>
        <v>DF CONSULTORIA SAS</v>
      </c>
      <c r="D110" s="44">
        <f>VLOOKUP(B110,PROPONENTES!$B$10:$N$46,3,FALSE)</f>
        <v>1</v>
      </c>
      <c r="E110" s="107" t="s">
        <v>75</v>
      </c>
      <c r="F110" s="107" t="s">
        <v>75</v>
      </c>
      <c r="G110" s="121">
        <f>+'20'!E15</f>
        <v>3720.4950000000003</v>
      </c>
      <c r="H110" s="122" t="str">
        <f>IF(C110="","",IF(G110&gt;'20'!$J$14*0.4,"SI","NO"))</f>
        <v>SI</v>
      </c>
      <c r="I110" s="43">
        <f t="shared" si="151"/>
        <v>1</v>
      </c>
      <c r="J110" s="362">
        <f t="shared" ref="J110" si="152">IF((I110+I111+I112+I113+I114)&gt;=1,1,0)</f>
        <v>1</v>
      </c>
      <c r="K110" s="402" t="s">
        <v>14</v>
      </c>
      <c r="L110" s="408">
        <f t="shared" ref="L110" si="153">IF(K110="CUMPLE",5,0)</f>
        <v>5</v>
      </c>
      <c r="M110" s="402" t="s">
        <v>14</v>
      </c>
      <c r="N110" s="408">
        <f t="shared" ref="N110" si="154">IF(M110="CUMPLE",5,0)</f>
        <v>5</v>
      </c>
      <c r="O110" s="411">
        <f t="shared" ref="O110" si="155">+L110+N110</f>
        <v>10</v>
      </c>
      <c r="P110" s="192" t="s">
        <v>110</v>
      </c>
      <c r="Q110" s="411" t="str">
        <f t="shared" ref="Q110" si="156">IF(OR(P110="REPORTADO",P111="REPORTADO",P112="REPORTADO",P113="REPORTADO",P114="REPORTADO"),-1,"0")</f>
        <v>0</v>
      </c>
      <c r="R110" s="402" t="s">
        <v>14</v>
      </c>
      <c r="S110" s="197" t="s">
        <v>14</v>
      </c>
      <c r="T110" s="414">
        <f t="shared" ref="T110:T195" si="157">IF(AND(R110="",S110="",S111="",S112="",S113="",S114=""),"",IF(AND(R110="CUMPLE",S110="",S111="",S112="",S113="",S114=""),"",IF(AND(R110="CUMPLE",OR(S110="CUMPLE",S110=""),OR(S111="CUMPLE",S111=""),OR(S112="CUMPLE",S112=""),OR(S113="CUMPLE",S113=""),OR(S114="CUMPLE",S114="")),20,0)))</f>
        <v>20</v>
      </c>
      <c r="U110" s="109" t="s">
        <v>14</v>
      </c>
      <c r="V110" s="109" t="s">
        <v>14</v>
      </c>
      <c r="W110" s="109" t="s">
        <v>14</v>
      </c>
      <c r="X110" s="109" t="s">
        <v>14</v>
      </c>
      <c r="Y110" s="164">
        <f t="shared" si="107"/>
        <v>0.25</v>
      </c>
      <c r="Z110" s="414">
        <f t="shared" ref="Z110:Z195" si="158">IF((Y110+Y111+Y112+Y113+Y114)&gt;=0.25,0.25,0)</f>
        <v>0.25</v>
      </c>
      <c r="AA110" s="109" t="s">
        <v>14</v>
      </c>
      <c r="AB110" s="109" t="s">
        <v>14</v>
      </c>
      <c r="AC110" s="164">
        <f t="shared" si="108"/>
        <v>0.25</v>
      </c>
      <c r="AD110" s="408">
        <f t="shared" ref="AD110:AD195" si="159">IF((AC110+AC111+AC112+AC113+AC114)&gt;=0.25,0.25,0)</f>
        <v>0.25</v>
      </c>
      <c r="AE110" s="402" t="s">
        <v>14</v>
      </c>
      <c r="AF110" s="408">
        <f t="shared" si="65"/>
        <v>1</v>
      </c>
      <c r="AG110" s="399"/>
    </row>
    <row r="111" spans="1:33" x14ac:dyDescent="0.25">
      <c r="A111" s="360"/>
      <c r="B111" s="351"/>
      <c r="C111" s="26" t="str">
        <f>IF(VLOOKUP(B110,PROPONENTES!$B$10:$N$46,4,FALSE)="","",VLOOKUP(B110,PROPONENTES!$B$10:$N$46,4,FALSE))</f>
        <v/>
      </c>
      <c r="D111" s="36">
        <f>VLOOKUP(B110,PROPONENTES!$B$10:$N$46,5,FALSE)</f>
        <v>0</v>
      </c>
      <c r="E111" s="112"/>
      <c r="F111" s="112"/>
      <c r="G111" s="123" t="str">
        <f>+'20'!E16</f>
        <v/>
      </c>
      <c r="H111" s="124" t="str">
        <f>IF(C111="","",IF(G111&gt;'20'!$J$14*0.4,"SI","NO"))</f>
        <v/>
      </c>
      <c r="I111" s="26">
        <f t="shared" si="151"/>
        <v>0</v>
      </c>
      <c r="J111" s="351"/>
      <c r="K111" s="403"/>
      <c r="L111" s="409"/>
      <c r="M111" s="403"/>
      <c r="N111" s="409"/>
      <c r="O111" s="412"/>
      <c r="P111" s="193"/>
      <c r="Q111" s="412"/>
      <c r="R111" s="403"/>
      <c r="S111" s="114"/>
      <c r="T111" s="373"/>
      <c r="U111" s="114"/>
      <c r="V111" s="114"/>
      <c r="W111" s="114"/>
      <c r="X111" s="114"/>
      <c r="Y111" s="165">
        <f t="shared" si="107"/>
        <v>0</v>
      </c>
      <c r="Z111" s="373"/>
      <c r="AA111" s="114"/>
      <c r="AB111" s="114"/>
      <c r="AC111" s="165">
        <f t="shared" si="108"/>
        <v>0</v>
      </c>
      <c r="AD111" s="409"/>
      <c r="AE111" s="403"/>
      <c r="AF111" s="409"/>
      <c r="AG111" s="400"/>
    </row>
    <row r="112" spans="1:33" x14ac:dyDescent="0.25">
      <c r="A112" s="360"/>
      <c r="B112" s="351"/>
      <c r="C112" s="26" t="str">
        <f>IF(VLOOKUP(B110,PROPONENTES!$B$10:$N$46,6,FALSE)="","",VLOOKUP(B110,PROPONENTES!$B$10:$N$46,6,FALSE))</f>
        <v/>
      </c>
      <c r="D112" s="36">
        <f>VLOOKUP(B110,PROPONENTES!$B$10:$N$46,7,FALSE)</f>
        <v>0</v>
      </c>
      <c r="E112" s="112"/>
      <c r="F112" s="112"/>
      <c r="G112" s="123" t="str">
        <f>+'20'!E17</f>
        <v/>
      </c>
      <c r="H112" s="124" t="str">
        <f>IF(C112="","",IF(G112&gt;'20'!$J$14*0.4,"SI","NO"))</f>
        <v/>
      </c>
      <c r="I112" s="26">
        <f t="shared" si="151"/>
        <v>0</v>
      </c>
      <c r="J112" s="351"/>
      <c r="K112" s="403"/>
      <c r="L112" s="409"/>
      <c r="M112" s="403"/>
      <c r="N112" s="409"/>
      <c r="O112" s="412"/>
      <c r="P112" s="193"/>
      <c r="Q112" s="412"/>
      <c r="R112" s="403"/>
      <c r="S112" s="114"/>
      <c r="T112" s="373"/>
      <c r="U112" s="114"/>
      <c r="V112" s="114"/>
      <c r="W112" s="114"/>
      <c r="X112" s="114"/>
      <c r="Y112" s="165">
        <f t="shared" si="107"/>
        <v>0</v>
      </c>
      <c r="Z112" s="373"/>
      <c r="AA112" s="114"/>
      <c r="AB112" s="114"/>
      <c r="AC112" s="165">
        <f t="shared" si="108"/>
        <v>0</v>
      </c>
      <c r="AD112" s="409"/>
      <c r="AE112" s="403"/>
      <c r="AF112" s="409"/>
      <c r="AG112" s="400"/>
    </row>
    <row r="113" spans="1:33" x14ac:dyDescent="0.25">
      <c r="A113" s="360"/>
      <c r="B113" s="351"/>
      <c r="C113" s="26" t="str">
        <f>IF(VLOOKUP(B110,PROPONENTES!$B$10:$N$46,8,FALSE)="","",VLOOKUP(B110,PROPONENTES!$B$10:$N$46,8,FALSE))</f>
        <v/>
      </c>
      <c r="D113" s="36">
        <f>VLOOKUP(B110,PROPONENTES!$B$10:$N$46,9,FALSE)</f>
        <v>0</v>
      </c>
      <c r="E113" s="112"/>
      <c r="F113" s="112"/>
      <c r="G113" s="123" t="str">
        <f>+'20'!E18</f>
        <v/>
      </c>
      <c r="H113" s="124" t="str">
        <f>IF(C113="","",IF(G113&gt;'20'!$J$14*0.4,"SI","NO"))</f>
        <v/>
      </c>
      <c r="I113" s="124">
        <f t="shared" si="151"/>
        <v>0</v>
      </c>
      <c r="J113" s="351"/>
      <c r="K113" s="403"/>
      <c r="L113" s="409"/>
      <c r="M113" s="403"/>
      <c r="N113" s="409"/>
      <c r="O113" s="412"/>
      <c r="P113" s="193"/>
      <c r="Q113" s="412"/>
      <c r="R113" s="403"/>
      <c r="S113" s="114"/>
      <c r="T113" s="373"/>
      <c r="U113" s="114"/>
      <c r="V113" s="114"/>
      <c r="W113" s="114"/>
      <c r="X113" s="114"/>
      <c r="Y113" s="165">
        <f t="shared" si="107"/>
        <v>0</v>
      </c>
      <c r="Z113" s="373"/>
      <c r="AA113" s="114"/>
      <c r="AB113" s="114"/>
      <c r="AC113" s="165">
        <f t="shared" si="108"/>
        <v>0</v>
      </c>
      <c r="AD113" s="409"/>
      <c r="AE113" s="403"/>
      <c r="AF113" s="409"/>
      <c r="AG113" s="400"/>
    </row>
    <row r="114" spans="1:33" ht="15.75" thickBot="1" x14ac:dyDescent="0.3">
      <c r="A114" s="361"/>
      <c r="B114" s="363"/>
      <c r="C114" s="48" t="str">
        <f>IF(VLOOKUP(B110,PROPONENTES!$B$10:$N$46,10,FALSE)="","",VLOOKUP(B110,PROPONENTES!$B$10:$N$46,10,FALSE))</f>
        <v/>
      </c>
      <c r="D114" s="49">
        <f>VLOOKUP(B110,PROPONENTES!$B$10:$N$46,11,FALSE)</f>
        <v>0</v>
      </c>
      <c r="E114" s="116"/>
      <c r="F114" s="116"/>
      <c r="G114" s="125" t="str">
        <f>+'20'!E19</f>
        <v/>
      </c>
      <c r="H114" s="126" t="str">
        <f>IF(C114="","",IF(G114&gt;'20'!$J$14*0.4,"SI","NO"))</f>
        <v/>
      </c>
      <c r="I114" s="126">
        <f t="shared" si="151"/>
        <v>0</v>
      </c>
      <c r="J114" s="363"/>
      <c r="K114" s="404"/>
      <c r="L114" s="410"/>
      <c r="M114" s="404"/>
      <c r="N114" s="410"/>
      <c r="O114" s="413"/>
      <c r="P114" s="194"/>
      <c r="Q114" s="413"/>
      <c r="R114" s="404"/>
      <c r="S114" s="198"/>
      <c r="T114" s="374"/>
      <c r="U114" s="146"/>
      <c r="V114" s="146"/>
      <c r="W114" s="146"/>
      <c r="X114" s="146"/>
      <c r="Y114" s="166">
        <f t="shared" si="107"/>
        <v>0</v>
      </c>
      <c r="Z114" s="374"/>
      <c r="AA114" s="146"/>
      <c r="AB114" s="146"/>
      <c r="AC114" s="166">
        <f t="shared" si="108"/>
        <v>0</v>
      </c>
      <c r="AD114" s="410"/>
      <c r="AE114" s="404"/>
      <c r="AF114" s="410"/>
      <c r="AG114" s="401"/>
    </row>
    <row r="115" spans="1:33" ht="15" customHeight="1" x14ac:dyDescent="0.25">
      <c r="A115" s="359">
        <v>21</v>
      </c>
      <c r="B115" s="362" t="str">
        <f>+PROPONENTES!B30</f>
        <v>CONSORCIO COMODORO</v>
      </c>
      <c r="C115" s="43" t="str">
        <f>IF(VLOOKUP(B115,PROPONENTES!$B$10:$N$46,2,FALSE)="","",VLOOKUP(B115,PROPONENTES!$B$10:$N$46,2,FALSE))</f>
        <v xml:space="preserve">ARQUITECTURA Y URBANISMO SXXI SAS </v>
      </c>
      <c r="D115" s="44">
        <f>VLOOKUP(B115,PROPONENTES!$B$10:$N$46,3,FALSE)</f>
        <v>0.34</v>
      </c>
      <c r="E115" s="107" t="s">
        <v>75</v>
      </c>
      <c r="F115" s="107" t="s">
        <v>75</v>
      </c>
      <c r="G115" s="121">
        <f>+'21'!E15</f>
        <v>726.46</v>
      </c>
      <c r="H115" s="122" t="str">
        <f>IF(C115="","",IF(G115&gt;'21'!$J$14*0.4,"SI","NO"))</f>
        <v>SI</v>
      </c>
      <c r="I115" s="43">
        <f t="shared" si="151"/>
        <v>1</v>
      </c>
      <c r="J115" s="362">
        <f t="shared" ref="J115" si="160">IF((I115+I116+I117+I118+I119)&gt;=1,1,0)</f>
        <v>1</v>
      </c>
      <c r="K115" s="402" t="s">
        <v>14</v>
      </c>
      <c r="L115" s="408">
        <f t="shared" ref="L115" si="161">IF(K115="CUMPLE",5,0)</f>
        <v>5</v>
      </c>
      <c r="M115" s="402" t="s">
        <v>14</v>
      </c>
      <c r="N115" s="408">
        <f t="shared" ref="N115" si="162">IF(M115="CUMPLE",5,0)</f>
        <v>5</v>
      </c>
      <c r="O115" s="411">
        <f t="shared" ref="O115" si="163">+L115+N115</f>
        <v>10</v>
      </c>
      <c r="P115" s="192" t="s">
        <v>110</v>
      </c>
      <c r="Q115" s="411" t="str">
        <f t="shared" ref="Q115" si="164">IF(OR(P115="REPORTADO",P116="REPORTADO",P117="REPORTADO",P118="REPORTADO",P119="REPORTADO"),-1,"0")</f>
        <v>0</v>
      </c>
      <c r="R115" s="402" t="s">
        <v>14</v>
      </c>
      <c r="S115" s="197" t="s">
        <v>14</v>
      </c>
      <c r="T115" s="414">
        <f>IF(AND(R115="",S115="",S116="",S117="",S118="",S119=""),"",IF(AND(R115="CUMPLE",S115="",S116="",S117="",S118="",S119=""),"",IF(AND(R115="CUMPLE",OR(S115="CUMPLE",S115=""),OR(S116="CUMPLE",S116=""),OR(S117="CUMPLE",S117=""),OR(S118="CUMPLE",S118=""),OR(S119="CUMPLE",S119="")),20,0)))</f>
        <v>20</v>
      </c>
      <c r="U115" s="109" t="s">
        <v>14</v>
      </c>
      <c r="V115" s="109" t="s">
        <v>13</v>
      </c>
      <c r="W115" s="109" t="s">
        <v>13</v>
      </c>
      <c r="X115" s="109" t="s">
        <v>13</v>
      </c>
      <c r="Y115" s="164">
        <f t="shared" si="107"/>
        <v>0.25</v>
      </c>
      <c r="Z115" s="414">
        <f t="shared" si="158"/>
        <v>0.25</v>
      </c>
      <c r="AA115" s="109" t="s">
        <v>14</v>
      </c>
      <c r="AB115" s="109" t="s">
        <v>14</v>
      </c>
      <c r="AC115" s="164">
        <f t="shared" si="108"/>
        <v>0.25</v>
      </c>
      <c r="AD115" s="408">
        <f t="shared" si="159"/>
        <v>0.25</v>
      </c>
      <c r="AE115" s="402" t="s">
        <v>14</v>
      </c>
      <c r="AF115" s="408">
        <f t="shared" si="73"/>
        <v>1</v>
      </c>
      <c r="AG115" s="399"/>
    </row>
    <row r="116" spans="1:33" x14ac:dyDescent="0.25">
      <c r="A116" s="360"/>
      <c r="B116" s="351"/>
      <c r="C116" s="26" t="str">
        <f>IF(VLOOKUP(B115,PROPONENTES!$B$10:$N$46,4,FALSE)="","",VLOOKUP(B115,PROPONENTES!$B$10:$N$46,4,FALSE))</f>
        <v xml:space="preserve">J. FELIPE ARDILA V. &amp; CIA SAS </v>
      </c>
      <c r="D116" s="36">
        <f>VLOOKUP(B115,PROPONENTES!$B$10:$N$46,5,FALSE)</f>
        <v>0.33</v>
      </c>
      <c r="E116" s="112" t="s">
        <v>73</v>
      </c>
      <c r="F116" s="112" t="s">
        <v>73</v>
      </c>
      <c r="G116" s="123">
        <f>+'21'!E16</f>
        <v>1876.0900000000001</v>
      </c>
      <c r="H116" s="124" t="str">
        <f>IF(C116="","",IF(G116&gt;'21'!$J$14*0.4,"SI","NO"))</f>
        <v>SI</v>
      </c>
      <c r="I116" s="26">
        <f t="shared" si="151"/>
        <v>0</v>
      </c>
      <c r="J116" s="351"/>
      <c r="K116" s="403"/>
      <c r="L116" s="409"/>
      <c r="M116" s="403"/>
      <c r="N116" s="409"/>
      <c r="O116" s="412"/>
      <c r="P116" s="193" t="s">
        <v>110</v>
      </c>
      <c r="Q116" s="412"/>
      <c r="R116" s="403"/>
      <c r="S116" s="114" t="s">
        <v>14</v>
      </c>
      <c r="T116" s="373"/>
      <c r="U116" s="114" t="s">
        <v>13</v>
      </c>
      <c r="V116" s="114" t="s">
        <v>13</v>
      </c>
      <c r="W116" s="114" t="s">
        <v>13</v>
      </c>
      <c r="X116" s="114" t="s">
        <v>13</v>
      </c>
      <c r="Y116" s="165">
        <f t="shared" si="107"/>
        <v>0</v>
      </c>
      <c r="Z116" s="373"/>
      <c r="AA116" s="114" t="s">
        <v>14</v>
      </c>
      <c r="AB116" s="114" t="s">
        <v>14</v>
      </c>
      <c r="AC116" s="165">
        <f t="shared" si="108"/>
        <v>0.25</v>
      </c>
      <c r="AD116" s="409"/>
      <c r="AE116" s="403"/>
      <c r="AF116" s="409"/>
      <c r="AG116" s="400"/>
    </row>
    <row r="117" spans="1:33" x14ac:dyDescent="0.25">
      <c r="A117" s="360"/>
      <c r="B117" s="351"/>
      <c r="C117" s="26" t="str">
        <f>IF(VLOOKUP(B115,PROPONENTES!$B$10:$N$46,6,FALSE)="","",VLOOKUP(B115,PROPONENTES!$B$10:$N$46,6,FALSE))</f>
        <v xml:space="preserve">INGEPLAN.CO SAS BIC </v>
      </c>
      <c r="D117" s="36">
        <f>VLOOKUP(B115,PROPONENTES!$B$10:$N$46,7,FALSE)</f>
        <v>0.33</v>
      </c>
      <c r="E117" s="112" t="s">
        <v>75</v>
      </c>
      <c r="F117" s="112" t="s">
        <v>75</v>
      </c>
      <c r="G117" s="123">
        <f>+'21'!E17</f>
        <v>882.67740000000015</v>
      </c>
      <c r="H117" s="124" t="str">
        <f>IF(C117="","",IF(G117&gt;'21'!$J$14*0.4,"SI","NO"))</f>
        <v>SI</v>
      </c>
      <c r="I117" s="26">
        <f t="shared" si="151"/>
        <v>1</v>
      </c>
      <c r="J117" s="351"/>
      <c r="K117" s="403"/>
      <c r="L117" s="409"/>
      <c r="M117" s="403"/>
      <c r="N117" s="409"/>
      <c r="O117" s="412"/>
      <c r="P117" s="193" t="s">
        <v>110</v>
      </c>
      <c r="Q117" s="412"/>
      <c r="R117" s="403"/>
      <c r="S117" s="114" t="s">
        <v>14</v>
      </c>
      <c r="T117" s="373"/>
      <c r="U117" s="114" t="s">
        <v>14</v>
      </c>
      <c r="V117" s="114" t="s">
        <v>13</v>
      </c>
      <c r="W117" s="114" t="s">
        <v>13</v>
      </c>
      <c r="X117" s="114" t="s">
        <v>13</v>
      </c>
      <c r="Y117" s="165">
        <f t="shared" si="107"/>
        <v>0.25</v>
      </c>
      <c r="Z117" s="373"/>
      <c r="AA117" s="114" t="s">
        <v>14</v>
      </c>
      <c r="AB117" s="114" t="s">
        <v>14</v>
      </c>
      <c r="AC117" s="165">
        <f t="shared" si="108"/>
        <v>0.25</v>
      </c>
      <c r="AD117" s="409"/>
      <c r="AE117" s="403"/>
      <c r="AF117" s="409"/>
      <c r="AG117" s="400"/>
    </row>
    <row r="118" spans="1:33" x14ac:dyDescent="0.25">
      <c r="A118" s="360"/>
      <c r="B118" s="351"/>
      <c r="C118" s="26" t="str">
        <f>IF(VLOOKUP(B115,PROPONENTES!$B$10:$N$46,8,FALSE)="","",VLOOKUP(B115,PROPONENTES!$B$10:$N$46,8,FALSE))</f>
        <v/>
      </c>
      <c r="D118" s="36">
        <f>VLOOKUP(B115,PROPONENTES!$B$10:$N$46,9,FALSE)</f>
        <v>0</v>
      </c>
      <c r="E118" s="112"/>
      <c r="F118" s="112"/>
      <c r="G118" s="123" t="str">
        <f>+'21'!E18</f>
        <v/>
      </c>
      <c r="H118" s="124" t="str">
        <f>IF(C118="","",IF(G118&gt;'21'!$J$14*0.4,"SI","NO"))</f>
        <v/>
      </c>
      <c r="I118" s="124">
        <f t="shared" si="151"/>
        <v>0</v>
      </c>
      <c r="J118" s="351"/>
      <c r="K118" s="403"/>
      <c r="L118" s="409"/>
      <c r="M118" s="403"/>
      <c r="N118" s="409"/>
      <c r="O118" s="412"/>
      <c r="P118" s="193"/>
      <c r="Q118" s="412"/>
      <c r="R118" s="403"/>
      <c r="S118" s="114"/>
      <c r="T118" s="373"/>
      <c r="U118" s="114"/>
      <c r="V118" s="114"/>
      <c r="W118" s="114"/>
      <c r="X118" s="114"/>
      <c r="Y118" s="165">
        <f t="shared" si="107"/>
        <v>0</v>
      </c>
      <c r="Z118" s="373"/>
      <c r="AA118" s="114"/>
      <c r="AB118" s="114"/>
      <c r="AC118" s="165">
        <f t="shared" si="108"/>
        <v>0</v>
      </c>
      <c r="AD118" s="409"/>
      <c r="AE118" s="403"/>
      <c r="AF118" s="409"/>
      <c r="AG118" s="400"/>
    </row>
    <row r="119" spans="1:33" ht="15.75" thickBot="1" x14ac:dyDescent="0.3">
      <c r="A119" s="361"/>
      <c r="B119" s="363"/>
      <c r="C119" s="48" t="str">
        <f>IF(VLOOKUP(B115,PROPONENTES!$B$10:$N$46,10,FALSE)="","",VLOOKUP(B115,PROPONENTES!$B$10:$N$46,10,FALSE))</f>
        <v/>
      </c>
      <c r="D119" s="49">
        <f>VLOOKUP(B115,PROPONENTES!$B$10:$N$46,11,FALSE)</f>
        <v>0</v>
      </c>
      <c r="E119" s="116"/>
      <c r="F119" s="116"/>
      <c r="G119" s="125" t="str">
        <f>+'21'!E19</f>
        <v/>
      </c>
      <c r="H119" s="126" t="str">
        <f>IF(C119="","",IF(G119&gt;'21'!$J$14*0.4,"SI","NO"))</f>
        <v/>
      </c>
      <c r="I119" s="126">
        <f t="shared" si="151"/>
        <v>0</v>
      </c>
      <c r="J119" s="363"/>
      <c r="K119" s="404"/>
      <c r="L119" s="410"/>
      <c r="M119" s="404"/>
      <c r="N119" s="410"/>
      <c r="O119" s="413"/>
      <c r="P119" s="194"/>
      <c r="Q119" s="413"/>
      <c r="R119" s="404"/>
      <c r="S119" s="198"/>
      <c r="T119" s="374"/>
      <c r="U119" s="146"/>
      <c r="V119" s="146"/>
      <c r="W119" s="146"/>
      <c r="X119" s="146"/>
      <c r="Y119" s="166">
        <f t="shared" si="107"/>
        <v>0</v>
      </c>
      <c r="Z119" s="374"/>
      <c r="AA119" s="146"/>
      <c r="AB119" s="146"/>
      <c r="AC119" s="166">
        <f t="shared" si="108"/>
        <v>0</v>
      </c>
      <c r="AD119" s="410"/>
      <c r="AE119" s="404"/>
      <c r="AF119" s="410"/>
      <c r="AG119" s="401"/>
    </row>
    <row r="120" spans="1:33" ht="30" customHeight="1" x14ac:dyDescent="0.25">
      <c r="A120" s="359">
        <v>22</v>
      </c>
      <c r="B120" s="362" t="str">
        <f>+PROPONENTES!B31</f>
        <v>CONSORCIO PRO_CARING</v>
      </c>
      <c r="C120" s="43" t="str">
        <f>IF(VLOOKUP(B120,PROPONENTES!$B$10:$N$46,2,FALSE)="","",VLOOKUP(B120,PROPONENTES!$B$10:$N$46,2,FALSE))</f>
        <v xml:space="preserve">CARING S.A.S </v>
      </c>
      <c r="D120" s="44">
        <f>VLOOKUP(B120,PROPONENTES!$B$10:$N$46,3,FALSE)</f>
        <v>0.5</v>
      </c>
      <c r="E120" s="107" t="s">
        <v>75</v>
      </c>
      <c r="F120" s="107" t="s">
        <v>75</v>
      </c>
      <c r="G120" s="121">
        <f>+'22'!E15</f>
        <v>219.22199999999998</v>
      </c>
      <c r="H120" s="122" t="str">
        <f>IF(C120="","",IF(G120&gt;'22'!$J$14*0.4,"SI","NO"))</f>
        <v>SI</v>
      </c>
      <c r="I120" s="43">
        <f t="shared" si="151"/>
        <v>1</v>
      </c>
      <c r="J120" s="362">
        <f t="shared" ref="J120" si="165">IF((I120+I121+I122+I123+I124)&gt;=1,1,0)</f>
        <v>1</v>
      </c>
      <c r="K120" s="402" t="s">
        <v>14</v>
      </c>
      <c r="L120" s="408">
        <f t="shared" ref="L120" si="166">IF(K120="CUMPLE",5,0)</f>
        <v>5</v>
      </c>
      <c r="M120" s="402" t="s">
        <v>14</v>
      </c>
      <c r="N120" s="408">
        <f t="shared" ref="N120" si="167">IF(M120="CUMPLE",5,0)</f>
        <v>5</v>
      </c>
      <c r="O120" s="411">
        <f t="shared" ref="O120" si="168">+L120+N120</f>
        <v>10</v>
      </c>
      <c r="P120" s="192" t="s">
        <v>110</v>
      </c>
      <c r="Q120" s="411" t="str">
        <f t="shared" ref="Q120" si="169">IF(OR(P120="REPORTADO",P121="REPORTADO",P122="REPORTADO",P123="REPORTADO",P124="REPORTADO"),-1,"0")</f>
        <v>0</v>
      </c>
      <c r="R120" s="402" t="s">
        <v>14</v>
      </c>
      <c r="S120" s="197" t="s">
        <v>14</v>
      </c>
      <c r="T120" s="414">
        <f t="shared" si="157"/>
        <v>20</v>
      </c>
      <c r="U120" s="109" t="s">
        <v>14</v>
      </c>
      <c r="V120" s="109" t="s">
        <v>13</v>
      </c>
      <c r="W120" s="109" t="s">
        <v>13</v>
      </c>
      <c r="X120" s="109" t="s">
        <v>13</v>
      </c>
      <c r="Y120" s="164">
        <f t="shared" si="107"/>
        <v>0.25</v>
      </c>
      <c r="Z120" s="414">
        <f t="shared" si="158"/>
        <v>0.25</v>
      </c>
      <c r="AA120" s="109" t="s">
        <v>14</v>
      </c>
      <c r="AB120" s="109" t="s">
        <v>14</v>
      </c>
      <c r="AC120" s="164">
        <f t="shared" si="108"/>
        <v>0.25</v>
      </c>
      <c r="AD120" s="408">
        <f t="shared" si="159"/>
        <v>0.25</v>
      </c>
      <c r="AE120" s="402" t="s">
        <v>14</v>
      </c>
      <c r="AF120" s="408">
        <f t="shared" si="81"/>
        <v>1</v>
      </c>
      <c r="AG120" s="399"/>
    </row>
    <row r="121" spans="1:33" ht="15" customHeight="1" x14ac:dyDescent="0.25">
      <c r="A121" s="360"/>
      <c r="B121" s="351"/>
      <c r="C121" s="26" t="str">
        <f>IF(VLOOKUP(B120,PROPONENTES!$B$10:$N$46,4,FALSE)="","",VLOOKUP(B120,PROPONENTES!$B$10:$N$46,4,FALSE))</f>
        <v xml:space="preserve">PROYECTOS E INTERVENTORÍAS S.A.S </v>
      </c>
      <c r="D121" s="36">
        <f>VLOOKUP(B120,PROPONENTES!$B$10:$N$46,5,FALSE)</f>
        <v>0.5</v>
      </c>
      <c r="E121" s="112" t="s">
        <v>73</v>
      </c>
      <c r="F121" s="112" t="s">
        <v>73</v>
      </c>
      <c r="G121" s="123">
        <f>+'22'!E16</f>
        <v>3258.2330000000002</v>
      </c>
      <c r="H121" s="124" t="str">
        <f>IF(C121="","",IF(G121&gt;'22'!$J$14*0.4,"SI","NO"))</f>
        <v>SI</v>
      </c>
      <c r="I121" s="26">
        <f t="shared" si="151"/>
        <v>0</v>
      </c>
      <c r="J121" s="351"/>
      <c r="K121" s="403"/>
      <c r="L121" s="409"/>
      <c r="M121" s="403"/>
      <c r="N121" s="409"/>
      <c r="O121" s="412"/>
      <c r="P121" s="193" t="s">
        <v>110</v>
      </c>
      <c r="Q121" s="412"/>
      <c r="R121" s="403"/>
      <c r="S121" s="114" t="s">
        <v>14</v>
      </c>
      <c r="T121" s="373"/>
      <c r="U121" s="114" t="s">
        <v>14</v>
      </c>
      <c r="V121" s="114" t="s">
        <v>13</v>
      </c>
      <c r="W121" s="114" t="s">
        <v>13</v>
      </c>
      <c r="X121" s="114" t="s">
        <v>13</v>
      </c>
      <c r="Y121" s="165">
        <f t="shared" si="107"/>
        <v>0.25</v>
      </c>
      <c r="Z121" s="373"/>
      <c r="AA121" s="114" t="s">
        <v>14</v>
      </c>
      <c r="AB121" s="114" t="s">
        <v>14</v>
      </c>
      <c r="AC121" s="165">
        <f t="shared" si="108"/>
        <v>0.25</v>
      </c>
      <c r="AD121" s="409"/>
      <c r="AE121" s="403"/>
      <c r="AF121" s="409"/>
      <c r="AG121" s="400"/>
    </row>
    <row r="122" spans="1:33" x14ac:dyDescent="0.25">
      <c r="A122" s="360"/>
      <c r="B122" s="351"/>
      <c r="C122" s="26" t="str">
        <f>IF(VLOOKUP(B120,PROPONENTES!$B$10:$N$46,6,FALSE)="","",VLOOKUP(B120,PROPONENTES!$B$10:$N$46,6,FALSE))</f>
        <v/>
      </c>
      <c r="D122" s="36">
        <f>VLOOKUP(B120,PROPONENTES!$B$10:$N$46,7,FALSE)</f>
        <v>0</v>
      </c>
      <c r="E122" s="112"/>
      <c r="F122" s="112"/>
      <c r="G122" s="123" t="str">
        <f>+'22'!E17</f>
        <v/>
      </c>
      <c r="H122" s="124" t="str">
        <f>IF(C122="","",IF(G122&gt;'22'!$J$14*0.4,"SI","NO"))</f>
        <v/>
      </c>
      <c r="I122" s="26">
        <f t="shared" si="151"/>
        <v>0</v>
      </c>
      <c r="J122" s="351"/>
      <c r="K122" s="403"/>
      <c r="L122" s="409"/>
      <c r="M122" s="403"/>
      <c r="N122" s="409"/>
      <c r="O122" s="412"/>
      <c r="P122" s="193"/>
      <c r="Q122" s="412"/>
      <c r="R122" s="403"/>
      <c r="S122" s="114"/>
      <c r="T122" s="373"/>
      <c r="U122" s="114"/>
      <c r="V122" s="114"/>
      <c r="W122" s="114"/>
      <c r="X122" s="114"/>
      <c r="Y122" s="165">
        <f t="shared" si="107"/>
        <v>0</v>
      </c>
      <c r="Z122" s="373"/>
      <c r="AA122" s="114"/>
      <c r="AB122" s="114"/>
      <c r="AC122" s="165">
        <f t="shared" si="108"/>
        <v>0</v>
      </c>
      <c r="AD122" s="409"/>
      <c r="AE122" s="403"/>
      <c r="AF122" s="409"/>
      <c r="AG122" s="400"/>
    </row>
    <row r="123" spans="1:33" x14ac:dyDescent="0.25">
      <c r="A123" s="360"/>
      <c r="B123" s="351"/>
      <c r="C123" s="26" t="str">
        <f>IF(VLOOKUP(B120,PROPONENTES!$B$10:$N$46,8,FALSE)="","",VLOOKUP(B120,PROPONENTES!$B$10:$N$46,8,FALSE))</f>
        <v/>
      </c>
      <c r="D123" s="36">
        <f>VLOOKUP(B120,PROPONENTES!$B$10:$N$46,9,FALSE)</f>
        <v>0</v>
      </c>
      <c r="E123" s="112"/>
      <c r="F123" s="112"/>
      <c r="G123" s="123" t="str">
        <f>+'22'!E18</f>
        <v/>
      </c>
      <c r="H123" s="124" t="str">
        <f>IF(C123="","",IF(G123&gt;'22'!$J$14*0.4,"SI","NO"))</f>
        <v/>
      </c>
      <c r="I123" s="124">
        <f t="shared" si="151"/>
        <v>0</v>
      </c>
      <c r="J123" s="351"/>
      <c r="K123" s="403"/>
      <c r="L123" s="409"/>
      <c r="M123" s="403"/>
      <c r="N123" s="409"/>
      <c r="O123" s="412"/>
      <c r="P123" s="193"/>
      <c r="Q123" s="412"/>
      <c r="R123" s="403"/>
      <c r="S123" s="114"/>
      <c r="T123" s="373"/>
      <c r="U123" s="114"/>
      <c r="V123" s="114"/>
      <c r="W123" s="114"/>
      <c r="X123" s="114"/>
      <c r="Y123" s="165">
        <f t="shared" si="107"/>
        <v>0</v>
      </c>
      <c r="Z123" s="373"/>
      <c r="AA123" s="114"/>
      <c r="AB123" s="114"/>
      <c r="AC123" s="165">
        <f t="shared" si="108"/>
        <v>0</v>
      </c>
      <c r="AD123" s="409"/>
      <c r="AE123" s="403"/>
      <c r="AF123" s="409"/>
      <c r="AG123" s="400"/>
    </row>
    <row r="124" spans="1:33" ht="15.75" thickBot="1" x14ac:dyDescent="0.3">
      <c r="A124" s="361"/>
      <c r="B124" s="363"/>
      <c r="C124" s="48" t="str">
        <f>IF(VLOOKUP(B120,PROPONENTES!$B$10:$N$46,10,FALSE)="","",VLOOKUP(B120,PROPONENTES!$B$10:$N$46,10,FALSE))</f>
        <v/>
      </c>
      <c r="D124" s="49">
        <f>VLOOKUP(B120,PROPONENTES!$B$10:$N$46,11,FALSE)</f>
        <v>0</v>
      </c>
      <c r="E124" s="116"/>
      <c r="F124" s="116"/>
      <c r="G124" s="125" t="str">
        <f>+'22'!E19</f>
        <v/>
      </c>
      <c r="H124" s="126" t="str">
        <f>IF(C124="","",IF(G124&gt;'22'!$J$14*0.4,"SI","NO"))</f>
        <v/>
      </c>
      <c r="I124" s="126">
        <f t="shared" si="151"/>
        <v>0</v>
      </c>
      <c r="J124" s="363"/>
      <c r="K124" s="404"/>
      <c r="L124" s="410"/>
      <c r="M124" s="404"/>
      <c r="N124" s="410"/>
      <c r="O124" s="413"/>
      <c r="P124" s="194"/>
      <c r="Q124" s="413"/>
      <c r="R124" s="404"/>
      <c r="S124" s="198"/>
      <c r="T124" s="374"/>
      <c r="U124" s="146"/>
      <c r="V124" s="146"/>
      <c r="W124" s="146"/>
      <c r="X124" s="146"/>
      <c r="Y124" s="166">
        <f t="shared" si="107"/>
        <v>0</v>
      </c>
      <c r="Z124" s="374"/>
      <c r="AA124" s="146"/>
      <c r="AB124" s="146"/>
      <c r="AC124" s="166">
        <f t="shared" si="108"/>
        <v>0</v>
      </c>
      <c r="AD124" s="410"/>
      <c r="AE124" s="404"/>
      <c r="AF124" s="410"/>
      <c r="AG124" s="401"/>
    </row>
    <row r="125" spans="1:33" ht="15" customHeight="1" x14ac:dyDescent="0.25">
      <c r="A125" s="359">
        <v>23</v>
      </c>
      <c r="B125" s="362" t="str">
        <f>+PROPONENTES!B32</f>
        <v xml:space="preserve"> SOLUCIONES PARA LA INGENIERÍA S.A.S.</v>
      </c>
      <c r="C125" s="43" t="str">
        <f>IF(VLOOKUP(B125,PROPONENTES!$B$10:$N$46,2,FALSE)="","",VLOOKUP(B125,PROPONENTES!$B$10:$N$46,2,FALSE))</f>
        <v xml:space="preserve"> SOLUCIONES PARA LA INGENIERÍA S.A.S.</v>
      </c>
      <c r="D125" s="44">
        <f>VLOOKUP(B125,PROPONENTES!$B$10:$N$46,3,FALSE)</f>
        <v>1</v>
      </c>
      <c r="E125" s="107" t="s">
        <v>75</v>
      </c>
      <c r="F125" s="107" t="s">
        <v>75</v>
      </c>
      <c r="G125" s="121">
        <f>+'23'!E15</f>
        <v>1657.4499999999998</v>
      </c>
      <c r="H125" s="122" t="str">
        <f>IF(C125="","",IF(G125&gt;'23'!$J$14*0.4,"SI","NO"))</f>
        <v>SI</v>
      </c>
      <c r="I125" s="43">
        <f t="shared" si="151"/>
        <v>1</v>
      </c>
      <c r="J125" s="362">
        <f t="shared" ref="J125" si="170">IF((I125+I126+I127+I128+I129)&gt;=1,1,0)</f>
        <v>1</v>
      </c>
      <c r="K125" s="402" t="s">
        <v>14</v>
      </c>
      <c r="L125" s="408">
        <f t="shared" ref="L125" si="171">IF(K125="CUMPLE",5,0)</f>
        <v>5</v>
      </c>
      <c r="M125" s="402" t="s">
        <v>14</v>
      </c>
      <c r="N125" s="408">
        <f t="shared" ref="N125" si="172">IF(M125="CUMPLE",5,0)</f>
        <v>5</v>
      </c>
      <c r="O125" s="411">
        <f t="shared" ref="O125" si="173">+L125+N125</f>
        <v>10</v>
      </c>
      <c r="P125" s="192" t="s">
        <v>110</v>
      </c>
      <c r="Q125" s="411" t="str">
        <f t="shared" ref="Q125" si="174">IF(OR(P125="REPORTADO",P126="REPORTADO",P127="REPORTADO",P128="REPORTADO",P129="REPORTADO"),-1,"0")</f>
        <v>0</v>
      </c>
      <c r="R125" s="402" t="s">
        <v>14</v>
      </c>
      <c r="S125" s="197" t="s">
        <v>14</v>
      </c>
      <c r="T125" s="414">
        <f t="shared" si="157"/>
        <v>20</v>
      </c>
      <c r="U125" s="109" t="s">
        <v>14</v>
      </c>
      <c r="V125" s="109" t="s">
        <v>13</v>
      </c>
      <c r="W125" s="109" t="s">
        <v>13</v>
      </c>
      <c r="X125" s="109" t="s">
        <v>13</v>
      </c>
      <c r="Y125" s="164">
        <f t="shared" si="107"/>
        <v>0.25</v>
      </c>
      <c r="Z125" s="414">
        <f t="shared" si="158"/>
        <v>0.25</v>
      </c>
      <c r="AA125" s="109" t="s">
        <v>14</v>
      </c>
      <c r="AB125" s="109" t="s">
        <v>14</v>
      </c>
      <c r="AC125" s="164">
        <f t="shared" si="108"/>
        <v>0.25</v>
      </c>
      <c r="AD125" s="408">
        <f t="shared" si="159"/>
        <v>0.25</v>
      </c>
      <c r="AE125" s="402" t="s">
        <v>14</v>
      </c>
      <c r="AF125" s="408">
        <f t="shared" si="89"/>
        <v>1</v>
      </c>
      <c r="AG125" s="399"/>
    </row>
    <row r="126" spans="1:33" ht="45" customHeight="1" x14ac:dyDescent="0.25">
      <c r="A126" s="360"/>
      <c r="B126" s="351"/>
      <c r="C126" s="26" t="str">
        <f>IF(VLOOKUP(B125,PROPONENTES!$B$10:$N$46,4,FALSE)="","",VLOOKUP(B125,PROPONENTES!$B$10:$N$46,4,FALSE))</f>
        <v/>
      </c>
      <c r="D126" s="36">
        <f>VLOOKUP(B125,PROPONENTES!$B$10:$N$46,5,FALSE)</f>
        <v>0</v>
      </c>
      <c r="E126" s="112"/>
      <c r="F126" s="112"/>
      <c r="G126" s="123" t="str">
        <f>+'23'!E16</f>
        <v/>
      </c>
      <c r="H126" s="124" t="str">
        <f>IF(C126="","",IF(G126&gt;'23'!$J$14*0.4,"SI","NO"))</f>
        <v/>
      </c>
      <c r="I126" s="26">
        <f t="shared" si="151"/>
        <v>0</v>
      </c>
      <c r="J126" s="351"/>
      <c r="K126" s="403"/>
      <c r="L126" s="409"/>
      <c r="M126" s="403"/>
      <c r="N126" s="409"/>
      <c r="O126" s="412"/>
      <c r="P126" s="193"/>
      <c r="Q126" s="412"/>
      <c r="R126" s="403"/>
      <c r="S126" s="114"/>
      <c r="T126" s="373"/>
      <c r="U126" s="114"/>
      <c r="V126" s="114"/>
      <c r="W126" s="114"/>
      <c r="X126" s="114"/>
      <c r="Y126" s="165">
        <f t="shared" si="107"/>
        <v>0</v>
      </c>
      <c r="Z126" s="373"/>
      <c r="AA126" s="114"/>
      <c r="AB126" s="114"/>
      <c r="AC126" s="165">
        <f t="shared" si="108"/>
        <v>0</v>
      </c>
      <c r="AD126" s="409"/>
      <c r="AE126" s="403"/>
      <c r="AF126" s="409"/>
      <c r="AG126" s="400"/>
    </row>
    <row r="127" spans="1:33" x14ac:dyDescent="0.25">
      <c r="A127" s="360"/>
      <c r="B127" s="351"/>
      <c r="C127" s="26" t="str">
        <f>IF(VLOOKUP(B125,PROPONENTES!$B$10:$N$46,6,FALSE)="","",VLOOKUP(B125,PROPONENTES!$B$10:$N$46,6,FALSE))</f>
        <v/>
      </c>
      <c r="D127" s="36">
        <f>VLOOKUP(B125,PROPONENTES!$B$10:$N$46,7,FALSE)</f>
        <v>0</v>
      </c>
      <c r="E127" s="112"/>
      <c r="F127" s="112"/>
      <c r="G127" s="123" t="str">
        <f>+'23'!E17</f>
        <v/>
      </c>
      <c r="H127" s="124" t="str">
        <f>IF(C127="","",IF(G127&gt;'23'!$J$14*0.4,"SI","NO"))</f>
        <v/>
      </c>
      <c r="I127" s="26">
        <f t="shared" si="151"/>
        <v>0</v>
      </c>
      <c r="J127" s="351"/>
      <c r="K127" s="403"/>
      <c r="L127" s="409"/>
      <c r="M127" s="403"/>
      <c r="N127" s="409"/>
      <c r="O127" s="412"/>
      <c r="P127" s="193"/>
      <c r="Q127" s="412"/>
      <c r="R127" s="403"/>
      <c r="S127" s="114"/>
      <c r="T127" s="373"/>
      <c r="U127" s="114"/>
      <c r="V127" s="114"/>
      <c r="W127" s="114"/>
      <c r="X127" s="114"/>
      <c r="Y127" s="165">
        <f t="shared" si="107"/>
        <v>0</v>
      </c>
      <c r="Z127" s="373"/>
      <c r="AA127" s="114"/>
      <c r="AB127" s="114"/>
      <c r="AC127" s="165">
        <f t="shared" si="108"/>
        <v>0</v>
      </c>
      <c r="AD127" s="409"/>
      <c r="AE127" s="403"/>
      <c r="AF127" s="409"/>
      <c r="AG127" s="400"/>
    </row>
    <row r="128" spans="1:33" x14ac:dyDescent="0.25">
      <c r="A128" s="360"/>
      <c r="B128" s="351"/>
      <c r="C128" s="26" t="str">
        <f>IF(VLOOKUP(B125,PROPONENTES!$B$10:$N$46,8,FALSE)="","",VLOOKUP(B125,PROPONENTES!$B$10:$N$46,8,FALSE))</f>
        <v/>
      </c>
      <c r="D128" s="36">
        <f>VLOOKUP(B125,PROPONENTES!$B$10:$N$46,9,FALSE)</f>
        <v>0</v>
      </c>
      <c r="E128" s="112"/>
      <c r="F128" s="112"/>
      <c r="G128" s="123" t="str">
        <f>+'23'!E18</f>
        <v/>
      </c>
      <c r="H128" s="124" t="str">
        <f>IF(C128="","",IF(G128&gt;'23'!$J$14*0.4,"SI","NO"))</f>
        <v/>
      </c>
      <c r="I128" s="124">
        <f t="shared" si="151"/>
        <v>0</v>
      </c>
      <c r="J128" s="351"/>
      <c r="K128" s="403"/>
      <c r="L128" s="409"/>
      <c r="M128" s="403"/>
      <c r="N128" s="409"/>
      <c r="O128" s="412"/>
      <c r="P128" s="193"/>
      <c r="Q128" s="412"/>
      <c r="R128" s="403"/>
      <c r="S128" s="114"/>
      <c r="T128" s="373"/>
      <c r="U128" s="114"/>
      <c r="V128" s="114"/>
      <c r="W128" s="114"/>
      <c r="X128" s="114"/>
      <c r="Y128" s="165">
        <f t="shared" si="107"/>
        <v>0</v>
      </c>
      <c r="Z128" s="373"/>
      <c r="AA128" s="114"/>
      <c r="AB128" s="114"/>
      <c r="AC128" s="165">
        <f t="shared" si="108"/>
        <v>0</v>
      </c>
      <c r="AD128" s="409"/>
      <c r="AE128" s="403"/>
      <c r="AF128" s="409"/>
      <c r="AG128" s="400"/>
    </row>
    <row r="129" spans="1:33" ht="15.75" thickBot="1" x14ac:dyDescent="0.3">
      <c r="A129" s="361"/>
      <c r="B129" s="363"/>
      <c r="C129" s="48" t="str">
        <f>IF(VLOOKUP(B125,PROPONENTES!$B$10:$N$46,10,FALSE)="","",VLOOKUP(B125,PROPONENTES!$B$10:$N$46,10,FALSE))</f>
        <v/>
      </c>
      <c r="D129" s="49">
        <f>VLOOKUP(B125,PROPONENTES!$B$10:$N$46,11,FALSE)</f>
        <v>0</v>
      </c>
      <c r="E129" s="116"/>
      <c r="F129" s="116"/>
      <c r="G129" s="125" t="str">
        <f>+'23'!E19</f>
        <v/>
      </c>
      <c r="H129" s="126" t="str">
        <f>IF(C129="","",IF(G129&gt;'23'!$J$14*0.4,"SI","NO"))</f>
        <v/>
      </c>
      <c r="I129" s="126">
        <f t="shared" si="151"/>
        <v>0</v>
      </c>
      <c r="J129" s="363"/>
      <c r="K129" s="404"/>
      <c r="L129" s="410"/>
      <c r="M129" s="404"/>
      <c r="N129" s="410"/>
      <c r="O129" s="413"/>
      <c r="P129" s="194"/>
      <c r="Q129" s="413"/>
      <c r="R129" s="404"/>
      <c r="S129" s="198"/>
      <c r="T129" s="374"/>
      <c r="U129" s="146"/>
      <c r="V129" s="146"/>
      <c r="W129" s="146"/>
      <c r="X129" s="146"/>
      <c r="Y129" s="166">
        <f t="shared" si="107"/>
        <v>0</v>
      </c>
      <c r="Z129" s="374"/>
      <c r="AA129" s="146"/>
      <c r="AB129" s="146"/>
      <c r="AC129" s="166">
        <f t="shared" si="108"/>
        <v>0</v>
      </c>
      <c r="AD129" s="410"/>
      <c r="AE129" s="404"/>
      <c r="AF129" s="410"/>
      <c r="AG129" s="401"/>
    </row>
    <row r="130" spans="1:33" x14ac:dyDescent="0.25">
      <c r="A130" s="359">
        <v>24</v>
      </c>
      <c r="B130" s="362" t="str">
        <f>+PROPONENTES!B33</f>
        <v>CONSORCIO ARALEP 003</v>
      </c>
      <c r="C130" s="43" t="str">
        <f>IF(VLOOKUP(B130,PROPONENTES!$B$10:$N$46,2,FALSE)="","",VLOOKUP(B130,PROPONENTES!$B$10:$N$46,2,FALSE))</f>
        <v>ARA INGENIERIA S.A.S.</v>
      </c>
      <c r="D130" s="44">
        <f>VLOOKUP(B130,PROPONENTES!$B$10:$N$46,3,FALSE)</f>
        <v>0.51</v>
      </c>
      <c r="E130" s="107" t="s">
        <v>75</v>
      </c>
      <c r="F130" s="107" t="s">
        <v>75</v>
      </c>
      <c r="G130" s="121">
        <f>+'24'!E15</f>
        <v>504.12990000000002</v>
      </c>
      <c r="H130" s="122" t="str">
        <f>IF(C130="","",IF(G130&gt;'24'!$J$14*0.4,"SI","NO"))</f>
        <v>SI</v>
      </c>
      <c r="I130" s="43">
        <f t="shared" si="151"/>
        <v>1</v>
      </c>
      <c r="J130" s="362">
        <f t="shared" ref="J130" si="175">IF((I130+I131+I132+I133+I134)&gt;=1,1,0)</f>
        <v>1</v>
      </c>
      <c r="K130" s="402" t="s">
        <v>14</v>
      </c>
      <c r="L130" s="408">
        <f t="shared" ref="L130" si="176">IF(K130="CUMPLE",5,0)</f>
        <v>5</v>
      </c>
      <c r="M130" s="402" t="s">
        <v>14</v>
      </c>
      <c r="N130" s="408">
        <f t="shared" ref="N130" si="177">IF(M130="CUMPLE",5,0)</f>
        <v>5</v>
      </c>
      <c r="O130" s="411">
        <f t="shared" ref="O130" si="178">+L130+N130</f>
        <v>10</v>
      </c>
      <c r="P130" s="192" t="s">
        <v>110</v>
      </c>
      <c r="Q130" s="411" t="str">
        <f t="shared" ref="Q130" si="179">IF(OR(P130="REPORTADO",P131="REPORTADO",P132="REPORTADO",P133="REPORTADO",P134="REPORTADO"),-1,"0")</f>
        <v>0</v>
      </c>
      <c r="R130" s="402" t="s">
        <v>14</v>
      </c>
      <c r="S130" s="197" t="s">
        <v>14</v>
      </c>
      <c r="T130" s="414">
        <f t="shared" si="157"/>
        <v>20</v>
      </c>
      <c r="U130" s="109" t="s">
        <v>14</v>
      </c>
      <c r="V130" s="109" t="s">
        <v>13</v>
      </c>
      <c r="W130" s="109" t="s">
        <v>13</v>
      </c>
      <c r="X130" s="109" t="s">
        <v>13</v>
      </c>
      <c r="Y130" s="164">
        <f t="shared" si="107"/>
        <v>0.25</v>
      </c>
      <c r="Z130" s="414">
        <f t="shared" si="158"/>
        <v>0.25</v>
      </c>
      <c r="AA130" s="109" t="s">
        <v>14</v>
      </c>
      <c r="AB130" s="109" t="s">
        <v>14</v>
      </c>
      <c r="AC130" s="164">
        <f t="shared" si="108"/>
        <v>0.25</v>
      </c>
      <c r="AD130" s="408">
        <f t="shared" si="159"/>
        <v>0.25</v>
      </c>
      <c r="AE130" s="402" t="s">
        <v>14</v>
      </c>
      <c r="AF130" s="408">
        <f t="shared" si="97"/>
        <v>1</v>
      </c>
      <c r="AG130" s="399"/>
    </row>
    <row r="131" spans="1:33" ht="45" customHeight="1" x14ac:dyDescent="0.25">
      <c r="A131" s="360"/>
      <c r="B131" s="351"/>
      <c r="C131" s="26" t="str">
        <f>IF(VLOOKUP(B130,PROPONENTES!$B$10:$N$46,4,FALSE)="","",VLOOKUP(B130,PROPONENTES!$B$10:$N$46,4,FALSE))</f>
        <v>LEP INGENIEROS S.A.S.</v>
      </c>
      <c r="D131" s="36">
        <f>VLOOKUP(B130,PROPONENTES!$B$10:$N$46,5,FALSE)</f>
        <v>0.49</v>
      </c>
      <c r="E131" s="112" t="s">
        <v>75</v>
      </c>
      <c r="F131" s="112" t="s">
        <v>73</v>
      </c>
      <c r="G131" s="123">
        <f>+'24'!E16</f>
        <v>484.36009999999999</v>
      </c>
      <c r="H131" s="124" t="str">
        <f>IF(C131="","",IF(G131&gt;'24'!$J$14*0.4,"SI","NO"))</f>
        <v>SI</v>
      </c>
      <c r="I131" s="26">
        <f t="shared" si="151"/>
        <v>0</v>
      </c>
      <c r="J131" s="351"/>
      <c r="K131" s="403"/>
      <c r="L131" s="409"/>
      <c r="M131" s="403"/>
      <c r="N131" s="409"/>
      <c r="O131" s="412"/>
      <c r="P131" s="193" t="s">
        <v>110</v>
      </c>
      <c r="Q131" s="412"/>
      <c r="R131" s="403"/>
      <c r="S131" s="114" t="s">
        <v>14</v>
      </c>
      <c r="T131" s="373"/>
      <c r="U131" s="114" t="s">
        <v>13</v>
      </c>
      <c r="V131" s="114" t="s">
        <v>13</v>
      </c>
      <c r="W131" s="114" t="s">
        <v>13</v>
      </c>
      <c r="X131" s="114" t="s">
        <v>13</v>
      </c>
      <c r="Y131" s="165">
        <f t="shared" si="107"/>
        <v>0</v>
      </c>
      <c r="Z131" s="373"/>
      <c r="AA131" s="114" t="s">
        <v>14</v>
      </c>
      <c r="AB131" s="114" t="s">
        <v>14</v>
      </c>
      <c r="AC131" s="165">
        <f t="shared" si="108"/>
        <v>0.25</v>
      </c>
      <c r="AD131" s="409"/>
      <c r="AE131" s="403"/>
      <c r="AF131" s="409"/>
      <c r="AG131" s="400"/>
    </row>
    <row r="132" spans="1:33" x14ac:dyDescent="0.25">
      <c r="A132" s="360"/>
      <c r="B132" s="351"/>
      <c r="C132" s="26" t="str">
        <f>IF(VLOOKUP(B130,PROPONENTES!$B$10:$N$46,6,FALSE)="","",VLOOKUP(B130,PROPONENTES!$B$10:$N$46,6,FALSE))</f>
        <v/>
      </c>
      <c r="D132" s="36">
        <f>VLOOKUP(B130,PROPONENTES!$B$10:$N$46,7,FALSE)</f>
        <v>0</v>
      </c>
      <c r="E132" s="112"/>
      <c r="F132" s="112"/>
      <c r="G132" s="123" t="str">
        <f>+'24'!E17</f>
        <v/>
      </c>
      <c r="H132" s="124" t="str">
        <f>IF(C132="","",IF(G132&gt;'24'!$J$14*0.4,"SI","NO"))</f>
        <v/>
      </c>
      <c r="I132" s="26">
        <f t="shared" si="151"/>
        <v>0</v>
      </c>
      <c r="J132" s="351"/>
      <c r="K132" s="403"/>
      <c r="L132" s="409"/>
      <c r="M132" s="403"/>
      <c r="N132" s="409"/>
      <c r="O132" s="412"/>
      <c r="P132" s="193"/>
      <c r="Q132" s="412"/>
      <c r="R132" s="403"/>
      <c r="S132" s="114"/>
      <c r="T132" s="373"/>
      <c r="U132" s="114"/>
      <c r="V132" s="114"/>
      <c r="W132" s="114"/>
      <c r="X132" s="114"/>
      <c r="Y132" s="165">
        <f t="shared" si="107"/>
        <v>0</v>
      </c>
      <c r="Z132" s="373"/>
      <c r="AA132" s="114"/>
      <c r="AB132" s="114"/>
      <c r="AC132" s="165">
        <f t="shared" si="108"/>
        <v>0</v>
      </c>
      <c r="AD132" s="409"/>
      <c r="AE132" s="403"/>
      <c r="AF132" s="409"/>
      <c r="AG132" s="400"/>
    </row>
    <row r="133" spans="1:33" x14ac:dyDescent="0.25">
      <c r="A133" s="360"/>
      <c r="B133" s="351"/>
      <c r="C133" s="26" t="str">
        <f>IF(VLOOKUP(B130,PROPONENTES!$B$10:$N$46,8,FALSE)="","",VLOOKUP(B130,PROPONENTES!$B$10:$N$46,8,FALSE))</f>
        <v/>
      </c>
      <c r="D133" s="36">
        <f>VLOOKUP(B130,PROPONENTES!$B$10:$N$46,9,FALSE)</f>
        <v>0</v>
      </c>
      <c r="E133" s="112"/>
      <c r="F133" s="112"/>
      <c r="G133" s="123" t="str">
        <f>+'24'!E18</f>
        <v/>
      </c>
      <c r="H133" s="124" t="str">
        <f>IF(C133="","",IF(G133&gt;'24'!$J$14*0.4,"SI","NO"))</f>
        <v/>
      </c>
      <c r="I133" s="124">
        <f t="shared" si="151"/>
        <v>0</v>
      </c>
      <c r="J133" s="351"/>
      <c r="K133" s="403"/>
      <c r="L133" s="409"/>
      <c r="M133" s="403"/>
      <c r="N133" s="409"/>
      <c r="O133" s="412"/>
      <c r="P133" s="193"/>
      <c r="Q133" s="412"/>
      <c r="R133" s="403"/>
      <c r="S133" s="114"/>
      <c r="T133" s="373"/>
      <c r="U133" s="114"/>
      <c r="V133" s="114"/>
      <c r="W133" s="114"/>
      <c r="X133" s="114"/>
      <c r="Y133" s="165">
        <f t="shared" si="107"/>
        <v>0</v>
      </c>
      <c r="Z133" s="373"/>
      <c r="AA133" s="114"/>
      <c r="AB133" s="114"/>
      <c r="AC133" s="165">
        <f t="shared" si="108"/>
        <v>0</v>
      </c>
      <c r="AD133" s="409"/>
      <c r="AE133" s="403"/>
      <c r="AF133" s="409"/>
      <c r="AG133" s="400"/>
    </row>
    <row r="134" spans="1:33" ht="15.75" thickBot="1" x14ac:dyDescent="0.3">
      <c r="A134" s="361"/>
      <c r="B134" s="363"/>
      <c r="C134" s="48" t="str">
        <f>IF(VLOOKUP(B130,PROPONENTES!$B$10:$N$46,10,FALSE)="","",VLOOKUP(B130,PROPONENTES!$B$10:$N$46,10,FALSE))</f>
        <v/>
      </c>
      <c r="D134" s="49">
        <f>VLOOKUP(B130,PROPONENTES!$B$10:$N$46,11,FALSE)</f>
        <v>0</v>
      </c>
      <c r="E134" s="116"/>
      <c r="F134" s="116"/>
      <c r="G134" s="125" t="str">
        <f>+'24'!E19</f>
        <v/>
      </c>
      <c r="H134" s="126" t="str">
        <f>IF(C134="","",IF(G134&gt;'24'!$J$14*0.4,"SI","NO"))</f>
        <v/>
      </c>
      <c r="I134" s="126">
        <f t="shared" si="151"/>
        <v>0</v>
      </c>
      <c r="J134" s="363"/>
      <c r="K134" s="404"/>
      <c r="L134" s="410"/>
      <c r="M134" s="404"/>
      <c r="N134" s="410"/>
      <c r="O134" s="413"/>
      <c r="P134" s="194"/>
      <c r="Q134" s="413"/>
      <c r="R134" s="404"/>
      <c r="S134" s="198"/>
      <c r="T134" s="374"/>
      <c r="U134" s="146"/>
      <c r="V134" s="146"/>
      <c r="W134" s="146"/>
      <c r="X134" s="146"/>
      <c r="Y134" s="166">
        <f t="shared" si="107"/>
        <v>0</v>
      </c>
      <c r="Z134" s="374"/>
      <c r="AA134" s="146"/>
      <c r="AB134" s="146"/>
      <c r="AC134" s="166">
        <f t="shared" si="108"/>
        <v>0</v>
      </c>
      <c r="AD134" s="410"/>
      <c r="AE134" s="404"/>
      <c r="AF134" s="410"/>
      <c r="AG134" s="401"/>
    </row>
    <row r="135" spans="1:33" ht="15" customHeight="1" x14ac:dyDescent="0.25">
      <c r="A135" s="359">
        <v>25</v>
      </c>
      <c r="B135" s="362" t="str">
        <f>+PROPONENTES!B34</f>
        <v>PRAN CONSTRUCCIONES S.A.S.</v>
      </c>
      <c r="C135" s="43" t="str">
        <f>IF(VLOOKUP(B135,PROPONENTES!$B$10:$N$46,2,FALSE)="","",VLOOKUP(B135,PROPONENTES!$B$10:$N$46,2,FALSE))</f>
        <v>PRAN CONSTRUCCIONES S.A.S.</v>
      </c>
      <c r="D135" s="44">
        <f>VLOOKUP(B135,PROPONENTES!$B$10:$N$46,3,FALSE)</f>
        <v>1</v>
      </c>
      <c r="E135" s="107" t="s">
        <v>75</v>
      </c>
      <c r="F135" s="107" t="s">
        <v>75</v>
      </c>
      <c r="G135" s="121">
        <f>+'25'!E15</f>
        <v>572.03</v>
      </c>
      <c r="H135" s="122" t="str">
        <f>IF(C135="","",IF(G135&gt;'25'!$J$14*0.4,"SI","NO"))</f>
        <v>SI</v>
      </c>
      <c r="I135" s="43">
        <f t="shared" si="151"/>
        <v>1</v>
      </c>
      <c r="J135" s="362">
        <f t="shared" ref="J135" si="180">IF((I135+I136+I137+I138+I139)&gt;=1,1,0)</f>
        <v>1</v>
      </c>
      <c r="K135" s="402" t="s">
        <v>14</v>
      </c>
      <c r="L135" s="408">
        <f t="shared" ref="L135" si="181">IF(K135="CUMPLE",5,0)</f>
        <v>5</v>
      </c>
      <c r="M135" s="402" t="s">
        <v>14</v>
      </c>
      <c r="N135" s="408">
        <f t="shared" ref="N135" si="182">IF(M135="CUMPLE",5,0)</f>
        <v>5</v>
      </c>
      <c r="O135" s="411">
        <f t="shared" ref="O135" si="183">+L135+N135</f>
        <v>10</v>
      </c>
      <c r="P135" s="192" t="s">
        <v>110</v>
      </c>
      <c r="Q135" s="411" t="str">
        <f t="shared" ref="Q135" si="184">IF(OR(P135="REPORTADO",P136="REPORTADO",P137="REPORTADO",P138="REPORTADO",P139="REPORTADO"),-1,"0")</f>
        <v>0</v>
      </c>
      <c r="R135" s="402" t="s">
        <v>14</v>
      </c>
      <c r="S135" s="197" t="s">
        <v>14</v>
      </c>
      <c r="T135" s="414">
        <f t="shared" si="157"/>
        <v>20</v>
      </c>
      <c r="U135" s="109" t="s">
        <v>14</v>
      </c>
      <c r="V135" s="109" t="s">
        <v>13</v>
      </c>
      <c r="W135" s="109" t="s">
        <v>13</v>
      </c>
      <c r="X135" s="109" t="s">
        <v>13</v>
      </c>
      <c r="Y135" s="164">
        <f t="shared" si="107"/>
        <v>0.25</v>
      </c>
      <c r="Z135" s="414">
        <f t="shared" si="158"/>
        <v>0.25</v>
      </c>
      <c r="AA135" s="109" t="s">
        <v>14</v>
      </c>
      <c r="AB135" s="109" t="s">
        <v>14</v>
      </c>
      <c r="AC135" s="164">
        <f t="shared" si="108"/>
        <v>0.25</v>
      </c>
      <c r="AD135" s="408">
        <f t="shared" si="159"/>
        <v>0.25</v>
      </c>
      <c r="AE135" s="402"/>
      <c r="AF135" s="408">
        <f t="shared" ref="AF135" si="185">IF(AE135="CUMPLE",1,0)</f>
        <v>0</v>
      </c>
      <c r="AG135" s="399"/>
    </row>
    <row r="136" spans="1:33" x14ac:dyDescent="0.25">
      <c r="A136" s="360"/>
      <c r="B136" s="351"/>
      <c r="C136" s="26" t="str">
        <f>IF(VLOOKUP(B135,PROPONENTES!$B$10:$N$46,4,FALSE)="","",VLOOKUP(B135,PROPONENTES!$B$10:$N$46,4,FALSE))</f>
        <v/>
      </c>
      <c r="D136" s="36">
        <f>VLOOKUP(B135,PROPONENTES!$B$10:$N$46,5,FALSE)</f>
        <v>0</v>
      </c>
      <c r="E136" s="112"/>
      <c r="F136" s="112"/>
      <c r="G136" s="123" t="str">
        <f>+'25'!E16</f>
        <v/>
      </c>
      <c r="H136" s="124" t="str">
        <f>IF(C136="","",IF(G136&gt;'25'!$J$14*0.4,"SI","NO"))</f>
        <v/>
      </c>
      <c r="I136" s="26">
        <f t="shared" si="151"/>
        <v>0</v>
      </c>
      <c r="J136" s="351"/>
      <c r="K136" s="403"/>
      <c r="L136" s="409"/>
      <c r="M136" s="403"/>
      <c r="N136" s="409"/>
      <c r="O136" s="412"/>
      <c r="P136" s="193"/>
      <c r="Q136" s="412"/>
      <c r="R136" s="403"/>
      <c r="S136" s="114"/>
      <c r="T136" s="373"/>
      <c r="U136" s="114"/>
      <c r="V136" s="114"/>
      <c r="W136" s="114"/>
      <c r="X136" s="114"/>
      <c r="Y136" s="165">
        <f t="shared" si="107"/>
        <v>0</v>
      </c>
      <c r="Z136" s="373"/>
      <c r="AA136" s="114"/>
      <c r="AB136" s="114"/>
      <c r="AC136" s="165">
        <f t="shared" si="108"/>
        <v>0</v>
      </c>
      <c r="AD136" s="409"/>
      <c r="AE136" s="403"/>
      <c r="AF136" s="409"/>
      <c r="AG136" s="400"/>
    </row>
    <row r="137" spans="1:33" x14ac:dyDescent="0.25">
      <c r="A137" s="360"/>
      <c r="B137" s="351"/>
      <c r="C137" s="26" t="str">
        <f>IF(VLOOKUP(B135,PROPONENTES!$B$10:$N$46,6,FALSE)="","",VLOOKUP(B135,PROPONENTES!$B$10:$N$46,6,FALSE))</f>
        <v/>
      </c>
      <c r="D137" s="36">
        <f>VLOOKUP(B135,PROPONENTES!$B$10:$N$46,7,FALSE)</f>
        <v>0</v>
      </c>
      <c r="E137" s="112"/>
      <c r="F137" s="112"/>
      <c r="G137" s="123" t="str">
        <f>+'25'!E17</f>
        <v/>
      </c>
      <c r="H137" s="124" t="str">
        <f>IF(C137="","",IF(G137&gt;'25'!$J$14*0.4,"SI","NO"))</f>
        <v/>
      </c>
      <c r="I137" s="26">
        <f t="shared" si="151"/>
        <v>0</v>
      </c>
      <c r="J137" s="351"/>
      <c r="K137" s="403"/>
      <c r="L137" s="409"/>
      <c r="M137" s="403"/>
      <c r="N137" s="409"/>
      <c r="O137" s="412"/>
      <c r="P137" s="193"/>
      <c r="Q137" s="412"/>
      <c r="R137" s="403"/>
      <c r="S137" s="114"/>
      <c r="T137" s="373"/>
      <c r="U137" s="114"/>
      <c r="V137" s="114"/>
      <c r="W137" s="114"/>
      <c r="X137" s="114"/>
      <c r="Y137" s="165">
        <f t="shared" si="107"/>
        <v>0</v>
      </c>
      <c r="Z137" s="373"/>
      <c r="AA137" s="114"/>
      <c r="AB137" s="114"/>
      <c r="AC137" s="165">
        <f t="shared" si="108"/>
        <v>0</v>
      </c>
      <c r="AD137" s="409"/>
      <c r="AE137" s="403"/>
      <c r="AF137" s="409"/>
      <c r="AG137" s="400"/>
    </row>
    <row r="138" spans="1:33" x14ac:dyDescent="0.25">
      <c r="A138" s="360"/>
      <c r="B138" s="351"/>
      <c r="C138" s="26" t="str">
        <f>IF(VLOOKUP(B135,PROPONENTES!$B$10:$N$46,8,FALSE)="","",VLOOKUP(B135,PROPONENTES!$B$10:$N$46,8,FALSE))</f>
        <v/>
      </c>
      <c r="D138" s="36">
        <f>VLOOKUP(B135,PROPONENTES!$B$10:$N$46,9,FALSE)</f>
        <v>0</v>
      </c>
      <c r="E138" s="112"/>
      <c r="F138" s="112"/>
      <c r="G138" s="123" t="str">
        <f>+'25'!E18</f>
        <v/>
      </c>
      <c r="H138" s="124" t="str">
        <f>IF(C138="","",IF(G138&gt;'25'!$J$14*0.4,"SI","NO"))</f>
        <v/>
      </c>
      <c r="I138" s="124">
        <f t="shared" si="151"/>
        <v>0</v>
      </c>
      <c r="J138" s="351"/>
      <c r="K138" s="403"/>
      <c r="L138" s="409"/>
      <c r="M138" s="403"/>
      <c r="N138" s="409"/>
      <c r="O138" s="412"/>
      <c r="P138" s="193"/>
      <c r="Q138" s="412"/>
      <c r="R138" s="403"/>
      <c r="S138" s="114"/>
      <c r="T138" s="373"/>
      <c r="U138" s="114"/>
      <c r="V138" s="114"/>
      <c r="W138" s="114"/>
      <c r="X138" s="114"/>
      <c r="Y138" s="165">
        <f t="shared" si="107"/>
        <v>0</v>
      </c>
      <c r="Z138" s="373"/>
      <c r="AA138" s="114"/>
      <c r="AB138" s="114"/>
      <c r="AC138" s="165">
        <f t="shared" si="108"/>
        <v>0</v>
      </c>
      <c r="AD138" s="409"/>
      <c r="AE138" s="403"/>
      <c r="AF138" s="409"/>
      <c r="AG138" s="400"/>
    </row>
    <row r="139" spans="1:33" ht="15.75" thickBot="1" x14ac:dyDescent="0.3">
      <c r="A139" s="361"/>
      <c r="B139" s="363"/>
      <c r="C139" s="48" t="str">
        <f>IF(VLOOKUP(B135,PROPONENTES!$B$10:$N$46,10,FALSE)="","",VLOOKUP(B135,PROPONENTES!$B$10:$N$46,10,FALSE))</f>
        <v/>
      </c>
      <c r="D139" s="49">
        <f>VLOOKUP(B135,PROPONENTES!$B$10:$N$46,11,FALSE)</f>
        <v>0</v>
      </c>
      <c r="E139" s="116"/>
      <c r="F139" s="116"/>
      <c r="G139" s="125" t="str">
        <f>+'25'!E19</f>
        <v/>
      </c>
      <c r="H139" s="126" t="str">
        <f>IF(C139="","",IF(G139&gt;'25'!$J$14*0.4,"SI","NO"))</f>
        <v/>
      </c>
      <c r="I139" s="126">
        <f t="shared" si="151"/>
        <v>0</v>
      </c>
      <c r="J139" s="363"/>
      <c r="K139" s="404"/>
      <c r="L139" s="410"/>
      <c r="M139" s="404"/>
      <c r="N139" s="410"/>
      <c r="O139" s="413"/>
      <c r="P139" s="194"/>
      <c r="Q139" s="413"/>
      <c r="R139" s="404"/>
      <c r="S139" s="198"/>
      <c r="T139" s="374"/>
      <c r="U139" s="146"/>
      <c r="V139" s="146"/>
      <c r="W139" s="146"/>
      <c r="X139" s="146"/>
      <c r="Y139" s="166">
        <f t="shared" si="107"/>
        <v>0</v>
      </c>
      <c r="Z139" s="374"/>
      <c r="AA139" s="146"/>
      <c r="AB139" s="146"/>
      <c r="AC139" s="166">
        <f t="shared" si="108"/>
        <v>0</v>
      </c>
      <c r="AD139" s="410"/>
      <c r="AE139" s="404"/>
      <c r="AF139" s="410"/>
      <c r="AG139" s="401"/>
    </row>
    <row r="140" spans="1:33" ht="30" customHeight="1" x14ac:dyDescent="0.25">
      <c r="A140" s="359">
        <v>26</v>
      </c>
      <c r="B140" s="362" t="str">
        <f>+PROPONENTES!B35</f>
        <v>CONSORCIO PROYECTOS 2024</v>
      </c>
      <c r="C140" s="43" t="str">
        <f>IF(VLOOKUP(B140,PROPONENTES!$B$10:$N$46,2,FALSE)="","",VLOOKUP(B140,PROPONENTES!$B$10:$N$46,2,FALSE))</f>
        <v>FUNDACION CAMINO VERDE ONG SOCIAL CULTURAL Y AMBIENTAL CON SIGLA FUNDCAVE</v>
      </c>
      <c r="D140" s="44">
        <f>VLOOKUP(B140,PROPONENTES!$B$10:$N$46,3,FALSE)</f>
        <v>0.1</v>
      </c>
      <c r="E140" s="107" t="s">
        <v>73</v>
      </c>
      <c r="F140" s="107" t="s">
        <v>73</v>
      </c>
      <c r="G140" s="121">
        <f>+'26'!E15</f>
        <v>0</v>
      </c>
      <c r="H140" s="122" t="str">
        <f>IF(C140="","",IF(G140&gt;'26'!$J$14*0.4,"SI","NO"))</f>
        <v>NO</v>
      </c>
      <c r="I140" s="43">
        <f t="shared" si="151"/>
        <v>0</v>
      </c>
      <c r="J140" s="362">
        <f t="shared" ref="J140" si="186">IF((I140+I141+I142+I143+I144)&gt;=1,1,0)</f>
        <v>1</v>
      </c>
      <c r="K140" s="402" t="s">
        <v>14</v>
      </c>
      <c r="L140" s="408">
        <f t="shared" ref="L140" si="187">IF(K140="CUMPLE",5,0)</f>
        <v>5</v>
      </c>
      <c r="M140" s="402" t="s">
        <v>14</v>
      </c>
      <c r="N140" s="408">
        <f t="shared" ref="N140" si="188">IF(M140="CUMPLE",5,0)</f>
        <v>5</v>
      </c>
      <c r="O140" s="411">
        <f t="shared" ref="O140" si="189">+L140+N140</f>
        <v>10</v>
      </c>
      <c r="P140" s="192" t="s">
        <v>110</v>
      </c>
      <c r="Q140" s="411" t="str">
        <f t="shared" ref="Q140" si="190">IF(OR(P140="REPORTADO",P141="REPORTADO",P142="REPORTADO",P143="REPORTADO",P144="REPORTADO"),-1,"0")</f>
        <v>0</v>
      </c>
      <c r="R140" s="402" t="s">
        <v>14</v>
      </c>
      <c r="S140" s="197" t="s">
        <v>14</v>
      </c>
      <c r="T140" s="414">
        <f t="shared" si="157"/>
        <v>20</v>
      </c>
      <c r="U140" s="109"/>
      <c r="V140" s="109"/>
      <c r="W140" s="109"/>
      <c r="X140" s="109"/>
      <c r="Y140" s="164">
        <f t="shared" si="107"/>
        <v>0</v>
      </c>
      <c r="Z140" s="414">
        <f t="shared" si="158"/>
        <v>0.25</v>
      </c>
      <c r="AA140" s="109" t="s">
        <v>13</v>
      </c>
      <c r="AB140" s="109" t="s">
        <v>13</v>
      </c>
      <c r="AC140" s="164">
        <f t="shared" si="108"/>
        <v>0</v>
      </c>
      <c r="AD140" s="408">
        <f t="shared" si="159"/>
        <v>0.25</v>
      </c>
      <c r="AE140" s="402" t="s">
        <v>14</v>
      </c>
      <c r="AF140" s="408">
        <f t="shared" ref="AF140:AF170" si="191">IF(AE140="CUMPLE",1,0)</f>
        <v>1</v>
      </c>
      <c r="AG140" s="399"/>
    </row>
    <row r="141" spans="1:33" ht="45" customHeight="1" x14ac:dyDescent="0.25">
      <c r="A141" s="360"/>
      <c r="B141" s="351"/>
      <c r="C141" s="26" t="str">
        <f>IF(VLOOKUP(B140,PROPONENTES!$B$10:$N$46,4,FALSE)="","",VLOOKUP(B140,PROPONENTES!$B$10:$N$46,4,FALSE))</f>
        <v>AC2R INGENIERIA Y PROYECTOS S.A.S</v>
      </c>
      <c r="D141" s="36">
        <f>VLOOKUP(B140,PROPONENTES!$B$10:$N$46,5,FALSE)</f>
        <v>0.9</v>
      </c>
      <c r="E141" s="112" t="s">
        <v>75</v>
      </c>
      <c r="F141" s="112" t="s">
        <v>75</v>
      </c>
      <c r="G141" s="123">
        <f>+'26'!E16</f>
        <v>841.50430000000006</v>
      </c>
      <c r="H141" s="124" t="str">
        <f>IF(C141="","",IF(G141&gt;'26'!$J$14*0.4,"SI","NO"))</f>
        <v>SI</v>
      </c>
      <c r="I141" s="26">
        <f t="shared" si="151"/>
        <v>1</v>
      </c>
      <c r="J141" s="351"/>
      <c r="K141" s="403"/>
      <c r="L141" s="409"/>
      <c r="M141" s="403"/>
      <c r="N141" s="409"/>
      <c r="O141" s="412"/>
      <c r="P141" s="193" t="s">
        <v>110</v>
      </c>
      <c r="Q141" s="412"/>
      <c r="R141" s="403"/>
      <c r="S141" s="114" t="s">
        <v>14</v>
      </c>
      <c r="T141" s="373"/>
      <c r="U141" s="114" t="s">
        <v>14</v>
      </c>
      <c r="V141" s="114" t="s">
        <v>14</v>
      </c>
      <c r="W141" s="114" t="s">
        <v>14</v>
      </c>
      <c r="X141" s="114" t="s">
        <v>14</v>
      </c>
      <c r="Y141" s="165">
        <f t="shared" si="107"/>
        <v>0.25</v>
      </c>
      <c r="Z141" s="373"/>
      <c r="AA141" s="114" t="s">
        <v>14</v>
      </c>
      <c r="AB141" s="114" t="s">
        <v>14</v>
      </c>
      <c r="AC141" s="165">
        <f t="shared" si="108"/>
        <v>0.25</v>
      </c>
      <c r="AD141" s="409"/>
      <c r="AE141" s="403"/>
      <c r="AF141" s="409"/>
      <c r="AG141" s="400"/>
    </row>
    <row r="142" spans="1:33" x14ac:dyDescent="0.25">
      <c r="A142" s="360"/>
      <c r="B142" s="351"/>
      <c r="C142" s="26" t="str">
        <f>IF(VLOOKUP(B140,PROPONENTES!$B$10:$N$46,6,FALSE)="","",VLOOKUP(B140,PROPONENTES!$B$10:$N$46,6,FALSE))</f>
        <v/>
      </c>
      <c r="D142" s="36">
        <f>VLOOKUP(B140,PROPONENTES!$B$10:$N$46,7,FALSE)</f>
        <v>0</v>
      </c>
      <c r="E142" s="112"/>
      <c r="F142" s="112"/>
      <c r="G142" s="123" t="str">
        <f>+'26'!E17</f>
        <v/>
      </c>
      <c r="H142" s="124" t="str">
        <f>IF(C142="","",IF(G142&gt;'26'!$J$14*0.4,"SI","NO"))</f>
        <v/>
      </c>
      <c r="I142" s="26">
        <f t="shared" si="151"/>
        <v>0</v>
      </c>
      <c r="J142" s="351"/>
      <c r="K142" s="403"/>
      <c r="L142" s="409"/>
      <c r="M142" s="403"/>
      <c r="N142" s="409"/>
      <c r="O142" s="412"/>
      <c r="P142" s="193"/>
      <c r="Q142" s="412"/>
      <c r="R142" s="403"/>
      <c r="S142" s="114"/>
      <c r="T142" s="373"/>
      <c r="U142" s="114"/>
      <c r="V142" s="114"/>
      <c r="W142" s="114"/>
      <c r="X142" s="114"/>
      <c r="Y142" s="165">
        <f t="shared" si="107"/>
        <v>0</v>
      </c>
      <c r="Z142" s="373"/>
      <c r="AA142" s="114"/>
      <c r="AB142" s="114"/>
      <c r="AC142" s="165">
        <f t="shared" si="108"/>
        <v>0</v>
      </c>
      <c r="AD142" s="409"/>
      <c r="AE142" s="403"/>
      <c r="AF142" s="409"/>
      <c r="AG142" s="400"/>
    </row>
    <row r="143" spans="1:33" x14ac:dyDescent="0.25">
      <c r="A143" s="360"/>
      <c r="B143" s="351"/>
      <c r="C143" s="26" t="str">
        <f>IF(VLOOKUP(B140,PROPONENTES!$B$10:$N$46,8,FALSE)="","",VLOOKUP(B140,PROPONENTES!$B$10:$N$46,8,FALSE))</f>
        <v/>
      </c>
      <c r="D143" s="36">
        <f>VLOOKUP(B140,PROPONENTES!$B$10:$N$46,9,FALSE)</f>
        <v>0</v>
      </c>
      <c r="E143" s="112"/>
      <c r="F143" s="112"/>
      <c r="G143" s="123" t="str">
        <f>+'26'!E18</f>
        <v/>
      </c>
      <c r="H143" s="124" t="str">
        <f>IF(C143="","",IF(G143&gt;'26'!$J$14*0.4,"SI","NO"))</f>
        <v/>
      </c>
      <c r="I143" s="124">
        <f t="shared" si="151"/>
        <v>0</v>
      </c>
      <c r="J143" s="351"/>
      <c r="K143" s="403"/>
      <c r="L143" s="409"/>
      <c r="M143" s="403"/>
      <c r="N143" s="409"/>
      <c r="O143" s="412"/>
      <c r="P143" s="193"/>
      <c r="Q143" s="412"/>
      <c r="R143" s="403"/>
      <c r="S143" s="114"/>
      <c r="T143" s="373"/>
      <c r="U143" s="114"/>
      <c r="V143" s="114"/>
      <c r="W143" s="114"/>
      <c r="X143" s="114"/>
      <c r="Y143" s="165">
        <f t="shared" ref="Y143:Y199" si="192">IF(C143="",0,IF(AND(OR(V143="CUMPLE",V143="N/A"),OR(W143="CUMPLE",W143="N/A"),OR(X143="CUMPLE",X143="N/A"),AND(U143="CUMPLE",D143&gt;=10%)),0.25,))</f>
        <v>0</v>
      </c>
      <c r="Z143" s="373"/>
      <c r="AA143" s="114"/>
      <c r="AB143" s="114"/>
      <c r="AC143" s="165">
        <f t="shared" ref="AC143:AC199" si="193">IF(C143="",0,IF(AND(AA143="CUMPLE",AB143="CUMPLE",D143&gt;=10%),0.25,0))</f>
        <v>0</v>
      </c>
      <c r="AD143" s="409"/>
      <c r="AE143" s="403"/>
      <c r="AF143" s="409"/>
      <c r="AG143" s="400"/>
    </row>
    <row r="144" spans="1:33" ht="15.75" thickBot="1" x14ac:dyDescent="0.3">
      <c r="A144" s="361"/>
      <c r="B144" s="363"/>
      <c r="C144" s="48" t="str">
        <f>IF(VLOOKUP(B140,PROPONENTES!$B$10:$N$46,10,FALSE)="","",VLOOKUP(B140,PROPONENTES!$B$10:$N$46,10,FALSE))</f>
        <v/>
      </c>
      <c r="D144" s="49">
        <f>VLOOKUP(B140,PROPONENTES!$B$10:$N$46,11,FALSE)</f>
        <v>0</v>
      </c>
      <c r="E144" s="116"/>
      <c r="F144" s="116"/>
      <c r="G144" s="125" t="str">
        <f>+'26'!E19</f>
        <v/>
      </c>
      <c r="H144" s="126" t="str">
        <f>IF(C144="","",IF(G144&gt;'26'!$J$14*0.4,"SI","NO"))</f>
        <v/>
      </c>
      <c r="I144" s="126">
        <f t="shared" si="151"/>
        <v>0</v>
      </c>
      <c r="J144" s="363"/>
      <c r="K144" s="404"/>
      <c r="L144" s="410"/>
      <c r="M144" s="404"/>
      <c r="N144" s="410"/>
      <c r="O144" s="413"/>
      <c r="P144" s="194"/>
      <c r="Q144" s="413"/>
      <c r="R144" s="404"/>
      <c r="S144" s="198"/>
      <c r="T144" s="374"/>
      <c r="U144" s="146"/>
      <c r="V144" s="146"/>
      <c r="W144" s="146"/>
      <c r="X144" s="146"/>
      <c r="Y144" s="166">
        <f t="shared" si="192"/>
        <v>0</v>
      </c>
      <c r="Z144" s="374"/>
      <c r="AA144" s="146"/>
      <c r="AB144" s="146"/>
      <c r="AC144" s="166">
        <f t="shared" si="193"/>
        <v>0</v>
      </c>
      <c r="AD144" s="410"/>
      <c r="AE144" s="404"/>
      <c r="AF144" s="410"/>
      <c r="AG144" s="401"/>
    </row>
    <row r="145" spans="1:33" x14ac:dyDescent="0.25">
      <c r="A145" s="359">
        <v>27</v>
      </c>
      <c r="B145" s="362" t="str">
        <f>+PROPONENTES!B36</f>
        <v>CONSORCIO KENNEDY JINT 3</v>
      </c>
      <c r="C145" s="43" t="str">
        <f>IF(VLOOKUP(B145,PROPONENTES!$B$10:$N$46,2,FALSE)="","",VLOOKUP(B145,PROPONENTES!$B$10:$N$46,2,FALSE))</f>
        <v>JPS INGENIERIA S.A.S.</v>
      </c>
      <c r="D145" s="44">
        <f>VLOOKUP(B145,PROPONENTES!$B$10:$N$46,3,FALSE)</f>
        <v>0.9</v>
      </c>
      <c r="E145" s="107" t="s">
        <v>75</v>
      </c>
      <c r="F145" s="107" t="s">
        <v>75</v>
      </c>
      <c r="G145" s="121">
        <f>+'27'!E15</f>
        <v>853.05</v>
      </c>
      <c r="H145" s="122" t="str">
        <f>IF(C145="","",IF(G145&gt;'27'!$J$14*0.4,"SI","NO"))</f>
        <v>SI</v>
      </c>
      <c r="I145" s="43">
        <f t="shared" si="151"/>
        <v>1</v>
      </c>
      <c r="J145" s="362">
        <f t="shared" ref="J145" si="194">IF((I145+I146+I147+I148+I149)&gt;=1,1,0)</f>
        <v>1</v>
      </c>
      <c r="K145" s="402" t="s">
        <v>14</v>
      </c>
      <c r="L145" s="408">
        <f t="shared" ref="L145" si="195">IF(K145="CUMPLE",5,0)</f>
        <v>5</v>
      </c>
      <c r="M145" s="402" t="s">
        <v>14</v>
      </c>
      <c r="N145" s="408">
        <f t="shared" ref="N145" si="196">IF(M145="CUMPLE",5,0)</f>
        <v>5</v>
      </c>
      <c r="O145" s="411">
        <f t="shared" ref="O145" si="197">+L145+N145</f>
        <v>10</v>
      </c>
      <c r="P145" s="192" t="s">
        <v>110</v>
      </c>
      <c r="Q145" s="411" t="str">
        <f t="shared" ref="Q145" si="198">IF(OR(P145="REPORTADO",P146="REPORTADO",P147="REPORTADO",P148="REPORTADO",P149="REPORTADO"),-1,"0")</f>
        <v>0</v>
      </c>
      <c r="R145" s="402" t="s">
        <v>14</v>
      </c>
      <c r="S145" s="197" t="s">
        <v>14</v>
      </c>
      <c r="T145" s="414">
        <f t="shared" si="157"/>
        <v>20</v>
      </c>
      <c r="U145" s="109" t="s">
        <v>14</v>
      </c>
      <c r="V145" s="109" t="s">
        <v>13</v>
      </c>
      <c r="W145" s="109" t="s">
        <v>13</v>
      </c>
      <c r="X145" s="109" t="s">
        <v>13</v>
      </c>
      <c r="Y145" s="164">
        <f t="shared" si="192"/>
        <v>0.25</v>
      </c>
      <c r="Z145" s="414">
        <f t="shared" si="158"/>
        <v>0.25</v>
      </c>
      <c r="AA145" s="109" t="s">
        <v>14</v>
      </c>
      <c r="AB145" s="109" t="s">
        <v>14</v>
      </c>
      <c r="AC145" s="164">
        <f t="shared" si="193"/>
        <v>0.25</v>
      </c>
      <c r="AD145" s="408">
        <f t="shared" si="159"/>
        <v>0.25</v>
      </c>
      <c r="AE145" s="402" t="s">
        <v>14</v>
      </c>
      <c r="AF145" s="408">
        <f t="shared" ref="AF145:AF175" si="199">IF(AE145="CUMPLE",1,0)</f>
        <v>1</v>
      </c>
      <c r="AG145" s="399"/>
    </row>
    <row r="146" spans="1:33" x14ac:dyDescent="0.25">
      <c r="A146" s="360"/>
      <c r="B146" s="351"/>
      <c r="C146" s="26" t="str">
        <f>IF(VLOOKUP(B145,PROPONENTES!$B$10:$N$46,4,FALSE)="","",VLOOKUP(B145,PROPONENTES!$B$10:$N$46,4,FALSE))</f>
        <v>INTING S.A.S.</v>
      </c>
      <c r="D146" s="36">
        <f>VLOOKUP(B145,PROPONENTES!$B$10:$N$46,5,FALSE)</f>
        <v>0.1</v>
      </c>
      <c r="E146" s="112"/>
      <c r="F146" s="112"/>
      <c r="G146" s="123">
        <f>+'27'!E16</f>
        <v>0</v>
      </c>
      <c r="H146" s="124" t="str">
        <f>IF(C146="","",IF(G146&gt;'27'!$J$14*0.4,"SI","NO"))</f>
        <v>NO</v>
      </c>
      <c r="I146" s="26">
        <f t="shared" si="151"/>
        <v>0</v>
      </c>
      <c r="J146" s="351"/>
      <c r="K146" s="403"/>
      <c r="L146" s="409"/>
      <c r="M146" s="403"/>
      <c r="N146" s="409"/>
      <c r="O146" s="412"/>
      <c r="P146" s="193" t="s">
        <v>110</v>
      </c>
      <c r="Q146" s="412"/>
      <c r="R146" s="403"/>
      <c r="S146" s="114" t="s">
        <v>14</v>
      </c>
      <c r="T146" s="373"/>
      <c r="U146" s="114"/>
      <c r="V146" s="114"/>
      <c r="W146" s="114"/>
      <c r="X146" s="114"/>
      <c r="Y146" s="165">
        <f t="shared" si="192"/>
        <v>0</v>
      </c>
      <c r="Z146" s="373"/>
      <c r="AA146" s="114" t="s">
        <v>14</v>
      </c>
      <c r="AB146" s="114" t="s">
        <v>14</v>
      </c>
      <c r="AC146" s="165">
        <f t="shared" si="193"/>
        <v>0.25</v>
      </c>
      <c r="AD146" s="409"/>
      <c r="AE146" s="403"/>
      <c r="AF146" s="409"/>
      <c r="AG146" s="400"/>
    </row>
    <row r="147" spans="1:33" x14ac:dyDescent="0.25">
      <c r="A147" s="360"/>
      <c r="B147" s="351"/>
      <c r="C147" s="26" t="str">
        <f>IF(VLOOKUP(B145,PROPONENTES!$B$10:$N$46,6,FALSE)="","",VLOOKUP(B145,PROPONENTES!$B$10:$N$46,6,FALSE))</f>
        <v/>
      </c>
      <c r="D147" s="36">
        <f>VLOOKUP(B145,PROPONENTES!$B$10:$N$46,7,FALSE)</f>
        <v>0</v>
      </c>
      <c r="E147" s="112"/>
      <c r="F147" s="112"/>
      <c r="G147" s="123" t="str">
        <f>+'27'!E17</f>
        <v/>
      </c>
      <c r="H147" s="124" t="str">
        <f>IF(C147="","",IF(G147&gt;'27'!$J$14*0.4,"SI","NO"))</f>
        <v/>
      </c>
      <c r="I147" s="26">
        <f t="shared" si="151"/>
        <v>0</v>
      </c>
      <c r="J147" s="351"/>
      <c r="K147" s="403"/>
      <c r="L147" s="409"/>
      <c r="M147" s="403"/>
      <c r="N147" s="409"/>
      <c r="O147" s="412"/>
      <c r="P147" s="193"/>
      <c r="Q147" s="412"/>
      <c r="R147" s="403"/>
      <c r="S147" s="114"/>
      <c r="T147" s="373"/>
      <c r="U147" s="114"/>
      <c r="V147" s="114"/>
      <c r="W147" s="114"/>
      <c r="X147" s="114"/>
      <c r="Y147" s="165">
        <f t="shared" si="192"/>
        <v>0</v>
      </c>
      <c r="Z147" s="373"/>
      <c r="AA147" s="114"/>
      <c r="AB147" s="114"/>
      <c r="AC147" s="165">
        <f t="shared" si="193"/>
        <v>0</v>
      </c>
      <c r="AD147" s="409"/>
      <c r="AE147" s="403"/>
      <c r="AF147" s="409"/>
      <c r="AG147" s="400"/>
    </row>
    <row r="148" spans="1:33" x14ac:dyDescent="0.25">
      <c r="A148" s="360"/>
      <c r="B148" s="351"/>
      <c r="C148" s="26" t="str">
        <f>IF(VLOOKUP(B145,PROPONENTES!$B$10:$N$46,8,FALSE)="","",VLOOKUP(B145,PROPONENTES!$B$10:$N$46,8,FALSE))</f>
        <v/>
      </c>
      <c r="D148" s="36">
        <f>VLOOKUP(B145,PROPONENTES!$B$10:$N$46,9,FALSE)</f>
        <v>0</v>
      </c>
      <c r="E148" s="112"/>
      <c r="F148" s="112"/>
      <c r="G148" s="123" t="str">
        <f>+'27'!E18</f>
        <v/>
      </c>
      <c r="H148" s="124" t="str">
        <f>IF(C148="","",IF(G148&gt;'27'!$J$14*0.4,"SI","NO"))</f>
        <v/>
      </c>
      <c r="I148" s="124">
        <f t="shared" si="151"/>
        <v>0</v>
      </c>
      <c r="J148" s="351"/>
      <c r="K148" s="403"/>
      <c r="L148" s="409"/>
      <c r="M148" s="403"/>
      <c r="N148" s="409"/>
      <c r="O148" s="412"/>
      <c r="P148" s="193"/>
      <c r="Q148" s="412"/>
      <c r="R148" s="403"/>
      <c r="S148" s="114"/>
      <c r="T148" s="373"/>
      <c r="U148" s="114"/>
      <c r="V148" s="114"/>
      <c r="W148" s="114"/>
      <c r="X148" s="114"/>
      <c r="Y148" s="165">
        <f t="shared" si="192"/>
        <v>0</v>
      </c>
      <c r="Z148" s="373"/>
      <c r="AA148" s="114"/>
      <c r="AB148" s="114"/>
      <c r="AC148" s="165">
        <f t="shared" si="193"/>
        <v>0</v>
      </c>
      <c r="AD148" s="409"/>
      <c r="AE148" s="403"/>
      <c r="AF148" s="409"/>
      <c r="AG148" s="400"/>
    </row>
    <row r="149" spans="1:33" ht="15.75" thickBot="1" x14ac:dyDescent="0.3">
      <c r="A149" s="361"/>
      <c r="B149" s="363"/>
      <c r="C149" s="48" t="str">
        <f>IF(VLOOKUP(B145,PROPONENTES!$B$10:$N$46,10,FALSE)="","",VLOOKUP(B145,PROPONENTES!$B$10:$N$46,10,FALSE))</f>
        <v/>
      </c>
      <c r="D149" s="49">
        <f>VLOOKUP(B145,PROPONENTES!$B$10:$N$46,11,FALSE)</f>
        <v>0</v>
      </c>
      <c r="E149" s="116"/>
      <c r="F149" s="116"/>
      <c r="G149" s="125" t="str">
        <f>+'27'!E19</f>
        <v/>
      </c>
      <c r="H149" s="126" t="str">
        <f>IF(C149="","",IF(G149&gt;'27'!$J$14*0.4,"SI","NO"))</f>
        <v/>
      </c>
      <c r="I149" s="126">
        <f t="shared" si="151"/>
        <v>0</v>
      </c>
      <c r="J149" s="363"/>
      <c r="K149" s="404"/>
      <c r="L149" s="410"/>
      <c r="M149" s="404"/>
      <c r="N149" s="410"/>
      <c r="O149" s="413"/>
      <c r="P149" s="194"/>
      <c r="Q149" s="413"/>
      <c r="R149" s="404"/>
      <c r="S149" s="198"/>
      <c r="T149" s="374"/>
      <c r="U149" s="146"/>
      <c r="V149" s="146"/>
      <c r="W149" s="146"/>
      <c r="X149" s="146"/>
      <c r="Y149" s="166">
        <f t="shared" si="192"/>
        <v>0</v>
      </c>
      <c r="Z149" s="374"/>
      <c r="AA149" s="146"/>
      <c r="AB149" s="146"/>
      <c r="AC149" s="166">
        <f t="shared" si="193"/>
        <v>0</v>
      </c>
      <c r="AD149" s="410"/>
      <c r="AE149" s="404"/>
      <c r="AF149" s="410"/>
      <c r="AG149" s="401"/>
    </row>
    <row r="150" spans="1:33" x14ac:dyDescent="0.25">
      <c r="A150" s="359">
        <v>28</v>
      </c>
      <c r="B150" s="362" t="str">
        <f>+PROPONENTES!B37</f>
        <v>CABA INTERVENTORÍA SAS</v>
      </c>
      <c r="C150" s="43" t="str">
        <f>IF(VLOOKUP(B150,PROPONENTES!$B$10:$N$46,2,FALSE)="","",VLOOKUP(B150,PROPONENTES!$B$10:$N$46,2,FALSE))</f>
        <v>CABA INTERVENTORÍA SAS</v>
      </c>
      <c r="D150" s="44">
        <f>VLOOKUP(B150,PROPONENTES!$B$10:$N$46,3,FALSE)</f>
        <v>1</v>
      </c>
      <c r="E150" s="107" t="s">
        <v>75</v>
      </c>
      <c r="F150" s="107" t="s">
        <v>75</v>
      </c>
      <c r="G150" s="121">
        <f>+'28'!E15</f>
        <v>3163.27</v>
      </c>
      <c r="H150" s="122" t="str">
        <f>IF(C150="","",IF(G150&gt;'28'!$J$14*0.4,"SI","NO"))</f>
        <v>SI</v>
      </c>
      <c r="I150" s="43">
        <f t="shared" ref="I150:I154" si="200">IF(C150="",0,IF(AND(E150="SI",H150="SI",F150="SI"),1,0))</f>
        <v>1</v>
      </c>
      <c r="J150" s="362">
        <f t="shared" ref="J150" si="201">IF((I150+I151+I152+I153+I154)&gt;=1,1,0)</f>
        <v>1</v>
      </c>
      <c r="K150" s="402" t="s">
        <v>14</v>
      </c>
      <c r="L150" s="408">
        <f t="shared" ref="L150" si="202">IF(K150="CUMPLE",5,0)</f>
        <v>5</v>
      </c>
      <c r="M150" s="402" t="s">
        <v>14</v>
      </c>
      <c r="N150" s="408">
        <f t="shared" ref="N150" si="203">IF(M150="CUMPLE",5,0)</f>
        <v>5</v>
      </c>
      <c r="O150" s="411">
        <f t="shared" ref="O150" si="204">+L150+N150</f>
        <v>10</v>
      </c>
      <c r="P150" s="192" t="s">
        <v>110</v>
      </c>
      <c r="Q150" s="411" t="str">
        <f t="shared" ref="Q150" si="205">IF(OR(P150="REPORTADO",P151="REPORTADO",P152="REPORTADO",P153="REPORTADO",P154="REPORTADO"),-1,"0")</f>
        <v>0</v>
      </c>
      <c r="R150" s="402" t="s">
        <v>14</v>
      </c>
      <c r="S150" s="197" t="s">
        <v>14</v>
      </c>
      <c r="T150" s="414">
        <f t="shared" ref="T150" si="206">IF(AND(R150="",S150="",S151="",S152="",S153="",S154=""),"",IF(AND(R150="CUMPLE",S150="",S151="",S152="",S153="",S154=""),"",IF(AND(R150="CUMPLE",OR(S150="CUMPLE",S150=""),OR(S151="CUMPLE",S151=""),OR(S152="CUMPLE",S152=""),OR(S153="CUMPLE",S153=""),OR(S154="CUMPLE",S154="")),20,0)))</f>
        <v>20</v>
      </c>
      <c r="U150" s="109" t="s">
        <v>14</v>
      </c>
      <c r="V150" s="109" t="s">
        <v>14</v>
      </c>
      <c r="W150" s="109" t="s">
        <v>14</v>
      </c>
      <c r="X150" s="109" t="s">
        <v>14</v>
      </c>
      <c r="Y150" s="164">
        <f t="shared" ref="Y150:Y154" si="207">IF(C150="",0,IF(AND(OR(V150="CUMPLE",V150="N/A"),OR(W150="CUMPLE",W150="N/A"),OR(X150="CUMPLE",X150="N/A"),AND(U150="CUMPLE",D150&gt;=10%)),0.25,))</f>
        <v>0.25</v>
      </c>
      <c r="Z150" s="414">
        <f t="shared" ref="Z150" si="208">IF((Y150+Y151+Y152+Y153+Y154)&gt;=0.25,0.25,0)</f>
        <v>0.25</v>
      </c>
      <c r="AA150" s="109" t="s">
        <v>14</v>
      </c>
      <c r="AB150" s="109" t="s">
        <v>14</v>
      </c>
      <c r="AC150" s="164">
        <f t="shared" ref="AC150:AC154" si="209">IF(C150="",0,IF(AND(AA150="CUMPLE",AB150="CUMPLE",D150&gt;=10%),0.25,0))</f>
        <v>0.25</v>
      </c>
      <c r="AD150" s="408">
        <f t="shared" ref="AD150" si="210">IF((AC150+AC151+AC152+AC153+AC154)&gt;=0.25,0.25,0)</f>
        <v>0.25</v>
      </c>
      <c r="AE150" s="402" t="s">
        <v>14</v>
      </c>
      <c r="AF150" s="408">
        <f t="shared" ref="AF150:AF180" si="211">IF(AE150="CUMPLE",1,0)</f>
        <v>1</v>
      </c>
      <c r="AG150" s="399"/>
    </row>
    <row r="151" spans="1:33" x14ac:dyDescent="0.25">
      <c r="A151" s="360"/>
      <c r="B151" s="351"/>
      <c r="C151" s="26" t="str">
        <f>IF(VLOOKUP(B150,PROPONENTES!$B$10:$N$46,4,FALSE)="","",VLOOKUP(B150,PROPONENTES!$B$10:$N$46,4,FALSE))</f>
        <v/>
      </c>
      <c r="D151" s="36">
        <f>VLOOKUP(B150,PROPONENTES!$B$10:$N$46,5,FALSE)</f>
        <v>0</v>
      </c>
      <c r="E151" s="112"/>
      <c r="F151" s="112"/>
      <c r="G151" s="123" t="str">
        <f>+'28'!E16</f>
        <v/>
      </c>
      <c r="H151" s="124" t="str">
        <f>IF(C151="","",IF(G151&gt;'28'!$J$14*0.4,"SI","NO"))</f>
        <v/>
      </c>
      <c r="I151" s="26">
        <f t="shared" si="200"/>
        <v>0</v>
      </c>
      <c r="J151" s="351"/>
      <c r="K151" s="403"/>
      <c r="L151" s="409"/>
      <c r="M151" s="403"/>
      <c r="N151" s="409"/>
      <c r="O151" s="412"/>
      <c r="P151" s="193"/>
      <c r="Q151" s="412"/>
      <c r="R151" s="403"/>
      <c r="S151" s="114"/>
      <c r="T151" s="373"/>
      <c r="U151" s="114"/>
      <c r="V151" s="114"/>
      <c r="W151" s="114"/>
      <c r="X151" s="114"/>
      <c r="Y151" s="165">
        <f t="shared" si="207"/>
        <v>0</v>
      </c>
      <c r="Z151" s="373"/>
      <c r="AA151" s="114"/>
      <c r="AB151" s="114"/>
      <c r="AC151" s="165">
        <f t="shared" si="209"/>
        <v>0</v>
      </c>
      <c r="AD151" s="409"/>
      <c r="AE151" s="403"/>
      <c r="AF151" s="409"/>
      <c r="AG151" s="400"/>
    </row>
    <row r="152" spans="1:33" x14ac:dyDescent="0.25">
      <c r="A152" s="360"/>
      <c r="B152" s="351"/>
      <c r="C152" s="26" t="str">
        <f>IF(VLOOKUP(B150,PROPONENTES!$B$10:$N$46,6,FALSE)="","",VLOOKUP(B150,PROPONENTES!$B$10:$N$46,6,FALSE))</f>
        <v/>
      </c>
      <c r="D152" s="36">
        <f>VLOOKUP(B150,PROPONENTES!$B$10:$N$46,7,FALSE)</f>
        <v>0</v>
      </c>
      <c r="E152" s="112"/>
      <c r="F152" s="112"/>
      <c r="G152" s="123" t="str">
        <f>+'28'!E17</f>
        <v/>
      </c>
      <c r="H152" s="124" t="str">
        <f>IF(C152="","",IF(G152&gt;'28'!$J$14*0.4,"SI","NO"))</f>
        <v/>
      </c>
      <c r="I152" s="26">
        <f t="shared" si="200"/>
        <v>0</v>
      </c>
      <c r="J152" s="351"/>
      <c r="K152" s="403"/>
      <c r="L152" s="409"/>
      <c r="M152" s="403"/>
      <c r="N152" s="409"/>
      <c r="O152" s="412"/>
      <c r="P152" s="193"/>
      <c r="Q152" s="412"/>
      <c r="R152" s="403"/>
      <c r="S152" s="114"/>
      <c r="T152" s="373"/>
      <c r="U152" s="114"/>
      <c r="V152" s="114"/>
      <c r="W152" s="114"/>
      <c r="X152" s="114"/>
      <c r="Y152" s="165">
        <f t="shared" si="207"/>
        <v>0</v>
      </c>
      <c r="Z152" s="373"/>
      <c r="AA152" s="114"/>
      <c r="AB152" s="114"/>
      <c r="AC152" s="165">
        <f t="shared" si="209"/>
        <v>0</v>
      </c>
      <c r="AD152" s="409"/>
      <c r="AE152" s="403"/>
      <c r="AF152" s="409"/>
      <c r="AG152" s="400"/>
    </row>
    <row r="153" spans="1:33" x14ac:dyDescent="0.25">
      <c r="A153" s="360"/>
      <c r="B153" s="351"/>
      <c r="C153" s="26" t="str">
        <f>IF(VLOOKUP(B150,PROPONENTES!$B$10:$N$46,8,FALSE)="","",VLOOKUP(B150,PROPONENTES!$B$10:$N$46,8,FALSE))</f>
        <v/>
      </c>
      <c r="D153" s="36">
        <f>VLOOKUP(B150,PROPONENTES!$B$10:$N$46,9,FALSE)</f>
        <v>0</v>
      </c>
      <c r="E153" s="112"/>
      <c r="F153" s="112"/>
      <c r="G153" s="123" t="str">
        <f>+'28'!E18</f>
        <v/>
      </c>
      <c r="H153" s="124" t="str">
        <f>IF(C153="","",IF(G153&gt;'28'!$J$14*0.4,"SI","NO"))</f>
        <v/>
      </c>
      <c r="I153" s="124">
        <f t="shared" si="200"/>
        <v>0</v>
      </c>
      <c r="J153" s="351"/>
      <c r="K153" s="403"/>
      <c r="L153" s="409"/>
      <c r="M153" s="403"/>
      <c r="N153" s="409"/>
      <c r="O153" s="412"/>
      <c r="P153" s="193"/>
      <c r="Q153" s="412"/>
      <c r="R153" s="403"/>
      <c r="S153" s="114"/>
      <c r="T153" s="373"/>
      <c r="U153" s="114"/>
      <c r="V153" s="114"/>
      <c r="W153" s="114"/>
      <c r="X153" s="114"/>
      <c r="Y153" s="165">
        <f t="shared" si="207"/>
        <v>0</v>
      </c>
      <c r="Z153" s="373"/>
      <c r="AA153" s="114"/>
      <c r="AB153" s="114"/>
      <c r="AC153" s="165">
        <f t="shared" si="209"/>
        <v>0</v>
      </c>
      <c r="AD153" s="409"/>
      <c r="AE153" s="403"/>
      <c r="AF153" s="409"/>
      <c r="AG153" s="400"/>
    </row>
    <row r="154" spans="1:33" ht="15.75" thickBot="1" x14ac:dyDescent="0.3">
      <c r="A154" s="361"/>
      <c r="B154" s="363"/>
      <c r="C154" s="48" t="str">
        <f>IF(VLOOKUP(B150,PROPONENTES!$B$10:$N$46,10,FALSE)="","",VLOOKUP(B150,PROPONENTES!$B$10:$N$46,10,FALSE))</f>
        <v/>
      </c>
      <c r="D154" s="49">
        <f>VLOOKUP(B150,PROPONENTES!$B$10:$N$46,11,FALSE)</f>
        <v>0</v>
      </c>
      <c r="E154" s="116"/>
      <c r="F154" s="116"/>
      <c r="G154" s="125" t="str">
        <f>+'28'!E19</f>
        <v/>
      </c>
      <c r="H154" s="126" t="str">
        <f>IF(C154="","",IF(G154&gt;'28'!$J$14*0.4,"SI","NO"))</f>
        <v/>
      </c>
      <c r="I154" s="126">
        <f t="shared" si="200"/>
        <v>0</v>
      </c>
      <c r="J154" s="363"/>
      <c r="K154" s="404"/>
      <c r="L154" s="410"/>
      <c r="M154" s="404"/>
      <c r="N154" s="410"/>
      <c r="O154" s="413"/>
      <c r="P154" s="194"/>
      <c r="Q154" s="413"/>
      <c r="R154" s="404"/>
      <c r="S154" s="198"/>
      <c r="T154" s="374"/>
      <c r="U154" s="146"/>
      <c r="V154" s="146"/>
      <c r="W154" s="146"/>
      <c r="X154" s="146"/>
      <c r="Y154" s="166">
        <f t="shared" si="207"/>
        <v>0</v>
      </c>
      <c r="Z154" s="374"/>
      <c r="AA154" s="146"/>
      <c r="AB154" s="146"/>
      <c r="AC154" s="166">
        <f t="shared" si="209"/>
        <v>0</v>
      </c>
      <c r="AD154" s="410"/>
      <c r="AE154" s="404"/>
      <c r="AF154" s="410"/>
      <c r="AG154" s="401"/>
    </row>
    <row r="155" spans="1:33" x14ac:dyDescent="0.25">
      <c r="A155" s="359">
        <v>29</v>
      </c>
      <c r="B155" s="362" t="str">
        <f>+PROPONENTES!B38</f>
        <v>MIRS LATINOAMERICA S.A.S</v>
      </c>
      <c r="C155" s="43" t="str">
        <f>IF(VLOOKUP(B155,PROPONENTES!$B$10:$N$46,2,FALSE)="","",VLOOKUP(B155,PROPONENTES!$B$10:$N$46,2,FALSE))</f>
        <v>MIRS LATINOAMERICA S.A.S</v>
      </c>
      <c r="D155" s="44">
        <f>VLOOKUP(B155,PROPONENTES!$B$10:$N$46,3,FALSE)</f>
        <v>1</v>
      </c>
      <c r="E155" s="107" t="s">
        <v>75</v>
      </c>
      <c r="F155" s="107" t="s">
        <v>75</v>
      </c>
      <c r="G155" s="121">
        <f>+'29'!E15</f>
        <v>1988.5050000000001</v>
      </c>
      <c r="H155" s="122" t="str">
        <f>IF(C155="","",IF(G155&gt;'29'!$J$14*0.4,"SI","NO"))</f>
        <v>SI</v>
      </c>
      <c r="I155" s="43">
        <f t="shared" ref="I155:I194" si="212">IF(C155="",0,IF(AND(E155="SI",H155="SI",F155="SI"),1,0))</f>
        <v>1</v>
      </c>
      <c r="J155" s="362">
        <f t="shared" ref="J155" si="213">IF((I155+I156+I157+I158+I159)&gt;=1,1,0)</f>
        <v>1</v>
      </c>
      <c r="K155" s="402" t="s">
        <v>14</v>
      </c>
      <c r="L155" s="408">
        <f t="shared" ref="L155" si="214">IF(K155="CUMPLE",5,0)</f>
        <v>5</v>
      </c>
      <c r="M155" s="402" t="s">
        <v>14</v>
      </c>
      <c r="N155" s="408">
        <f t="shared" ref="N155" si="215">IF(M155="CUMPLE",5,0)</f>
        <v>5</v>
      </c>
      <c r="O155" s="411">
        <f t="shared" ref="O155" si="216">+L155+N155</f>
        <v>10</v>
      </c>
      <c r="P155" s="192" t="s">
        <v>110</v>
      </c>
      <c r="Q155" s="411" t="str">
        <f t="shared" ref="Q155" si="217">IF(OR(P155="REPORTADO",P156="REPORTADO",P157="REPORTADO",P158="REPORTADO",P159="REPORTADO"),-1,"0")</f>
        <v>0</v>
      </c>
      <c r="R155" s="402" t="s">
        <v>14</v>
      </c>
      <c r="S155" s="197" t="s">
        <v>14</v>
      </c>
      <c r="T155" s="414">
        <f t="shared" ref="T155" si="218">IF(AND(R155="",S155="",S156="",S157="",S158="",S159=""),"",IF(AND(R155="CUMPLE",S155="",S156="",S157="",S158="",S159=""),"",IF(AND(R155="CUMPLE",OR(S155="CUMPLE",S155=""),OR(S156="CUMPLE",S156=""),OR(S157="CUMPLE",S157=""),OR(S158="CUMPLE",S158=""),OR(S159="CUMPLE",S159="")),20,0)))</f>
        <v>20</v>
      </c>
      <c r="U155" s="109" t="s">
        <v>14</v>
      </c>
      <c r="V155" s="109" t="s">
        <v>14</v>
      </c>
      <c r="W155" s="109" t="s">
        <v>13</v>
      </c>
      <c r="X155" s="109" t="s">
        <v>13</v>
      </c>
      <c r="Y155" s="164">
        <f t="shared" ref="Y155:Y194" si="219">IF(C155="",0,IF(AND(OR(V155="CUMPLE",V155="N/A"),OR(W155="CUMPLE",W155="N/A"),OR(X155="CUMPLE",X155="N/A"),AND(U155="CUMPLE",D155&gt;=10%)),0.25,))</f>
        <v>0.25</v>
      </c>
      <c r="Z155" s="414">
        <f t="shared" ref="Z155" si="220">IF((Y155+Y156+Y157+Y158+Y159)&gt;=0.25,0.25,0)</f>
        <v>0.25</v>
      </c>
      <c r="AA155" s="109" t="s">
        <v>14</v>
      </c>
      <c r="AB155" s="109" t="s">
        <v>14</v>
      </c>
      <c r="AC155" s="164">
        <f t="shared" ref="AC155:AC194" si="221">IF(C155="",0,IF(AND(AA155="CUMPLE",AB155="CUMPLE",D155&gt;=10%),0.25,0))</f>
        <v>0.25</v>
      </c>
      <c r="AD155" s="408">
        <f t="shared" ref="AD155" si="222">IF((AC155+AC156+AC157+AC158+AC159)&gt;=0.25,0.25,0)</f>
        <v>0.25</v>
      </c>
      <c r="AE155" s="402" t="s">
        <v>14</v>
      </c>
      <c r="AF155" s="408">
        <f t="shared" ref="AF155:AF185" si="223">IF(AE155="CUMPLE",1,0)</f>
        <v>1</v>
      </c>
      <c r="AG155" s="399"/>
    </row>
    <row r="156" spans="1:33" x14ac:dyDescent="0.25">
      <c r="A156" s="360"/>
      <c r="B156" s="351"/>
      <c r="C156" s="26" t="str">
        <f>IF(VLOOKUP(B155,PROPONENTES!$B$10:$N$46,4,FALSE)="","",VLOOKUP(B155,PROPONENTES!$B$10:$N$46,4,FALSE))</f>
        <v/>
      </c>
      <c r="D156" s="36">
        <f>VLOOKUP(B155,PROPONENTES!$B$10:$N$46,5,FALSE)</f>
        <v>0</v>
      </c>
      <c r="E156" s="112"/>
      <c r="F156" s="112"/>
      <c r="G156" s="123" t="str">
        <f>+'29'!E16</f>
        <v/>
      </c>
      <c r="H156" s="124" t="str">
        <f>IF(C156="","",IF(G156&gt;'29'!$J$14*0.4,"SI","NO"))</f>
        <v/>
      </c>
      <c r="I156" s="26">
        <f t="shared" si="212"/>
        <v>0</v>
      </c>
      <c r="J156" s="351"/>
      <c r="K156" s="403"/>
      <c r="L156" s="409"/>
      <c r="M156" s="403"/>
      <c r="N156" s="409"/>
      <c r="O156" s="412"/>
      <c r="P156" s="193"/>
      <c r="Q156" s="412"/>
      <c r="R156" s="403"/>
      <c r="S156" s="114"/>
      <c r="T156" s="373"/>
      <c r="U156" s="114"/>
      <c r="V156" s="114"/>
      <c r="W156" s="114"/>
      <c r="X156" s="114"/>
      <c r="Y156" s="165">
        <f t="shared" si="219"/>
        <v>0</v>
      </c>
      <c r="Z156" s="373"/>
      <c r="AA156" s="114"/>
      <c r="AB156" s="114"/>
      <c r="AC156" s="165">
        <f t="shared" si="221"/>
        <v>0</v>
      </c>
      <c r="AD156" s="409"/>
      <c r="AE156" s="403"/>
      <c r="AF156" s="409"/>
      <c r="AG156" s="400"/>
    </row>
    <row r="157" spans="1:33" x14ac:dyDescent="0.25">
      <c r="A157" s="360"/>
      <c r="B157" s="351"/>
      <c r="C157" s="26" t="str">
        <f>IF(VLOOKUP(B155,PROPONENTES!$B$10:$N$46,6,FALSE)="","",VLOOKUP(B155,PROPONENTES!$B$10:$N$46,6,FALSE))</f>
        <v/>
      </c>
      <c r="D157" s="36">
        <f>VLOOKUP(B155,PROPONENTES!$B$10:$N$46,7,FALSE)</f>
        <v>0</v>
      </c>
      <c r="E157" s="112"/>
      <c r="F157" s="112"/>
      <c r="G157" s="123" t="str">
        <f>+'29'!E17</f>
        <v/>
      </c>
      <c r="H157" s="124" t="str">
        <f>IF(C157="","",IF(G157&gt;'29'!$J$14*0.4,"SI","NO"))</f>
        <v/>
      </c>
      <c r="I157" s="26">
        <f t="shared" si="212"/>
        <v>0</v>
      </c>
      <c r="J157" s="351"/>
      <c r="K157" s="403"/>
      <c r="L157" s="409"/>
      <c r="M157" s="403"/>
      <c r="N157" s="409"/>
      <c r="O157" s="412"/>
      <c r="P157" s="193"/>
      <c r="Q157" s="412"/>
      <c r="R157" s="403"/>
      <c r="S157" s="114"/>
      <c r="T157" s="373"/>
      <c r="U157" s="114"/>
      <c r="V157" s="114"/>
      <c r="W157" s="114"/>
      <c r="X157" s="114"/>
      <c r="Y157" s="165">
        <f t="shared" si="219"/>
        <v>0</v>
      </c>
      <c r="Z157" s="373"/>
      <c r="AA157" s="114"/>
      <c r="AB157" s="114"/>
      <c r="AC157" s="165">
        <f t="shared" si="221"/>
        <v>0</v>
      </c>
      <c r="AD157" s="409"/>
      <c r="AE157" s="403"/>
      <c r="AF157" s="409"/>
      <c r="AG157" s="400"/>
    </row>
    <row r="158" spans="1:33" x14ac:dyDescent="0.25">
      <c r="A158" s="360"/>
      <c r="B158" s="351"/>
      <c r="C158" s="26" t="str">
        <f>IF(VLOOKUP(B155,PROPONENTES!$B$10:$N$46,8,FALSE)="","",VLOOKUP(B155,PROPONENTES!$B$10:$N$46,8,FALSE))</f>
        <v/>
      </c>
      <c r="D158" s="36">
        <f>VLOOKUP(B155,PROPONENTES!$B$10:$N$46,9,FALSE)</f>
        <v>0</v>
      </c>
      <c r="E158" s="112"/>
      <c r="F158" s="112"/>
      <c r="G158" s="123" t="str">
        <f>+'29'!E18</f>
        <v/>
      </c>
      <c r="H158" s="124" t="str">
        <f>IF(C158="","",IF(G158&gt;'29'!$J$14*0.4,"SI","NO"))</f>
        <v/>
      </c>
      <c r="I158" s="124">
        <f t="shared" si="212"/>
        <v>0</v>
      </c>
      <c r="J158" s="351"/>
      <c r="K158" s="403"/>
      <c r="L158" s="409"/>
      <c r="M158" s="403"/>
      <c r="N158" s="409"/>
      <c r="O158" s="412"/>
      <c r="P158" s="193"/>
      <c r="Q158" s="412"/>
      <c r="R158" s="403"/>
      <c r="S158" s="114"/>
      <c r="T158" s="373"/>
      <c r="U158" s="114"/>
      <c r="V158" s="114"/>
      <c r="W158" s="114"/>
      <c r="X158" s="114"/>
      <c r="Y158" s="165">
        <f t="shared" si="219"/>
        <v>0</v>
      </c>
      <c r="Z158" s="373"/>
      <c r="AA158" s="114"/>
      <c r="AB158" s="114"/>
      <c r="AC158" s="165">
        <f t="shared" si="221"/>
        <v>0</v>
      </c>
      <c r="AD158" s="409"/>
      <c r="AE158" s="403"/>
      <c r="AF158" s="409"/>
      <c r="AG158" s="400"/>
    </row>
    <row r="159" spans="1:33" ht="15.75" thickBot="1" x14ac:dyDescent="0.3">
      <c r="A159" s="361"/>
      <c r="B159" s="363"/>
      <c r="C159" s="48" t="str">
        <f>IF(VLOOKUP(B155,PROPONENTES!$B$10:$N$46,10,FALSE)="","",VLOOKUP(B155,PROPONENTES!$B$10:$N$46,10,FALSE))</f>
        <v/>
      </c>
      <c r="D159" s="49">
        <f>VLOOKUP(B155,PROPONENTES!$B$10:$N$46,11,FALSE)</f>
        <v>0</v>
      </c>
      <c r="E159" s="116"/>
      <c r="F159" s="116"/>
      <c r="G159" s="125" t="str">
        <f>+'29'!E19</f>
        <v/>
      </c>
      <c r="H159" s="126" t="str">
        <f>IF(C159="","",IF(G159&gt;'29'!$J$14*0.4,"SI","NO"))</f>
        <v/>
      </c>
      <c r="I159" s="126">
        <f t="shared" si="212"/>
        <v>0</v>
      </c>
      <c r="J159" s="363"/>
      <c r="K159" s="404"/>
      <c r="L159" s="410"/>
      <c r="M159" s="404"/>
      <c r="N159" s="410"/>
      <c r="O159" s="413"/>
      <c r="P159" s="194"/>
      <c r="Q159" s="413"/>
      <c r="R159" s="404"/>
      <c r="S159" s="198"/>
      <c r="T159" s="374"/>
      <c r="U159" s="146"/>
      <c r="V159" s="146"/>
      <c r="W159" s="146"/>
      <c r="X159" s="146"/>
      <c r="Y159" s="166">
        <f t="shared" si="219"/>
        <v>0</v>
      </c>
      <c r="Z159" s="374"/>
      <c r="AA159" s="146"/>
      <c r="AB159" s="146"/>
      <c r="AC159" s="166">
        <f t="shared" si="221"/>
        <v>0</v>
      </c>
      <c r="AD159" s="410"/>
      <c r="AE159" s="404"/>
      <c r="AF159" s="410"/>
      <c r="AG159" s="401"/>
    </row>
    <row r="160" spans="1:33" ht="30" x14ac:dyDescent="0.25">
      <c r="A160" s="359">
        <v>30</v>
      </c>
      <c r="B160" s="362" t="str">
        <f>+PROPONENTES!B39</f>
        <v>CONSORCIO MULTIPARK KENNEDY</v>
      </c>
      <c r="C160" s="43" t="str">
        <f>IF(VLOOKUP(B160,PROPONENTES!$B$10:$N$46,2,FALSE)="","",VLOOKUP(B160,PROPONENTES!$B$10:$N$46,2,FALSE))</f>
        <v>GRUPO CONSULTOR KAPITAL S.A.S.</v>
      </c>
      <c r="D160" s="44">
        <f>VLOOKUP(B160,PROPONENTES!$B$10:$N$46,3,FALSE)</f>
        <v>0.45</v>
      </c>
      <c r="E160" s="107" t="s">
        <v>75</v>
      </c>
      <c r="F160" s="107" t="s">
        <v>75</v>
      </c>
      <c r="G160" s="121">
        <f>+'30'!E15</f>
        <v>887.69740000000002</v>
      </c>
      <c r="H160" s="122" t="str">
        <f>IF(C160="","",IF(G160&gt;'30'!$J$14*0.4,"SI","NO"))</f>
        <v>SI</v>
      </c>
      <c r="I160" s="43">
        <f t="shared" si="212"/>
        <v>1</v>
      </c>
      <c r="J160" s="362">
        <f t="shared" ref="J160" si="224">IF((I160+I161+I162+I163+I164)&gt;=1,1,0)</f>
        <v>1</v>
      </c>
      <c r="K160" s="402" t="s">
        <v>14</v>
      </c>
      <c r="L160" s="408">
        <f t="shared" ref="L160" si="225">IF(K160="CUMPLE",5,0)</f>
        <v>5</v>
      </c>
      <c r="M160" s="402" t="s">
        <v>14</v>
      </c>
      <c r="N160" s="408">
        <f t="shared" ref="N160" si="226">IF(M160="CUMPLE",5,0)</f>
        <v>5</v>
      </c>
      <c r="O160" s="411">
        <f t="shared" ref="O160" si="227">+L160+N160</f>
        <v>10</v>
      </c>
      <c r="P160" s="192" t="s">
        <v>110</v>
      </c>
      <c r="Q160" s="411" t="str">
        <f t="shared" ref="Q160" si="228">IF(OR(P160="REPORTADO",P161="REPORTADO",P162="REPORTADO",P163="REPORTADO",P164="REPORTADO"),-1,"0")</f>
        <v>0</v>
      </c>
      <c r="R160" s="402" t="s">
        <v>14</v>
      </c>
      <c r="S160" s="197" t="s">
        <v>14</v>
      </c>
      <c r="T160" s="414">
        <f t="shared" ref="T160" si="229">IF(AND(R160="",S160="",S161="",S162="",S163="",S164=""),"",IF(AND(R160="CUMPLE",S160="",S161="",S162="",S163="",S164=""),"",IF(AND(R160="CUMPLE",OR(S160="CUMPLE",S160=""),OR(S161="CUMPLE",S161=""),OR(S162="CUMPLE",S162=""),OR(S163="CUMPLE",S163=""),OR(S164="CUMPLE",S164="")),20,0)))</f>
        <v>20</v>
      </c>
      <c r="U160" s="109" t="s">
        <v>14</v>
      </c>
      <c r="V160" s="109" t="s">
        <v>14</v>
      </c>
      <c r="W160" s="109" t="s">
        <v>13</v>
      </c>
      <c r="X160" s="109" t="s">
        <v>13</v>
      </c>
      <c r="Y160" s="164">
        <f t="shared" si="219"/>
        <v>0.25</v>
      </c>
      <c r="Z160" s="414">
        <f t="shared" ref="Z160" si="230">IF((Y160+Y161+Y162+Y163+Y164)&gt;=0.25,0.25,0)</f>
        <v>0.25</v>
      </c>
      <c r="AA160" s="109" t="s">
        <v>14</v>
      </c>
      <c r="AB160" s="109" t="s">
        <v>14</v>
      </c>
      <c r="AC160" s="164">
        <f t="shared" si="221"/>
        <v>0.25</v>
      </c>
      <c r="AD160" s="408">
        <f t="shared" ref="AD160" si="231">IF((AC160+AC161+AC162+AC163+AC164)&gt;=0.25,0.25,0)</f>
        <v>0.25</v>
      </c>
      <c r="AE160" s="402" t="s">
        <v>14</v>
      </c>
      <c r="AF160" s="408">
        <f t="shared" ref="AF160:AF190" si="232">IF(AE160="CUMPLE",1,0)</f>
        <v>1</v>
      </c>
      <c r="AG160" s="399"/>
    </row>
    <row r="161" spans="1:33" x14ac:dyDescent="0.25">
      <c r="A161" s="360"/>
      <c r="B161" s="351"/>
      <c r="C161" s="26" t="str">
        <f>IF(VLOOKUP(B160,PROPONENTES!$B$10:$N$46,4,FALSE)="","",VLOOKUP(B160,PROPONENTES!$B$10:$N$46,4,FALSE))</f>
        <v xml:space="preserve">PROCIVING S.A.S. </v>
      </c>
      <c r="D161" s="36">
        <f>VLOOKUP(B160,PROPONENTES!$B$10:$N$46,5,FALSE)</f>
        <v>0.45</v>
      </c>
      <c r="E161" s="112"/>
      <c r="F161" s="112"/>
      <c r="G161" s="123">
        <f>+'30'!E16</f>
        <v>145.87</v>
      </c>
      <c r="H161" s="124" t="str">
        <f>IF(C161="","",IF(G161&gt;'30'!$J$14*0.4,"SI","NO"))</f>
        <v>NO</v>
      </c>
      <c r="I161" s="26">
        <f t="shared" si="212"/>
        <v>0</v>
      </c>
      <c r="J161" s="351"/>
      <c r="K161" s="403"/>
      <c r="L161" s="409"/>
      <c r="M161" s="403"/>
      <c r="N161" s="409"/>
      <c r="O161" s="412"/>
      <c r="P161" s="193" t="s">
        <v>110</v>
      </c>
      <c r="Q161" s="412"/>
      <c r="R161" s="403"/>
      <c r="S161" s="114" t="s">
        <v>14</v>
      </c>
      <c r="T161" s="373"/>
      <c r="U161" s="114"/>
      <c r="V161" s="114"/>
      <c r="W161" s="114"/>
      <c r="X161" s="114"/>
      <c r="Y161" s="165">
        <f t="shared" si="219"/>
        <v>0</v>
      </c>
      <c r="Z161" s="373"/>
      <c r="AA161" s="114" t="s">
        <v>14</v>
      </c>
      <c r="AB161" s="114" t="s">
        <v>14</v>
      </c>
      <c r="AC161" s="165">
        <f t="shared" si="221"/>
        <v>0.25</v>
      </c>
      <c r="AD161" s="409"/>
      <c r="AE161" s="403"/>
      <c r="AF161" s="409"/>
      <c r="AG161" s="400"/>
    </row>
    <row r="162" spans="1:33" ht="15" customHeight="1" x14ac:dyDescent="0.25">
      <c r="A162" s="360"/>
      <c r="B162" s="351"/>
      <c r="C162" s="26" t="str">
        <f>IF(VLOOKUP(B160,PROPONENTES!$B$10:$N$46,6,FALSE)="","",VLOOKUP(B160,PROPONENTES!$B$10:$N$46,6,FALSE))</f>
        <v xml:space="preserve">INCOSS INGENIERIA CONSULTORIA SERVICIOS Y SUMINISTROS S.A.S. </v>
      </c>
      <c r="D162" s="36">
        <f>VLOOKUP(B160,PROPONENTES!$B$10:$N$46,7,FALSE)</f>
        <v>0.1</v>
      </c>
      <c r="E162" s="112"/>
      <c r="F162" s="112"/>
      <c r="G162" s="123">
        <f>+'30'!E17</f>
        <v>0</v>
      </c>
      <c r="H162" s="124" t="str">
        <f>IF(C162="","",IF(G162&gt;'30'!$J$14*0.4,"SI","NO"))</f>
        <v>NO</v>
      </c>
      <c r="I162" s="26">
        <f t="shared" si="212"/>
        <v>0</v>
      </c>
      <c r="J162" s="351"/>
      <c r="K162" s="403"/>
      <c r="L162" s="409"/>
      <c r="M162" s="403"/>
      <c r="N162" s="409"/>
      <c r="O162" s="412"/>
      <c r="P162" s="193" t="s">
        <v>110</v>
      </c>
      <c r="Q162" s="412"/>
      <c r="R162" s="403"/>
      <c r="S162" s="114" t="s">
        <v>14</v>
      </c>
      <c r="T162" s="373"/>
      <c r="U162" s="114"/>
      <c r="V162" s="114"/>
      <c r="W162" s="114"/>
      <c r="X162" s="114"/>
      <c r="Y162" s="165">
        <f t="shared" si="219"/>
        <v>0</v>
      </c>
      <c r="Z162" s="373"/>
      <c r="AA162" s="114" t="s">
        <v>14</v>
      </c>
      <c r="AB162" s="114" t="s">
        <v>14</v>
      </c>
      <c r="AC162" s="165">
        <f t="shared" si="221"/>
        <v>0.25</v>
      </c>
      <c r="AD162" s="409"/>
      <c r="AE162" s="403"/>
      <c r="AF162" s="409"/>
      <c r="AG162" s="400"/>
    </row>
    <row r="163" spans="1:33" x14ac:dyDescent="0.25">
      <c r="A163" s="360"/>
      <c r="B163" s="351"/>
      <c r="C163" s="26" t="str">
        <f>IF(VLOOKUP(B160,PROPONENTES!$B$10:$N$46,8,FALSE)="","",VLOOKUP(B160,PROPONENTES!$B$10:$N$46,8,FALSE))</f>
        <v/>
      </c>
      <c r="D163" s="36">
        <f>VLOOKUP(B160,PROPONENTES!$B$10:$N$46,9,FALSE)</f>
        <v>0</v>
      </c>
      <c r="E163" s="112"/>
      <c r="F163" s="112"/>
      <c r="G163" s="123" t="str">
        <f>+'30'!E18</f>
        <v/>
      </c>
      <c r="H163" s="124" t="str">
        <f>IF(C163="","",IF(G163&gt;'30'!$J$14*0.4,"SI","NO"))</f>
        <v/>
      </c>
      <c r="I163" s="124">
        <f t="shared" si="212"/>
        <v>0</v>
      </c>
      <c r="J163" s="351"/>
      <c r="K163" s="403"/>
      <c r="L163" s="409"/>
      <c r="M163" s="403"/>
      <c r="N163" s="409"/>
      <c r="O163" s="412"/>
      <c r="P163" s="193"/>
      <c r="Q163" s="412"/>
      <c r="R163" s="403"/>
      <c r="S163" s="114"/>
      <c r="T163" s="373"/>
      <c r="U163" s="114"/>
      <c r="V163" s="114"/>
      <c r="W163" s="114"/>
      <c r="X163" s="114"/>
      <c r="Y163" s="165">
        <f t="shared" si="219"/>
        <v>0</v>
      </c>
      <c r="Z163" s="373"/>
      <c r="AA163" s="114"/>
      <c r="AB163" s="114"/>
      <c r="AC163" s="165">
        <f t="shared" si="221"/>
        <v>0</v>
      </c>
      <c r="AD163" s="409"/>
      <c r="AE163" s="403"/>
      <c r="AF163" s="409"/>
      <c r="AG163" s="400"/>
    </row>
    <row r="164" spans="1:33" ht="15.75" thickBot="1" x14ac:dyDescent="0.3">
      <c r="A164" s="361"/>
      <c r="B164" s="363"/>
      <c r="C164" s="48" t="str">
        <f>IF(VLOOKUP(B160,PROPONENTES!$B$10:$N$46,10,FALSE)="","",VLOOKUP(B160,PROPONENTES!$B$10:$N$46,10,FALSE))</f>
        <v/>
      </c>
      <c r="D164" s="49">
        <f>VLOOKUP(B160,PROPONENTES!$B$10:$N$46,11,FALSE)</f>
        <v>0</v>
      </c>
      <c r="E164" s="116"/>
      <c r="F164" s="116"/>
      <c r="G164" s="125" t="str">
        <f>+'30'!E19</f>
        <v/>
      </c>
      <c r="H164" s="126" t="str">
        <f>IF(C164="","",IF(G164&gt;'30'!$J$14*0.4,"SI","NO"))</f>
        <v/>
      </c>
      <c r="I164" s="126">
        <f t="shared" si="212"/>
        <v>0</v>
      </c>
      <c r="J164" s="363"/>
      <c r="K164" s="404"/>
      <c r="L164" s="410"/>
      <c r="M164" s="404"/>
      <c r="N164" s="410"/>
      <c r="O164" s="413"/>
      <c r="P164" s="194"/>
      <c r="Q164" s="413"/>
      <c r="R164" s="404"/>
      <c r="S164" s="198"/>
      <c r="T164" s="374"/>
      <c r="U164" s="146"/>
      <c r="V164" s="146"/>
      <c r="W164" s="146"/>
      <c r="X164" s="146"/>
      <c r="Y164" s="166">
        <f t="shared" si="219"/>
        <v>0</v>
      </c>
      <c r="Z164" s="374"/>
      <c r="AA164" s="146"/>
      <c r="AB164" s="146"/>
      <c r="AC164" s="166">
        <f t="shared" si="221"/>
        <v>0</v>
      </c>
      <c r="AD164" s="410"/>
      <c r="AE164" s="404"/>
      <c r="AF164" s="410"/>
      <c r="AG164" s="401"/>
    </row>
    <row r="165" spans="1:33" ht="30" x14ac:dyDescent="0.25">
      <c r="A165" s="359">
        <v>31</v>
      </c>
      <c r="B165" s="362" t="str">
        <f>+PROPONENTES!B40</f>
        <v>CONSORCIO PRO-TEV 20</v>
      </c>
      <c r="C165" s="43" t="str">
        <f>IF(VLOOKUP(B165,PROPONENTES!$B$10:$N$46,2,FALSE)="","",VLOOKUP(B165,PROPONENTES!$B$10:$N$46,2,FALSE))</f>
        <v>PROYECTISTAS ASOCIADOS SAS</v>
      </c>
      <c r="D165" s="44">
        <f>VLOOKUP(B165,PROPONENTES!$B$10:$N$46,3,FALSE)</f>
        <v>0.91</v>
      </c>
      <c r="E165" s="107" t="s">
        <v>75</v>
      </c>
      <c r="F165" s="107" t="s">
        <v>75</v>
      </c>
      <c r="G165" s="121">
        <f>+'31'!E15</f>
        <v>750.64</v>
      </c>
      <c r="H165" s="122" t="str">
        <f>IF(C165="","",IF(G165&gt;'31'!$J$14*0.4,"SI","NO"))</f>
        <v>SI</v>
      </c>
      <c r="I165" s="43">
        <f t="shared" ref="I165:I169" si="233">IF(C165="",0,IF(AND(E165="SI",H165="SI",F165="SI"),1,0))</f>
        <v>1</v>
      </c>
      <c r="J165" s="362">
        <f t="shared" ref="J165" si="234">IF((I165+I166+I167+I168+I169)&gt;=1,1,0)</f>
        <v>1</v>
      </c>
      <c r="K165" s="402" t="s">
        <v>14</v>
      </c>
      <c r="L165" s="408">
        <f t="shared" ref="L165" si="235">IF(K165="CUMPLE",5,0)</f>
        <v>5</v>
      </c>
      <c r="M165" s="402" t="s">
        <v>14</v>
      </c>
      <c r="N165" s="408">
        <f t="shared" ref="N165" si="236">IF(M165="CUMPLE",5,0)</f>
        <v>5</v>
      </c>
      <c r="O165" s="411">
        <f t="shared" ref="O165" si="237">+L165+N165</f>
        <v>10</v>
      </c>
      <c r="P165" s="192" t="s">
        <v>110</v>
      </c>
      <c r="Q165" s="411" t="str">
        <f t="shared" ref="Q165" si="238">IF(OR(P165="REPORTADO",P166="REPORTADO",P167="REPORTADO",P168="REPORTADO",P169="REPORTADO"),-1,"0")</f>
        <v>0</v>
      </c>
      <c r="R165" s="402" t="s">
        <v>14</v>
      </c>
      <c r="S165" s="197" t="s">
        <v>14</v>
      </c>
      <c r="T165" s="414">
        <f t="shared" ref="T165" si="239">IF(AND(R165="",S165="",S166="",S167="",S168="",S169=""),"",IF(AND(R165="CUMPLE",S165="",S166="",S167="",S168="",S169=""),"",IF(AND(R165="CUMPLE",OR(S165="CUMPLE",S165=""),OR(S166="CUMPLE",S166=""),OR(S167="CUMPLE",S167=""),OR(S168="CUMPLE",S168=""),OR(S169="CUMPLE",S169="")),20,0)))</f>
        <v>20</v>
      </c>
      <c r="U165" s="109" t="s">
        <v>14</v>
      </c>
      <c r="V165" s="109" t="s">
        <v>14</v>
      </c>
      <c r="W165" s="109" t="s">
        <v>13</v>
      </c>
      <c r="X165" s="109" t="s">
        <v>13</v>
      </c>
      <c r="Y165" s="164">
        <f t="shared" ref="Y165:Y169" si="240">IF(C165="",0,IF(AND(OR(V165="CUMPLE",V165="N/A"),OR(W165="CUMPLE",W165="N/A"),OR(X165="CUMPLE",X165="N/A"),AND(U165="CUMPLE",D165&gt;=10%)),0.25,))</f>
        <v>0.25</v>
      </c>
      <c r="Z165" s="414">
        <f t="shared" ref="Z165" si="241">IF((Y165+Y166+Y167+Y168+Y169)&gt;=0.25,0.25,0)</f>
        <v>0.25</v>
      </c>
      <c r="AA165" s="109" t="s">
        <v>14</v>
      </c>
      <c r="AB165" s="109" t="s">
        <v>14</v>
      </c>
      <c r="AC165" s="164">
        <f t="shared" ref="AC165:AC169" si="242">IF(C165="",0,IF(AND(AA165="CUMPLE",AB165="CUMPLE",D165&gt;=10%),0.25,0))</f>
        <v>0.25</v>
      </c>
      <c r="AD165" s="408">
        <f t="shared" ref="AD165" si="243">IF((AC165+AC166+AC167+AC168+AC169)&gt;=0.25,0.25,0)</f>
        <v>0.25</v>
      </c>
      <c r="AE165" s="402" t="s">
        <v>14</v>
      </c>
      <c r="AF165" s="408">
        <f t="shared" ref="AF165" si="244">IF(AE165="CUMPLE",1,0)</f>
        <v>1</v>
      </c>
      <c r="AG165" s="399"/>
    </row>
    <row r="166" spans="1:33" ht="15" customHeight="1" x14ac:dyDescent="0.25">
      <c r="A166" s="360"/>
      <c r="B166" s="351"/>
      <c r="C166" s="26" t="str">
        <f>IF(VLOOKUP(B165,PROPONENTES!$B$10:$N$46,4,FALSE)="","",VLOOKUP(B165,PROPONENTES!$B$10:$N$46,4,FALSE))</f>
        <v xml:space="preserve">CONSTRUCTORA TEATINO VARGAS – CONSTRUTEV SAS </v>
      </c>
      <c r="D166" s="36">
        <f>VLOOKUP(B165,PROPONENTES!$B$10:$N$46,5,FALSE)</f>
        <v>0.09</v>
      </c>
      <c r="E166" s="112"/>
      <c r="F166" s="112"/>
      <c r="G166" s="123">
        <f>+'31'!E16</f>
        <v>0</v>
      </c>
      <c r="H166" s="124" t="str">
        <f>IF(C166="","",IF(G166&gt;'31'!$J$14*0.4,"SI","NO"))</f>
        <v>NO</v>
      </c>
      <c r="I166" s="26">
        <f t="shared" si="233"/>
        <v>0</v>
      </c>
      <c r="J166" s="351"/>
      <c r="K166" s="403"/>
      <c r="L166" s="409"/>
      <c r="M166" s="403"/>
      <c r="N166" s="409"/>
      <c r="O166" s="412"/>
      <c r="P166" s="193"/>
      <c r="Q166" s="412"/>
      <c r="R166" s="403"/>
      <c r="S166" s="114"/>
      <c r="T166" s="373"/>
      <c r="U166" s="114"/>
      <c r="V166" s="114"/>
      <c r="W166" s="114"/>
      <c r="X166" s="114"/>
      <c r="Y166" s="165">
        <f t="shared" si="240"/>
        <v>0</v>
      </c>
      <c r="Z166" s="373"/>
      <c r="AA166" s="114"/>
      <c r="AB166" s="114"/>
      <c r="AC166" s="165">
        <f t="shared" si="242"/>
        <v>0</v>
      </c>
      <c r="AD166" s="409"/>
      <c r="AE166" s="403"/>
      <c r="AF166" s="409"/>
      <c r="AG166" s="400"/>
    </row>
    <row r="167" spans="1:33" x14ac:dyDescent="0.25">
      <c r="A167" s="360"/>
      <c r="B167" s="351"/>
      <c r="C167" s="26" t="str">
        <f>IF(VLOOKUP(B165,PROPONENTES!$B$10:$N$46,6,FALSE)="","",VLOOKUP(B165,PROPONENTES!$B$10:$N$46,6,FALSE))</f>
        <v/>
      </c>
      <c r="D167" s="36">
        <f>VLOOKUP(B165,PROPONENTES!$B$10:$N$46,7,FALSE)</f>
        <v>0</v>
      </c>
      <c r="E167" s="112"/>
      <c r="F167" s="112"/>
      <c r="G167" s="123" t="str">
        <f>+'31'!E17</f>
        <v/>
      </c>
      <c r="H167" s="124" t="str">
        <f>IF(C167="","",IF(G167&gt;'31'!$J$14*0.4,"SI","NO"))</f>
        <v/>
      </c>
      <c r="I167" s="26">
        <f t="shared" si="233"/>
        <v>0</v>
      </c>
      <c r="J167" s="351"/>
      <c r="K167" s="403"/>
      <c r="L167" s="409"/>
      <c r="M167" s="403"/>
      <c r="N167" s="409"/>
      <c r="O167" s="412"/>
      <c r="P167" s="193"/>
      <c r="Q167" s="412"/>
      <c r="R167" s="403"/>
      <c r="S167" s="114"/>
      <c r="T167" s="373"/>
      <c r="U167" s="114"/>
      <c r="V167" s="114"/>
      <c r="W167" s="114"/>
      <c r="X167" s="114"/>
      <c r="Y167" s="165">
        <f t="shared" si="240"/>
        <v>0</v>
      </c>
      <c r="Z167" s="373"/>
      <c r="AA167" s="114"/>
      <c r="AB167" s="114"/>
      <c r="AC167" s="165">
        <f t="shared" si="242"/>
        <v>0</v>
      </c>
      <c r="AD167" s="409"/>
      <c r="AE167" s="403"/>
      <c r="AF167" s="409"/>
      <c r="AG167" s="400"/>
    </row>
    <row r="168" spans="1:33" x14ac:dyDescent="0.25">
      <c r="A168" s="360"/>
      <c r="B168" s="351"/>
      <c r="C168" s="26" t="str">
        <f>IF(VLOOKUP(B165,PROPONENTES!$B$10:$N$46,8,FALSE)="","",VLOOKUP(B165,PROPONENTES!$B$10:$N$46,8,FALSE))</f>
        <v/>
      </c>
      <c r="D168" s="36">
        <f>VLOOKUP(B165,PROPONENTES!$B$10:$N$46,9,FALSE)</f>
        <v>0</v>
      </c>
      <c r="E168" s="112"/>
      <c r="F168" s="112"/>
      <c r="G168" s="123" t="str">
        <f>+'31'!E18</f>
        <v/>
      </c>
      <c r="H168" s="124" t="str">
        <f>IF(C168="","",IF(G168&gt;'31'!$J$14*0.4,"SI","NO"))</f>
        <v/>
      </c>
      <c r="I168" s="124">
        <f t="shared" si="233"/>
        <v>0</v>
      </c>
      <c r="J168" s="351"/>
      <c r="K168" s="403"/>
      <c r="L168" s="409"/>
      <c r="M168" s="403"/>
      <c r="N168" s="409"/>
      <c r="O168" s="412"/>
      <c r="P168" s="193"/>
      <c r="Q168" s="412"/>
      <c r="R168" s="403"/>
      <c r="S168" s="114"/>
      <c r="T168" s="373"/>
      <c r="U168" s="114"/>
      <c r="V168" s="114"/>
      <c r="W168" s="114"/>
      <c r="X168" s="114"/>
      <c r="Y168" s="165">
        <f t="shared" si="240"/>
        <v>0</v>
      </c>
      <c r="Z168" s="373"/>
      <c r="AA168" s="114"/>
      <c r="AB168" s="114"/>
      <c r="AC168" s="165">
        <f t="shared" si="242"/>
        <v>0</v>
      </c>
      <c r="AD168" s="409"/>
      <c r="AE168" s="403"/>
      <c r="AF168" s="409"/>
      <c r="AG168" s="400"/>
    </row>
    <row r="169" spans="1:33" ht="15.75" thickBot="1" x14ac:dyDescent="0.3">
      <c r="A169" s="361"/>
      <c r="B169" s="363"/>
      <c r="C169" s="48" t="str">
        <f>IF(VLOOKUP(B165,PROPONENTES!$B$10:$N$46,10,FALSE)="","",VLOOKUP(B165,PROPONENTES!$B$10:$N$46,10,FALSE))</f>
        <v/>
      </c>
      <c r="D169" s="49">
        <f>VLOOKUP(B165,PROPONENTES!$B$10:$N$46,11,FALSE)</f>
        <v>0</v>
      </c>
      <c r="E169" s="116"/>
      <c r="F169" s="116"/>
      <c r="G169" s="125" t="str">
        <f>+'31'!E19</f>
        <v/>
      </c>
      <c r="H169" s="126" t="str">
        <f>IF(C169="","",IF(G169&gt;'31'!$J$14*0.4,"SI","NO"))</f>
        <v/>
      </c>
      <c r="I169" s="126">
        <f t="shared" si="233"/>
        <v>0</v>
      </c>
      <c r="J169" s="363"/>
      <c r="K169" s="404"/>
      <c r="L169" s="410"/>
      <c r="M169" s="404"/>
      <c r="N169" s="410"/>
      <c r="O169" s="413"/>
      <c r="P169" s="194"/>
      <c r="Q169" s="413"/>
      <c r="R169" s="404"/>
      <c r="S169" s="198"/>
      <c r="T169" s="374"/>
      <c r="U169" s="146"/>
      <c r="V169" s="146"/>
      <c r="W169" s="146"/>
      <c r="X169" s="146"/>
      <c r="Y169" s="166">
        <f t="shared" si="240"/>
        <v>0</v>
      </c>
      <c r="Z169" s="374"/>
      <c r="AA169" s="146"/>
      <c r="AB169" s="146"/>
      <c r="AC169" s="166">
        <f t="shared" si="242"/>
        <v>0</v>
      </c>
      <c r="AD169" s="410"/>
      <c r="AE169" s="404"/>
      <c r="AF169" s="410"/>
      <c r="AG169" s="401"/>
    </row>
    <row r="170" spans="1:33" ht="45" customHeight="1" x14ac:dyDescent="0.25">
      <c r="A170" s="359">
        <v>32</v>
      </c>
      <c r="B170" s="362" t="str">
        <f>+PROPONENTES!B41</f>
        <v>LOGIA 3 ASOCIADOS S.A.S – BIC</v>
      </c>
      <c r="C170" s="43" t="str">
        <f>IF(VLOOKUP(B170,PROPONENTES!$B$10:$N$46,2,FALSE)="","",VLOOKUP(B170,PROPONENTES!$B$10:$N$46,2,FALSE))</f>
        <v>LOGIA 3 ASOCIADOS S.A.S – BIC</v>
      </c>
      <c r="D170" s="44">
        <f>VLOOKUP(B170,PROPONENTES!$B$10:$N$46,3,FALSE)</f>
        <v>1</v>
      </c>
      <c r="E170" s="107" t="s">
        <v>75</v>
      </c>
      <c r="F170" s="107" t="s">
        <v>75</v>
      </c>
      <c r="G170" s="121">
        <f>+'32'!E15</f>
        <v>3462.2257</v>
      </c>
      <c r="H170" s="122" t="str">
        <f>IF(C170="","",IF(G170&gt;'32'!$J$14*0.4,"SI","NO"))</f>
        <v>SI</v>
      </c>
      <c r="I170" s="43">
        <f t="shared" si="212"/>
        <v>1</v>
      </c>
      <c r="J170" s="362">
        <f t="shared" ref="J170" si="245">IF((I170+I171+I172+I173+I174)&gt;=1,1,0)</f>
        <v>1</v>
      </c>
      <c r="K170" s="402" t="s">
        <v>14</v>
      </c>
      <c r="L170" s="408">
        <f t="shared" ref="L170" si="246">IF(K170="CUMPLE",5,0)</f>
        <v>5</v>
      </c>
      <c r="M170" s="402" t="s">
        <v>14</v>
      </c>
      <c r="N170" s="408">
        <f t="shared" ref="N170" si="247">IF(M170="CUMPLE",5,0)</f>
        <v>5</v>
      </c>
      <c r="O170" s="411">
        <f t="shared" ref="O170" si="248">+L170+N170</f>
        <v>10</v>
      </c>
      <c r="P170" s="192" t="s">
        <v>110</v>
      </c>
      <c r="Q170" s="411" t="str">
        <f t="shared" ref="Q170" si="249">IF(OR(P170="REPORTADO",P171="REPORTADO",P172="REPORTADO",P173="REPORTADO",P174="REPORTADO"),-1,"0")</f>
        <v>0</v>
      </c>
      <c r="R170" s="402" t="s">
        <v>14</v>
      </c>
      <c r="S170" s="197" t="s">
        <v>14</v>
      </c>
      <c r="T170" s="414">
        <f t="shared" ref="T170" si="250">IF(AND(R170="",S170="",S171="",S172="",S173="",S174=""),"",IF(AND(R170="CUMPLE",S170="",S171="",S172="",S173="",S174=""),"",IF(AND(R170="CUMPLE",OR(S170="CUMPLE",S170=""),OR(S171="CUMPLE",S171=""),OR(S172="CUMPLE",S172=""),OR(S173="CUMPLE",S173=""),OR(S174="CUMPLE",S174="")),20,0)))</f>
        <v>20</v>
      </c>
      <c r="U170" s="109" t="s">
        <v>14</v>
      </c>
      <c r="V170" s="109" t="s">
        <v>13</v>
      </c>
      <c r="W170" s="109" t="s">
        <v>13</v>
      </c>
      <c r="X170" s="109" t="s">
        <v>13</v>
      </c>
      <c r="Y170" s="164">
        <f t="shared" si="219"/>
        <v>0.25</v>
      </c>
      <c r="Z170" s="414">
        <f t="shared" ref="Z170" si="251">IF((Y170+Y171+Y172+Y173+Y174)&gt;=0.25,0.25,0)</f>
        <v>0.25</v>
      </c>
      <c r="AA170" s="109" t="s">
        <v>14</v>
      </c>
      <c r="AB170" s="109" t="s">
        <v>14</v>
      </c>
      <c r="AC170" s="164">
        <f t="shared" si="221"/>
        <v>0.25</v>
      </c>
      <c r="AD170" s="408">
        <f t="shared" ref="AD170" si="252">IF((AC170+AC171+AC172+AC173+AC174)&gt;=0.25,0.25,0)</f>
        <v>0.25</v>
      </c>
      <c r="AE170" s="402" t="s">
        <v>14</v>
      </c>
      <c r="AF170" s="408">
        <f t="shared" si="191"/>
        <v>1</v>
      </c>
      <c r="AG170" s="405"/>
    </row>
    <row r="171" spans="1:33" ht="30" customHeight="1" x14ac:dyDescent="0.25">
      <c r="A171" s="360"/>
      <c r="B171" s="351"/>
      <c r="C171" s="26" t="str">
        <f>IF(VLOOKUP(B170,PROPONENTES!$B$10:$N$46,4,FALSE)="","",VLOOKUP(B170,PROPONENTES!$B$10:$N$46,4,FALSE))</f>
        <v/>
      </c>
      <c r="D171" s="36">
        <f>VLOOKUP(B170,PROPONENTES!$B$10:$N$46,5,FALSE)</f>
        <v>0</v>
      </c>
      <c r="E171" s="112"/>
      <c r="F171" s="112"/>
      <c r="G171" s="123" t="str">
        <f>+'32'!E16</f>
        <v/>
      </c>
      <c r="H171" s="124" t="str">
        <f>IF(C171="","",IF(G171&gt;'32'!$J$14*0.4,"SI","NO"))</f>
        <v/>
      </c>
      <c r="I171" s="26">
        <f t="shared" si="212"/>
        <v>0</v>
      </c>
      <c r="J171" s="351"/>
      <c r="K171" s="403"/>
      <c r="L171" s="409"/>
      <c r="M171" s="403"/>
      <c r="N171" s="409"/>
      <c r="O171" s="412"/>
      <c r="P171" s="193"/>
      <c r="Q171" s="412"/>
      <c r="R171" s="403"/>
      <c r="S171" s="114"/>
      <c r="T171" s="373"/>
      <c r="U171" s="114"/>
      <c r="V171" s="114"/>
      <c r="W171" s="114"/>
      <c r="X171" s="114"/>
      <c r="Y171" s="165">
        <f t="shared" si="219"/>
        <v>0</v>
      </c>
      <c r="Z171" s="373"/>
      <c r="AA171" s="114"/>
      <c r="AB171" s="114"/>
      <c r="AC171" s="165">
        <f t="shared" si="221"/>
        <v>0</v>
      </c>
      <c r="AD171" s="409"/>
      <c r="AE171" s="403"/>
      <c r="AF171" s="409"/>
      <c r="AG171" s="406"/>
    </row>
    <row r="172" spans="1:33" x14ac:dyDescent="0.25">
      <c r="A172" s="360"/>
      <c r="B172" s="351"/>
      <c r="C172" s="26" t="str">
        <f>IF(VLOOKUP(B170,PROPONENTES!$B$10:$N$46,6,FALSE)="","",VLOOKUP(B170,PROPONENTES!$B$10:$N$46,6,FALSE))</f>
        <v/>
      </c>
      <c r="D172" s="36">
        <f>VLOOKUP(B170,PROPONENTES!$B$10:$N$46,7,FALSE)</f>
        <v>0</v>
      </c>
      <c r="E172" s="112"/>
      <c r="F172" s="112"/>
      <c r="G172" s="123" t="str">
        <f>+'32'!E17</f>
        <v/>
      </c>
      <c r="H172" s="124" t="str">
        <f>IF(C172="","",IF(G172&gt;'32'!$J$14*0.4,"SI","NO"))</f>
        <v/>
      </c>
      <c r="I172" s="26">
        <f t="shared" si="212"/>
        <v>0</v>
      </c>
      <c r="J172" s="351"/>
      <c r="K172" s="403"/>
      <c r="L172" s="409"/>
      <c r="M172" s="403"/>
      <c r="N172" s="409"/>
      <c r="O172" s="412"/>
      <c r="P172" s="193"/>
      <c r="Q172" s="412"/>
      <c r="R172" s="403"/>
      <c r="S172" s="114"/>
      <c r="T172" s="373"/>
      <c r="U172" s="114"/>
      <c r="V172" s="114"/>
      <c r="W172" s="114"/>
      <c r="X172" s="114"/>
      <c r="Y172" s="165">
        <f t="shared" si="219"/>
        <v>0</v>
      </c>
      <c r="Z172" s="373"/>
      <c r="AA172" s="114"/>
      <c r="AB172" s="114"/>
      <c r="AC172" s="165">
        <f t="shared" si="221"/>
        <v>0</v>
      </c>
      <c r="AD172" s="409"/>
      <c r="AE172" s="403"/>
      <c r="AF172" s="409"/>
      <c r="AG172" s="406"/>
    </row>
    <row r="173" spans="1:33" x14ac:dyDescent="0.25">
      <c r="A173" s="360"/>
      <c r="B173" s="351"/>
      <c r="C173" s="26" t="str">
        <f>IF(VLOOKUP(B170,PROPONENTES!$B$10:$N$46,8,FALSE)="","",VLOOKUP(B170,PROPONENTES!$B$10:$N$46,8,FALSE))</f>
        <v/>
      </c>
      <c r="D173" s="36">
        <f>VLOOKUP(B170,PROPONENTES!$B$10:$N$46,9,FALSE)</f>
        <v>0</v>
      </c>
      <c r="E173" s="112"/>
      <c r="F173" s="112"/>
      <c r="G173" s="123" t="str">
        <f>+'32'!E18</f>
        <v/>
      </c>
      <c r="H173" s="124" t="str">
        <f>IF(C173="","",IF(G173&gt;'32'!$J$14*0.4,"SI","NO"))</f>
        <v/>
      </c>
      <c r="I173" s="124">
        <f t="shared" si="212"/>
        <v>0</v>
      </c>
      <c r="J173" s="351"/>
      <c r="K173" s="403"/>
      <c r="L173" s="409"/>
      <c r="M173" s="403"/>
      <c r="N173" s="409"/>
      <c r="O173" s="412"/>
      <c r="P173" s="193"/>
      <c r="Q173" s="412"/>
      <c r="R173" s="403"/>
      <c r="S173" s="114"/>
      <c r="T173" s="373"/>
      <c r="U173" s="114"/>
      <c r="V173" s="114"/>
      <c r="W173" s="114"/>
      <c r="X173" s="114"/>
      <c r="Y173" s="165">
        <f t="shared" si="219"/>
        <v>0</v>
      </c>
      <c r="Z173" s="373"/>
      <c r="AA173" s="114"/>
      <c r="AB173" s="114"/>
      <c r="AC173" s="165">
        <f t="shared" si="221"/>
        <v>0</v>
      </c>
      <c r="AD173" s="409"/>
      <c r="AE173" s="403"/>
      <c r="AF173" s="409"/>
      <c r="AG173" s="406"/>
    </row>
    <row r="174" spans="1:33" ht="15.75" thickBot="1" x14ac:dyDescent="0.3">
      <c r="A174" s="361"/>
      <c r="B174" s="363"/>
      <c r="C174" s="48" t="str">
        <f>IF(VLOOKUP(B170,PROPONENTES!$B$10:$N$46,10,FALSE)="","",VLOOKUP(B170,PROPONENTES!$B$10:$N$46,10,FALSE))</f>
        <v/>
      </c>
      <c r="D174" s="49">
        <f>VLOOKUP(B170,PROPONENTES!$B$10:$N$46,11,FALSE)</f>
        <v>0</v>
      </c>
      <c r="E174" s="116"/>
      <c r="F174" s="116"/>
      <c r="G174" s="125" t="str">
        <f>+'32'!E19</f>
        <v/>
      </c>
      <c r="H174" s="126" t="str">
        <f>IF(C174="","",IF(G174&gt;'32'!$J$14*0.4,"SI","NO"))</f>
        <v/>
      </c>
      <c r="I174" s="126">
        <f t="shared" si="212"/>
        <v>0</v>
      </c>
      <c r="J174" s="363"/>
      <c r="K174" s="404"/>
      <c r="L174" s="410"/>
      <c r="M174" s="404"/>
      <c r="N174" s="410"/>
      <c r="O174" s="413"/>
      <c r="P174" s="194"/>
      <c r="Q174" s="413"/>
      <c r="R174" s="404"/>
      <c r="S174" s="198"/>
      <c r="T174" s="374"/>
      <c r="U174" s="146"/>
      <c r="V174" s="146"/>
      <c r="W174" s="146"/>
      <c r="X174" s="146"/>
      <c r="Y174" s="166">
        <f t="shared" si="219"/>
        <v>0</v>
      </c>
      <c r="Z174" s="374"/>
      <c r="AA174" s="146"/>
      <c r="AB174" s="146"/>
      <c r="AC174" s="166">
        <f t="shared" si="221"/>
        <v>0</v>
      </c>
      <c r="AD174" s="410"/>
      <c r="AE174" s="404"/>
      <c r="AF174" s="410"/>
      <c r="AG174" s="407"/>
    </row>
    <row r="175" spans="1:33" x14ac:dyDescent="0.25">
      <c r="A175" s="359">
        <v>33</v>
      </c>
      <c r="B175" s="362" t="str">
        <f>+PROPONENTES!B42</f>
        <v xml:space="preserve">CONSORCIO AL PARK 003 </v>
      </c>
      <c r="C175" s="43" t="str">
        <f>IF(VLOOKUP(B175,PROPONENTES!$B$10:$N$46,2,FALSE)="","",VLOOKUP(B175,PROPONENTES!$B$10:$N$46,2,FALSE))</f>
        <v xml:space="preserve">INCOPLAN IN SAS </v>
      </c>
      <c r="D175" s="44">
        <f>VLOOKUP(B175,PROPONENTES!$B$10:$N$46,3,FALSE)</f>
        <v>0.6</v>
      </c>
      <c r="E175" s="107" t="s">
        <v>75</v>
      </c>
      <c r="F175" s="107" t="s">
        <v>75</v>
      </c>
      <c r="G175" s="121">
        <f>+'33'!E15</f>
        <v>3497.7849999999999</v>
      </c>
      <c r="H175" s="122" t="str">
        <f>IF(C175="","",IF(G175&gt;'33'!$J$14*0.4,"SI","NO"))</f>
        <v>SI</v>
      </c>
      <c r="I175" s="43">
        <f t="shared" ref="I175:I179" si="253">IF(C175="",0,IF(AND(E175="SI",H175="SI",F175="SI"),1,0))</f>
        <v>1</v>
      </c>
      <c r="J175" s="362">
        <f t="shared" ref="J175" si="254">IF((I175+I176+I177+I178+I179)&gt;=1,1,0)</f>
        <v>1</v>
      </c>
      <c r="K175" s="402" t="s">
        <v>14</v>
      </c>
      <c r="L175" s="408">
        <f t="shared" ref="L175" si="255">IF(K175="CUMPLE",5,0)</f>
        <v>5</v>
      </c>
      <c r="M175" s="402" t="s">
        <v>14</v>
      </c>
      <c r="N175" s="408">
        <f t="shared" ref="N175" si="256">IF(M175="CUMPLE",5,0)</f>
        <v>5</v>
      </c>
      <c r="O175" s="411">
        <f t="shared" ref="O175" si="257">+L175+N175</f>
        <v>10</v>
      </c>
      <c r="P175" s="192" t="s">
        <v>110</v>
      </c>
      <c r="Q175" s="411" t="str">
        <f t="shared" ref="Q175" si="258">IF(OR(P175="REPORTADO",P176="REPORTADO",P177="REPORTADO",P178="REPORTADO",P179="REPORTADO"),-1,"0")</f>
        <v>0</v>
      </c>
      <c r="R175" s="402" t="s">
        <v>14</v>
      </c>
      <c r="S175" s="197" t="s">
        <v>14</v>
      </c>
      <c r="T175" s="414">
        <f t="shared" ref="T175" si="259">IF(AND(R175="",S175="",S176="",S177="",S178="",S179=""),"",IF(AND(R175="CUMPLE",S175="",S176="",S177="",S178="",S179=""),"",IF(AND(R175="CUMPLE",OR(S175="CUMPLE",S175=""),OR(S176="CUMPLE",S176=""),OR(S177="CUMPLE",S177=""),OR(S178="CUMPLE",S178=""),OR(S179="CUMPLE",S179="")),20,0)))</f>
        <v>20</v>
      </c>
      <c r="U175" s="109" t="s">
        <v>14</v>
      </c>
      <c r="V175" s="109" t="s">
        <v>14</v>
      </c>
      <c r="W175" s="109" t="s">
        <v>15</v>
      </c>
      <c r="X175" s="109" t="s">
        <v>15</v>
      </c>
      <c r="Y175" s="164">
        <f t="shared" ref="Y175:Y179" si="260">IF(C175="",0,IF(AND(OR(V175="CUMPLE",V175="N/A"),OR(W175="CUMPLE",W175="N/A"),OR(X175="CUMPLE",X175="N/A"),AND(U175="CUMPLE",D175&gt;=10%)),0.25,))</f>
        <v>0</v>
      </c>
      <c r="Z175" s="414">
        <f t="shared" ref="Z175" si="261">IF((Y175+Y176+Y177+Y178+Y179)&gt;=0.25,0.25,0)</f>
        <v>0</v>
      </c>
      <c r="AA175" s="109" t="s">
        <v>14</v>
      </c>
      <c r="AB175" s="109" t="s">
        <v>14</v>
      </c>
      <c r="AC175" s="164">
        <f t="shared" ref="AC175:AC179" si="262">IF(C175="",0,IF(AND(AA175="CUMPLE",AB175="CUMPLE",D175&gt;=10%),0.25,0))</f>
        <v>0.25</v>
      </c>
      <c r="AD175" s="408">
        <f t="shared" ref="AD175" si="263">IF((AC175+AC176+AC177+AC178+AC179)&gt;=0.25,0.25,0)</f>
        <v>0.25</v>
      </c>
      <c r="AE175" s="402" t="s">
        <v>14</v>
      </c>
      <c r="AF175" s="408">
        <f t="shared" si="199"/>
        <v>1</v>
      </c>
      <c r="AG175" s="405" t="s">
        <v>581</v>
      </c>
    </row>
    <row r="176" spans="1:33" ht="15" customHeight="1" x14ac:dyDescent="0.25">
      <c r="A176" s="360"/>
      <c r="B176" s="351"/>
      <c r="C176" s="26" t="str">
        <f>IF(VLOOKUP(B175,PROPONENTES!$B$10:$N$46,4,FALSE)="","",VLOOKUP(B175,PROPONENTES!$B$10:$N$46,4,FALSE))</f>
        <v>GRUPO ESPECIALIZADO EN DESARROLLO DE INFRAESTRUCTURA S.A.S.</v>
      </c>
      <c r="D176" s="36">
        <f>VLOOKUP(B175,PROPONENTES!$B$10:$N$46,5,FALSE)</f>
        <v>0.4</v>
      </c>
      <c r="E176" s="112" t="s">
        <v>73</v>
      </c>
      <c r="F176" s="112" t="s">
        <v>73</v>
      </c>
      <c r="G176" s="123">
        <f>+'33'!E16</f>
        <v>2843.8049999999998</v>
      </c>
      <c r="H176" s="124" t="str">
        <f>IF(C176="","",IF(G176&gt;'33'!$J$14*0.4,"SI","NO"))</f>
        <v>SI</v>
      </c>
      <c r="I176" s="26">
        <f t="shared" si="253"/>
        <v>0</v>
      </c>
      <c r="J176" s="351"/>
      <c r="K176" s="403"/>
      <c r="L176" s="409"/>
      <c r="M176" s="403"/>
      <c r="N176" s="409"/>
      <c r="O176" s="412"/>
      <c r="P176" s="193" t="s">
        <v>110</v>
      </c>
      <c r="Q176" s="412"/>
      <c r="R176" s="403"/>
      <c r="S176" s="114" t="s">
        <v>14</v>
      </c>
      <c r="T176" s="373"/>
      <c r="U176" s="114" t="s">
        <v>13</v>
      </c>
      <c r="V176" s="114" t="s">
        <v>13</v>
      </c>
      <c r="W176" s="114" t="s">
        <v>15</v>
      </c>
      <c r="X176" s="114" t="s">
        <v>15</v>
      </c>
      <c r="Y176" s="165">
        <f t="shared" si="260"/>
        <v>0</v>
      </c>
      <c r="Z176" s="373"/>
      <c r="AA176" s="114"/>
      <c r="AB176" s="114"/>
      <c r="AC176" s="165">
        <f t="shared" si="262"/>
        <v>0</v>
      </c>
      <c r="AD176" s="409"/>
      <c r="AE176" s="403"/>
      <c r="AF176" s="409"/>
      <c r="AG176" s="406"/>
    </row>
    <row r="177" spans="1:33" x14ac:dyDescent="0.25">
      <c r="A177" s="360"/>
      <c r="B177" s="351"/>
      <c r="C177" s="26" t="str">
        <f>IF(VLOOKUP(B175,PROPONENTES!$B$10:$N$46,6,FALSE)="","",VLOOKUP(B175,PROPONENTES!$B$10:$N$46,6,FALSE))</f>
        <v/>
      </c>
      <c r="D177" s="36">
        <f>VLOOKUP(B175,PROPONENTES!$B$10:$N$46,7,FALSE)</f>
        <v>0</v>
      </c>
      <c r="E177" s="112"/>
      <c r="F177" s="112"/>
      <c r="G177" s="123" t="str">
        <f>+'33'!E17</f>
        <v/>
      </c>
      <c r="H177" s="124" t="str">
        <f>IF(C177="","",IF(G177&gt;'33'!$J$14*0.4,"SI","NO"))</f>
        <v/>
      </c>
      <c r="I177" s="26">
        <f t="shared" si="253"/>
        <v>0</v>
      </c>
      <c r="J177" s="351"/>
      <c r="K177" s="403"/>
      <c r="L177" s="409"/>
      <c r="M177" s="403"/>
      <c r="N177" s="409"/>
      <c r="O177" s="412"/>
      <c r="P177" s="193"/>
      <c r="Q177" s="412"/>
      <c r="R177" s="403"/>
      <c r="S177" s="114"/>
      <c r="T177" s="373"/>
      <c r="U177" s="114"/>
      <c r="V177" s="114"/>
      <c r="W177" s="114"/>
      <c r="X177" s="114"/>
      <c r="Y177" s="165">
        <f t="shared" si="260"/>
        <v>0</v>
      </c>
      <c r="Z177" s="373"/>
      <c r="AA177" s="114"/>
      <c r="AB177" s="114"/>
      <c r="AC177" s="165">
        <f t="shared" si="262"/>
        <v>0</v>
      </c>
      <c r="AD177" s="409"/>
      <c r="AE177" s="403"/>
      <c r="AF177" s="409"/>
      <c r="AG177" s="406"/>
    </row>
    <row r="178" spans="1:33" x14ac:dyDescent="0.25">
      <c r="A178" s="360"/>
      <c r="B178" s="351"/>
      <c r="C178" s="26" t="str">
        <f>IF(VLOOKUP(B175,PROPONENTES!$B$10:$N$46,8,FALSE)="","",VLOOKUP(B175,PROPONENTES!$B$10:$N$46,8,FALSE))</f>
        <v/>
      </c>
      <c r="D178" s="36">
        <f>VLOOKUP(B175,PROPONENTES!$B$10:$N$46,9,FALSE)</f>
        <v>0</v>
      </c>
      <c r="E178" s="112"/>
      <c r="F178" s="112"/>
      <c r="G178" s="123" t="str">
        <f>+'33'!E18</f>
        <v/>
      </c>
      <c r="H178" s="124" t="str">
        <f>IF(C178="","",IF(G178&gt;'33'!$J$14*0.4,"SI","NO"))</f>
        <v/>
      </c>
      <c r="I178" s="124">
        <f t="shared" si="253"/>
        <v>0</v>
      </c>
      <c r="J178" s="351"/>
      <c r="K178" s="403"/>
      <c r="L178" s="409"/>
      <c r="M178" s="403"/>
      <c r="N178" s="409"/>
      <c r="O178" s="412"/>
      <c r="P178" s="193"/>
      <c r="Q178" s="412"/>
      <c r="R178" s="403"/>
      <c r="S178" s="114"/>
      <c r="T178" s="373"/>
      <c r="U178" s="114"/>
      <c r="V178" s="114"/>
      <c r="W178" s="114"/>
      <c r="X178" s="114"/>
      <c r="Y178" s="165">
        <f t="shared" si="260"/>
        <v>0</v>
      </c>
      <c r="Z178" s="373"/>
      <c r="AA178" s="114"/>
      <c r="AB178" s="114"/>
      <c r="AC178" s="165">
        <f t="shared" si="262"/>
        <v>0</v>
      </c>
      <c r="AD178" s="409"/>
      <c r="AE178" s="403"/>
      <c r="AF178" s="409"/>
      <c r="AG178" s="406"/>
    </row>
    <row r="179" spans="1:33" ht="15.75" thickBot="1" x14ac:dyDescent="0.3">
      <c r="A179" s="361"/>
      <c r="B179" s="363"/>
      <c r="C179" s="48" t="str">
        <f>IF(VLOOKUP(B175,PROPONENTES!$B$10:$N$46,10,FALSE)="","",VLOOKUP(B175,PROPONENTES!$B$10:$N$46,10,FALSE))</f>
        <v/>
      </c>
      <c r="D179" s="49">
        <f>VLOOKUP(B175,PROPONENTES!$B$10:$N$46,11,FALSE)</f>
        <v>0</v>
      </c>
      <c r="E179" s="116"/>
      <c r="F179" s="116"/>
      <c r="G179" s="125" t="str">
        <f>+'33'!E19</f>
        <v/>
      </c>
      <c r="H179" s="126" t="str">
        <f>IF(C179="","",IF(G179&gt;'33'!$J$14*0.4,"SI","NO"))</f>
        <v/>
      </c>
      <c r="I179" s="126">
        <f t="shared" si="253"/>
        <v>0</v>
      </c>
      <c r="J179" s="363"/>
      <c r="K179" s="404"/>
      <c r="L179" s="410"/>
      <c r="M179" s="404"/>
      <c r="N179" s="410"/>
      <c r="O179" s="413"/>
      <c r="P179" s="194"/>
      <c r="Q179" s="413"/>
      <c r="R179" s="404"/>
      <c r="S179" s="198"/>
      <c r="T179" s="374"/>
      <c r="U179" s="146"/>
      <c r="V179" s="146"/>
      <c r="W179" s="146"/>
      <c r="X179" s="146"/>
      <c r="Y179" s="166">
        <f t="shared" si="260"/>
        <v>0</v>
      </c>
      <c r="Z179" s="374"/>
      <c r="AA179" s="146"/>
      <c r="AB179" s="146"/>
      <c r="AC179" s="166">
        <f t="shared" si="262"/>
        <v>0</v>
      </c>
      <c r="AD179" s="410"/>
      <c r="AE179" s="404"/>
      <c r="AF179" s="410"/>
      <c r="AG179" s="407"/>
    </row>
    <row r="180" spans="1:33" ht="15" customHeight="1" x14ac:dyDescent="0.25">
      <c r="A180" s="422">
        <v>34</v>
      </c>
      <c r="B180" s="425" t="str">
        <f>+PROPONENTES!B43</f>
        <v>CONSORCIO INT PARQUES KENNEDY 2024</v>
      </c>
      <c r="C180" s="43" t="str">
        <f>IF(VLOOKUP(B180,PROPONENTES!$B$10:$N$46,2,FALSE)="","",VLOOKUP(B180,PROPONENTES!$B$10:$N$46,2,FALSE))</f>
        <v xml:space="preserve"> EMPRESA DE SERVICIOS PUBLICOS SINERGIA E.S.P S.A.S</v>
      </c>
      <c r="D180" s="44">
        <f>VLOOKUP(B180,PROPONENTES!$B$10:$N$46,3,FALSE)</f>
        <v>0.5</v>
      </c>
      <c r="E180" s="107"/>
      <c r="F180" s="107"/>
      <c r="G180" s="121">
        <f>+'34'!E15</f>
        <v>0</v>
      </c>
      <c r="H180" s="122" t="str">
        <f>IF(C180="","",IF(G180&gt;'34'!$J$14*0.4,"SI","NO"))</f>
        <v>NO</v>
      </c>
      <c r="I180" s="43">
        <f t="shared" si="212"/>
        <v>0</v>
      </c>
      <c r="J180" s="362">
        <f t="shared" ref="J180" si="264">IF((I180+I181+I182+I183+I184)&gt;=1,1,0)</f>
        <v>0</v>
      </c>
      <c r="K180" s="402"/>
      <c r="L180" s="408">
        <f t="shared" ref="L180" si="265">IF(K180="CUMPLE",5,0)</f>
        <v>0</v>
      </c>
      <c r="M180" s="402"/>
      <c r="N180" s="408">
        <f t="shared" ref="N180" si="266">IF(M180="CUMPLE",5,0)</f>
        <v>0</v>
      </c>
      <c r="O180" s="411">
        <f t="shared" ref="O180" si="267">+L180+N180</f>
        <v>0</v>
      </c>
      <c r="P180" s="192"/>
      <c r="Q180" s="411" t="str">
        <f t="shared" ref="Q180" si="268">IF(OR(P180="REPORTADO",P181="REPORTADO",P182="REPORTADO",P183="REPORTADO",P184="REPORTADO"),-1,"0")</f>
        <v>0</v>
      </c>
      <c r="R180" s="402"/>
      <c r="S180" s="197"/>
      <c r="T180" s="414" t="str">
        <f t="shared" ref="T180" si="269">IF(AND(R180="",S180="",S181="",S182="",S183="",S184=""),"",IF(AND(R180="CUMPLE",S180="",S181="",S182="",S183="",S184=""),"",IF(AND(R180="CUMPLE",OR(S180="CUMPLE",S180=""),OR(S181="CUMPLE",S181=""),OR(S182="CUMPLE",S182=""),OR(S183="CUMPLE",S183=""),OR(S184="CUMPLE",S184="")),20,0)))</f>
        <v/>
      </c>
      <c r="U180" s="109"/>
      <c r="V180" s="109"/>
      <c r="W180" s="109"/>
      <c r="X180" s="109"/>
      <c r="Y180" s="164">
        <f t="shared" si="219"/>
        <v>0</v>
      </c>
      <c r="Z180" s="414">
        <f t="shared" ref="Z180" si="270">IF((Y180+Y181+Y182+Y183+Y184)&gt;=0.25,0.25,0)</f>
        <v>0</v>
      </c>
      <c r="AA180" s="109"/>
      <c r="AB180" s="109"/>
      <c r="AC180" s="164">
        <f t="shared" si="221"/>
        <v>0</v>
      </c>
      <c r="AD180" s="408">
        <f t="shared" ref="AD180" si="271">IF((AC180+AC181+AC182+AC183+AC184)&gt;=0.25,0.25,0)</f>
        <v>0</v>
      </c>
      <c r="AE180" s="402"/>
      <c r="AF180" s="408">
        <f t="shared" si="211"/>
        <v>0</v>
      </c>
      <c r="AG180" s="415" t="s">
        <v>309</v>
      </c>
    </row>
    <row r="181" spans="1:33" ht="15" customHeight="1" x14ac:dyDescent="0.25">
      <c r="A181" s="423"/>
      <c r="B181" s="426"/>
      <c r="C181" s="26" t="str">
        <f>IF(VLOOKUP(B180,PROPONENTES!$B$10:$N$46,4,FALSE)="","",VLOOKUP(B180,PROPONENTES!$B$10:$N$46,4,FALSE))</f>
        <v xml:space="preserve"> JOSE WILMER CHILITO RIVADENEIRA</v>
      </c>
      <c r="D181" s="36">
        <f>VLOOKUP(B180,PROPONENTES!$B$10:$N$46,5,FALSE)</f>
        <v>0.5</v>
      </c>
      <c r="E181" s="112"/>
      <c r="F181" s="112"/>
      <c r="G181" s="123">
        <f>+'34'!E16</f>
        <v>0</v>
      </c>
      <c r="H181" s="124" t="str">
        <f>IF(C181="","",IF(G181&gt;'34'!$J$14*0.4,"SI","NO"))</f>
        <v>NO</v>
      </c>
      <c r="I181" s="26">
        <f t="shared" si="212"/>
        <v>0</v>
      </c>
      <c r="J181" s="351"/>
      <c r="K181" s="403"/>
      <c r="L181" s="409"/>
      <c r="M181" s="403"/>
      <c r="N181" s="409"/>
      <c r="O181" s="412"/>
      <c r="P181" s="193"/>
      <c r="Q181" s="412"/>
      <c r="R181" s="403"/>
      <c r="S181" s="114"/>
      <c r="T181" s="373"/>
      <c r="U181" s="114"/>
      <c r="V181" s="114"/>
      <c r="W181" s="114"/>
      <c r="X181" s="114"/>
      <c r="Y181" s="165">
        <f t="shared" si="219"/>
        <v>0</v>
      </c>
      <c r="Z181" s="373"/>
      <c r="AA181" s="114"/>
      <c r="AB181" s="114"/>
      <c r="AC181" s="165">
        <f t="shared" si="221"/>
        <v>0</v>
      </c>
      <c r="AD181" s="409"/>
      <c r="AE181" s="403"/>
      <c r="AF181" s="409"/>
      <c r="AG181" s="416"/>
    </row>
    <row r="182" spans="1:33" x14ac:dyDescent="0.25">
      <c r="A182" s="423"/>
      <c r="B182" s="426"/>
      <c r="C182" s="26" t="str">
        <f>IF(VLOOKUP(B180,PROPONENTES!$B$10:$N$46,6,FALSE)="","",VLOOKUP(B180,PROPONENTES!$B$10:$N$46,6,FALSE))</f>
        <v/>
      </c>
      <c r="D182" s="36">
        <f>VLOOKUP(B180,PROPONENTES!$B$10:$N$46,7,FALSE)</f>
        <v>0</v>
      </c>
      <c r="E182" s="112"/>
      <c r="F182" s="112"/>
      <c r="G182" s="123" t="str">
        <f>+'34'!E17</f>
        <v/>
      </c>
      <c r="H182" s="124" t="str">
        <f>IF(C182="","",IF(G182&gt;'34'!$J$14*0.4,"SI","NO"))</f>
        <v/>
      </c>
      <c r="I182" s="26">
        <f t="shared" si="212"/>
        <v>0</v>
      </c>
      <c r="J182" s="351"/>
      <c r="K182" s="403"/>
      <c r="L182" s="409"/>
      <c r="M182" s="403"/>
      <c r="N182" s="409"/>
      <c r="O182" s="412"/>
      <c r="P182" s="193"/>
      <c r="Q182" s="412"/>
      <c r="R182" s="403"/>
      <c r="S182" s="114"/>
      <c r="T182" s="373"/>
      <c r="U182" s="114"/>
      <c r="V182" s="114"/>
      <c r="W182" s="114"/>
      <c r="X182" s="114"/>
      <c r="Y182" s="165">
        <f t="shared" si="219"/>
        <v>0</v>
      </c>
      <c r="Z182" s="373"/>
      <c r="AA182" s="114"/>
      <c r="AB182" s="114"/>
      <c r="AC182" s="165">
        <f t="shared" si="221"/>
        <v>0</v>
      </c>
      <c r="AD182" s="409"/>
      <c r="AE182" s="403"/>
      <c r="AF182" s="409"/>
      <c r="AG182" s="416"/>
    </row>
    <row r="183" spans="1:33" x14ac:dyDescent="0.25">
      <c r="A183" s="423"/>
      <c r="B183" s="426"/>
      <c r="C183" s="26" t="str">
        <f>IF(VLOOKUP(B180,PROPONENTES!$B$10:$N$46,8,FALSE)="","",VLOOKUP(B180,PROPONENTES!$B$10:$N$46,8,FALSE))</f>
        <v/>
      </c>
      <c r="D183" s="36">
        <f>VLOOKUP(B180,PROPONENTES!$B$10:$N$46,9,FALSE)</f>
        <v>0</v>
      </c>
      <c r="E183" s="112"/>
      <c r="F183" s="112"/>
      <c r="G183" s="123" t="str">
        <f>+'34'!E18</f>
        <v/>
      </c>
      <c r="H183" s="124" t="str">
        <f>IF(C183="","",IF(G183&gt;'34'!$J$14*0.4,"SI","NO"))</f>
        <v/>
      </c>
      <c r="I183" s="124">
        <f t="shared" si="212"/>
        <v>0</v>
      </c>
      <c r="J183" s="351"/>
      <c r="K183" s="403"/>
      <c r="L183" s="409"/>
      <c r="M183" s="403"/>
      <c r="N183" s="409"/>
      <c r="O183" s="412"/>
      <c r="P183" s="193"/>
      <c r="Q183" s="412"/>
      <c r="R183" s="403"/>
      <c r="S183" s="114"/>
      <c r="T183" s="373"/>
      <c r="U183" s="114"/>
      <c r="V183" s="114"/>
      <c r="W183" s="114"/>
      <c r="X183" s="114"/>
      <c r="Y183" s="165">
        <f t="shared" si="219"/>
        <v>0</v>
      </c>
      <c r="Z183" s="373"/>
      <c r="AA183" s="114"/>
      <c r="AB183" s="114"/>
      <c r="AC183" s="165">
        <f t="shared" si="221"/>
        <v>0</v>
      </c>
      <c r="AD183" s="409"/>
      <c r="AE183" s="403"/>
      <c r="AF183" s="409"/>
      <c r="AG183" s="416"/>
    </row>
    <row r="184" spans="1:33" ht="30.75" customHeight="1" thickBot="1" x14ac:dyDescent="0.3">
      <c r="A184" s="424"/>
      <c r="B184" s="427"/>
      <c r="C184" s="48" t="str">
        <f>IF(VLOOKUP(B180,PROPONENTES!$B$10:$N$46,10,FALSE)="","",VLOOKUP(B180,PROPONENTES!$B$10:$N$46,10,FALSE))</f>
        <v/>
      </c>
      <c r="D184" s="49">
        <f>VLOOKUP(B180,PROPONENTES!$B$10:$N$46,11,FALSE)</f>
        <v>0</v>
      </c>
      <c r="E184" s="116"/>
      <c r="F184" s="116"/>
      <c r="G184" s="125" t="str">
        <f>+'34'!E19</f>
        <v/>
      </c>
      <c r="H184" s="126" t="str">
        <f>IF(C184="","",IF(G184&gt;'34'!$J$14*0.4,"SI","NO"))</f>
        <v/>
      </c>
      <c r="I184" s="126">
        <f t="shared" si="212"/>
        <v>0</v>
      </c>
      <c r="J184" s="363"/>
      <c r="K184" s="404"/>
      <c r="L184" s="410"/>
      <c r="M184" s="404"/>
      <c r="N184" s="410"/>
      <c r="O184" s="413"/>
      <c r="P184" s="194"/>
      <c r="Q184" s="413"/>
      <c r="R184" s="404"/>
      <c r="S184" s="198"/>
      <c r="T184" s="374"/>
      <c r="U184" s="146"/>
      <c r="V184" s="146"/>
      <c r="W184" s="146"/>
      <c r="X184" s="146"/>
      <c r="Y184" s="166">
        <f t="shared" si="219"/>
        <v>0</v>
      </c>
      <c r="Z184" s="374"/>
      <c r="AA184" s="146"/>
      <c r="AB184" s="146"/>
      <c r="AC184" s="166">
        <f t="shared" si="221"/>
        <v>0</v>
      </c>
      <c r="AD184" s="410"/>
      <c r="AE184" s="404"/>
      <c r="AF184" s="410"/>
      <c r="AG184" s="417"/>
    </row>
    <row r="185" spans="1:33" ht="30" customHeight="1" x14ac:dyDescent="0.25">
      <c r="A185" s="359">
        <v>35</v>
      </c>
      <c r="B185" s="362" t="str">
        <f>+PROPONENTES!B44</f>
        <v>CONSORCIO INTERKENNEDY EYD</v>
      </c>
      <c r="C185" s="43" t="str">
        <f>IF(VLOOKUP(B185,PROPONENTES!$B$10:$N$46,2,FALSE)="","",VLOOKUP(B185,PROPONENTES!$B$10:$N$46,2,FALSE))</f>
        <v>EIS CONSTRUCTORES SAS</v>
      </c>
      <c r="D185" s="44">
        <f>VLOOKUP(B185,PROPONENTES!$B$10:$N$46,3,FALSE)</f>
        <v>0.5</v>
      </c>
      <c r="E185" s="107" t="s">
        <v>73</v>
      </c>
      <c r="F185" s="107" t="s">
        <v>73</v>
      </c>
      <c r="G185" s="121">
        <f>+'35'!E15</f>
        <v>549.15350000000001</v>
      </c>
      <c r="H185" s="122" t="str">
        <f>IF(C185="","",IF(G185&gt;'35'!$J$14*0.4,"SI","NO"))</f>
        <v>SI</v>
      </c>
      <c r="I185" s="43">
        <f t="shared" ref="I185:I189" si="272">IF(C185="",0,IF(AND(E185="SI",H185="SI",F185="SI"),1,0))</f>
        <v>0</v>
      </c>
      <c r="J185" s="362">
        <f t="shared" ref="J185" si="273">IF((I185+I186+I187+I188+I189)&gt;=1,1,0)</f>
        <v>1</v>
      </c>
      <c r="K185" s="402" t="s">
        <v>14</v>
      </c>
      <c r="L185" s="408">
        <f t="shared" ref="L185" si="274">IF(K185="CUMPLE",5,0)</f>
        <v>5</v>
      </c>
      <c r="M185" s="402" t="s">
        <v>14</v>
      </c>
      <c r="N185" s="408">
        <f t="shared" ref="N185" si="275">IF(M185="CUMPLE",5,0)</f>
        <v>5</v>
      </c>
      <c r="O185" s="411">
        <f t="shared" ref="O185" si="276">+L185+N185</f>
        <v>10</v>
      </c>
      <c r="P185" s="192" t="s">
        <v>110</v>
      </c>
      <c r="Q185" s="411" t="str">
        <f t="shared" ref="Q185" si="277">IF(OR(P185="REPORTADO",P186="REPORTADO",P187="REPORTADO",P188="REPORTADO",P189="REPORTADO"),-1,"0")</f>
        <v>0</v>
      </c>
      <c r="R185" s="402" t="s">
        <v>14</v>
      </c>
      <c r="S185" s="197" t="s">
        <v>14</v>
      </c>
      <c r="T185" s="414">
        <f t="shared" ref="T185" si="278">IF(AND(R185="",S185="",S186="",S187="",S188="",S189=""),"",IF(AND(R185="CUMPLE",S185="",S186="",S187="",S188="",S189=""),"",IF(AND(R185="CUMPLE",OR(S185="CUMPLE",S185=""),OR(S186="CUMPLE",S186=""),OR(S187="CUMPLE",S187=""),OR(S188="CUMPLE",S188=""),OR(S189="CUMPLE",S189="")),20,0)))</f>
        <v>20</v>
      </c>
      <c r="U185" s="109" t="s">
        <v>15</v>
      </c>
      <c r="V185" s="109" t="s">
        <v>13</v>
      </c>
      <c r="W185" s="109" t="s">
        <v>13</v>
      </c>
      <c r="X185" s="109" t="s">
        <v>13</v>
      </c>
      <c r="Y185" s="164">
        <f t="shared" ref="Y185:Y189" si="279">IF(C185="",0,IF(AND(OR(V185="CUMPLE",V185="N/A"),OR(W185="CUMPLE",W185="N/A"),OR(X185="CUMPLE",X185="N/A"),AND(U185="CUMPLE",D185&gt;=10%)),0.25,))</f>
        <v>0</v>
      </c>
      <c r="Z185" s="414">
        <f t="shared" ref="Z185" si="280">IF((Y185+Y186+Y187+Y188+Y189)&gt;=0.25,0.25,0)</f>
        <v>0.25</v>
      </c>
      <c r="AA185" s="109" t="s">
        <v>14</v>
      </c>
      <c r="AB185" s="109" t="s">
        <v>14</v>
      </c>
      <c r="AC185" s="164">
        <f t="shared" ref="AC185:AC189" si="281">IF(C185="",0,IF(AND(AA185="CUMPLE",AB185="CUMPLE",D185&gt;=10%),0.25,0))</f>
        <v>0.25</v>
      </c>
      <c r="AD185" s="408">
        <f t="shared" ref="AD185" si="282">IF((AC185+AC186+AC187+AC188+AC189)&gt;=0.25,0.25,0)</f>
        <v>0.25</v>
      </c>
      <c r="AE185" s="402" t="s">
        <v>14</v>
      </c>
      <c r="AF185" s="408">
        <f t="shared" si="223"/>
        <v>1</v>
      </c>
      <c r="AG185" s="399"/>
    </row>
    <row r="186" spans="1:33" ht="15" customHeight="1" x14ac:dyDescent="0.25">
      <c r="A186" s="360"/>
      <c r="B186" s="351"/>
      <c r="C186" s="26" t="str">
        <f>IF(VLOOKUP(B185,PROPONENTES!$B$10:$N$46,4,FALSE)="","",VLOOKUP(B185,PROPONENTES!$B$10:$N$46,4,FALSE))</f>
        <v xml:space="preserve">DAM SOLUCIONES E INGENIERIA SAS </v>
      </c>
      <c r="D186" s="36">
        <f>VLOOKUP(B185,PROPONENTES!$B$10:$N$46,5,FALSE)</f>
        <v>0.5</v>
      </c>
      <c r="E186" s="112" t="s">
        <v>75</v>
      </c>
      <c r="F186" s="112" t="s">
        <v>75</v>
      </c>
      <c r="G186" s="123">
        <f>+'35'!E16</f>
        <v>2849.3074999999999</v>
      </c>
      <c r="H186" s="124" t="str">
        <f>IF(C186="","",IF(G186&gt;'35'!$J$14*0.4,"SI","NO"))</f>
        <v>SI</v>
      </c>
      <c r="I186" s="26">
        <f t="shared" si="272"/>
        <v>1</v>
      </c>
      <c r="J186" s="351"/>
      <c r="K186" s="403"/>
      <c r="L186" s="409"/>
      <c r="M186" s="403"/>
      <c r="N186" s="409"/>
      <c r="O186" s="412"/>
      <c r="P186" s="193" t="s">
        <v>110</v>
      </c>
      <c r="Q186" s="412"/>
      <c r="R186" s="403"/>
      <c r="S186" s="114" t="s">
        <v>14</v>
      </c>
      <c r="T186" s="373"/>
      <c r="U186" s="114" t="s">
        <v>14</v>
      </c>
      <c r="V186" s="114" t="s">
        <v>13</v>
      </c>
      <c r="W186" s="114" t="s">
        <v>13</v>
      </c>
      <c r="X186" s="114" t="s">
        <v>13</v>
      </c>
      <c r="Y186" s="165">
        <f t="shared" si="279"/>
        <v>0.25</v>
      </c>
      <c r="Z186" s="373"/>
      <c r="AA186" s="114" t="s">
        <v>14</v>
      </c>
      <c r="AB186" s="114" t="s">
        <v>14</v>
      </c>
      <c r="AC186" s="165">
        <f t="shared" si="281"/>
        <v>0.25</v>
      </c>
      <c r="AD186" s="409"/>
      <c r="AE186" s="403"/>
      <c r="AF186" s="409"/>
      <c r="AG186" s="400"/>
    </row>
    <row r="187" spans="1:33" x14ac:dyDescent="0.25">
      <c r="A187" s="360"/>
      <c r="B187" s="351"/>
      <c r="C187" s="26" t="str">
        <f>IF(VLOOKUP(B185,PROPONENTES!$B$10:$N$46,6,FALSE)="","",VLOOKUP(B185,PROPONENTES!$B$10:$N$46,6,FALSE))</f>
        <v/>
      </c>
      <c r="D187" s="36">
        <f>VLOOKUP(B185,PROPONENTES!$B$10:$N$46,7,FALSE)</f>
        <v>0</v>
      </c>
      <c r="E187" s="112"/>
      <c r="F187" s="112"/>
      <c r="G187" s="123" t="str">
        <f>+'35'!E17</f>
        <v/>
      </c>
      <c r="H187" s="124" t="str">
        <f>IF(C187="","",IF(G187&gt;'35'!$J$14*0.4,"SI","NO"))</f>
        <v/>
      </c>
      <c r="I187" s="26">
        <f t="shared" si="272"/>
        <v>0</v>
      </c>
      <c r="J187" s="351"/>
      <c r="K187" s="403"/>
      <c r="L187" s="409"/>
      <c r="M187" s="403"/>
      <c r="N187" s="409"/>
      <c r="O187" s="412"/>
      <c r="P187" s="193"/>
      <c r="Q187" s="412"/>
      <c r="R187" s="403"/>
      <c r="S187" s="114"/>
      <c r="T187" s="373"/>
      <c r="U187" s="114"/>
      <c r="V187" s="114"/>
      <c r="W187" s="114"/>
      <c r="X187" s="114"/>
      <c r="Y187" s="165">
        <f t="shared" si="279"/>
        <v>0</v>
      </c>
      <c r="Z187" s="373"/>
      <c r="AA187" s="114"/>
      <c r="AB187" s="114"/>
      <c r="AC187" s="165">
        <f t="shared" si="281"/>
        <v>0</v>
      </c>
      <c r="AD187" s="409"/>
      <c r="AE187" s="403"/>
      <c r="AF187" s="409"/>
      <c r="AG187" s="400"/>
    </row>
    <row r="188" spans="1:33" x14ac:dyDescent="0.25">
      <c r="A188" s="360"/>
      <c r="B188" s="351"/>
      <c r="C188" s="26" t="str">
        <f>IF(VLOOKUP(B185,PROPONENTES!$B$10:$N$46,8,FALSE)="","",VLOOKUP(B185,PROPONENTES!$B$10:$N$46,8,FALSE))</f>
        <v/>
      </c>
      <c r="D188" s="36">
        <f>VLOOKUP(B185,PROPONENTES!$B$10:$N$46,9,FALSE)</f>
        <v>0</v>
      </c>
      <c r="E188" s="112"/>
      <c r="F188" s="112"/>
      <c r="G188" s="123" t="str">
        <f>+'35'!E18</f>
        <v/>
      </c>
      <c r="H188" s="124" t="str">
        <f>IF(C188="","",IF(G188&gt;'35'!$J$14*0.4,"SI","NO"))</f>
        <v/>
      </c>
      <c r="I188" s="124">
        <f t="shared" si="272"/>
        <v>0</v>
      </c>
      <c r="J188" s="351"/>
      <c r="K188" s="403"/>
      <c r="L188" s="409"/>
      <c r="M188" s="403"/>
      <c r="N188" s="409"/>
      <c r="O188" s="412"/>
      <c r="P188" s="193"/>
      <c r="Q188" s="412"/>
      <c r="R188" s="403"/>
      <c r="S188" s="114"/>
      <c r="T188" s="373"/>
      <c r="U188" s="114"/>
      <c r="V188" s="114"/>
      <c r="W188" s="114"/>
      <c r="X188" s="114"/>
      <c r="Y188" s="165">
        <f t="shared" si="279"/>
        <v>0</v>
      </c>
      <c r="Z188" s="373"/>
      <c r="AA188" s="114"/>
      <c r="AB188" s="114"/>
      <c r="AC188" s="165">
        <f t="shared" si="281"/>
        <v>0</v>
      </c>
      <c r="AD188" s="409"/>
      <c r="AE188" s="403"/>
      <c r="AF188" s="409"/>
      <c r="AG188" s="400"/>
    </row>
    <row r="189" spans="1:33" ht="15.75" customHeight="1" thickBot="1" x14ac:dyDescent="0.3">
      <c r="A189" s="361"/>
      <c r="B189" s="363"/>
      <c r="C189" s="48" t="str">
        <f>IF(VLOOKUP(B185,PROPONENTES!$B$10:$N$46,10,FALSE)="","",VLOOKUP(B185,PROPONENTES!$B$10:$N$46,10,FALSE))</f>
        <v/>
      </c>
      <c r="D189" s="49">
        <f>VLOOKUP(B185,PROPONENTES!$B$10:$N$46,11,FALSE)</f>
        <v>0</v>
      </c>
      <c r="E189" s="116"/>
      <c r="F189" s="116"/>
      <c r="G189" s="125" t="str">
        <f>+'35'!E19</f>
        <v/>
      </c>
      <c r="H189" s="126" t="str">
        <f>IF(C189="","",IF(G189&gt;'35'!$J$14*0.4,"SI","NO"))</f>
        <v/>
      </c>
      <c r="I189" s="126">
        <f t="shared" si="272"/>
        <v>0</v>
      </c>
      <c r="J189" s="363"/>
      <c r="K189" s="404"/>
      <c r="L189" s="410"/>
      <c r="M189" s="404"/>
      <c r="N189" s="410"/>
      <c r="O189" s="413"/>
      <c r="P189" s="194"/>
      <c r="Q189" s="413"/>
      <c r="R189" s="404"/>
      <c r="S189" s="198"/>
      <c r="T189" s="374"/>
      <c r="U189" s="146"/>
      <c r="V189" s="146"/>
      <c r="W189" s="146"/>
      <c r="X189" s="146"/>
      <c r="Y189" s="166">
        <f t="shared" si="279"/>
        <v>0</v>
      </c>
      <c r="Z189" s="374"/>
      <c r="AA189" s="146"/>
      <c r="AB189" s="146"/>
      <c r="AC189" s="166">
        <f t="shared" si="281"/>
        <v>0</v>
      </c>
      <c r="AD189" s="410"/>
      <c r="AE189" s="404"/>
      <c r="AF189" s="410"/>
      <c r="AG189" s="401"/>
    </row>
    <row r="190" spans="1:33" ht="15" customHeight="1" x14ac:dyDescent="0.25">
      <c r="A190" s="359">
        <v>36</v>
      </c>
      <c r="B190" s="362" t="str">
        <f>+PROPONENTES!B45</f>
        <v>CONSORCIO INTER KENNEDY PARQUES</v>
      </c>
      <c r="C190" s="43" t="str">
        <f>IF(VLOOKUP(B190,PROPONENTES!$B$10:$N$46,2,FALSE)="","",VLOOKUP(B190,PROPONENTES!$B$10:$N$46,2,FALSE))</f>
        <v xml:space="preserve">GNG SERVICIOS DE INGENIERÍA S.A.S. </v>
      </c>
      <c r="D190" s="44">
        <f>VLOOKUP(B190,PROPONENTES!$B$10:$N$46,3,FALSE)</f>
        <v>0.6</v>
      </c>
      <c r="E190" s="107" t="s">
        <v>75</v>
      </c>
      <c r="F190" s="107" t="s">
        <v>75</v>
      </c>
      <c r="G190" s="121">
        <f>+'36'!E15</f>
        <v>1099.95</v>
      </c>
      <c r="H190" s="122" t="str">
        <f>IF(C190="","",IF(G190&gt;'36'!$J$14*0.4,"SI","NO"))</f>
        <v>SI</v>
      </c>
      <c r="I190" s="43">
        <f t="shared" si="212"/>
        <v>1</v>
      </c>
      <c r="J190" s="362">
        <f t="shared" ref="J190" si="283">IF((I190+I191+I192+I193+I194)&gt;=1,1,0)</f>
        <v>1</v>
      </c>
      <c r="K190" s="402" t="s">
        <v>14</v>
      </c>
      <c r="L190" s="408">
        <f t="shared" ref="L190" si="284">IF(K190="CUMPLE",5,0)</f>
        <v>5</v>
      </c>
      <c r="M190" s="402" t="s">
        <v>14</v>
      </c>
      <c r="N190" s="408">
        <f t="shared" ref="N190" si="285">IF(M190="CUMPLE",5,0)</f>
        <v>5</v>
      </c>
      <c r="O190" s="411">
        <f t="shared" ref="O190" si="286">+L190+N190</f>
        <v>10</v>
      </c>
      <c r="P190" s="192" t="s">
        <v>110</v>
      </c>
      <c r="Q190" s="411" t="str">
        <f t="shared" ref="Q190" si="287">IF(OR(P190="REPORTADO",P191="REPORTADO",P192="REPORTADO",P193="REPORTADO",P194="REPORTADO"),-1,"0")</f>
        <v>0</v>
      </c>
      <c r="R190" s="402" t="s">
        <v>14</v>
      </c>
      <c r="S190" s="197" t="s">
        <v>14</v>
      </c>
      <c r="T190" s="414">
        <f t="shared" ref="T190" si="288">IF(AND(R190="",S190="",S191="",S192="",S193="",S194=""),"",IF(AND(R190="CUMPLE",S190="",S191="",S192="",S193="",S194=""),"",IF(AND(R190="CUMPLE",OR(S190="CUMPLE",S190=""),OR(S191="CUMPLE",S191=""),OR(S192="CUMPLE",S192=""),OR(S193="CUMPLE",S193=""),OR(S194="CUMPLE",S194="")),20,0)))</f>
        <v>20</v>
      </c>
      <c r="U190" s="109" t="s">
        <v>14</v>
      </c>
      <c r="V190" s="109" t="s">
        <v>13</v>
      </c>
      <c r="W190" s="109" t="s">
        <v>13</v>
      </c>
      <c r="X190" s="109" t="s">
        <v>13</v>
      </c>
      <c r="Y190" s="164">
        <f t="shared" si="219"/>
        <v>0.25</v>
      </c>
      <c r="Z190" s="414">
        <f t="shared" ref="Z190" si="289">IF((Y190+Y191+Y192+Y193+Y194)&gt;=0.25,0.25,0)</f>
        <v>0.25</v>
      </c>
      <c r="AA190" s="109" t="s">
        <v>14</v>
      </c>
      <c r="AB190" s="109" t="s">
        <v>14</v>
      </c>
      <c r="AC190" s="164">
        <f t="shared" si="221"/>
        <v>0.25</v>
      </c>
      <c r="AD190" s="408">
        <f t="shared" ref="AD190" si="290">IF((AC190+AC191+AC192+AC193+AC194)&gt;=0.25,0.25,0)</f>
        <v>0.25</v>
      </c>
      <c r="AE190" s="402" t="s">
        <v>14</v>
      </c>
      <c r="AF190" s="408">
        <f t="shared" si="232"/>
        <v>1</v>
      </c>
      <c r="AG190" s="399"/>
    </row>
    <row r="191" spans="1:33" ht="15" customHeight="1" x14ac:dyDescent="0.25">
      <c r="A191" s="360"/>
      <c r="B191" s="351"/>
      <c r="C191" s="26" t="str">
        <f>IF(VLOOKUP(B190,PROPONENTES!$B$10:$N$46,4,FALSE)="","",VLOOKUP(B190,PROPONENTES!$B$10:$N$46,4,FALSE))</f>
        <v xml:space="preserve">JMELO INGENIERIA DE PROYECTOS SAS </v>
      </c>
      <c r="D191" s="36">
        <f>VLOOKUP(B190,PROPONENTES!$B$10:$N$46,5,FALSE)</f>
        <v>0.4</v>
      </c>
      <c r="E191" s="112" t="s">
        <v>73</v>
      </c>
      <c r="F191" s="112" t="s">
        <v>73</v>
      </c>
      <c r="G191" s="123">
        <f>+'36'!E16</f>
        <v>0</v>
      </c>
      <c r="H191" s="124" t="str">
        <f>IF(C191="","",IF(G191&gt;'36'!$J$14*0.4,"SI","NO"))</f>
        <v>NO</v>
      </c>
      <c r="I191" s="26">
        <f t="shared" si="212"/>
        <v>0</v>
      </c>
      <c r="J191" s="351"/>
      <c r="K191" s="403"/>
      <c r="L191" s="409"/>
      <c r="M191" s="403"/>
      <c r="N191" s="409"/>
      <c r="O191" s="412"/>
      <c r="P191" s="193" t="s">
        <v>110</v>
      </c>
      <c r="Q191" s="412"/>
      <c r="R191" s="403"/>
      <c r="S191" s="114" t="s">
        <v>14</v>
      </c>
      <c r="T191" s="373"/>
      <c r="U191" s="114" t="s">
        <v>15</v>
      </c>
      <c r="V191" s="114" t="s">
        <v>13</v>
      </c>
      <c r="W191" s="114" t="s">
        <v>13</v>
      </c>
      <c r="X191" s="114" t="s">
        <v>13</v>
      </c>
      <c r="Y191" s="165">
        <f t="shared" si="219"/>
        <v>0</v>
      </c>
      <c r="Z191" s="373"/>
      <c r="AA191" s="114" t="s">
        <v>14</v>
      </c>
      <c r="AB191" s="114" t="s">
        <v>14</v>
      </c>
      <c r="AC191" s="165">
        <f t="shared" si="221"/>
        <v>0.25</v>
      </c>
      <c r="AD191" s="409"/>
      <c r="AE191" s="403"/>
      <c r="AF191" s="409"/>
      <c r="AG191" s="400"/>
    </row>
    <row r="192" spans="1:33" x14ac:dyDescent="0.25">
      <c r="A192" s="360"/>
      <c r="B192" s="351"/>
      <c r="C192" s="26" t="str">
        <f>IF(VLOOKUP(B190,PROPONENTES!$B$10:$N$46,6,FALSE)="","",VLOOKUP(B190,PROPONENTES!$B$10:$N$46,6,FALSE))</f>
        <v/>
      </c>
      <c r="D192" s="36">
        <f>VLOOKUP(B190,PROPONENTES!$B$10:$N$46,7,FALSE)</f>
        <v>0</v>
      </c>
      <c r="E192" s="112"/>
      <c r="F192" s="112"/>
      <c r="G192" s="123" t="str">
        <f>+'36'!E17</f>
        <v/>
      </c>
      <c r="H192" s="124" t="str">
        <f>IF(C192="","",IF(G192&gt;'36'!$J$14*0.4,"SI","NO"))</f>
        <v/>
      </c>
      <c r="I192" s="26">
        <f t="shared" si="212"/>
        <v>0</v>
      </c>
      <c r="J192" s="351"/>
      <c r="K192" s="403"/>
      <c r="L192" s="409"/>
      <c r="M192" s="403"/>
      <c r="N192" s="409"/>
      <c r="O192" s="412"/>
      <c r="P192" s="193"/>
      <c r="Q192" s="412"/>
      <c r="R192" s="403"/>
      <c r="S192" s="114"/>
      <c r="T192" s="373"/>
      <c r="U192" s="114"/>
      <c r="V192" s="114"/>
      <c r="W192" s="114"/>
      <c r="X192" s="114"/>
      <c r="Y192" s="165">
        <f t="shared" si="219"/>
        <v>0</v>
      </c>
      <c r="Z192" s="373"/>
      <c r="AA192" s="114"/>
      <c r="AB192" s="114"/>
      <c r="AC192" s="165">
        <f t="shared" si="221"/>
        <v>0</v>
      </c>
      <c r="AD192" s="409"/>
      <c r="AE192" s="403"/>
      <c r="AF192" s="409"/>
      <c r="AG192" s="400"/>
    </row>
    <row r="193" spans="1:33" x14ac:dyDescent="0.25">
      <c r="A193" s="360"/>
      <c r="B193" s="351"/>
      <c r="C193" s="26" t="str">
        <f>IF(VLOOKUP(B190,PROPONENTES!$B$10:$N$46,8,FALSE)="","",VLOOKUP(B190,PROPONENTES!$B$10:$N$46,8,FALSE))</f>
        <v/>
      </c>
      <c r="D193" s="36">
        <f>VLOOKUP(B190,PROPONENTES!$B$10:$N$46,9,FALSE)</f>
        <v>0</v>
      </c>
      <c r="E193" s="112"/>
      <c r="F193" s="112"/>
      <c r="G193" s="123" t="str">
        <f>+'36'!E18</f>
        <v/>
      </c>
      <c r="H193" s="124" t="str">
        <f>IF(C193="","",IF(G193&gt;'36'!$J$14*0.4,"SI","NO"))</f>
        <v/>
      </c>
      <c r="I193" s="124">
        <f t="shared" si="212"/>
        <v>0</v>
      </c>
      <c r="J193" s="351"/>
      <c r="K193" s="403"/>
      <c r="L193" s="409"/>
      <c r="M193" s="403"/>
      <c r="N193" s="409"/>
      <c r="O193" s="412"/>
      <c r="P193" s="193"/>
      <c r="Q193" s="412"/>
      <c r="R193" s="403"/>
      <c r="S193" s="114"/>
      <c r="T193" s="373"/>
      <c r="U193" s="114"/>
      <c r="V193" s="114"/>
      <c r="W193" s="114"/>
      <c r="X193" s="114"/>
      <c r="Y193" s="165">
        <f t="shared" si="219"/>
        <v>0</v>
      </c>
      <c r="Z193" s="373"/>
      <c r="AA193" s="114"/>
      <c r="AB193" s="114"/>
      <c r="AC193" s="165">
        <f t="shared" si="221"/>
        <v>0</v>
      </c>
      <c r="AD193" s="409"/>
      <c r="AE193" s="403"/>
      <c r="AF193" s="409"/>
      <c r="AG193" s="400"/>
    </row>
    <row r="194" spans="1:33" ht="15.75" thickBot="1" x14ac:dyDescent="0.3">
      <c r="A194" s="361"/>
      <c r="B194" s="363"/>
      <c r="C194" s="48" t="str">
        <f>IF(VLOOKUP(B190,PROPONENTES!$B$10:$N$46,10,FALSE)="","",VLOOKUP(B190,PROPONENTES!$B$10:$N$46,10,FALSE))</f>
        <v/>
      </c>
      <c r="D194" s="49">
        <f>VLOOKUP(B190,PROPONENTES!$B$10:$N$46,11,FALSE)</f>
        <v>0</v>
      </c>
      <c r="E194" s="116"/>
      <c r="F194" s="116"/>
      <c r="G194" s="125" t="str">
        <f>+'36'!E19</f>
        <v/>
      </c>
      <c r="H194" s="126" t="str">
        <f>IF(C194="","",IF(G194&gt;'36'!$J$14*0.4,"SI","NO"))</f>
        <v/>
      </c>
      <c r="I194" s="126">
        <f t="shared" si="212"/>
        <v>0</v>
      </c>
      <c r="J194" s="363"/>
      <c r="K194" s="404"/>
      <c r="L194" s="410"/>
      <c r="M194" s="404"/>
      <c r="N194" s="410"/>
      <c r="O194" s="413"/>
      <c r="P194" s="194"/>
      <c r="Q194" s="413"/>
      <c r="R194" s="404"/>
      <c r="S194" s="198"/>
      <c r="T194" s="374"/>
      <c r="U194" s="146"/>
      <c r="V194" s="146"/>
      <c r="W194" s="146"/>
      <c r="X194" s="146"/>
      <c r="Y194" s="166">
        <f t="shared" si="219"/>
        <v>0</v>
      </c>
      <c r="Z194" s="374"/>
      <c r="AA194" s="146"/>
      <c r="AB194" s="146"/>
      <c r="AC194" s="166">
        <f t="shared" si="221"/>
        <v>0</v>
      </c>
      <c r="AD194" s="410"/>
      <c r="AE194" s="404"/>
      <c r="AF194" s="410"/>
      <c r="AG194" s="401"/>
    </row>
    <row r="195" spans="1:33" x14ac:dyDescent="0.25">
      <c r="A195" s="359">
        <v>37</v>
      </c>
      <c r="B195" s="362" t="str">
        <f>+PROPONENTES!B46</f>
        <v>JCB CONSULTORIA S.A.S</v>
      </c>
      <c r="C195" s="43" t="str">
        <f>IF(VLOOKUP(B195,PROPONENTES!$B$10:$N$46,2,FALSE)="","",VLOOKUP(B195,PROPONENTES!$B$10:$N$46,2,FALSE))</f>
        <v>JCB CONSULTORIA S.A.S</v>
      </c>
      <c r="D195" s="44">
        <f>VLOOKUP(B195,PROPONENTES!$B$10:$N$46,3,FALSE)</f>
        <v>1</v>
      </c>
      <c r="E195" s="107" t="s">
        <v>75</v>
      </c>
      <c r="F195" s="107" t="s">
        <v>75</v>
      </c>
      <c r="G195" s="121">
        <f>+'37'!E15</f>
        <v>1271.2325000000001</v>
      </c>
      <c r="H195" s="122" t="str">
        <f>IF(C195="","",IF(G195&gt;'37'!$J$14*0.4,"SI","NO"))</f>
        <v>SI</v>
      </c>
      <c r="I195" s="43">
        <f t="shared" si="151"/>
        <v>1</v>
      </c>
      <c r="J195" s="362">
        <f t="shared" ref="J195" si="291">IF((I195+I196+I197+I198+I199)&gt;=1,1,0)</f>
        <v>1</v>
      </c>
      <c r="K195" s="402" t="s">
        <v>14</v>
      </c>
      <c r="L195" s="408">
        <f t="shared" ref="L195" si="292">IF(K195="CUMPLE",5,0)</f>
        <v>5</v>
      </c>
      <c r="M195" s="402" t="s">
        <v>14</v>
      </c>
      <c r="N195" s="408">
        <f t="shared" ref="N195" si="293">IF(M195="CUMPLE",5,0)</f>
        <v>5</v>
      </c>
      <c r="O195" s="411">
        <f t="shared" ref="O195" si="294">+L195+N195</f>
        <v>10</v>
      </c>
      <c r="P195" s="192" t="s">
        <v>110</v>
      </c>
      <c r="Q195" s="411" t="str">
        <f t="shared" ref="Q195" si="295">IF(OR(P195="REPORTADO",P196="REPORTADO",P197="REPORTADO",P198="REPORTADO",P199="REPORTADO"),-1,"0")</f>
        <v>0</v>
      </c>
      <c r="R195" s="402" t="s">
        <v>14</v>
      </c>
      <c r="S195" s="197" t="s">
        <v>14</v>
      </c>
      <c r="T195" s="414">
        <f t="shared" si="157"/>
        <v>20</v>
      </c>
      <c r="U195" s="109" t="s">
        <v>14</v>
      </c>
      <c r="V195" s="109" t="s">
        <v>13</v>
      </c>
      <c r="W195" s="109" t="s">
        <v>13</v>
      </c>
      <c r="X195" s="109" t="s">
        <v>13</v>
      </c>
      <c r="Y195" s="164">
        <f t="shared" si="192"/>
        <v>0.25</v>
      </c>
      <c r="Z195" s="414">
        <f t="shared" si="158"/>
        <v>0.25</v>
      </c>
      <c r="AA195" s="109" t="s">
        <v>14</v>
      </c>
      <c r="AB195" s="109" t="s">
        <v>14</v>
      </c>
      <c r="AC195" s="164">
        <f t="shared" si="193"/>
        <v>0.25</v>
      </c>
      <c r="AD195" s="408">
        <f t="shared" si="159"/>
        <v>0.25</v>
      </c>
      <c r="AE195" s="402" t="s">
        <v>14</v>
      </c>
      <c r="AF195" s="408">
        <f t="shared" ref="AF195" si="296">IF(AE195="CUMPLE",1,0)</f>
        <v>1</v>
      </c>
      <c r="AG195" s="399"/>
    </row>
    <row r="196" spans="1:33" x14ac:dyDescent="0.25">
      <c r="A196" s="360"/>
      <c r="B196" s="351"/>
      <c r="C196" s="26" t="str">
        <f>IF(VLOOKUP(B195,PROPONENTES!$B$10:$N$46,4,FALSE)="","",VLOOKUP(B195,PROPONENTES!$B$10:$N$46,4,FALSE))</f>
        <v/>
      </c>
      <c r="D196" s="36">
        <f>VLOOKUP(B195,PROPONENTES!$B$10:$N$46,5,FALSE)</f>
        <v>0</v>
      </c>
      <c r="E196" s="112"/>
      <c r="F196" s="112"/>
      <c r="G196" s="123" t="str">
        <f>+'37'!E16</f>
        <v/>
      </c>
      <c r="H196" s="124" t="str">
        <f>IF(C196="","",IF(G196&gt;'37'!$J$14*0.4,"SI","NO"))</f>
        <v/>
      </c>
      <c r="I196" s="26">
        <f t="shared" si="151"/>
        <v>0</v>
      </c>
      <c r="J196" s="351"/>
      <c r="K196" s="403"/>
      <c r="L196" s="409"/>
      <c r="M196" s="403"/>
      <c r="N196" s="409"/>
      <c r="O196" s="412"/>
      <c r="P196" s="193"/>
      <c r="Q196" s="412"/>
      <c r="R196" s="403"/>
      <c r="S196" s="114"/>
      <c r="T196" s="373"/>
      <c r="U196" s="114"/>
      <c r="V196" s="114"/>
      <c r="W196" s="114"/>
      <c r="X196" s="114"/>
      <c r="Y196" s="165">
        <f t="shared" si="192"/>
        <v>0</v>
      </c>
      <c r="Z196" s="373"/>
      <c r="AA196" s="114"/>
      <c r="AB196" s="114"/>
      <c r="AC196" s="165">
        <f t="shared" si="193"/>
        <v>0</v>
      </c>
      <c r="AD196" s="409"/>
      <c r="AE196" s="403"/>
      <c r="AF196" s="409"/>
      <c r="AG196" s="400"/>
    </row>
    <row r="197" spans="1:33" x14ac:dyDescent="0.25">
      <c r="A197" s="360"/>
      <c r="B197" s="351"/>
      <c r="C197" s="26" t="str">
        <f>IF(VLOOKUP(B195,PROPONENTES!$B$10:$N$46,6,FALSE)="","",VLOOKUP(B195,PROPONENTES!$B$10:$N$46,6,FALSE))</f>
        <v/>
      </c>
      <c r="D197" s="36">
        <f>VLOOKUP(B195,PROPONENTES!$B$10:$N$46,7,FALSE)</f>
        <v>0</v>
      </c>
      <c r="E197" s="112"/>
      <c r="F197" s="112"/>
      <c r="G197" s="123" t="str">
        <f>+'37'!E17</f>
        <v/>
      </c>
      <c r="H197" s="124" t="str">
        <f>IF(C197="","",IF(G197&gt;'37'!$J$14*0.4,"SI","NO"))</f>
        <v/>
      </c>
      <c r="I197" s="26">
        <f t="shared" si="151"/>
        <v>0</v>
      </c>
      <c r="J197" s="351"/>
      <c r="K197" s="403"/>
      <c r="L197" s="409"/>
      <c r="M197" s="403"/>
      <c r="N197" s="409"/>
      <c r="O197" s="412"/>
      <c r="P197" s="193"/>
      <c r="Q197" s="412"/>
      <c r="R197" s="403"/>
      <c r="S197" s="114"/>
      <c r="T197" s="373"/>
      <c r="U197" s="114"/>
      <c r="V197" s="114"/>
      <c r="W197" s="114"/>
      <c r="X197" s="114"/>
      <c r="Y197" s="165">
        <f t="shared" si="192"/>
        <v>0</v>
      </c>
      <c r="Z197" s="373"/>
      <c r="AA197" s="114"/>
      <c r="AB197" s="114"/>
      <c r="AC197" s="165">
        <f t="shared" si="193"/>
        <v>0</v>
      </c>
      <c r="AD197" s="409"/>
      <c r="AE197" s="403"/>
      <c r="AF197" s="409"/>
      <c r="AG197" s="400"/>
    </row>
    <row r="198" spans="1:33" x14ac:dyDescent="0.25">
      <c r="A198" s="360"/>
      <c r="B198" s="351"/>
      <c r="C198" s="26" t="str">
        <f>IF(VLOOKUP(B195,PROPONENTES!$B$10:$N$46,8,FALSE)="","",VLOOKUP(B195,PROPONENTES!$B$10:$N$46,8,FALSE))</f>
        <v/>
      </c>
      <c r="D198" s="36">
        <f>VLOOKUP(B195,PROPONENTES!$B$10:$N$46,9,FALSE)</f>
        <v>0</v>
      </c>
      <c r="E198" s="112"/>
      <c r="F198" s="112"/>
      <c r="G198" s="123" t="str">
        <f>+'37'!E18</f>
        <v/>
      </c>
      <c r="H198" s="124" t="str">
        <f>IF(C198="","",IF(G198&gt;'37'!$J$14*0.4,"SI","NO"))</f>
        <v/>
      </c>
      <c r="I198" s="124">
        <f t="shared" si="151"/>
        <v>0</v>
      </c>
      <c r="J198" s="351"/>
      <c r="K198" s="403"/>
      <c r="L198" s="409"/>
      <c r="M198" s="403"/>
      <c r="N198" s="409"/>
      <c r="O198" s="412"/>
      <c r="P198" s="193"/>
      <c r="Q198" s="412"/>
      <c r="R198" s="403"/>
      <c r="S198" s="114"/>
      <c r="T198" s="373"/>
      <c r="U198" s="114"/>
      <c r="V198" s="114"/>
      <c r="W198" s="114"/>
      <c r="X198" s="114"/>
      <c r="Y198" s="165">
        <f t="shared" si="192"/>
        <v>0</v>
      </c>
      <c r="Z198" s="373"/>
      <c r="AA198" s="114"/>
      <c r="AB198" s="114"/>
      <c r="AC198" s="165">
        <f t="shared" si="193"/>
        <v>0</v>
      </c>
      <c r="AD198" s="409"/>
      <c r="AE198" s="403"/>
      <c r="AF198" s="409"/>
      <c r="AG198" s="400"/>
    </row>
    <row r="199" spans="1:33" ht="15.75" thickBot="1" x14ac:dyDescent="0.3">
      <c r="A199" s="361"/>
      <c r="B199" s="363"/>
      <c r="C199" s="48" t="str">
        <f>IF(VLOOKUP(B195,PROPONENTES!$B$10:$N$46,10,FALSE)="","",VLOOKUP(B195,PROPONENTES!$B$10:$N$46,10,FALSE))</f>
        <v/>
      </c>
      <c r="D199" s="49">
        <f>VLOOKUP(B195,PROPONENTES!$B$10:$N$46,11,FALSE)</f>
        <v>0</v>
      </c>
      <c r="E199" s="116"/>
      <c r="F199" s="116"/>
      <c r="G199" s="125" t="str">
        <f>+'37'!E19</f>
        <v/>
      </c>
      <c r="H199" s="126" t="str">
        <f>IF(C199="","",IF(G199&gt;'37'!$J$14*0.4,"SI","NO"))</f>
        <v/>
      </c>
      <c r="I199" s="126">
        <f t="shared" si="151"/>
        <v>0</v>
      </c>
      <c r="J199" s="363"/>
      <c r="K199" s="404"/>
      <c r="L199" s="410"/>
      <c r="M199" s="404"/>
      <c r="N199" s="410"/>
      <c r="O199" s="413"/>
      <c r="P199" s="194"/>
      <c r="Q199" s="413"/>
      <c r="R199" s="404"/>
      <c r="S199" s="198"/>
      <c r="T199" s="374"/>
      <c r="U199" s="146"/>
      <c r="V199" s="146"/>
      <c r="W199" s="146"/>
      <c r="X199" s="146"/>
      <c r="Y199" s="166">
        <f t="shared" si="192"/>
        <v>0</v>
      </c>
      <c r="Z199" s="374"/>
      <c r="AA199" s="146"/>
      <c r="AB199" s="146"/>
      <c r="AC199" s="166">
        <f t="shared" si="193"/>
        <v>0</v>
      </c>
      <c r="AD199" s="410"/>
      <c r="AE199" s="404"/>
      <c r="AF199" s="410"/>
      <c r="AG199" s="401"/>
    </row>
  </sheetData>
  <mergeCells count="622">
    <mergeCell ref="AG195:AG199"/>
    <mergeCell ref="J195:J199"/>
    <mergeCell ref="Q195:Q199"/>
    <mergeCell ref="AF195:AF199"/>
    <mergeCell ref="T140:T144"/>
    <mergeCell ref="Z140:Z144"/>
    <mergeCell ref="AD140:AD144"/>
    <mergeCell ref="AG140:AG144"/>
    <mergeCell ref="J145:J149"/>
    <mergeCell ref="K145:K149"/>
    <mergeCell ref="L145:L149"/>
    <mergeCell ref="M145:M149"/>
    <mergeCell ref="N145:N149"/>
    <mergeCell ref="O145:O149"/>
    <mergeCell ref="Q145:Q149"/>
    <mergeCell ref="R145:R149"/>
    <mergeCell ref="T145:T149"/>
    <mergeCell ref="Z145:Z149"/>
    <mergeCell ref="AD145:AD149"/>
    <mergeCell ref="AG145:AG149"/>
    <mergeCell ref="J140:J144"/>
    <mergeCell ref="K140:K144"/>
    <mergeCell ref="L140:L144"/>
    <mergeCell ref="M140:M144"/>
    <mergeCell ref="N140:N144"/>
    <mergeCell ref="O140:O144"/>
    <mergeCell ref="Q140:Q144"/>
    <mergeCell ref="R140:R144"/>
    <mergeCell ref="T130:T134"/>
    <mergeCell ref="Z130:Z134"/>
    <mergeCell ref="AD130:AD134"/>
    <mergeCell ref="J135:J139"/>
    <mergeCell ref="L135:L139"/>
    <mergeCell ref="N135:N139"/>
    <mergeCell ref="O135:O139"/>
    <mergeCell ref="Q135:Q139"/>
    <mergeCell ref="T135:T139"/>
    <mergeCell ref="Z135:Z139"/>
    <mergeCell ref="AD135:AD139"/>
    <mergeCell ref="J130:J134"/>
    <mergeCell ref="L130:L134"/>
    <mergeCell ref="Z120:Z124"/>
    <mergeCell ref="AD120:AD124"/>
    <mergeCell ref="AG120:AG124"/>
    <mergeCell ref="J125:J129"/>
    <mergeCell ref="L125:L129"/>
    <mergeCell ref="N125:N129"/>
    <mergeCell ref="O125:O129"/>
    <mergeCell ref="Q125:Q129"/>
    <mergeCell ref="T125:T129"/>
    <mergeCell ref="Z125:Z129"/>
    <mergeCell ref="AD125:AD129"/>
    <mergeCell ref="J120:J124"/>
    <mergeCell ref="K120:K124"/>
    <mergeCell ref="L120:L124"/>
    <mergeCell ref="M120:M124"/>
    <mergeCell ref="N120:N124"/>
    <mergeCell ref="O120:O124"/>
    <mergeCell ref="Q120:Q124"/>
    <mergeCell ref="R120:R124"/>
    <mergeCell ref="AG125:AG129"/>
    <mergeCell ref="Z110:Z114"/>
    <mergeCell ref="AD110:AD114"/>
    <mergeCell ref="AG110:AG114"/>
    <mergeCell ref="J115:J119"/>
    <mergeCell ref="K115:K119"/>
    <mergeCell ref="L115:L119"/>
    <mergeCell ref="M115:M119"/>
    <mergeCell ref="N115:N119"/>
    <mergeCell ref="O115:O119"/>
    <mergeCell ref="Q115:Q119"/>
    <mergeCell ref="R115:R119"/>
    <mergeCell ref="T115:T119"/>
    <mergeCell ref="Z115:Z119"/>
    <mergeCell ref="AD115:AD119"/>
    <mergeCell ref="AG115:AG119"/>
    <mergeCell ref="J110:J114"/>
    <mergeCell ref="K110:K114"/>
    <mergeCell ref="L110:L114"/>
    <mergeCell ref="M110:M114"/>
    <mergeCell ref="N110:N114"/>
    <mergeCell ref="O110:O114"/>
    <mergeCell ref="Q110:Q114"/>
    <mergeCell ref="R110:R114"/>
    <mergeCell ref="A125:A129"/>
    <mergeCell ref="A130:A134"/>
    <mergeCell ref="A135:A139"/>
    <mergeCell ref="A140:A144"/>
    <mergeCell ref="A145:A149"/>
    <mergeCell ref="A195:A199"/>
    <mergeCell ref="B115:B119"/>
    <mergeCell ref="B120:B124"/>
    <mergeCell ref="B125:B129"/>
    <mergeCell ref="B130:B134"/>
    <mergeCell ref="B135:B139"/>
    <mergeCell ref="B140:B144"/>
    <mergeCell ref="B145:B149"/>
    <mergeCell ref="B195:B199"/>
    <mergeCell ref="A150:A154"/>
    <mergeCell ref="B150:B154"/>
    <mergeCell ref="A180:A184"/>
    <mergeCell ref="B180:B184"/>
    <mergeCell ref="A170:A174"/>
    <mergeCell ref="B170:B174"/>
    <mergeCell ref="A160:A164"/>
    <mergeCell ref="B160:B164"/>
    <mergeCell ref="T30:T34"/>
    <mergeCell ref="R15:R19"/>
    <mergeCell ref="R20:R24"/>
    <mergeCell ref="R25:R29"/>
    <mergeCell ref="R30:R34"/>
    <mergeCell ref="B110:B114"/>
    <mergeCell ref="A110:A114"/>
    <mergeCell ref="A115:A119"/>
    <mergeCell ref="A120:A124"/>
    <mergeCell ref="T110:T114"/>
    <mergeCell ref="T120:T124"/>
    <mergeCell ref="N30:N34"/>
    <mergeCell ref="M30:M34"/>
    <mergeCell ref="L30:L34"/>
    <mergeCell ref="K30:K34"/>
    <mergeCell ref="Q30:Q34"/>
    <mergeCell ref="AG15:AG19"/>
    <mergeCell ref="AG30:AG34"/>
    <mergeCell ref="AG35:AG39"/>
    <mergeCell ref="AG45:AG49"/>
    <mergeCell ref="AG20:AG24"/>
    <mergeCell ref="AG40:AG44"/>
    <mergeCell ref="AG25:AG29"/>
    <mergeCell ref="T15:T19"/>
    <mergeCell ref="O30:O34"/>
    <mergeCell ref="T35:T39"/>
    <mergeCell ref="T40:T44"/>
    <mergeCell ref="T45:T49"/>
    <mergeCell ref="T20:T24"/>
    <mergeCell ref="O15:O19"/>
    <mergeCell ref="O45:O49"/>
    <mergeCell ref="O40:O44"/>
    <mergeCell ref="O20:O24"/>
    <mergeCell ref="O25:O29"/>
    <mergeCell ref="T25:T29"/>
    <mergeCell ref="E13:J13"/>
    <mergeCell ref="D13:D14"/>
    <mergeCell ref="C13:C14"/>
    <mergeCell ref="J15:J19"/>
    <mergeCell ref="L15:L19"/>
    <mergeCell ref="A15:A19"/>
    <mergeCell ref="B15:B19"/>
    <mergeCell ref="N20:N24"/>
    <mergeCell ref="N25:N29"/>
    <mergeCell ref="A20:A24"/>
    <mergeCell ref="B20:B24"/>
    <mergeCell ref="A25:A29"/>
    <mergeCell ref="B25:B29"/>
    <mergeCell ref="L25:L29"/>
    <mergeCell ref="K20:K24"/>
    <mergeCell ref="K25:K29"/>
    <mergeCell ref="M20:M24"/>
    <mergeCell ref="M25:M29"/>
    <mergeCell ref="J20:J24"/>
    <mergeCell ref="L20:L24"/>
    <mergeCell ref="K13:O13"/>
    <mergeCell ref="K15:K19"/>
    <mergeCell ref="M15:M19"/>
    <mergeCell ref="N15:N19"/>
    <mergeCell ref="A30:A34"/>
    <mergeCell ref="B30:B34"/>
    <mergeCell ref="J25:J29"/>
    <mergeCell ref="J30:J34"/>
    <mergeCell ref="AG13:AG14"/>
    <mergeCell ref="A2:AG2"/>
    <mergeCell ref="A4:AG4"/>
    <mergeCell ref="A5:AG5"/>
    <mergeCell ref="I6:AG6"/>
    <mergeCell ref="A7:AG7"/>
    <mergeCell ref="C8:AG8"/>
    <mergeCell ref="I9:AG9"/>
    <mergeCell ref="I10:AG10"/>
    <mergeCell ref="A3:AG3"/>
    <mergeCell ref="A12:AG12"/>
    <mergeCell ref="A9:B9"/>
    <mergeCell ref="C9:E9"/>
    <mergeCell ref="A8:B8"/>
    <mergeCell ref="A6:B6"/>
    <mergeCell ref="D6:G6"/>
    <mergeCell ref="A10:B10"/>
    <mergeCell ref="C10:E10"/>
    <mergeCell ref="R13:T13"/>
    <mergeCell ref="P13:Q13"/>
    <mergeCell ref="U13:Z13"/>
    <mergeCell ref="AA13:AD13"/>
    <mergeCell ref="B13:B14"/>
    <mergeCell ref="A13:A14"/>
    <mergeCell ref="AG50:AG54"/>
    <mergeCell ref="A50:A54"/>
    <mergeCell ref="B50:B54"/>
    <mergeCell ref="J50:J54"/>
    <mergeCell ref="K50:K54"/>
    <mergeCell ref="L50:L54"/>
    <mergeCell ref="M50:M54"/>
    <mergeCell ref="A45:A49"/>
    <mergeCell ref="B45:B49"/>
    <mergeCell ref="J45:J49"/>
    <mergeCell ref="K45:K49"/>
    <mergeCell ref="L45:L49"/>
    <mergeCell ref="R50:R54"/>
    <mergeCell ref="M45:M49"/>
    <mergeCell ref="N45:N49"/>
    <mergeCell ref="R45:R49"/>
    <mergeCell ref="AD50:AD54"/>
    <mergeCell ref="Q15:Q19"/>
    <mergeCell ref="Q20:Q24"/>
    <mergeCell ref="Q25:Q29"/>
    <mergeCell ref="K55:K59"/>
    <mergeCell ref="L55:L59"/>
    <mergeCell ref="M55:M59"/>
    <mergeCell ref="N55:N59"/>
    <mergeCell ref="O55:O59"/>
    <mergeCell ref="A40:A44"/>
    <mergeCell ref="B40:B44"/>
    <mergeCell ref="J40:J44"/>
    <mergeCell ref="A35:A39"/>
    <mergeCell ref="B35:B39"/>
    <mergeCell ref="N50:N54"/>
    <mergeCell ref="O50:O54"/>
    <mergeCell ref="K35:K39"/>
    <mergeCell ref="K40:K44"/>
    <mergeCell ref="L40:L44"/>
    <mergeCell ref="O35:O39"/>
    <mergeCell ref="J35:J39"/>
    <mergeCell ref="M35:M39"/>
    <mergeCell ref="L35:L39"/>
    <mergeCell ref="M40:M44"/>
    <mergeCell ref="N35:N39"/>
    <mergeCell ref="N40:N44"/>
    <mergeCell ref="AG55:AG59"/>
    <mergeCell ref="AG60:AG64"/>
    <mergeCell ref="A65:A69"/>
    <mergeCell ref="B65:B69"/>
    <mergeCell ref="J65:J69"/>
    <mergeCell ref="K65:K69"/>
    <mergeCell ref="L65:L69"/>
    <mergeCell ref="M65:M69"/>
    <mergeCell ref="N65:N69"/>
    <mergeCell ref="O65:O69"/>
    <mergeCell ref="T65:T69"/>
    <mergeCell ref="AG65:AG69"/>
    <mergeCell ref="M60:M64"/>
    <mergeCell ref="N60:N64"/>
    <mergeCell ref="O60:O64"/>
    <mergeCell ref="T60:T64"/>
    <mergeCell ref="A60:A64"/>
    <mergeCell ref="B60:B64"/>
    <mergeCell ref="J60:J64"/>
    <mergeCell ref="K60:K64"/>
    <mergeCell ref="L60:L64"/>
    <mergeCell ref="A55:A59"/>
    <mergeCell ref="B55:B59"/>
    <mergeCell ref="J55:J59"/>
    <mergeCell ref="AG70:AG74"/>
    <mergeCell ref="A75:A79"/>
    <mergeCell ref="B75:B79"/>
    <mergeCell ref="J75:J79"/>
    <mergeCell ref="K75:K79"/>
    <mergeCell ref="L75:L79"/>
    <mergeCell ref="M75:M79"/>
    <mergeCell ref="N75:N79"/>
    <mergeCell ref="O75:O79"/>
    <mergeCell ref="T75:T79"/>
    <mergeCell ref="AG75:AG79"/>
    <mergeCell ref="M70:M74"/>
    <mergeCell ref="N70:N74"/>
    <mergeCell ref="O70:O74"/>
    <mergeCell ref="T70:T74"/>
    <mergeCell ref="A70:A74"/>
    <mergeCell ref="B70:B74"/>
    <mergeCell ref="J70:J74"/>
    <mergeCell ref="K70:K74"/>
    <mergeCell ref="L70:L74"/>
    <mergeCell ref="Q70:Q74"/>
    <mergeCell ref="Q75:Q79"/>
    <mergeCell ref="AG85:AG89"/>
    <mergeCell ref="M80:M84"/>
    <mergeCell ref="N80:N84"/>
    <mergeCell ref="O80:O84"/>
    <mergeCell ref="T80:T84"/>
    <mergeCell ref="A80:A84"/>
    <mergeCell ref="B80:B84"/>
    <mergeCell ref="J80:J84"/>
    <mergeCell ref="K80:K84"/>
    <mergeCell ref="L80:L84"/>
    <mergeCell ref="Q80:Q84"/>
    <mergeCell ref="Q85:Q89"/>
    <mergeCell ref="R85:R89"/>
    <mergeCell ref="A85:A89"/>
    <mergeCell ref="B85:B89"/>
    <mergeCell ref="J85:J89"/>
    <mergeCell ref="K85:K89"/>
    <mergeCell ref="L85:L89"/>
    <mergeCell ref="M85:M89"/>
    <mergeCell ref="N85:N89"/>
    <mergeCell ref="O85:O89"/>
    <mergeCell ref="T85:T89"/>
    <mergeCell ref="M90:M94"/>
    <mergeCell ref="N90:N94"/>
    <mergeCell ref="O90:O94"/>
    <mergeCell ref="T90:T94"/>
    <mergeCell ref="A90:A94"/>
    <mergeCell ref="B90:B94"/>
    <mergeCell ref="J90:J94"/>
    <mergeCell ref="K90:K94"/>
    <mergeCell ref="L90:L94"/>
    <mergeCell ref="Q90:Q94"/>
    <mergeCell ref="R90:R94"/>
    <mergeCell ref="B95:B99"/>
    <mergeCell ref="J95:J99"/>
    <mergeCell ref="K95:K99"/>
    <mergeCell ref="L95:L99"/>
    <mergeCell ref="M95:M99"/>
    <mergeCell ref="N95:N99"/>
    <mergeCell ref="O95:O99"/>
    <mergeCell ref="T95:T99"/>
    <mergeCell ref="AG95:AG99"/>
    <mergeCell ref="AD95:AD99"/>
    <mergeCell ref="R95:R99"/>
    <mergeCell ref="Q95:Q99"/>
    <mergeCell ref="F9:G9"/>
    <mergeCell ref="F10:G10"/>
    <mergeCell ref="AG100:AG104"/>
    <mergeCell ref="A105:A109"/>
    <mergeCell ref="B105:B109"/>
    <mergeCell ref="J105:J109"/>
    <mergeCell ref="K105:K109"/>
    <mergeCell ref="L105:L109"/>
    <mergeCell ref="M105:M109"/>
    <mergeCell ref="N105:N109"/>
    <mergeCell ref="O105:O109"/>
    <mergeCell ref="T105:T109"/>
    <mergeCell ref="AG105:AG109"/>
    <mergeCell ref="M100:M104"/>
    <mergeCell ref="N100:N104"/>
    <mergeCell ref="O100:O104"/>
    <mergeCell ref="T100:T104"/>
    <mergeCell ref="A100:A104"/>
    <mergeCell ref="B100:B104"/>
    <mergeCell ref="J100:J104"/>
    <mergeCell ref="K100:K104"/>
    <mergeCell ref="L100:L104"/>
    <mergeCell ref="AG90:AG94"/>
    <mergeCell ref="A95:A99"/>
    <mergeCell ref="Q65:Q69"/>
    <mergeCell ref="Q35:Q39"/>
    <mergeCell ref="Q40:Q44"/>
    <mergeCell ref="Q45:Q49"/>
    <mergeCell ref="Q50:Q54"/>
    <mergeCell ref="Q55:Q59"/>
    <mergeCell ref="Q60:Q64"/>
    <mergeCell ref="Q100:Q104"/>
    <mergeCell ref="Q105:Q109"/>
    <mergeCell ref="R100:R104"/>
    <mergeCell ref="R105:R109"/>
    <mergeCell ref="R55:R59"/>
    <mergeCell ref="R60:R64"/>
    <mergeCell ref="R65:R69"/>
    <mergeCell ref="R70:R74"/>
    <mergeCell ref="R75:R79"/>
    <mergeCell ref="R35:R39"/>
    <mergeCell ref="R40:R44"/>
    <mergeCell ref="R80:R84"/>
    <mergeCell ref="AD15:AD19"/>
    <mergeCell ref="AD20:AD24"/>
    <mergeCell ref="AD25:AD29"/>
    <mergeCell ref="AD30:AD34"/>
    <mergeCell ref="AD35:AD39"/>
    <mergeCell ref="AD40:AD44"/>
    <mergeCell ref="AD45:AD49"/>
    <mergeCell ref="Z15:Z19"/>
    <mergeCell ref="Z20:Z24"/>
    <mergeCell ref="Z25:Z29"/>
    <mergeCell ref="Z30:Z34"/>
    <mergeCell ref="Z35:Z39"/>
    <mergeCell ref="Z40:Z44"/>
    <mergeCell ref="Z45:Z49"/>
    <mergeCell ref="T55:T59"/>
    <mergeCell ref="T50:T54"/>
    <mergeCell ref="AD100:AD104"/>
    <mergeCell ref="AD105:AD109"/>
    <mergeCell ref="Z95:Z99"/>
    <mergeCell ref="Z100:Z104"/>
    <mergeCell ref="Z105:Z109"/>
    <mergeCell ref="AD55:AD59"/>
    <mergeCell ref="AD60:AD64"/>
    <mergeCell ref="AD65:AD69"/>
    <mergeCell ref="AD70:AD74"/>
    <mergeCell ref="AD75:AD79"/>
    <mergeCell ref="AD80:AD84"/>
    <mergeCell ref="AD85:AD89"/>
    <mergeCell ref="Z60:Z64"/>
    <mergeCell ref="Z65:Z69"/>
    <mergeCell ref="Z70:Z74"/>
    <mergeCell ref="Z75:Z79"/>
    <mergeCell ref="Z80:Z84"/>
    <mergeCell ref="Z85:Z89"/>
    <mergeCell ref="Z90:Z94"/>
    <mergeCell ref="AD90:AD94"/>
    <mergeCell ref="Z50:Z54"/>
    <mergeCell ref="Z55:Z59"/>
    <mergeCell ref="A155:A159"/>
    <mergeCell ref="B155:B159"/>
    <mergeCell ref="J155:J159"/>
    <mergeCell ref="K155:K159"/>
    <mergeCell ref="L155:L159"/>
    <mergeCell ref="M155:M159"/>
    <mergeCell ref="N155:N159"/>
    <mergeCell ref="O155:O159"/>
    <mergeCell ref="Q155:Q159"/>
    <mergeCell ref="R195:R199"/>
    <mergeCell ref="AE195:AE199"/>
    <mergeCell ref="K195:K199"/>
    <mergeCell ref="L195:L199"/>
    <mergeCell ref="M195:M199"/>
    <mergeCell ref="N195:N199"/>
    <mergeCell ref="O195:O199"/>
    <mergeCell ref="AE185:AE189"/>
    <mergeCell ref="AE190:AE194"/>
    <mergeCell ref="T195:T199"/>
    <mergeCell ref="Z195:Z199"/>
    <mergeCell ref="AD195:AD199"/>
    <mergeCell ref="Z190:Z194"/>
    <mergeCell ref="AD190:AD194"/>
    <mergeCell ref="AG150:AG154"/>
    <mergeCell ref="A190:A194"/>
    <mergeCell ref="B190:B194"/>
    <mergeCell ref="J190:J194"/>
    <mergeCell ref="K190:K194"/>
    <mergeCell ref="L190:L194"/>
    <mergeCell ref="M190:M194"/>
    <mergeCell ref="N190:N194"/>
    <mergeCell ref="J150:J154"/>
    <mergeCell ref="K150:K154"/>
    <mergeCell ref="L150:L154"/>
    <mergeCell ref="M150:M154"/>
    <mergeCell ref="N150:N154"/>
    <mergeCell ref="O150:O154"/>
    <mergeCell ref="Q150:Q154"/>
    <mergeCell ref="R150:R154"/>
    <mergeCell ref="T150:T154"/>
    <mergeCell ref="AE180:AE184"/>
    <mergeCell ref="AE165:AE169"/>
    <mergeCell ref="R155:R159"/>
    <mergeCell ref="T155:T159"/>
    <mergeCell ref="Z155:Z159"/>
    <mergeCell ref="AD155:AD159"/>
    <mergeCell ref="AG155:AG159"/>
    <mergeCell ref="O190:O194"/>
    <mergeCell ref="Q190:Q194"/>
    <mergeCell ref="R190:R194"/>
    <mergeCell ref="T190:T194"/>
    <mergeCell ref="AG190:AG194"/>
    <mergeCell ref="A185:A189"/>
    <mergeCell ref="B185:B189"/>
    <mergeCell ref="J185:J189"/>
    <mergeCell ref="K185:K189"/>
    <mergeCell ref="L185:L189"/>
    <mergeCell ref="M185:M189"/>
    <mergeCell ref="N185:N189"/>
    <mergeCell ref="O185:O189"/>
    <mergeCell ref="Q185:Q189"/>
    <mergeCell ref="R185:R189"/>
    <mergeCell ref="T185:T189"/>
    <mergeCell ref="Z185:Z189"/>
    <mergeCell ref="AD185:AD189"/>
    <mergeCell ref="AG185:AG189"/>
    <mergeCell ref="AF185:AF189"/>
    <mergeCell ref="AF190:AF194"/>
    <mergeCell ref="Z180:Z184"/>
    <mergeCell ref="AD180:AD184"/>
    <mergeCell ref="AG180:AG184"/>
    <mergeCell ref="A175:A179"/>
    <mergeCell ref="B175:B179"/>
    <mergeCell ref="J175:J179"/>
    <mergeCell ref="L175:L179"/>
    <mergeCell ref="N175:N179"/>
    <mergeCell ref="O175:O179"/>
    <mergeCell ref="Q175:Q179"/>
    <mergeCell ref="T175:T179"/>
    <mergeCell ref="Z175:Z179"/>
    <mergeCell ref="AD175:AD179"/>
    <mergeCell ref="AF175:AF179"/>
    <mergeCell ref="AF180:AF184"/>
    <mergeCell ref="J180:J184"/>
    <mergeCell ref="K180:K184"/>
    <mergeCell ref="L180:L184"/>
    <mergeCell ref="M180:M184"/>
    <mergeCell ref="N180:N184"/>
    <mergeCell ref="O180:O184"/>
    <mergeCell ref="Q180:Q184"/>
    <mergeCell ref="R180:R184"/>
    <mergeCell ref="T180:T184"/>
    <mergeCell ref="AG165:AG169"/>
    <mergeCell ref="AF165:AF169"/>
    <mergeCell ref="AF170:AF174"/>
    <mergeCell ref="J170:J174"/>
    <mergeCell ref="L170:L174"/>
    <mergeCell ref="N170:N174"/>
    <mergeCell ref="O170:O174"/>
    <mergeCell ref="Q170:Q174"/>
    <mergeCell ref="T170:T174"/>
    <mergeCell ref="Z170:Z174"/>
    <mergeCell ref="AD170:AD174"/>
    <mergeCell ref="A165:A169"/>
    <mergeCell ref="B165:B169"/>
    <mergeCell ref="J165:J169"/>
    <mergeCell ref="K165:K169"/>
    <mergeCell ref="L165:L169"/>
    <mergeCell ref="M165:M169"/>
    <mergeCell ref="N165:N169"/>
    <mergeCell ref="O165:O169"/>
    <mergeCell ref="Q165:Q169"/>
    <mergeCell ref="R165:R169"/>
    <mergeCell ref="T165:T169"/>
    <mergeCell ref="Z165:Z169"/>
    <mergeCell ref="AD165:AD169"/>
    <mergeCell ref="J160:J164"/>
    <mergeCell ref="K160:K164"/>
    <mergeCell ref="L160:L164"/>
    <mergeCell ref="M160:M164"/>
    <mergeCell ref="N160:N164"/>
    <mergeCell ref="O160:O164"/>
    <mergeCell ref="Q160:Q164"/>
    <mergeCell ref="R160:R164"/>
    <mergeCell ref="T160:T164"/>
    <mergeCell ref="Z160:Z164"/>
    <mergeCell ref="AD160:AD164"/>
    <mergeCell ref="AG160:AG164"/>
    <mergeCell ref="AE15:AE19"/>
    <mergeCell ref="AF15:AF19"/>
    <mergeCell ref="AE20:AE24"/>
    <mergeCell ref="AF20:AF24"/>
    <mergeCell ref="AE25:AE29"/>
    <mergeCell ref="AF25:AF29"/>
    <mergeCell ref="AE30:AE34"/>
    <mergeCell ref="AF30:AF34"/>
    <mergeCell ref="AE35:AE39"/>
    <mergeCell ref="AF35:AF39"/>
    <mergeCell ref="AE40:AE44"/>
    <mergeCell ref="AF40:AF44"/>
    <mergeCell ref="AE45:AE49"/>
    <mergeCell ref="AF45:AF49"/>
    <mergeCell ref="AE50:AE54"/>
    <mergeCell ref="AF50:AF54"/>
    <mergeCell ref="AE55:AE59"/>
    <mergeCell ref="AF55:AF59"/>
    <mergeCell ref="AE60:AE64"/>
    <mergeCell ref="AF60:AF64"/>
    <mergeCell ref="AE65:AE69"/>
    <mergeCell ref="AF65:AF69"/>
    <mergeCell ref="AE70:AE74"/>
    <mergeCell ref="AF70:AF74"/>
    <mergeCell ref="AE75:AE79"/>
    <mergeCell ref="AF75:AF79"/>
    <mergeCell ref="AF80:AF84"/>
    <mergeCell ref="AE85:AE89"/>
    <mergeCell ref="AF85:AF89"/>
    <mergeCell ref="AE80:AE84"/>
    <mergeCell ref="AE90:AE94"/>
    <mergeCell ref="AF90:AF94"/>
    <mergeCell ref="AE95:AE99"/>
    <mergeCell ref="AF95:AF99"/>
    <mergeCell ref="AE100:AE104"/>
    <mergeCell ref="AF100:AF104"/>
    <mergeCell ref="AE105:AE109"/>
    <mergeCell ref="AF105:AF109"/>
    <mergeCell ref="AE110:AE114"/>
    <mergeCell ref="AF110:AF114"/>
    <mergeCell ref="AE160:AE164"/>
    <mergeCell ref="AF160:AF164"/>
    <mergeCell ref="AE115:AE119"/>
    <mergeCell ref="AF115:AF119"/>
    <mergeCell ref="AE120:AE124"/>
    <mergeCell ref="AF120:AF124"/>
    <mergeCell ref="AF125:AF129"/>
    <mergeCell ref="AF130:AF134"/>
    <mergeCell ref="AF135:AF139"/>
    <mergeCell ref="AE125:AE129"/>
    <mergeCell ref="AE130:AE134"/>
    <mergeCell ref="AE135:AE139"/>
    <mergeCell ref="Q130:Q134"/>
    <mergeCell ref="AE140:AE144"/>
    <mergeCell ref="AF140:AF144"/>
    <mergeCell ref="AE145:AE149"/>
    <mergeCell ref="AF145:AF149"/>
    <mergeCell ref="AE150:AE154"/>
    <mergeCell ref="AF150:AF154"/>
    <mergeCell ref="AE155:AE159"/>
    <mergeCell ref="AF155:AF159"/>
    <mergeCell ref="Z150:Z154"/>
    <mergeCell ref="AD150:AD154"/>
    <mergeCell ref="AG80:AG84"/>
    <mergeCell ref="K175:K179"/>
    <mergeCell ref="K170:K174"/>
    <mergeCell ref="M175:M179"/>
    <mergeCell ref="M170:M174"/>
    <mergeCell ref="R170:R174"/>
    <mergeCell ref="R175:R179"/>
    <mergeCell ref="AE175:AE179"/>
    <mergeCell ref="AE170:AE174"/>
    <mergeCell ref="AG175:AG179"/>
    <mergeCell ref="AG170:AG174"/>
    <mergeCell ref="AG130:AG134"/>
    <mergeCell ref="AG135:AG139"/>
    <mergeCell ref="K125:K129"/>
    <mergeCell ref="K135:K139"/>
    <mergeCell ref="K130:K134"/>
    <mergeCell ref="M125:M129"/>
    <mergeCell ref="M135:M139"/>
    <mergeCell ref="M130:M134"/>
    <mergeCell ref="R130:R134"/>
    <mergeCell ref="R125:R129"/>
    <mergeCell ref="R135:R139"/>
    <mergeCell ref="N130:N134"/>
    <mergeCell ref="O130:O134"/>
  </mergeCells>
  <pageMargins left="0.70866141732283472" right="0.70866141732283472" top="0.74803149606299213" bottom="0.74803149606299213" header="0.31496062992125984" footer="0.31496062992125984"/>
  <pageSetup paperSize="5" scale="17" orientation="landscape" r:id="rId1"/>
  <rowBreaks count="1" manualBreakCount="1">
    <brk id="34" max="16383" man="1"/>
  </rowBreak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2100-00003B000000}">
          <x14:formula1>
            <xm:f>'DATOS INICIALES'!$C$45:$C$46</xm:f>
          </x14:formula1>
          <xm:sqref>E15:F29 E180:F184 E80:F154</xm:sqref>
        </x14:dataValidation>
        <x14:dataValidation type="list" allowBlank="1" showInputMessage="1" showErrorMessage="1" xr:uid="{00000000-0002-0000-2100-00003C000000}">
          <x14:formula1>
            <xm:f>'DATOS INICIALES'!$A$50:$A$51</xm:f>
          </x14:formula1>
          <xm:sqref>K15 M20 M25 R130 R135 R120 R15 M15 M110 AE15 AE20 AE25 R80 M80 M85 M90 M95 M100 M105 M115 M120 K120 M125 M130 M135 R20 R25 R95 AE125 AE130 S80:S139 M170 M175 M180 AE95 AE100 R90 AE105 K20 K25 AE135 R170 R175 R180 AE80 AE85 AE90 R85 S15:S29 S170:S184 K80 K85 K90 K95 K100 K105 K110 R125 K115 K125 K130 K135 R100 R105 R110 AE170 AE175 AE180 K170 K175 K180 R115</xm:sqref>
        </x14:dataValidation>
        <x14:dataValidation type="list" allowBlank="1" showInputMessage="1" showErrorMessage="1" xr:uid="{00000000-0002-0000-2100-00003D000000}">
          <x14:formula1>
            <xm:f>'DATOS INICIALES'!$A$50:$A$52</xm:f>
          </x14:formula1>
          <xm:sqref>U170:X184 U15:X29 AA15:AB29 AA170:AB184 U80:X109 U125:X139 AA125:AB139 AA80:AB109</xm:sqref>
        </x14:dataValidation>
        <x14:dataValidation type="list" allowBlank="1" showInputMessage="1" showErrorMessage="1" xr:uid="{00000000-0002-0000-2100-00003E000000}">
          <x14:formula1>
            <xm:f>'DATOS INICIALES'!$C$50:$C$51</xm:f>
          </x14:formula1>
          <xm:sqref>P15:P29 P170:P184 P80:P139</xm:sqref>
        </x14:dataValidation>
      </x14:dataValidation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M51"/>
  <sheetViews>
    <sheetView view="pageBreakPreview" zoomScale="70" zoomScaleNormal="80" zoomScaleSheetLayoutView="70" workbookViewId="0">
      <pane ySplit="9" topLeftCell="A18" activePane="bottomLeft" state="frozenSplit"/>
      <selection pane="bottomLeft" activeCell="H17" sqref="H17"/>
    </sheetView>
    <sheetView workbookViewId="1">
      <selection sqref="A1:M1"/>
    </sheetView>
  </sheetViews>
  <sheetFormatPr baseColWidth="10" defaultColWidth="11.42578125" defaultRowHeight="15" x14ac:dyDescent="0.25"/>
  <cols>
    <col min="1" max="1" width="7.42578125" style="14" customWidth="1"/>
    <col min="2" max="2" width="52.7109375" customWidth="1"/>
    <col min="3" max="3" width="22.7109375" style="15" customWidth="1"/>
    <col min="4" max="5" width="23.5703125" style="67" customWidth="1"/>
    <col min="6" max="8" width="23.85546875" customWidth="1"/>
    <col min="9" max="9" width="23.85546875" hidden="1" customWidth="1"/>
    <col min="10" max="12" width="23.85546875" customWidth="1"/>
    <col min="13" max="13" width="28.5703125" customWidth="1"/>
    <col min="15" max="15" width="11.42578125" customWidth="1"/>
  </cols>
  <sheetData>
    <row r="1" spans="1:13" x14ac:dyDescent="0.25">
      <c r="A1" s="393"/>
      <c r="B1" s="393"/>
      <c r="C1" s="393"/>
      <c r="D1" s="393"/>
      <c r="E1" s="393"/>
      <c r="F1" s="393"/>
      <c r="G1" s="393"/>
      <c r="H1" s="393"/>
      <c r="I1" s="393"/>
      <c r="J1" s="393"/>
      <c r="K1" s="393"/>
      <c r="L1" s="393"/>
      <c r="M1" s="393"/>
    </row>
    <row r="2" spans="1:13" ht="24.75" customHeight="1" x14ac:dyDescent="0.25">
      <c r="A2" s="395" t="s">
        <v>0</v>
      </c>
      <c r="B2" s="395"/>
      <c r="C2" s="395"/>
      <c r="D2" s="395"/>
      <c r="E2" s="395"/>
      <c r="F2" s="395"/>
      <c r="G2" s="395"/>
      <c r="H2" s="395"/>
      <c r="I2" s="395"/>
      <c r="J2" s="395"/>
      <c r="K2" s="395"/>
      <c r="L2" s="395"/>
      <c r="M2" s="395"/>
    </row>
    <row r="3" spans="1:13" ht="8.4499999999999993" customHeight="1" x14ac:dyDescent="0.25">
      <c r="A3" s="393"/>
      <c r="B3" s="393"/>
      <c r="C3" s="393"/>
      <c r="D3" s="393"/>
      <c r="E3" s="393"/>
      <c r="F3" s="393"/>
      <c r="G3" s="393"/>
      <c r="H3" s="393"/>
      <c r="I3" s="393"/>
      <c r="J3" s="393"/>
      <c r="K3" s="393"/>
      <c r="L3" s="393"/>
      <c r="M3" s="393"/>
    </row>
    <row r="4" spans="1:13" ht="73.5" customHeight="1" x14ac:dyDescent="0.25">
      <c r="A4" s="393"/>
      <c r="B4" s="393"/>
      <c r="C4" s="395" t="s">
        <v>25</v>
      </c>
      <c r="D4" s="395"/>
      <c r="E4" s="71"/>
      <c r="F4" s="455" t="str">
        <f>'DATOS INICIALES'!D2</f>
        <v xml:space="preserve">REALIZAR LA INTERVENTORÍA TÉCNICA, ADMINISTRATIVA, FINANCIERA, JURÍDICA, AMBIENTAL, SOCIAL Y DE SEGURIDAD Y SALUD EN EL TRABAJO AL CONTRATO DE OBRA PÚBLICA RESULTANTE DEL PROCESO DE LICITACIÓN PÚBLICA No. FDLK-LP-013-2024 CUYO OBJETO ES: CONTRATAR POR EL SISTEMA DE PRECIOS UNITARIOS A MONTO AGOTABLE EL DIAGNÓSTICO, MANTENIMIENTO CORRECTIVO Y PREVENTIVO, SUMINISTRO E INSTALACION DE MOBILIARIO DE LOS PARQUES DE PROXIMIDAD (VECINALES Y DE BOLSILLO) PRIORIZADOS EN LA LOCALIDAD DE KENNEDY </v>
      </c>
      <c r="G4" s="456"/>
      <c r="H4" s="456"/>
      <c r="I4" s="456"/>
      <c r="J4" s="456"/>
      <c r="K4" s="456"/>
      <c r="L4" s="456"/>
      <c r="M4" s="457"/>
    </row>
    <row r="5" spans="1:13" ht="55.5" customHeight="1" x14ac:dyDescent="0.25">
      <c r="A5" s="393"/>
      <c r="B5" s="393"/>
      <c r="C5" s="395" t="s">
        <v>26</v>
      </c>
      <c r="D5" s="395"/>
      <c r="E5" s="71"/>
      <c r="F5" s="458" t="str">
        <f>'DATOS INICIALES'!G4</f>
        <v xml:space="preserve"> FDLK-CMA-003-2024</v>
      </c>
      <c r="G5" s="459"/>
      <c r="H5" s="459"/>
      <c r="I5" s="459"/>
      <c r="J5" s="459"/>
      <c r="K5" s="459"/>
      <c r="L5" s="460"/>
      <c r="M5" s="19">
        <f>'DATOS INICIALES'!C5</f>
        <v>526819451</v>
      </c>
    </row>
    <row r="6" spans="1:13" ht="7.5" customHeight="1" x14ac:dyDescent="0.25">
      <c r="A6" s="453"/>
      <c r="B6" s="394"/>
      <c r="C6" s="394"/>
      <c r="D6" s="394"/>
      <c r="E6" s="394"/>
      <c r="F6" s="394"/>
      <c r="G6" s="394"/>
      <c r="H6" s="394"/>
      <c r="I6" s="394"/>
      <c r="J6" s="394"/>
      <c r="K6" s="394"/>
      <c r="L6" s="394"/>
      <c r="M6" s="454"/>
    </row>
    <row r="7" spans="1:13" ht="21.75" customHeight="1" x14ac:dyDescent="0.25">
      <c r="A7" s="395" t="str">
        <f>CONCATENATE("RESUMEN DE EVALUACIÓN PUNTAJE - ",'DATOS INICIALES'!G4)</f>
        <v>RESUMEN DE EVALUACIÓN PUNTAJE -  FDLK-CMA-003-2024</v>
      </c>
      <c r="B7" s="395"/>
      <c r="C7" s="395"/>
      <c r="D7" s="395"/>
      <c r="E7" s="395"/>
      <c r="F7" s="395"/>
      <c r="G7" s="395"/>
      <c r="H7" s="395"/>
      <c r="I7" s="395"/>
      <c r="J7" s="395"/>
      <c r="K7" s="395"/>
      <c r="L7" s="395"/>
      <c r="M7" s="395"/>
    </row>
    <row r="8" spans="1:13" ht="8.25" customHeight="1" x14ac:dyDescent="0.25">
      <c r="A8" s="453"/>
      <c r="B8" s="394"/>
      <c r="C8" s="394"/>
      <c r="D8" s="394"/>
      <c r="E8" s="394"/>
      <c r="F8" s="394"/>
      <c r="G8" s="394"/>
      <c r="H8" s="394"/>
      <c r="I8" s="394"/>
      <c r="J8" s="394"/>
      <c r="K8" s="394"/>
      <c r="L8" s="394"/>
      <c r="M8" s="454"/>
    </row>
    <row r="9" spans="1:13" s="3" customFormat="1" ht="75" customHeight="1" x14ac:dyDescent="0.25">
      <c r="A9" s="68" t="s">
        <v>77</v>
      </c>
      <c r="B9" s="68" t="s">
        <v>27</v>
      </c>
      <c r="C9" s="68" t="s">
        <v>115</v>
      </c>
      <c r="D9" s="68" t="s">
        <v>190</v>
      </c>
      <c r="E9" s="68" t="s">
        <v>191</v>
      </c>
      <c r="F9" s="68" t="s">
        <v>114</v>
      </c>
      <c r="G9" s="68" t="s">
        <v>192</v>
      </c>
      <c r="H9" s="68" t="s">
        <v>175</v>
      </c>
      <c r="I9" s="68"/>
      <c r="J9" s="68" t="s">
        <v>213</v>
      </c>
      <c r="K9" s="68" t="s">
        <v>304</v>
      </c>
      <c r="L9" s="68" t="s">
        <v>116</v>
      </c>
      <c r="M9" s="68" t="s">
        <v>117</v>
      </c>
    </row>
    <row r="10" spans="1:13" ht="6.75" customHeight="1" x14ac:dyDescent="0.25">
      <c r="D10"/>
      <c r="E10"/>
    </row>
    <row r="11" spans="1:13" ht="23.25" customHeight="1" x14ac:dyDescent="0.25">
      <c r="A11" s="34">
        <v>1</v>
      </c>
      <c r="B11" s="17" t="str">
        <f>+PROPONENTES!B10</f>
        <v>SOLIUN INGENIERIA SAS</v>
      </c>
      <c r="C11" s="18" t="str">
        <f>CONSOLIDADO!I11</f>
        <v>HABILITADO</v>
      </c>
      <c r="D11" s="184">
        <f>IF(C11="HABILITADO",IF('PUNTAJE EXP'!$B$1="MEDIANA CON VALOR ABSOLUTO",'PUNTAJE EXP'!E7,IF('PUNTAJE EXP'!$B$1="MEDIA GEOMETRICA",'PUNTAJE EXP'!G7,IF('PUNTAJE EXP'!$B$1="MEDIA ARITMETICA ALTA",'PUNTAJE EXP'!I7,IF('PUNTAJE EXP'!$B$1="MEDIA ARITMETICA BAJA",'PUNTAJE EXP'!#REF!,)))),"INHABILITADO")</f>
        <v>52.201279078946243</v>
      </c>
      <c r="E11" s="184">
        <f>IF(C11="HABILITADO",VLOOKUP(B11,PUNTAJE!$B$15:$AD$109,14,FALSE),"INHABILITADO")</f>
        <v>10</v>
      </c>
      <c r="F11" s="185">
        <f>IF(C11="HABILITADO",VLOOKUP(B11,PUNTAJE!$B$15:$AD$109,19,FALSE),"INHABILITADO")</f>
        <v>20</v>
      </c>
      <c r="G11" s="185">
        <f>IF(C11="HABILITADO",VLOOKUP(B11,PUNTAJE!$B$15:$AD$109,9,FALSE),"INHABILITADO")</f>
        <v>1</v>
      </c>
      <c r="H11" s="185">
        <f>IF(C11="HABILITADO",VLOOKUP(B11,PUNTAJE!$B$15:$AD$109,25,FALSE),"INHABILITADO")</f>
        <v>0.25</v>
      </c>
      <c r="I11" s="185"/>
      <c r="J11" s="185" t="str">
        <f>IF(C11="HABILITADO",PUNTAJE!Q15,"INHABILITADO")</f>
        <v>0</v>
      </c>
      <c r="K11" s="185">
        <f>IF(C11="HABILITADO",VLOOKUP(B11,PUNTAJE!$B$15:$AG$109,31,FALSE),"INHABILITADO")</f>
        <v>1</v>
      </c>
      <c r="L11" s="186">
        <f>SUM(D11:K11)</f>
        <v>84.451279078946243</v>
      </c>
      <c r="M11" s="18">
        <f t="shared" ref="M11:M36" si="0">RANK(L11,$L$11:$L$47,0)</f>
        <v>14</v>
      </c>
    </row>
    <row r="12" spans="1:13" ht="23.25" customHeight="1" x14ac:dyDescent="0.25">
      <c r="A12" s="34">
        <v>2</v>
      </c>
      <c r="B12" s="17" t="str">
        <f>+PROPONENTES!B11</f>
        <v>VELNEC S.A.</v>
      </c>
      <c r="C12" s="18" t="str">
        <f>CONSOLIDADO!I12</f>
        <v>HABILITADO</v>
      </c>
      <c r="D12" s="184">
        <f>IF(C12="HABILITADO",IF('PUNTAJE EXP'!$B$1="MEDIANA CON VALOR ABSOLUTO",'PUNTAJE EXP'!E8,IF('PUNTAJE EXP'!$B$1="MEDIA GEOMETRICA",'PUNTAJE EXP'!G8,IF('PUNTAJE EXP'!$B$1="MEDIA ARITMETICA ALTA",'PUNTAJE EXP'!I8,IF('PUNTAJE EXP'!$B$1="MEDIA ARITMETICA BAJA",'PUNTAJE EXP'!#REF!,)))),"INHABILITADO")</f>
        <v>46.852562409011448</v>
      </c>
      <c r="E12" s="184">
        <f>IF(C12="HABILITADO",VLOOKUP(B12,PUNTAJE!$B$15:$AD$109,14,FALSE),"INHABILITADO")</f>
        <v>10</v>
      </c>
      <c r="F12" s="185">
        <f>IF(C12="HABILITADO",VLOOKUP(B12,PUNTAJE!$B$15:$AD$109,19,FALSE),"INHABILITADO")</f>
        <v>20</v>
      </c>
      <c r="G12" s="185">
        <f>IF(C12="HABILITADO",VLOOKUP(B12,PUNTAJE!$B$15:$AD$109,9,FALSE),"INHABILITADO")</f>
        <v>1</v>
      </c>
      <c r="H12" s="185">
        <f>IF(C12="HABILITADO",VLOOKUP(B12,PUNTAJE!$B$15:$AD$109,25,FALSE),"INHABILITADO")</f>
        <v>0.25</v>
      </c>
      <c r="I12" s="185"/>
      <c r="J12" s="185" t="str">
        <f>IF(C12="HABILITADO",PUNTAJE!Q20,"INHABILITADO")</f>
        <v>0</v>
      </c>
      <c r="K12" s="185">
        <f>IF(C12="HABILITADO",VLOOKUP(B12,PUNTAJE!$B$15:$AG$109,31,FALSE),"INHABILITADO")</f>
        <v>1</v>
      </c>
      <c r="L12" s="186">
        <f t="shared" ref="L12:L47" si="1">SUM(D12:K12)</f>
        <v>79.102562409011455</v>
      </c>
      <c r="M12" s="18">
        <f t="shared" si="0"/>
        <v>16</v>
      </c>
    </row>
    <row r="13" spans="1:13" ht="23.25" customHeight="1" x14ac:dyDescent="0.25">
      <c r="A13" s="34">
        <v>3</v>
      </c>
      <c r="B13" s="17" t="str">
        <f>+PROPONENTES!B12</f>
        <v>ARQUITECTURA URBANA LTDA</v>
      </c>
      <c r="C13" s="18" t="str">
        <f>CONSOLIDADO!I13</f>
        <v>HABILITADO</v>
      </c>
      <c r="D13" s="184">
        <f>IF(C13="HABILITADO",IF('PUNTAJE EXP'!$B$1="MEDIANA CON VALOR ABSOLUTO",'PUNTAJE EXP'!E9,IF('PUNTAJE EXP'!$B$1="MEDIA GEOMETRICA",'PUNTAJE EXP'!G9,IF('PUNTAJE EXP'!$B$1="MEDIA ARITMETICA ALTA",'PUNTAJE EXP'!I9,IF('PUNTAJE EXP'!$B$1="MEDIA ARITMETICA BAJA",'PUNTAJE EXP'!#REF!,)))),"INHABILITADO")</f>
        <v>63.142550859696989</v>
      </c>
      <c r="E13" s="184">
        <f>IF(C13="HABILITADO",VLOOKUP(B13,PUNTAJE!$B$15:$AD$109,14,FALSE),"INHABILITADO")</f>
        <v>10</v>
      </c>
      <c r="F13" s="185">
        <f>IF(C13="HABILITADO",VLOOKUP(B13,PUNTAJE!$B$15:$AD$109,19,FALSE),"INHABILITADO")</f>
        <v>20</v>
      </c>
      <c r="G13" s="185">
        <f>IF(C13="HABILITADO",VLOOKUP(B13,PUNTAJE!$B$15:$AD$109,9,FALSE),"INHABILITADO")</f>
        <v>1</v>
      </c>
      <c r="H13" s="185">
        <f>IF(C13="HABILITADO",VLOOKUP(B13,PUNTAJE!$B$15:$AD$109,25,FALSE),"INHABILITADO")</f>
        <v>0.25</v>
      </c>
      <c r="I13" s="185"/>
      <c r="J13" s="185" t="str">
        <f>IF(C13="HABILITADO",PUNTAJE!Q25,"INHABILITADO")</f>
        <v>0</v>
      </c>
      <c r="K13" s="185">
        <f>IF(C13="HABILITADO",VLOOKUP(B13,PUNTAJE!$B$15:$AG$109,31,FALSE),"INHABILITADO")</f>
        <v>1</v>
      </c>
      <c r="L13" s="186">
        <f t="shared" si="1"/>
        <v>95.392550859696996</v>
      </c>
      <c r="M13" s="18">
        <f t="shared" si="0"/>
        <v>6</v>
      </c>
    </row>
    <row r="14" spans="1:13" ht="23.25" customHeight="1" x14ac:dyDescent="0.25">
      <c r="A14" s="209">
        <v>4</v>
      </c>
      <c r="B14" s="210" t="str">
        <f>+PROPONENTES!B13</f>
        <v>ABDO JOSÉ SALGADO AYOLA</v>
      </c>
      <c r="C14" s="211" t="str">
        <f>CONSOLIDADO!I14</f>
        <v>RECHAZADO</v>
      </c>
      <c r="D14" s="212" t="str">
        <f>IF(C14="HABILITADO",IF('PUNTAJE EXP'!$B$1="MEDIANA CON VALOR ABSOLUTO",'PUNTAJE EXP'!E10,IF('PUNTAJE EXP'!$B$1="MEDIA GEOMETRICA",'PUNTAJE EXP'!G10,IF('PUNTAJE EXP'!$B$1="MEDIA ARITMETICA ALTA",'PUNTAJE EXP'!I10,IF('PUNTAJE EXP'!$B$1="MEDIA ARITMETICA BAJA",'PUNTAJE EXP'!#REF!,)))),"INHABILITADO")</f>
        <v>INHABILITADO</v>
      </c>
      <c r="E14" s="212" t="str">
        <f>IF(C14="HABILITADO",VLOOKUP(B14,PUNTAJE!$B$15:$AD$109,14,FALSE),"INHABILITADO")</f>
        <v>INHABILITADO</v>
      </c>
      <c r="F14" s="213" t="str">
        <f>IF(C14="HABILITADO",VLOOKUP(B14,PUNTAJE!$B$15:$AD$109,19,FALSE),"INHABILITADO")</f>
        <v>INHABILITADO</v>
      </c>
      <c r="G14" s="213" t="str">
        <f>IF(C14="HABILITADO",VLOOKUP(B14,PUNTAJE!$B$15:$AD$109,9,FALSE),"INHABILITADO")</f>
        <v>INHABILITADO</v>
      </c>
      <c r="H14" s="213" t="str">
        <f>IF(C14="HABILITADO",VLOOKUP(B14,PUNTAJE!$B$15:$AD$109,25,FALSE),"INHABILITADO")</f>
        <v>INHABILITADO</v>
      </c>
      <c r="I14" s="213"/>
      <c r="J14" s="213" t="str">
        <f>IF(C14="HABILITADO",PUNTAJE!Q30,"INHABILITADO")</f>
        <v>INHABILITADO</v>
      </c>
      <c r="K14" s="213" t="str">
        <f>IF(C14="HABILITADO",VLOOKUP(B14,PUNTAJE!$B$15:$AG$109,31,FALSE),"INHABILITADO")</f>
        <v>INHABILITADO</v>
      </c>
      <c r="L14" s="214">
        <f t="shared" si="1"/>
        <v>0</v>
      </c>
      <c r="M14" s="18">
        <f t="shared" si="0"/>
        <v>24</v>
      </c>
    </row>
    <row r="15" spans="1:13" ht="23.25" customHeight="1" x14ac:dyDescent="0.25">
      <c r="A15" s="34">
        <v>5</v>
      </c>
      <c r="B15" s="17" t="str">
        <f>+PROPONENTES!B14</f>
        <v>PRODEINCOL S.A.S.</v>
      </c>
      <c r="C15" s="18" t="str">
        <f>CONSOLIDADO!I15</f>
        <v>HABILITADO</v>
      </c>
      <c r="D15" s="184">
        <f>IF(C15="HABILITADO",IF('PUNTAJE EXP'!$B$1="MEDIANA CON VALOR ABSOLUTO",'PUNTAJE EXP'!E11,IF('PUNTAJE EXP'!$B$1="MEDIA GEOMETRICA",'PUNTAJE EXP'!G11,IF('PUNTAJE EXP'!$B$1="MEDIA ARITMETICA ALTA",'PUNTAJE EXP'!I11,IF('PUNTAJE EXP'!$B$1="MEDIA ARITMETICA BAJA",'PUNTAJE EXP'!#REF!,)))),"INHABILITADO")</f>
        <v>53.685733139812349</v>
      </c>
      <c r="E15" s="184">
        <f>IF(C15="HABILITADO",VLOOKUP(B15,PUNTAJE!$B$15:$AD$109,14,FALSE),"INHABILITADO")</f>
        <v>10</v>
      </c>
      <c r="F15" s="185">
        <f>IF(C15="HABILITADO",VLOOKUP(B15,PUNTAJE!$B$15:$AD$109,19,FALSE),"INHABILITADO")</f>
        <v>20</v>
      </c>
      <c r="G15" s="185">
        <f>IF(C15="HABILITADO",VLOOKUP(B15,PUNTAJE!$B$15:$AD$109,9,FALSE),"INHABILITADO")</f>
        <v>0</v>
      </c>
      <c r="H15" s="185">
        <f>IF(C15="HABILITADO",VLOOKUP(B15,PUNTAJE!$B$15:$AD$109,25,FALSE),"INHABILITADO")</f>
        <v>0.25</v>
      </c>
      <c r="I15" s="185"/>
      <c r="J15" s="185" t="str">
        <f>IF(C15="HABILITADO",PUNTAJE!Q35,"INHABILITADO")</f>
        <v>0</v>
      </c>
      <c r="K15" s="185">
        <f>IF(C15="HABILITADO",VLOOKUP(B15,PUNTAJE!$B$15:$AG$109,31,FALSE),"INHABILITADO")</f>
        <v>1</v>
      </c>
      <c r="L15" s="186">
        <f t="shared" si="1"/>
        <v>84.935733139812356</v>
      </c>
      <c r="M15" s="18">
        <f t="shared" si="0"/>
        <v>13</v>
      </c>
    </row>
    <row r="16" spans="1:13" ht="23.25" customHeight="1" x14ac:dyDescent="0.25">
      <c r="A16" s="34">
        <v>6</v>
      </c>
      <c r="B16" s="17" t="str">
        <f>+PROPONENTES!B15</f>
        <v>CONSORCIO INTERVEP KM</v>
      </c>
      <c r="C16" s="18" t="str">
        <f>CONSOLIDADO!I16</f>
        <v>HABILITADO</v>
      </c>
      <c r="D16" s="184">
        <f>IF(C16="HABILITADO",IF('PUNTAJE EXP'!$B$1="MEDIANA CON VALOR ABSOLUTO",'PUNTAJE EXP'!E12,IF('PUNTAJE EXP'!$B$1="MEDIA GEOMETRICA",'PUNTAJE EXP'!G12,IF('PUNTAJE EXP'!$B$1="MEDIA ARITMETICA ALTA",'PUNTAJE EXP'!I12,IF('PUNTAJE EXP'!$B$1="MEDIA ARITMETICA BAJA",'PUNTAJE EXP'!#REF!,)))),"INHABILITADO")</f>
        <v>32.11199489873426</v>
      </c>
      <c r="E16" s="184">
        <f>IF(C16="HABILITADO",VLOOKUP(B16,PUNTAJE!$B$15:$AD$109,14,FALSE),"INHABILITADO")</f>
        <v>10</v>
      </c>
      <c r="F16" s="185">
        <f>IF(C16="HABILITADO",VLOOKUP(B16,PUNTAJE!$B$15:$AD$109,19,FALSE),"INHABILITADO")</f>
        <v>20</v>
      </c>
      <c r="G16" s="185">
        <f>IF(C16="HABILITADO",VLOOKUP(B16,PUNTAJE!$B$15:$AD$109,9,FALSE),"INHABILITADO")</f>
        <v>1</v>
      </c>
      <c r="H16" s="185">
        <f>IF(C16="HABILITADO",VLOOKUP(B16,PUNTAJE!$B$15:$AD$109,25,FALSE),"INHABILITADO")</f>
        <v>0.25</v>
      </c>
      <c r="I16" s="185"/>
      <c r="J16" s="185" t="str">
        <f>IF(C16="HABILITADO",PUNTAJE!Q40,"INHABILITADO")</f>
        <v>0</v>
      </c>
      <c r="K16" s="185">
        <f>IF(C16="HABILITADO",VLOOKUP(B16,PUNTAJE!$B$15:$AG$109,31,FALSE),"INHABILITADO")</f>
        <v>1</v>
      </c>
      <c r="L16" s="186">
        <f t="shared" si="1"/>
        <v>64.361994898734253</v>
      </c>
      <c r="M16" s="18">
        <f t="shared" si="0"/>
        <v>21</v>
      </c>
    </row>
    <row r="17" spans="1:13" ht="23.25" customHeight="1" x14ac:dyDescent="0.25">
      <c r="A17" s="34">
        <v>7</v>
      </c>
      <c r="B17" s="17" t="str">
        <f>+PROPONENTES!B16</f>
        <v>CONSULTORES DEL OCCIDENTE SAS</v>
      </c>
      <c r="C17" s="18" t="str">
        <f>CONSOLIDADO!I17</f>
        <v>HABILITADO</v>
      </c>
      <c r="D17" s="184">
        <f>IF(C17="HABILITADO",IF('PUNTAJE EXP'!$B$1="MEDIANA CON VALOR ABSOLUTO",'PUNTAJE EXP'!E13,IF('PUNTAJE EXP'!$B$1="MEDIA GEOMETRICA",'PUNTAJE EXP'!G13,IF('PUNTAJE EXP'!$B$1="MEDIA ARITMETICA ALTA",'PUNTAJE EXP'!I13,IF('PUNTAJE EXP'!$B$1="MEDIA ARITMETICA BAJA",'PUNTAJE EXP'!#REF!,)))),"INHABILITADO")</f>
        <v>57.693747363148503</v>
      </c>
      <c r="E17" s="184">
        <f>IF(C17="HABILITADO",VLOOKUP(B17,PUNTAJE!$B$15:$AD$109,14,FALSE),"INHABILITADO")</f>
        <v>10</v>
      </c>
      <c r="F17" s="185">
        <f>IF(C17="HABILITADO",VLOOKUP(B17,PUNTAJE!$B$15:$AD$109,19,FALSE),"INHABILITADO")</f>
        <v>20</v>
      </c>
      <c r="G17" s="185">
        <f>IF(C17="HABILITADO",VLOOKUP(B17,PUNTAJE!$B$15:$AD$109,9,FALSE),"INHABILITADO")</f>
        <v>1</v>
      </c>
      <c r="H17" s="185">
        <f>IF(C17="HABILITADO",VLOOKUP(B17,PUNTAJE!$B$15:$AD$109,25,FALSE),"INHABILITADO")</f>
        <v>0.25</v>
      </c>
      <c r="I17" s="185"/>
      <c r="J17" s="185" t="str">
        <f>IF(C17="HABILITADO",PUNTAJE!Q45,"INHABILITADO")</f>
        <v>0</v>
      </c>
      <c r="K17" s="185">
        <f>IF(C17="HABILITADO",VLOOKUP(B17,PUNTAJE!$B$15:$AG$109,31,FALSE),"INHABILITADO")</f>
        <v>1</v>
      </c>
      <c r="L17" s="186">
        <f t="shared" si="1"/>
        <v>89.943747363148503</v>
      </c>
      <c r="M17" s="18">
        <f t="shared" si="0"/>
        <v>9</v>
      </c>
    </row>
    <row r="18" spans="1:13" ht="23.25" customHeight="1" x14ac:dyDescent="0.25">
      <c r="A18" s="34">
        <v>8</v>
      </c>
      <c r="B18" s="17" t="str">
        <f>+PROPONENTES!B17</f>
        <v>CONSULTORES DONOVAN SAS</v>
      </c>
      <c r="C18" s="18" t="str">
        <f>CONSOLIDADO!I18</f>
        <v>INHABILITADO</v>
      </c>
      <c r="D18" s="184" t="str">
        <f>IF(C18="HABILITADO",IF('PUNTAJE EXP'!$B$1="MEDIANA CON VALOR ABSOLUTO",'PUNTAJE EXP'!E14,IF('PUNTAJE EXP'!$B$1="MEDIA GEOMETRICA",'PUNTAJE EXP'!G14,IF('PUNTAJE EXP'!$B$1="MEDIA ARITMETICA ALTA",'PUNTAJE EXP'!I14,IF('PUNTAJE EXP'!$B$1="MEDIA ARITMETICA BAJA",'PUNTAJE EXP'!#REF!,)))),"INHABILITADO")</f>
        <v>INHABILITADO</v>
      </c>
      <c r="E18" s="184" t="str">
        <f>IF(C18="HABILITADO",VLOOKUP(B18,PUNTAJE!$B$15:$AD$109,14,FALSE),"INHABILITADO")</f>
        <v>INHABILITADO</v>
      </c>
      <c r="F18" s="185" t="str">
        <f>IF(C18="HABILITADO",VLOOKUP(B18,PUNTAJE!$B$15:$AD$109,19,FALSE),"INHABILITADO")</f>
        <v>INHABILITADO</v>
      </c>
      <c r="G18" s="185" t="str">
        <f>IF(C18="HABILITADO",VLOOKUP(B18,PUNTAJE!$B$15:$AD$109,9,FALSE),"INHABILITADO")</f>
        <v>INHABILITADO</v>
      </c>
      <c r="H18" s="185" t="str">
        <f>IF(C18="HABILITADO",VLOOKUP(B18,PUNTAJE!$B$15:$AD$109,25,FALSE),"INHABILITADO")</f>
        <v>INHABILITADO</v>
      </c>
      <c r="I18" s="185"/>
      <c r="J18" s="185" t="str">
        <f>IF(C18="HABILITADO",PUNTAJE!Q50,"INHABILITADO")</f>
        <v>INHABILITADO</v>
      </c>
      <c r="K18" s="185" t="str">
        <f>IF(C18="HABILITADO",VLOOKUP(B18,PUNTAJE!$B$15:$AG$109,31,FALSE),"INHABILITADO")</f>
        <v>INHABILITADO</v>
      </c>
      <c r="L18" s="186">
        <f t="shared" si="1"/>
        <v>0</v>
      </c>
      <c r="M18" s="18">
        <f t="shared" si="0"/>
        <v>24</v>
      </c>
    </row>
    <row r="19" spans="1:13" ht="23.25" customHeight="1" x14ac:dyDescent="0.25">
      <c r="A19" s="34">
        <v>9</v>
      </c>
      <c r="B19" s="17" t="str">
        <f>+PROPONENTES!B18</f>
        <v>JESAK SAS</v>
      </c>
      <c r="C19" s="18" t="str">
        <f>CONSOLIDADO!I19</f>
        <v>HABILITADO</v>
      </c>
      <c r="D19" s="184">
        <f>IF(C19="HABILITADO",IF('PUNTAJE EXP'!$B$1="MEDIANA CON VALOR ABSOLUTO",'PUNTAJE EXP'!E15,IF('PUNTAJE EXP'!$B$1="MEDIA GEOMETRICA",'PUNTAJE EXP'!G15,IF('PUNTAJE EXP'!$B$1="MEDIA ARITMETICA ALTA",'PUNTAJE EXP'!I15,IF('PUNTAJE EXP'!$B$1="MEDIA ARITMETICA BAJA",'PUNTAJE EXP'!#REF!,)))),"INHABILITADO")</f>
        <v>38.680172511572529</v>
      </c>
      <c r="E19" s="184">
        <f>IF(C19="HABILITADO",VLOOKUP(B19,PUNTAJE!$B$15:$AD$109,14,FALSE),"INHABILITADO")</f>
        <v>10</v>
      </c>
      <c r="F19" s="185">
        <f>IF(C19="HABILITADO",VLOOKUP(B19,PUNTAJE!$B$15:$AD$109,19,FALSE),"INHABILITADO")</f>
        <v>20</v>
      </c>
      <c r="G19" s="185">
        <f>IF(C19="HABILITADO",VLOOKUP(B19,PUNTAJE!$B$15:$AD$109,9,FALSE),"INHABILITADO")</f>
        <v>1</v>
      </c>
      <c r="H19" s="185">
        <f>IF(C19="HABILITADO",VLOOKUP(B19,PUNTAJE!$B$15:$AD$109,25,FALSE),"INHABILITADO")</f>
        <v>0.25</v>
      </c>
      <c r="I19" s="185"/>
      <c r="J19" s="185" t="str">
        <f>IF(C19="HABILITADO",PUNTAJE!Q55,"INHABILITADO")</f>
        <v>0</v>
      </c>
      <c r="K19" s="185">
        <f>IF(C19="HABILITADO",VLOOKUP(B19,PUNTAJE!$B$15:$AG$109,31,FALSE),"INHABILITADO")</f>
        <v>1</v>
      </c>
      <c r="L19" s="186">
        <f t="shared" si="1"/>
        <v>70.930172511572522</v>
      </c>
      <c r="M19" s="18">
        <f t="shared" si="0"/>
        <v>20</v>
      </c>
    </row>
    <row r="20" spans="1:13" ht="23.25" customHeight="1" x14ac:dyDescent="0.25">
      <c r="A20" s="34">
        <v>10</v>
      </c>
      <c r="B20" s="17" t="str">
        <f>+PROPONENTES!B19</f>
        <v xml:space="preserve">R&amp;M CONSTRUCCIONES E INTERVENTORIAS SAS </v>
      </c>
      <c r="C20" s="18" t="str">
        <f>CONSOLIDADO!I20</f>
        <v>HABILITADO</v>
      </c>
      <c r="D20" s="184">
        <f>IF(C20="HABILITADO",IF('PUNTAJE EXP'!$B$1="MEDIANA CON VALOR ABSOLUTO",'PUNTAJE EXP'!E16,IF('PUNTAJE EXP'!$B$1="MEDIA GEOMETRICA",'PUNTAJE EXP'!G16,IF('PUNTAJE EXP'!$B$1="MEDIA ARITMETICA ALTA",'PUNTAJE EXP'!I16,IF('PUNTAJE EXP'!$B$1="MEDIA ARITMETICA BAJA",'PUNTAJE EXP'!#REF!,)))),"INHABILITADO")</f>
        <v>64.113218658737352</v>
      </c>
      <c r="E20" s="184">
        <f>IF(C20="HABILITADO",VLOOKUP(B20,PUNTAJE!$B$15:$AD$109,14,FALSE),"INHABILITADO")</f>
        <v>10</v>
      </c>
      <c r="F20" s="185">
        <f>IF(C20="HABILITADO",VLOOKUP(B20,PUNTAJE!$B$15:$AD$109,19,FALSE),"INHABILITADO")</f>
        <v>20</v>
      </c>
      <c r="G20" s="185">
        <f>IF(C20="HABILITADO",VLOOKUP(B20,PUNTAJE!$B$15:$AD$109,9,FALSE),"INHABILITADO")</f>
        <v>1</v>
      </c>
      <c r="H20" s="185">
        <f>IF(C20="HABILITADO",VLOOKUP(B20,PUNTAJE!$B$15:$AD$109,25,FALSE),"INHABILITADO")</f>
        <v>0.25</v>
      </c>
      <c r="I20" s="185"/>
      <c r="J20" s="185" t="str">
        <f>IF(C20="HABILITADO",PUNTAJE!Q60,"INHABILITADO")</f>
        <v>0</v>
      </c>
      <c r="K20" s="185">
        <f>IF(C20="HABILITADO",VLOOKUP(B20,PUNTAJE!$B$15:$AG$109,31,FALSE),"INHABILITADO")</f>
        <v>1</v>
      </c>
      <c r="L20" s="186">
        <f t="shared" si="1"/>
        <v>96.363218658737352</v>
      </c>
      <c r="M20" s="18">
        <f t="shared" si="0"/>
        <v>5</v>
      </c>
    </row>
    <row r="21" spans="1:13" ht="23.25" customHeight="1" x14ac:dyDescent="0.25">
      <c r="A21" s="34">
        <v>11</v>
      </c>
      <c r="B21" s="17" t="str">
        <f>+PROPONENTES!B20</f>
        <v>CONSORCIO INTERVENTORÍA DSG</v>
      </c>
      <c r="C21" s="18" t="str">
        <f>CONSOLIDADO!I21</f>
        <v>INHABILITADO</v>
      </c>
      <c r="D21" s="184" t="str">
        <f>IF(C21="HABILITADO",IF('PUNTAJE EXP'!$B$1="MEDIANA CON VALOR ABSOLUTO",'PUNTAJE EXP'!E17,IF('PUNTAJE EXP'!$B$1="MEDIA GEOMETRICA",'PUNTAJE EXP'!G17,IF('PUNTAJE EXP'!$B$1="MEDIA ARITMETICA ALTA",'PUNTAJE EXP'!I17,IF('PUNTAJE EXP'!$B$1="MEDIA ARITMETICA BAJA",'PUNTAJE EXP'!#REF!,)))),"INHABILITADO")</f>
        <v>INHABILITADO</v>
      </c>
      <c r="E21" s="184" t="str">
        <f>IF(C21="HABILITADO",VLOOKUP(B21,PUNTAJE!$B$15:$AD$109,14,FALSE),"INHABILITADO")</f>
        <v>INHABILITADO</v>
      </c>
      <c r="F21" s="185" t="str">
        <f>IF(C21="HABILITADO",VLOOKUP(B21,PUNTAJE!$B$15:$AD$109,19,FALSE),"INHABILITADO")</f>
        <v>INHABILITADO</v>
      </c>
      <c r="G21" s="185" t="str">
        <f>IF(C21="HABILITADO",VLOOKUP(B21,PUNTAJE!$B$15:$AD$109,9,FALSE),"INHABILITADO")</f>
        <v>INHABILITADO</v>
      </c>
      <c r="H21" s="185" t="str">
        <f>IF(C21="HABILITADO",VLOOKUP(B21,PUNTAJE!$B$15:$AD$109,25,FALSE),"INHABILITADO")</f>
        <v>INHABILITADO</v>
      </c>
      <c r="I21" s="185"/>
      <c r="J21" s="185" t="str">
        <f>IF(C21="HABILITADO",PUNTAJE!Q65,"INHABILITADO")</f>
        <v>INHABILITADO</v>
      </c>
      <c r="K21" s="185" t="str">
        <f>IF(C21="HABILITADO",VLOOKUP(B21,PUNTAJE!$B$15:$AG$109,31,FALSE),"INHABILITADO")</f>
        <v>INHABILITADO</v>
      </c>
      <c r="L21" s="186">
        <f t="shared" si="1"/>
        <v>0</v>
      </c>
      <c r="M21" s="18">
        <f t="shared" si="0"/>
        <v>24</v>
      </c>
    </row>
    <row r="22" spans="1:13" ht="23.25" customHeight="1" x14ac:dyDescent="0.25">
      <c r="A22" s="34">
        <v>12</v>
      </c>
      <c r="B22" s="17" t="str">
        <f>+PROPONENTES!B21</f>
        <v>INGENIEROS CONSTRUCTORES Y ASESORES SAS</v>
      </c>
      <c r="C22" s="18" t="str">
        <f>CONSOLIDADO!I22</f>
        <v>HABILITADO</v>
      </c>
      <c r="D22" s="184">
        <f>IF(C22="HABILITADO",IF('PUNTAJE EXP'!$B$1="MEDIANA CON VALOR ABSOLUTO",'PUNTAJE EXP'!E18,IF('PUNTAJE EXP'!$B$1="MEDIA GEOMETRICA",'PUNTAJE EXP'!G18,IF('PUNTAJE EXP'!$B$1="MEDIA ARITMETICA ALTA",'PUNTAJE EXP'!I18,IF('PUNTAJE EXP'!$B$1="MEDIA ARITMETICA BAJA",'PUNTAJE EXP'!#REF!,)))),"INHABILITADO")</f>
        <v>61.192930027640884</v>
      </c>
      <c r="E22" s="184">
        <f>IF(C22="HABILITADO",VLOOKUP(B22,PUNTAJE!$B$15:$AD$109,14,FALSE),"INHABILITADO")</f>
        <v>10</v>
      </c>
      <c r="F22" s="185">
        <f>IF(C22="HABILITADO",VLOOKUP(B22,PUNTAJE!$B$15:$AD$109,19,FALSE),"INHABILITADO")</f>
        <v>20</v>
      </c>
      <c r="G22" s="185">
        <f>IF(C22="HABILITADO",VLOOKUP(B22,PUNTAJE!$B$15:$AD$109,9,FALSE),"INHABILITADO")</f>
        <v>1</v>
      </c>
      <c r="H22" s="185">
        <f>IF(C22="HABILITADO",VLOOKUP(B22,PUNTAJE!$B$15:$AD$109,25,FALSE),"INHABILITADO")</f>
        <v>0.25</v>
      </c>
      <c r="I22" s="185"/>
      <c r="J22" s="185" t="str">
        <f>IF(C22="HABILITADO",PUNTAJE!Q70,"INHABILITADO")</f>
        <v>0</v>
      </c>
      <c r="K22" s="185">
        <f>IF(C22="HABILITADO",VLOOKUP(B22,PUNTAJE!$B$15:$AG$109,31,FALSE),"INHABILITADO")</f>
        <v>1</v>
      </c>
      <c r="L22" s="186">
        <f t="shared" si="1"/>
        <v>93.442930027640884</v>
      </c>
      <c r="M22" s="18">
        <f t="shared" si="0"/>
        <v>7</v>
      </c>
    </row>
    <row r="23" spans="1:13" ht="23.25" customHeight="1" x14ac:dyDescent="0.25">
      <c r="A23" s="209">
        <v>13</v>
      </c>
      <c r="B23" s="210" t="str">
        <f>+PROPONENTES!B22</f>
        <v>CONSORCIO INTERVENTOR ANFAO</v>
      </c>
      <c r="C23" s="211" t="str">
        <f>CONSOLIDADO!I23</f>
        <v>RECHAZADO</v>
      </c>
      <c r="D23" s="212" t="str">
        <f>IF(C23="HABILITADO",IF('PUNTAJE EXP'!$B$1="MEDIANA CON VALOR ABSOLUTO",'PUNTAJE EXP'!E19,IF('PUNTAJE EXP'!$B$1="MEDIA GEOMETRICA",'PUNTAJE EXP'!G19,IF('PUNTAJE EXP'!$B$1="MEDIA ARITMETICA ALTA",'PUNTAJE EXP'!I19,IF('PUNTAJE EXP'!$B$1="MEDIA ARITMETICA BAJA",'PUNTAJE EXP'!#REF!,)))),"INHABILITADO")</f>
        <v>INHABILITADO</v>
      </c>
      <c r="E23" s="212" t="str">
        <f>IF(C23="HABILITADO",VLOOKUP(B23,PUNTAJE!$B$15:$AD$109,14,FALSE),"INHABILITADO")</f>
        <v>INHABILITADO</v>
      </c>
      <c r="F23" s="213" t="str">
        <f>IF(C23="HABILITADO",VLOOKUP(B23,PUNTAJE!$B$15:$AD$109,19,FALSE),"INHABILITADO")</f>
        <v>INHABILITADO</v>
      </c>
      <c r="G23" s="213" t="str">
        <f>IF(C23="HABILITADO",VLOOKUP(B23,PUNTAJE!$B$15:$AD$109,9,FALSE),"INHABILITADO")</f>
        <v>INHABILITADO</v>
      </c>
      <c r="H23" s="213" t="str">
        <f>IF(C23="HABILITADO",VLOOKUP(B23,PUNTAJE!$B$15:$AD$109,25,FALSE),"INHABILITADO")</f>
        <v>INHABILITADO</v>
      </c>
      <c r="I23" s="213"/>
      <c r="J23" s="213" t="str">
        <f>IF(C23="HABILITADO",PUNTAJE!Q75,"INHABILITADO")</f>
        <v>INHABILITADO</v>
      </c>
      <c r="K23" s="213" t="str">
        <f>IF(C23="HABILITADO",VLOOKUP(B23,PUNTAJE!$B$15:$AG$109,31,FALSE),"INHABILITADO")</f>
        <v>INHABILITADO</v>
      </c>
      <c r="L23" s="214">
        <f t="shared" si="1"/>
        <v>0</v>
      </c>
      <c r="M23" s="18">
        <f t="shared" si="0"/>
        <v>24</v>
      </c>
    </row>
    <row r="24" spans="1:13" ht="23.25" customHeight="1" x14ac:dyDescent="0.25">
      <c r="A24" s="34">
        <v>14</v>
      </c>
      <c r="B24" s="17" t="str">
        <f>+PROPONENTES!B23</f>
        <v>GRUPO METRO COLOMBIA SAS</v>
      </c>
      <c r="C24" s="18" t="str">
        <f>CONSOLIDADO!I24</f>
        <v>HABILITADO</v>
      </c>
      <c r="D24" s="184">
        <f>IF(C24="HABILITADO",IF('PUNTAJE EXP'!$B$1="MEDIANA CON VALOR ABSOLUTO",'PUNTAJE EXP'!E20,IF('PUNTAJE EXP'!$B$1="MEDIA GEOMETRICA",'PUNTAJE EXP'!G20,IF('PUNTAJE EXP'!$B$1="MEDIA ARITMETICA ALTA",'PUNTAJE EXP'!I20,IF('PUNTAJE EXP'!$B$1="MEDIA ARITMETICA BAJA",'PUNTAJE EXP'!#REF!,)))),"INHABILITADO")</f>
        <v>-18.726049445592206</v>
      </c>
      <c r="E24" s="184">
        <f>IF(C24="HABILITADO",VLOOKUP(B24,PUNTAJE!$B$15:$AD$109,14,FALSE),"INHABILITADO")</f>
        <v>10</v>
      </c>
      <c r="F24" s="185">
        <f>IF(C24="HABILITADO",VLOOKUP(B24,PUNTAJE!$B$15:$AD$109,19,FALSE),"INHABILITADO")</f>
        <v>20</v>
      </c>
      <c r="G24" s="185">
        <f>IF(C24="HABILITADO",VLOOKUP(B24,PUNTAJE!$B$15:$AD$109,9,FALSE),"INHABILITADO")</f>
        <v>0</v>
      </c>
      <c r="H24" s="185">
        <f>IF(C24="HABILITADO",VLOOKUP(B24,PUNTAJE!$B$15:$AD$109,25,FALSE),"INHABILITADO")</f>
        <v>0.25</v>
      </c>
      <c r="I24" s="185"/>
      <c r="J24" s="185" t="str">
        <f>IF(C24="HABILITADO",PUNTAJE!Q80,"INHABILITADO")</f>
        <v>0</v>
      </c>
      <c r="K24" s="185">
        <f>IF(C24="HABILITADO",VLOOKUP(B24,PUNTAJE!$B$15:$AG$109,31,FALSE),"INHABILITADO")</f>
        <v>1</v>
      </c>
      <c r="L24" s="186">
        <f t="shared" si="1"/>
        <v>12.523950554407794</v>
      </c>
      <c r="M24" s="18">
        <f t="shared" si="0"/>
        <v>23</v>
      </c>
    </row>
    <row r="25" spans="1:13" ht="23.25" customHeight="1" x14ac:dyDescent="0.25">
      <c r="A25" s="209">
        <v>15</v>
      </c>
      <c r="B25" s="210" t="str">
        <f>+PROPONENTES!B24</f>
        <v>CONSORCIO INTERPROYECTOS CAREN</v>
      </c>
      <c r="C25" s="211" t="str">
        <f>CONSOLIDADO!I25</f>
        <v>RECHAZADO</v>
      </c>
      <c r="D25" s="212" t="str">
        <f>IF(C25="HABILITADO",IF('PUNTAJE EXP'!$B$1="MEDIANA CON VALOR ABSOLUTO",'PUNTAJE EXP'!E21,IF('PUNTAJE EXP'!$B$1="MEDIA GEOMETRICA",'PUNTAJE EXP'!G21,IF('PUNTAJE EXP'!$B$1="MEDIA ARITMETICA ALTA",'PUNTAJE EXP'!I21,IF('PUNTAJE EXP'!$B$1="MEDIA ARITMETICA BAJA",'PUNTAJE EXP'!#REF!,)))),"INHABILITADO")</f>
        <v>INHABILITADO</v>
      </c>
      <c r="E25" s="212" t="str">
        <f>IF(C25="HABILITADO",VLOOKUP(B25,PUNTAJE!$B$15:$AD$109,14,FALSE),"INHABILITADO")</f>
        <v>INHABILITADO</v>
      </c>
      <c r="F25" s="213" t="str">
        <f>IF(C25="HABILITADO",VLOOKUP(B25,PUNTAJE!$B$15:$AD$109,19,FALSE),"INHABILITADO")</f>
        <v>INHABILITADO</v>
      </c>
      <c r="G25" s="213" t="str">
        <f>IF(C25="HABILITADO",VLOOKUP(B25,PUNTAJE!$B$15:$AD$109,9,FALSE),"INHABILITADO")</f>
        <v>INHABILITADO</v>
      </c>
      <c r="H25" s="213" t="str">
        <f>IF(C25="HABILITADO",VLOOKUP(B25,PUNTAJE!$B$15:$AD$109,25,FALSE),"INHABILITADO")</f>
        <v>INHABILITADO</v>
      </c>
      <c r="I25" s="213"/>
      <c r="J25" s="213" t="str">
        <f>IF(C25="HABILITADO",PUNTAJE!Q85,"INHABILITADO")</f>
        <v>INHABILITADO</v>
      </c>
      <c r="K25" s="213" t="str">
        <f>IF(C25="HABILITADO",VLOOKUP(B25,PUNTAJE!$B$15:$AG$109,31,FALSE),"INHABILITADO")</f>
        <v>INHABILITADO</v>
      </c>
      <c r="L25" s="214">
        <f t="shared" si="1"/>
        <v>0</v>
      </c>
      <c r="M25" s="18">
        <f t="shared" si="0"/>
        <v>24</v>
      </c>
    </row>
    <row r="26" spans="1:13" ht="23.25" customHeight="1" x14ac:dyDescent="0.25">
      <c r="A26" s="209">
        <v>16</v>
      </c>
      <c r="B26" s="210" t="str">
        <f>+PROPONENTES!B25</f>
        <v>CONSORCIO INTER PARQUES IYC 2024</v>
      </c>
      <c r="C26" s="211" t="str">
        <f>CONSOLIDADO!I26</f>
        <v>RECHAZADO</v>
      </c>
      <c r="D26" s="212" t="str">
        <f>IF(C26="HABILITADO",IF('PUNTAJE EXP'!$B$1="MEDIANA CON VALOR ABSOLUTO",'PUNTAJE EXP'!E22,IF('PUNTAJE EXP'!$B$1="MEDIA GEOMETRICA",'PUNTAJE EXP'!G22,IF('PUNTAJE EXP'!$B$1="MEDIA ARITMETICA ALTA",'PUNTAJE EXP'!I22,IF('PUNTAJE EXP'!$B$1="MEDIA ARITMETICA BAJA",'PUNTAJE EXP'!#REF!,)))),"INHABILITADO")</f>
        <v>INHABILITADO</v>
      </c>
      <c r="E26" s="212" t="str">
        <f>IF(C26="HABILITADO",VLOOKUP(B26,PUNTAJE!$B$15:$AD$109,14,FALSE),"INHABILITADO")</f>
        <v>INHABILITADO</v>
      </c>
      <c r="F26" s="213" t="str">
        <f>IF(C26="HABILITADO",VLOOKUP(B26,PUNTAJE!$B$15:$AD$109,19,FALSE),"INHABILITADO")</f>
        <v>INHABILITADO</v>
      </c>
      <c r="G26" s="213" t="str">
        <f>IF(C26="HABILITADO",VLOOKUP(B26,PUNTAJE!$B$15:$AD$109,9,FALSE),"INHABILITADO")</f>
        <v>INHABILITADO</v>
      </c>
      <c r="H26" s="213" t="str">
        <f>IF(C26="HABILITADO",VLOOKUP(B26,PUNTAJE!$B$15:$AD$109,25,FALSE),"INHABILITADO")</f>
        <v>INHABILITADO</v>
      </c>
      <c r="I26" s="213"/>
      <c r="J26" s="213" t="str">
        <f>IF(C26="HABILITADO",PUNTAJE!Q90,"INHABILITADO")</f>
        <v>INHABILITADO</v>
      </c>
      <c r="K26" s="213" t="str">
        <f>IF(C26="HABILITADO",VLOOKUP(B26,PUNTAJE!$B$15:$AG$109,31,FALSE),"INHABILITADO")</f>
        <v>INHABILITADO</v>
      </c>
      <c r="L26" s="214">
        <f t="shared" si="1"/>
        <v>0</v>
      </c>
      <c r="M26" s="18">
        <f t="shared" si="0"/>
        <v>24</v>
      </c>
    </row>
    <row r="27" spans="1:13" ht="23.25" customHeight="1" x14ac:dyDescent="0.25">
      <c r="A27" s="34">
        <v>17</v>
      </c>
      <c r="B27" s="17" t="str">
        <f>+PROPONENTES!B26</f>
        <v>CONSORCIO-INTER-P-KENEDY</v>
      </c>
      <c r="C27" s="18" t="str">
        <f>CONSOLIDADO!I27</f>
        <v>INHABILITADO</v>
      </c>
      <c r="D27" s="184" t="str">
        <f>IF(C27="HABILITADO",IF('PUNTAJE EXP'!$B$1="MEDIANA CON VALOR ABSOLUTO",'PUNTAJE EXP'!E23,IF('PUNTAJE EXP'!$B$1="MEDIA GEOMETRICA",'PUNTAJE EXP'!G23,IF('PUNTAJE EXP'!$B$1="MEDIA ARITMETICA ALTA",'PUNTAJE EXP'!I23,IF('PUNTAJE EXP'!$B$1="MEDIA ARITMETICA BAJA",'PUNTAJE EXP'!#REF!,)))),"INHABILITADO")</f>
        <v>INHABILITADO</v>
      </c>
      <c r="E27" s="184" t="str">
        <f>IF(C27="HABILITADO",VLOOKUP(B27,PUNTAJE!$B$15:$AD$109,14,FALSE),"INHABILITADO")</f>
        <v>INHABILITADO</v>
      </c>
      <c r="F27" s="185" t="str">
        <f>IF(C27="HABILITADO",VLOOKUP(B27,PUNTAJE!$B$15:$AD$109,19,FALSE),"INHABILITADO")</f>
        <v>INHABILITADO</v>
      </c>
      <c r="G27" s="185" t="str">
        <f>IF(C27="HABILITADO",VLOOKUP(B27,PUNTAJE!$B$15:$AD$109,9,FALSE),"INHABILITADO")</f>
        <v>INHABILITADO</v>
      </c>
      <c r="H27" s="185" t="str">
        <f>IF(C27="HABILITADO",VLOOKUP(B27,PUNTAJE!$B$15:$AD$109,25,FALSE),"INHABILITADO")</f>
        <v>INHABILITADO</v>
      </c>
      <c r="I27" s="185"/>
      <c r="J27" s="185" t="str">
        <f>IF(C27="HABILITADO",PUNTAJE!Q95,"INHABILITADO")</f>
        <v>INHABILITADO</v>
      </c>
      <c r="K27" s="185" t="str">
        <f>IF(C27="HABILITADO",VLOOKUP(B27,PUNTAJE!$B$15:$AG$109,31,FALSE),"INHABILITADO")</f>
        <v>INHABILITADO</v>
      </c>
      <c r="L27" s="186">
        <f t="shared" si="1"/>
        <v>0</v>
      </c>
      <c r="M27" s="18">
        <f t="shared" si="0"/>
        <v>24</v>
      </c>
    </row>
    <row r="28" spans="1:13" ht="23.25" customHeight="1" x14ac:dyDescent="0.25">
      <c r="A28" s="209">
        <v>18</v>
      </c>
      <c r="B28" s="210" t="str">
        <f>+PROPONENTES!B27</f>
        <v>CONSORCIO INTERPARQUES BOGOTÁ</v>
      </c>
      <c r="C28" s="211" t="str">
        <f>CONSOLIDADO!I28</f>
        <v>RECHAZADO</v>
      </c>
      <c r="D28" s="212" t="str">
        <f>IF(C28="HABILITADO",IF('PUNTAJE EXP'!$B$1="MEDIANA CON VALOR ABSOLUTO",'PUNTAJE EXP'!E24,IF('PUNTAJE EXP'!$B$1="MEDIA GEOMETRICA",'PUNTAJE EXP'!G24,IF('PUNTAJE EXP'!$B$1="MEDIA ARITMETICA ALTA",'PUNTAJE EXP'!I24,IF('PUNTAJE EXP'!$B$1="MEDIA ARITMETICA BAJA",'PUNTAJE EXP'!#REF!,)))),"INHABILITADO")</f>
        <v>INHABILITADO</v>
      </c>
      <c r="E28" s="212" t="str">
        <f>IF(C28="HABILITADO",VLOOKUP(B28,PUNTAJE!$B$15:$AD$109,14,FALSE),"INHABILITADO")</f>
        <v>INHABILITADO</v>
      </c>
      <c r="F28" s="213" t="str">
        <f>IF(C28="HABILITADO",VLOOKUP(B28,PUNTAJE!$B$15:$AD$109,19,FALSE),"INHABILITADO")</f>
        <v>INHABILITADO</v>
      </c>
      <c r="G28" s="213" t="str">
        <f>IF(C28="HABILITADO",VLOOKUP(B28,PUNTAJE!$B$15:$AD$109,9,FALSE),"INHABILITADO")</f>
        <v>INHABILITADO</v>
      </c>
      <c r="H28" s="213" t="str">
        <f>IF(C28="HABILITADO",VLOOKUP(B28,PUNTAJE!$B$15:$AD$109,25,FALSE),"INHABILITADO")</f>
        <v>INHABILITADO</v>
      </c>
      <c r="I28" s="213"/>
      <c r="J28" s="213" t="str">
        <f>IF(C28="HABILITADO",PUNTAJE!Q100,"INHABILITADO")</f>
        <v>INHABILITADO</v>
      </c>
      <c r="K28" s="213" t="str">
        <f>IF(C28="HABILITADO",VLOOKUP(B28,PUNTAJE!$B$15:$AG$109,31,FALSE),"INHABILITADO")</f>
        <v>INHABILITADO</v>
      </c>
      <c r="L28" s="214">
        <f t="shared" si="1"/>
        <v>0</v>
      </c>
      <c r="M28" s="18">
        <f t="shared" si="0"/>
        <v>24</v>
      </c>
    </row>
    <row r="29" spans="1:13" ht="23.25" customHeight="1" x14ac:dyDescent="0.25">
      <c r="A29" s="34">
        <v>19</v>
      </c>
      <c r="B29" s="17" t="str">
        <f>+PROPONENTES!B28</f>
        <v xml:space="preserve">CONSORCIO PARQUES VECINALES 2025 </v>
      </c>
      <c r="C29" s="18" t="str">
        <f>CONSOLIDADO!I29</f>
        <v>INHABILITADO</v>
      </c>
      <c r="D29" s="184" t="str">
        <f>IF(C29="HABILITADO",IF('PUNTAJE EXP'!$B$1="MEDIANA CON VALOR ABSOLUTO",'PUNTAJE EXP'!E25,IF('PUNTAJE EXP'!$B$1="MEDIA GEOMETRICA",'PUNTAJE EXP'!G25,IF('PUNTAJE EXP'!$B$1="MEDIA ARITMETICA ALTA",'PUNTAJE EXP'!I25,IF('PUNTAJE EXP'!$B$1="MEDIA ARITMETICA BAJA",'PUNTAJE EXP'!#REF!,)))),"INHABILITADO")</f>
        <v>INHABILITADO</v>
      </c>
      <c r="E29" s="184" t="str">
        <f>IF(C29="HABILITADO",VLOOKUP(B29,PUNTAJE!$B$15:$AD$109,14,FALSE),"INHABILITADO")</f>
        <v>INHABILITADO</v>
      </c>
      <c r="F29" s="185" t="str">
        <f>IF(C29="HABILITADO",VLOOKUP(B29,PUNTAJE!$B$15:$AD$109,19,FALSE),"INHABILITADO")</f>
        <v>INHABILITADO</v>
      </c>
      <c r="G29" s="185" t="str">
        <f>IF(C29="HABILITADO",VLOOKUP(B29,PUNTAJE!$B$15:$AD$109,9,FALSE),"INHABILITADO")</f>
        <v>INHABILITADO</v>
      </c>
      <c r="H29" s="185" t="str">
        <f>IF(C29="HABILITADO",VLOOKUP(B29,PUNTAJE!$B$15:$AD$109,25,FALSE),"INHABILITADO")</f>
        <v>INHABILITADO</v>
      </c>
      <c r="I29" s="185"/>
      <c r="J29" s="185" t="str">
        <f>IF(C29="HABILITADO",PUNTAJE!Q105,"INHABILITADO")</f>
        <v>INHABILITADO</v>
      </c>
      <c r="K29" s="185" t="str">
        <f>IF(C29="HABILITADO",VLOOKUP(B29,PUNTAJE!$B$15:$AG$109,31,FALSE),"INHABILITADO")</f>
        <v>INHABILITADO</v>
      </c>
      <c r="L29" s="186">
        <f t="shared" si="1"/>
        <v>0</v>
      </c>
      <c r="M29" s="18">
        <f t="shared" si="0"/>
        <v>24</v>
      </c>
    </row>
    <row r="30" spans="1:13" ht="23.25" customHeight="1" x14ac:dyDescent="0.25">
      <c r="A30" s="34">
        <v>20</v>
      </c>
      <c r="B30" s="17" t="str">
        <f>+PROPONENTES!B29</f>
        <v>DF CONSULTORIA SAS</v>
      </c>
      <c r="C30" s="18" t="str">
        <f>CONSOLIDADO!I30</f>
        <v>INHABILITADO</v>
      </c>
      <c r="D30" s="184" t="str">
        <f>IF(C30="HABILITADO",IF('PUNTAJE EXP'!$B$1="MEDIANA CON VALOR ABSOLUTO",'PUNTAJE EXP'!E26,IF('PUNTAJE EXP'!$B$1="MEDIA GEOMETRICA",'PUNTAJE EXP'!G26,IF('PUNTAJE EXP'!$B$1="MEDIA ARITMETICA ALTA",'PUNTAJE EXP'!I26,IF('PUNTAJE EXP'!$B$1="MEDIA ARITMETICA BAJA",'PUNTAJE EXP'!#REF!,)))),"INHABILITADO")</f>
        <v>INHABILITADO</v>
      </c>
      <c r="E30" s="184" t="str">
        <f>IF(C30="HABILITADO",VLOOKUP(B30,PUNTAJE!$B$15:$AD$109,14,FALSE),"INHABILITADO")</f>
        <v>INHABILITADO</v>
      </c>
      <c r="F30" s="185" t="str">
        <f>IF(C30="HABILITADO",VLOOKUP(B30,PUNTAJE!$B$15:$AD$109,19,FALSE),"INHABILITADO")</f>
        <v>INHABILITADO</v>
      </c>
      <c r="G30" s="185" t="str">
        <f>IF(C30="HABILITADO",VLOOKUP(B30,PUNTAJE!$B$15:$AD$109,9,FALSE),"INHABILITADO")</f>
        <v>INHABILITADO</v>
      </c>
      <c r="H30" s="185" t="str">
        <f>IF(C30="HABILITADO",VLOOKUP(B30,PUNTAJE!$B$15:$AD$109,25,FALSE),"INHABILITADO")</f>
        <v>INHABILITADO</v>
      </c>
      <c r="I30" s="185"/>
      <c r="J30" s="185" t="str">
        <f>IF(C30="HABILITADO",PUNTAJE!Q110,"INHABILITADO")</f>
        <v>INHABILITADO</v>
      </c>
      <c r="K30" s="185" t="str">
        <f>IF(C30="HABILITADO",VLOOKUP(B30,PUNTAJE!$B$15:$AG$199,31,FALSE),"INHABILITADO")</f>
        <v>INHABILITADO</v>
      </c>
      <c r="L30" s="186">
        <f t="shared" si="1"/>
        <v>0</v>
      </c>
      <c r="M30" s="18">
        <f t="shared" si="0"/>
        <v>24</v>
      </c>
    </row>
    <row r="31" spans="1:13" ht="23.25" customHeight="1" x14ac:dyDescent="0.25">
      <c r="A31" s="34">
        <v>21</v>
      </c>
      <c r="B31" s="17" t="str">
        <f>+PROPONENTES!B30</f>
        <v>CONSORCIO COMODORO</v>
      </c>
      <c r="C31" s="18" t="str">
        <f>CONSOLIDADO!I31</f>
        <v>HABILITADO</v>
      </c>
      <c r="D31" s="184">
        <f>IF(C31="HABILITADO",IF('PUNTAJE EXP'!$B$1="MEDIANA CON VALOR ABSOLUTO",'PUNTAJE EXP'!E27,IF('PUNTAJE EXP'!$B$1="MEDIA GEOMETRICA",'PUNTAJE EXP'!G27,IF('PUNTAJE EXP'!$B$1="MEDIA ARITMETICA ALTA",'PUNTAJE EXP'!I27,IF('PUNTAJE EXP'!$B$1="MEDIA ARITMETICA BAJA",'PUNTAJE EXP'!#REF!,)))),"INHABILITADO")</f>
        <v>54.560084017630622</v>
      </c>
      <c r="E31" s="184">
        <f>IF(C31="HABILITADO",VLOOKUP(B31,PUNTAJE!$B$15:$AD$199,14,FALSE),"INHABILITADO")</f>
        <v>10</v>
      </c>
      <c r="F31" s="185">
        <f>IF(C31="HABILITADO",VLOOKUP(B31,PUNTAJE!$B$15:$AD$199,19,FALSE),"INHABILITADO")</f>
        <v>20</v>
      </c>
      <c r="G31" s="185">
        <f>IF(C31="HABILITADO",VLOOKUP(B31,PUNTAJE!$B$15:$AD$199,9,FALSE),"INHABILITADO")</f>
        <v>1</v>
      </c>
      <c r="H31" s="185">
        <f>IF(C31="HABILITADO",VLOOKUP(B31,PUNTAJE!$B$15:$AD$199,25,FALSE),"INHABILITADO")</f>
        <v>0.25</v>
      </c>
      <c r="I31" s="185"/>
      <c r="J31" s="185" t="str">
        <f>IF(C31="HABILITADO",PUNTAJE!Q115,"INHABILITADO")</f>
        <v>0</v>
      </c>
      <c r="K31" s="185">
        <f>IF(C31="HABILITADO",VLOOKUP(B31,PUNTAJE!$B$15:$AG$199,31,FALSE),"INHABILITADO")</f>
        <v>1</v>
      </c>
      <c r="L31" s="186">
        <f t="shared" si="1"/>
        <v>86.810084017630629</v>
      </c>
      <c r="M31" s="18">
        <f t="shared" si="0"/>
        <v>11</v>
      </c>
    </row>
    <row r="32" spans="1:13" ht="23.25" customHeight="1" x14ac:dyDescent="0.25">
      <c r="A32" s="34">
        <v>22</v>
      </c>
      <c r="B32" s="17" t="str">
        <f>+PROPONENTES!B31</f>
        <v>CONSORCIO PRO_CARING</v>
      </c>
      <c r="C32" s="18" t="str">
        <f>CONSOLIDADO!I32</f>
        <v>INHABILITADO</v>
      </c>
      <c r="D32" s="184" t="str">
        <f>IF(C32="HABILITADO",IF('PUNTAJE EXP'!$B$1="MEDIANA CON VALOR ABSOLUTO",'PUNTAJE EXP'!E28,IF('PUNTAJE EXP'!$B$1="MEDIA GEOMETRICA",'PUNTAJE EXP'!G28,IF('PUNTAJE EXP'!$B$1="MEDIA ARITMETICA ALTA",'PUNTAJE EXP'!I28,IF('PUNTAJE EXP'!$B$1="MEDIA ARITMETICA BAJA",'PUNTAJE EXP'!#REF!,)))),"INHABILITADO")</f>
        <v>INHABILITADO</v>
      </c>
      <c r="E32" s="184" t="str">
        <f>IF(C32="HABILITADO",VLOOKUP(B32,PUNTAJE!$B$15:$AD$199,14,FALSE),"INHABILITADO")</f>
        <v>INHABILITADO</v>
      </c>
      <c r="F32" s="185" t="str">
        <f>IF(C32="HABILITADO",VLOOKUP(B32,PUNTAJE!$B$15:$AD$199,19,FALSE),"INHABILITADO")</f>
        <v>INHABILITADO</v>
      </c>
      <c r="G32" s="185" t="str">
        <f>IF(C32="HABILITADO",VLOOKUP(B32,PUNTAJE!$B$15:$AD$199,9,FALSE),"INHABILITADO")</f>
        <v>INHABILITADO</v>
      </c>
      <c r="H32" s="185" t="str">
        <f>IF(C32="HABILITADO",VLOOKUP(B32,PUNTAJE!$B$15:$AD$199,25,FALSE),"INHABILITADO")</f>
        <v>INHABILITADO</v>
      </c>
      <c r="I32" s="185"/>
      <c r="J32" s="185" t="str">
        <f>IF(C32="HABILITADO",PUNTAJE!Q120,"INHABILITADO")</f>
        <v>INHABILITADO</v>
      </c>
      <c r="K32" s="185" t="str">
        <f>IF(C32="HABILITADO",VLOOKUP(B32,PUNTAJE!$B$15:$AG$199,31,FALSE),"INHABILITADO")</f>
        <v>INHABILITADO</v>
      </c>
      <c r="L32" s="186">
        <f t="shared" si="1"/>
        <v>0</v>
      </c>
      <c r="M32" s="18">
        <f t="shared" si="0"/>
        <v>24</v>
      </c>
    </row>
    <row r="33" spans="1:13" ht="23.25" customHeight="1" x14ac:dyDescent="0.25">
      <c r="A33" s="34">
        <v>23</v>
      </c>
      <c r="B33" s="17" t="str">
        <f>+PROPONENTES!B32</f>
        <v xml:space="preserve"> SOLUCIONES PARA LA INGENIERÍA S.A.S.</v>
      </c>
      <c r="C33" s="18" t="str">
        <f>CONSOLIDADO!I33</f>
        <v>HABILITADO</v>
      </c>
      <c r="D33" s="184">
        <f>IF(C33="HABILITADO",IF('PUNTAJE EXP'!$B$1="MEDIANA CON VALOR ABSOLUTO",'PUNTAJE EXP'!E29,IF('PUNTAJE EXP'!$B$1="MEDIA GEOMETRICA",'PUNTAJE EXP'!G29,IF('PUNTAJE EXP'!$B$1="MEDIA ARITMETICA ALTA",'PUNTAJE EXP'!I29,IF('PUNTAJE EXP'!$B$1="MEDIA ARITMETICA BAJA",'PUNTAJE EXP'!#REF!,)))),"INHABILITADO")</f>
        <v>64.86708102247637</v>
      </c>
      <c r="E33" s="184">
        <f>IF(C33="HABILITADO",VLOOKUP(B33,PUNTAJE!$B$15:$AD$199,14,FALSE),"INHABILITADO")</f>
        <v>10</v>
      </c>
      <c r="F33" s="185">
        <f>IF(C33="HABILITADO",VLOOKUP(B33,PUNTAJE!$B$15:$AD$199,19,FALSE),"INHABILITADO")</f>
        <v>20</v>
      </c>
      <c r="G33" s="185">
        <f>IF(C33="HABILITADO",VLOOKUP(B33,PUNTAJE!$B$15:$AD$199,9,FALSE),"INHABILITADO")</f>
        <v>1</v>
      </c>
      <c r="H33" s="185">
        <f>IF(C33="HABILITADO",VLOOKUP(B33,PUNTAJE!$B$15:$AD$199,25,FALSE),"INHABILITADO")</f>
        <v>0.25</v>
      </c>
      <c r="I33" s="185"/>
      <c r="J33" s="185" t="str">
        <f>IF(C33="HABILITADO",PUNTAJE!Q125,"INHABILITADO")</f>
        <v>0</v>
      </c>
      <c r="K33" s="185">
        <f>IF(C33="HABILITADO",VLOOKUP(B33,PUNTAJE!$B$15:$AG$199,31,FALSE),"INHABILITADO")</f>
        <v>1</v>
      </c>
      <c r="L33" s="186">
        <f t="shared" si="1"/>
        <v>97.11708102247637</v>
      </c>
      <c r="M33" s="18">
        <f t="shared" si="0"/>
        <v>4</v>
      </c>
    </row>
    <row r="34" spans="1:13" ht="23.25" customHeight="1" x14ac:dyDescent="0.25">
      <c r="A34" s="34">
        <v>24</v>
      </c>
      <c r="B34" s="17" t="str">
        <f>+PROPONENTES!B33</f>
        <v>CONSORCIO ARALEP 003</v>
      </c>
      <c r="C34" s="18" t="str">
        <f>CONSOLIDADO!I34</f>
        <v>INHABILITADO</v>
      </c>
      <c r="D34" s="184" t="str">
        <f>IF(C34="HABILITADO",IF('PUNTAJE EXP'!$B$1="MEDIANA CON VALOR ABSOLUTO",'PUNTAJE EXP'!E30,IF('PUNTAJE EXP'!$B$1="MEDIA GEOMETRICA",'PUNTAJE EXP'!G30,IF('PUNTAJE EXP'!$B$1="MEDIA ARITMETICA ALTA",'PUNTAJE EXP'!I30,IF('PUNTAJE EXP'!$B$1="MEDIA ARITMETICA BAJA",'PUNTAJE EXP'!#REF!,)))),"INHABILITADO")</f>
        <v>INHABILITADO</v>
      </c>
      <c r="E34" s="184" t="str">
        <f>IF(C34="HABILITADO",VLOOKUP(B34,PUNTAJE!$B$15:$AD$199,14,FALSE),"INHABILITADO")</f>
        <v>INHABILITADO</v>
      </c>
      <c r="F34" s="185" t="str">
        <f>IF(C34="HABILITADO",VLOOKUP(B34,PUNTAJE!$B$15:$AD$199,19,FALSE),"INHABILITADO")</f>
        <v>INHABILITADO</v>
      </c>
      <c r="G34" s="185" t="str">
        <f>IF(C34="HABILITADO",VLOOKUP(B34,PUNTAJE!$B$15:$AD$199,9,FALSE),"INHABILITADO")</f>
        <v>INHABILITADO</v>
      </c>
      <c r="H34" s="185" t="str">
        <f>IF(C34="HABILITADO",VLOOKUP(B34,PUNTAJE!$B$15:$AD$199,25,FALSE),"INHABILITADO")</f>
        <v>INHABILITADO</v>
      </c>
      <c r="I34" s="185"/>
      <c r="J34" s="185" t="str">
        <f>IF(C34="HABILITADO",PUNTAJE!Q130,"INHABILITADO")</f>
        <v>INHABILITADO</v>
      </c>
      <c r="K34" s="185" t="str">
        <f>IF(C34="HABILITADO",VLOOKUP(B34,PUNTAJE!$B$15:$AG$199,31,FALSE),"INHABILITADO")</f>
        <v>INHABILITADO</v>
      </c>
      <c r="L34" s="186">
        <f t="shared" si="1"/>
        <v>0</v>
      </c>
      <c r="M34" s="18">
        <f t="shared" si="0"/>
        <v>24</v>
      </c>
    </row>
    <row r="35" spans="1:13" ht="23.25" customHeight="1" x14ac:dyDescent="0.25">
      <c r="A35" s="34">
        <v>25</v>
      </c>
      <c r="B35" s="17" t="str">
        <f>+PROPONENTES!B34</f>
        <v>PRAN CONSTRUCCIONES S.A.S.</v>
      </c>
      <c r="C35" s="18" t="str">
        <f>CONSOLIDADO!I35</f>
        <v>HABILITADO</v>
      </c>
      <c r="D35" s="184">
        <f>IF(C35="HABILITADO",IF('PUNTAJE EXP'!$B$1="MEDIANA CON VALOR ABSOLUTO",'PUNTAJE EXP'!E31,IF('PUNTAJE EXP'!$B$1="MEDIA GEOMETRICA",'PUNTAJE EXP'!G31,IF('PUNTAJE EXP'!$B$1="MEDIA ARITMETICA ALTA",'PUNTAJE EXP'!I31,IF('PUNTAJE EXP'!$B$1="MEDIA ARITMETICA BAJA",'PUNTAJE EXP'!#REF!,)))),"INHABILITADO")</f>
        <v>44.774703740429167</v>
      </c>
      <c r="E35" s="184">
        <f>IF(C35="HABILITADO",VLOOKUP(B35,PUNTAJE!$B$15:$AD$199,14,FALSE),"INHABILITADO")</f>
        <v>10</v>
      </c>
      <c r="F35" s="185">
        <f>IF(C35="HABILITADO",VLOOKUP(B35,PUNTAJE!$B$15:$AD$199,19,FALSE),"INHABILITADO")</f>
        <v>20</v>
      </c>
      <c r="G35" s="185">
        <f>IF(C35="HABILITADO",VLOOKUP(B35,PUNTAJE!$B$15:$AD$199,9,FALSE),"INHABILITADO")</f>
        <v>1</v>
      </c>
      <c r="H35" s="185">
        <f>IF(C35="HABILITADO",VLOOKUP(B35,PUNTAJE!$B$15:$AD$199,25,FALSE),"INHABILITADO")</f>
        <v>0.25</v>
      </c>
      <c r="I35" s="185"/>
      <c r="J35" s="185" t="str">
        <f>IF(C35="HABILITADO",PUNTAJE!Q135,"INHABILITADO")</f>
        <v>0</v>
      </c>
      <c r="K35" s="185">
        <f>IF(C35="HABILITADO",VLOOKUP(B35,PUNTAJE!$B$15:$AG$199,31,FALSE),"INHABILITADO")</f>
        <v>0</v>
      </c>
      <c r="L35" s="186">
        <f t="shared" si="1"/>
        <v>76.024703740429175</v>
      </c>
      <c r="M35" s="18">
        <f t="shared" si="0"/>
        <v>18</v>
      </c>
    </row>
    <row r="36" spans="1:13" ht="23.25" customHeight="1" x14ac:dyDescent="0.25">
      <c r="A36" s="34">
        <v>26</v>
      </c>
      <c r="B36" s="17" t="str">
        <f>+PROPONENTES!B35</f>
        <v>CONSORCIO PROYECTOS 2024</v>
      </c>
      <c r="C36" s="18" t="str">
        <f>CONSOLIDADO!I36</f>
        <v>HABILITADO</v>
      </c>
      <c r="D36" s="184">
        <f>IF(C36="HABILITADO",IF('PUNTAJE EXP'!$B$1="MEDIANA CON VALOR ABSOLUTO",'PUNTAJE EXP'!E32,IF('PUNTAJE EXP'!$B$1="MEDIA GEOMETRICA",'PUNTAJE EXP'!G32,IF('PUNTAJE EXP'!$B$1="MEDIA ARITMETICA ALTA",'PUNTAJE EXP'!I32,IF('PUNTAJE EXP'!$B$1="MEDIA ARITMETICA BAJA",'PUNTAJE EXP'!#REF!,)))),"INHABILITADO")</f>
        <v>65.867359629385234</v>
      </c>
      <c r="E36" s="184">
        <f>IF(C36="HABILITADO",VLOOKUP(B36,PUNTAJE!$B$15:$AD$199,14,FALSE),"INHABILITADO")</f>
        <v>10</v>
      </c>
      <c r="F36" s="185">
        <f>IF(C36="HABILITADO",VLOOKUP(B36,PUNTAJE!$B$15:$AD$199,19,FALSE),"INHABILITADO")</f>
        <v>20</v>
      </c>
      <c r="G36" s="185">
        <f>IF(C36="HABILITADO",VLOOKUP(B36,PUNTAJE!$B$15:$AD$199,9,FALSE),"INHABILITADO")</f>
        <v>1</v>
      </c>
      <c r="H36" s="185">
        <f>IF(C36="HABILITADO",VLOOKUP(B36,PUNTAJE!$B$15:$AD$199,25,FALSE),"INHABILITADO")</f>
        <v>0.25</v>
      </c>
      <c r="I36" s="185"/>
      <c r="J36" s="185" t="str">
        <f>IF(C36="HABILITADO",PUNTAJE!Q140,"INHABILITADO")</f>
        <v>0</v>
      </c>
      <c r="K36" s="185">
        <f>IF(C36="HABILITADO",VLOOKUP(B36,PUNTAJE!$B$15:$AG$199,31,FALSE),"INHABILITADO")</f>
        <v>1</v>
      </c>
      <c r="L36" s="186">
        <f t="shared" si="1"/>
        <v>98.117359629385234</v>
      </c>
      <c r="M36" s="18">
        <f t="shared" si="0"/>
        <v>3</v>
      </c>
    </row>
    <row r="37" spans="1:13" ht="23.25" customHeight="1" x14ac:dyDescent="0.25">
      <c r="A37" s="34">
        <v>27</v>
      </c>
      <c r="B37" s="17" t="str">
        <f>+PROPONENTES!B36</f>
        <v>CONSORCIO KENNEDY JINT 3</v>
      </c>
      <c r="C37" s="18" t="str">
        <f>CONSOLIDADO!I37</f>
        <v>HABILITADO</v>
      </c>
      <c r="D37" s="184">
        <f>IF(C37="HABILITADO",IF('PUNTAJE EXP'!$B$1="MEDIANA CON VALOR ABSOLUTO",'PUNTAJE EXP'!E33,IF('PUNTAJE EXP'!$B$1="MEDIA GEOMETRICA",'PUNTAJE EXP'!G33,IF('PUNTAJE EXP'!$B$1="MEDIA ARITMETICA ALTA",'PUNTAJE EXP'!I33,IF('PUNTAJE EXP'!$B$1="MEDIA ARITMETICA BAJA",'PUNTAJE EXP'!#REF!,)))),"INHABILITADO")</f>
        <v>66.771080233157534</v>
      </c>
      <c r="E37" s="184">
        <f>IF(C37="HABILITADO",VLOOKUP(B37,PUNTAJE!$B$15:$AD$199,14,FALSE),"INHABILITADO")</f>
        <v>10</v>
      </c>
      <c r="F37" s="185">
        <f>IF(C37="HABILITADO",VLOOKUP(B37,PUNTAJE!$B$15:$AD$199,19,FALSE),"INHABILITADO")</f>
        <v>20</v>
      </c>
      <c r="G37" s="185">
        <f>IF(C37="HABILITADO",VLOOKUP(B37,PUNTAJE!$B$15:$AD$199,9,FALSE),"INHABILITADO")</f>
        <v>1</v>
      </c>
      <c r="H37" s="185">
        <f>IF(C37="HABILITADO",VLOOKUP(B37,PUNTAJE!$B$15:$AD$199,25,FALSE),"INHABILITADO")</f>
        <v>0.25</v>
      </c>
      <c r="I37" s="185"/>
      <c r="J37" s="185" t="str">
        <f>IF(C37="HABILITADO",PUNTAJE!Q145,"INHABILITADO")</f>
        <v>0</v>
      </c>
      <c r="K37" s="185">
        <f>IF(C37="HABILITADO",VLOOKUP(B37,PUNTAJE!$B$15:$AG$199,31,FALSE),"INHABILITADO")</f>
        <v>1</v>
      </c>
      <c r="L37" s="186">
        <f t="shared" si="1"/>
        <v>99.021080233157534</v>
      </c>
      <c r="M37" s="18">
        <f t="shared" ref="M37:M47" si="2">RANK(L37,$L$11:$L$47,0)</f>
        <v>2</v>
      </c>
    </row>
    <row r="38" spans="1:13" ht="23.25" customHeight="1" x14ac:dyDescent="0.25">
      <c r="A38" s="34">
        <v>28</v>
      </c>
      <c r="B38" s="17" t="str">
        <f>+PROPONENTES!B37</f>
        <v>CABA INTERVENTORÍA SAS</v>
      </c>
      <c r="C38" s="18" t="str">
        <f>CONSOLIDADO!I38</f>
        <v>HABILITADO</v>
      </c>
      <c r="D38" s="184">
        <f>IF(C38="HABILITADO",IF('PUNTAJE EXP'!$B$1="MEDIANA CON VALOR ABSOLUTO",'PUNTAJE EXP'!E34,IF('PUNTAJE EXP'!$B$1="MEDIA GEOMETRICA",'PUNTAJE EXP'!G34,IF('PUNTAJE EXP'!$B$1="MEDIA ARITMETICA ALTA",'PUNTAJE EXP'!I34,IF('PUNTAJE EXP'!$B$1="MEDIA ARITMETICA BAJA",'PUNTAJE EXP'!#REF!,)))),"INHABILITADO")</f>
        <v>52.966754598542394</v>
      </c>
      <c r="E38" s="184">
        <f>IF(C38="HABILITADO",VLOOKUP(B38,PUNTAJE!$B$15:$AD$199,14,FALSE),"INHABILITADO")</f>
        <v>10</v>
      </c>
      <c r="F38" s="185">
        <f>IF(C38="HABILITADO",VLOOKUP(B38,PUNTAJE!$B$15:$AD$199,19,FALSE),"INHABILITADO")</f>
        <v>20</v>
      </c>
      <c r="G38" s="185">
        <f>IF(C38="HABILITADO",VLOOKUP(B38,PUNTAJE!$B$15:$AD$199,9,FALSE),"INHABILITADO")</f>
        <v>1</v>
      </c>
      <c r="H38" s="185">
        <f>IF(C38="HABILITADO",VLOOKUP(B38,PUNTAJE!$B$15:$AD$199,25,FALSE),"INHABILITADO")</f>
        <v>0.25</v>
      </c>
      <c r="I38" s="185"/>
      <c r="J38" s="185" t="str">
        <f>IF(C38="HABILITADO",PUNTAJE!Q150,"INHABILITADO")</f>
        <v>0</v>
      </c>
      <c r="K38" s="185">
        <f>IF(C38="HABILITADO",VLOOKUP(B38,PUNTAJE!$B$15:$AG$199,31,FALSE),"INHABILITADO")</f>
        <v>1</v>
      </c>
      <c r="L38" s="186">
        <f t="shared" si="1"/>
        <v>85.216754598542394</v>
      </c>
      <c r="M38" s="18">
        <f t="shared" si="2"/>
        <v>12</v>
      </c>
    </row>
    <row r="39" spans="1:13" ht="23.25" customHeight="1" x14ac:dyDescent="0.25">
      <c r="A39" s="34">
        <v>29</v>
      </c>
      <c r="B39" s="17" t="str">
        <f>+PROPONENTES!B38</f>
        <v>MIRS LATINOAMERICA S.A.S</v>
      </c>
      <c r="C39" s="18" t="str">
        <f>CONSOLIDADO!I39</f>
        <v>HABILITADO</v>
      </c>
      <c r="D39" s="184">
        <f>IF(C39="HABILITADO",IF('PUNTAJE EXP'!$B$1="MEDIANA CON VALOR ABSOLUTO",'PUNTAJE EXP'!E35,IF('PUNTAJE EXP'!$B$1="MEDIA GEOMETRICA",'PUNTAJE EXP'!G35,IF('PUNTAJE EXP'!$B$1="MEDIA ARITMETICA ALTA",'PUNTAJE EXP'!I35,IF('PUNTAJE EXP'!$B$1="MEDIA ARITMETICA BAJA",'PUNTAJE EXP'!#REF!,)))),"INHABILITADO")</f>
        <v>57.676527226402364</v>
      </c>
      <c r="E39" s="184">
        <f>IF(C39="HABILITADO",VLOOKUP(B39,PUNTAJE!$B$15:$AD$199,14,FALSE),"INHABILITADO")</f>
        <v>10</v>
      </c>
      <c r="F39" s="185">
        <f>IF(C39="HABILITADO",VLOOKUP(B39,PUNTAJE!$B$15:$AD$199,19,FALSE),"INHABILITADO")</f>
        <v>20</v>
      </c>
      <c r="G39" s="185">
        <f>IF(C39="HABILITADO",VLOOKUP(B39,PUNTAJE!$B$15:$AD$199,9,FALSE),"INHABILITADO")</f>
        <v>1</v>
      </c>
      <c r="H39" s="185">
        <f>IF(C39="HABILITADO",VLOOKUP(B39,PUNTAJE!$B$15:$AD$199,25,FALSE),"INHABILITADO")</f>
        <v>0.25</v>
      </c>
      <c r="I39" s="185"/>
      <c r="J39" s="185" t="str">
        <f>IF(C39="HABILITADO",PUNTAJE!Q155,"INHABILITADO")</f>
        <v>0</v>
      </c>
      <c r="K39" s="185">
        <f>IF(C39="HABILITADO",VLOOKUP(B39,PUNTAJE!$B$15:$AG$199,31,FALSE),"INHABILITADO")</f>
        <v>1</v>
      </c>
      <c r="L39" s="186">
        <f t="shared" si="1"/>
        <v>89.926527226402357</v>
      </c>
      <c r="M39" s="18">
        <f t="shared" si="2"/>
        <v>10</v>
      </c>
    </row>
    <row r="40" spans="1:13" ht="23.25" customHeight="1" x14ac:dyDescent="0.25">
      <c r="A40" s="34">
        <v>30</v>
      </c>
      <c r="B40" s="17" t="str">
        <f>+PROPONENTES!B39</f>
        <v>CONSORCIO MULTIPARK KENNEDY</v>
      </c>
      <c r="C40" s="18" t="str">
        <f>CONSOLIDADO!I40</f>
        <v>HABILITADO</v>
      </c>
      <c r="D40" s="184">
        <f>IF(C40="HABILITADO",IF('PUNTAJE EXP'!$B$1="MEDIANA CON VALOR ABSOLUTO",'PUNTAJE EXP'!E36,IF('PUNTAJE EXP'!$B$1="MEDIA GEOMETRICA",'PUNTAJE EXP'!G36,IF('PUNTAJE EXP'!$B$1="MEDIA ARITMETICA ALTA",'PUNTAJE EXP'!I36,IF('PUNTAJE EXP'!$B$1="MEDIA ARITMETICA BAJA",'PUNTAJE EXP'!#REF!,)))),"INHABILITADO")</f>
        <v>40.450390828073395</v>
      </c>
      <c r="E40" s="184">
        <f>IF(C40="HABILITADO",VLOOKUP(B40,PUNTAJE!$B$15:$AD$199,14,FALSE),"INHABILITADO")</f>
        <v>10</v>
      </c>
      <c r="F40" s="185">
        <f>IF(C40="HABILITADO",VLOOKUP(B40,PUNTAJE!$B$15:$AD$199,19,FALSE),"INHABILITADO")</f>
        <v>20</v>
      </c>
      <c r="G40" s="185">
        <f>IF(C40="HABILITADO",VLOOKUP(B40,PUNTAJE!$B$15:$AD$199,9,FALSE),"INHABILITADO")</f>
        <v>1</v>
      </c>
      <c r="H40" s="185">
        <f>IF(C40="HABILITADO",VLOOKUP(B40,PUNTAJE!$B$15:$AD$199,25,FALSE),"INHABILITADO")</f>
        <v>0.25</v>
      </c>
      <c r="I40" s="185"/>
      <c r="J40" s="185" t="str">
        <f>IF(C40="HABILITADO",PUNTAJE!Q160,"INHABILITADO")</f>
        <v>0</v>
      </c>
      <c r="K40" s="185">
        <f>IF(C40="HABILITADO",VLOOKUP(B40,PUNTAJE!$B$15:$AG$199,31,FALSE),"INHABILITADO")</f>
        <v>1</v>
      </c>
      <c r="L40" s="186">
        <f t="shared" si="1"/>
        <v>72.700390828073395</v>
      </c>
      <c r="M40" s="18">
        <f t="shared" si="2"/>
        <v>19</v>
      </c>
    </row>
    <row r="41" spans="1:13" ht="23.25" customHeight="1" x14ac:dyDescent="0.25">
      <c r="A41" s="34">
        <v>31</v>
      </c>
      <c r="B41" s="17" t="str">
        <f>+PROPONENTES!B40</f>
        <v>CONSORCIO PRO-TEV 20</v>
      </c>
      <c r="C41" s="18" t="str">
        <f>CONSOLIDADO!I41</f>
        <v>HABILITADO</v>
      </c>
      <c r="D41" s="184">
        <f>IF(C41="HABILITADO",IF('PUNTAJE EXP'!$B$1="MEDIANA CON VALOR ABSOLUTO",'PUNTAJE EXP'!E37,IF('PUNTAJE EXP'!$B$1="MEDIA GEOMETRICA",'PUNTAJE EXP'!G37,IF('PUNTAJE EXP'!$B$1="MEDIA ARITMETICA ALTA",'PUNTAJE EXP'!I37,IF('PUNTAJE EXP'!$B$1="MEDIA ARITMETICA BAJA",'PUNTAJE EXP'!#REF!,)))),"INHABILITADO")</f>
        <v>58.755106577829402</v>
      </c>
      <c r="E41" s="184">
        <f>IF(C41="HABILITADO",VLOOKUP(B41,PUNTAJE!$B$15:$AD$199,14,FALSE),"INHABILITADO")</f>
        <v>10</v>
      </c>
      <c r="F41" s="185">
        <f>IF(C41="HABILITADO",VLOOKUP(B41,PUNTAJE!$B$15:$AD$199,19,FALSE),"INHABILITADO")</f>
        <v>20</v>
      </c>
      <c r="G41" s="185">
        <f>IF(C41="HABILITADO",VLOOKUP(B41,PUNTAJE!$B$15:$AD$199,9,FALSE),"INHABILITADO")</f>
        <v>1</v>
      </c>
      <c r="H41" s="185">
        <f>IF(C41="HABILITADO",VLOOKUP(B41,PUNTAJE!$B$15:$AD$199,25,FALSE),"INHABILITADO")</f>
        <v>0.25</v>
      </c>
      <c r="I41" s="185"/>
      <c r="J41" s="185" t="str">
        <f>IF(C41="HABILITADO",PUNTAJE!Q165,"INHABILITADO")</f>
        <v>0</v>
      </c>
      <c r="K41" s="185">
        <f>IF(C41="HABILITADO",VLOOKUP(B41,PUNTAJE!$B$15:$AG$199,31,FALSE),"INHABILITADO")</f>
        <v>1</v>
      </c>
      <c r="L41" s="186">
        <f t="shared" si="1"/>
        <v>91.005106577829395</v>
      </c>
      <c r="M41" s="18">
        <f t="shared" si="2"/>
        <v>8</v>
      </c>
    </row>
    <row r="42" spans="1:13" ht="23.25" customHeight="1" x14ac:dyDescent="0.25">
      <c r="A42" s="34">
        <v>32</v>
      </c>
      <c r="B42" s="17" t="str">
        <f>+PROPONENTES!B41</f>
        <v>LOGIA 3 ASOCIADOS S.A.S – BIC</v>
      </c>
      <c r="C42" s="18" t="str">
        <f>CONSOLIDADO!I42</f>
        <v>HABILITADO</v>
      </c>
      <c r="D42" s="184">
        <f>IF(C42="HABILITADO",IF('PUNTAJE EXP'!$B$1="MEDIANA CON VALOR ABSOLUTO",'PUNTAJE EXP'!E38,IF('PUNTAJE EXP'!$B$1="MEDIA GEOMETRICA",'PUNTAJE EXP'!G38,IF('PUNTAJE EXP'!$B$1="MEDIA ARITMETICA ALTA",'PUNTAJE EXP'!I38,IF('PUNTAJE EXP'!$B$1="MEDIA ARITMETICA BAJA",'PUNTAJE EXP'!#REF!,)))),"INHABILITADO")</f>
        <v>67.75</v>
      </c>
      <c r="E42" s="184">
        <f>IF(C42="HABILITADO",VLOOKUP(B42,PUNTAJE!$B$15:$AD$199,14,FALSE),"INHABILITADO")</f>
        <v>10</v>
      </c>
      <c r="F42" s="185">
        <f>IF(C42="HABILITADO",VLOOKUP(B42,PUNTAJE!$B$15:$AD$199,19,FALSE),"INHABILITADO")</f>
        <v>20</v>
      </c>
      <c r="G42" s="185">
        <f>IF(C42="HABILITADO",VLOOKUP(B42,PUNTAJE!$B$15:$AD$199,9,FALSE),"INHABILITADO")</f>
        <v>1</v>
      </c>
      <c r="H42" s="185">
        <f>IF(C42="HABILITADO",VLOOKUP(B42,PUNTAJE!$B$15:$AD$199,25,FALSE),"INHABILITADO")</f>
        <v>0.25</v>
      </c>
      <c r="I42" s="185"/>
      <c r="J42" s="185" t="str">
        <f>IF(C42="HABILITADO",PUNTAJE!Q170,"INHABILITADO")</f>
        <v>0</v>
      </c>
      <c r="K42" s="185">
        <f>IF(C42="HABILITADO",VLOOKUP(B42,PUNTAJE!$B$15:$AG$199,31,FALSE),"INHABILITADO")</f>
        <v>1</v>
      </c>
      <c r="L42" s="186">
        <f t="shared" si="1"/>
        <v>100</v>
      </c>
      <c r="M42" s="18">
        <f t="shared" si="2"/>
        <v>1</v>
      </c>
    </row>
    <row r="43" spans="1:13" ht="23.25" customHeight="1" x14ac:dyDescent="0.25">
      <c r="A43" s="34">
        <v>33</v>
      </c>
      <c r="B43" s="17" t="str">
        <f>+PROPONENTES!B42</f>
        <v xml:space="preserve">CONSORCIO AL PARK 003 </v>
      </c>
      <c r="C43" s="18" t="str">
        <f>CONSOLIDADO!I43</f>
        <v>HABILITADO</v>
      </c>
      <c r="D43" s="184">
        <f>IF(C43="HABILITADO",IF('PUNTAJE EXP'!$B$1="MEDIANA CON VALOR ABSOLUTO",'PUNTAJE EXP'!E39,IF('PUNTAJE EXP'!$B$1="MEDIA GEOMETRICA",'PUNTAJE EXP'!G39,IF('PUNTAJE EXP'!$B$1="MEDIA ARITMETICA ALTA",'PUNTAJE EXP'!I39,IF('PUNTAJE EXP'!$B$1="MEDIA ARITMETICA BAJA",'PUNTAJE EXP'!#REF!,)))),"INHABILITADO")</f>
        <v>11.405628422780172</v>
      </c>
      <c r="E43" s="184">
        <f>IF(C43="HABILITADO",VLOOKUP(B43,PUNTAJE!$B$15:$AD$199,14,FALSE),"INHABILITADO")</f>
        <v>10</v>
      </c>
      <c r="F43" s="185">
        <f>IF(C43="HABILITADO",VLOOKUP(B43,PUNTAJE!$B$15:$AD$199,19,FALSE),"INHABILITADO")</f>
        <v>20</v>
      </c>
      <c r="G43" s="185">
        <f>IF(C43="HABILITADO",VLOOKUP(B43,PUNTAJE!$B$15:$AD$199,9,FALSE),"INHABILITADO")</f>
        <v>1</v>
      </c>
      <c r="H43" s="185">
        <f>IF(C43="HABILITADO",VLOOKUP(B43,PUNTAJE!$B$15:$AD$199,25,FALSE),"INHABILITADO")</f>
        <v>0</v>
      </c>
      <c r="I43" s="185"/>
      <c r="J43" s="185" t="str">
        <f>IF(C43="HABILITADO",PUNTAJE!Q175,"INHABILITADO")</f>
        <v>0</v>
      </c>
      <c r="K43" s="185">
        <f>IF(C43="HABILITADO",VLOOKUP(B43,PUNTAJE!$B$15:$AG$199,31,FALSE),"INHABILITADO")</f>
        <v>1</v>
      </c>
      <c r="L43" s="186">
        <f t="shared" si="1"/>
        <v>43.405628422780168</v>
      </c>
      <c r="M43" s="18">
        <f t="shared" si="2"/>
        <v>22</v>
      </c>
    </row>
    <row r="44" spans="1:13" ht="23.25" customHeight="1" x14ac:dyDescent="0.25">
      <c r="A44" s="209">
        <v>34</v>
      </c>
      <c r="B44" s="210" t="str">
        <f>+PROPONENTES!B43</f>
        <v>CONSORCIO INT PARQUES KENNEDY 2024</v>
      </c>
      <c r="C44" s="211" t="str">
        <f>CONSOLIDADO!I44</f>
        <v>RECHAZADO</v>
      </c>
      <c r="D44" s="212" t="str">
        <f>IF(C44="HABILITADO",IF('PUNTAJE EXP'!$B$1="MEDIANA CON VALOR ABSOLUTO",'PUNTAJE EXP'!E40,IF('PUNTAJE EXP'!$B$1="MEDIA GEOMETRICA",'PUNTAJE EXP'!G40,IF('PUNTAJE EXP'!$B$1="MEDIA ARITMETICA ALTA",'PUNTAJE EXP'!I40,IF('PUNTAJE EXP'!$B$1="MEDIA ARITMETICA BAJA",'PUNTAJE EXP'!#REF!,)))),"INHABILITADO")</f>
        <v>INHABILITADO</v>
      </c>
      <c r="E44" s="212" t="str">
        <f>IF(C44="HABILITADO",VLOOKUP(B44,PUNTAJE!$B$15:$AD$199,14,FALSE),"INHABILITADO")</f>
        <v>INHABILITADO</v>
      </c>
      <c r="F44" s="213" t="str">
        <f>IF(C44="HABILITADO",VLOOKUP(B44,PUNTAJE!$B$15:$AD$199,19,FALSE),"INHABILITADO")</f>
        <v>INHABILITADO</v>
      </c>
      <c r="G44" s="213" t="str">
        <f>IF(C44="HABILITADO",VLOOKUP(B44,PUNTAJE!$B$15:$AD$199,9,FALSE),"INHABILITADO")</f>
        <v>INHABILITADO</v>
      </c>
      <c r="H44" s="213" t="str">
        <f>IF(C44="HABILITADO",VLOOKUP(B44,PUNTAJE!$B$15:$AD$199,25,FALSE),"INHABILITADO")</f>
        <v>INHABILITADO</v>
      </c>
      <c r="I44" s="213"/>
      <c r="J44" s="213" t="str">
        <f>IF(C44="HABILITADO",PUNTAJE!Q180,"INHABILITADO")</f>
        <v>INHABILITADO</v>
      </c>
      <c r="K44" s="213" t="str">
        <f>IF(C44="HABILITADO",VLOOKUP(B44,PUNTAJE!$B$15:$AG$199,31,FALSE),"INHABILITADO")</f>
        <v>INHABILITADO</v>
      </c>
      <c r="L44" s="214">
        <f t="shared" si="1"/>
        <v>0</v>
      </c>
      <c r="M44" s="18">
        <f t="shared" si="2"/>
        <v>24</v>
      </c>
    </row>
    <row r="45" spans="1:13" ht="23.25" customHeight="1" x14ac:dyDescent="0.25">
      <c r="A45" s="34">
        <v>35</v>
      </c>
      <c r="B45" s="17" t="str">
        <f>+PROPONENTES!B44</f>
        <v>CONSORCIO INTERKENNEDY EYD</v>
      </c>
      <c r="C45" s="18" t="str">
        <f>CONSOLIDADO!I45</f>
        <v>HABILITADO</v>
      </c>
      <c r="D45" s="184">
        <f>IF(C45="HABILITADO",IF('PUNTAJE EXP'!$B$1="MEDIANA CON VALOR ABSOLUTO",'PUNTAJE EXP'!E41,IF('PUNTAJE EXP'!$B$1="MEDIA GEOMETRICA",'PUNTAJE EXP'!G41,IF('PUNTAJE EXP'!$B$1="MEDIA ARITMETICA ALTA",'PUNTAJE EXP'!I41,IF('PUNTAJE EXP'!$B$1="MEDIA ARITMETICA BAJA",'PUNTAJE EXP'!#REF!,)))),"INHABILITADO")</f>
        <v>46.830358869055431</v>
      </c>
      <c r="E45" s="184">
        <f>IF(C45="HABILITADO",VLOOKUP(B45,PUNTAJE!$B$15:$AD$199,14,FALSE),"INHABILITADO")</f>
        <v>10</v>
      </c>
      <c r="F45" s="185">
        <f>IF(C45="HABILITADO",VLOOKUP(B45,PUNTAJE!$B$15:$AD$199,19,FALSE),"INHABILITADO")</f>
        <v>20</v>
      </c>
      <c r="G45" s="185">
        <f>IF(C45="HABILITADO",VLOOKUP(B45,PUNTAJE!$B$15:$AD$199,9,FALSE),"INHABILITADO")</f>
        <v>1</v>
      </c>
      <c r="H45" s="185">
        <f>IF(C45="HABILITADO",VLOOKUP(B45,PUNTAJE!$B$15:$AD$199,25,FALSE),"INHABILITADO")</f>
        <v>0.25</v>
      </c>
      <c r="I45" s="185"/>
      <c r="J45" s="185" t="str">
        <f>IF(C45="HABILITADO",PUNTAJE!Q185,"INHABILITADO")</f>
        <v>0</v>
      </c>
      <c r="K45" s="185">
        <f>IF(C45="HABILITADO",VLOOKUP(B45,PUNTAJE!$B$15:$AG$199,31,FALSE),"INHABILITADO")</f>
        <v>1</v>
      </c>
      <c r="L45" s="186">
        <f t="shared" si="1"/>
        <v>79.080358869055431</v>
      </c>
      <c r="M45" s="18">
        <f t="shared" si="2"/>
        <v>17</v>
      </c>
    </row>
    <row r="46" spans="1:13" ht="23.25" customHeight="1" x14ac:dyDescent="0.25">
      <c r="A46" s="34">
        <v>36</v>
      </c>
      <c r="B46" s="17" t="str">
        <f>+PROPONENTES!B45</f>
        <v>CONSORCIO INTER KENNEDY PARQUES</v>
      </c>
      <c r="C46" s="18" t="str">
        <f>CONSOLIDADO!I46</f>
        <v>INHABILITADO</v>
      </c>
      <c r="D46" s="184" t="str">
        <f>IF(C46="HABILITADO",IF('PUNTAJE EXP'!$B$1="MEDIANA CON VALOR ABSOLUTO",'PUNTAJE EXP'!E42,IF('PUNTAJE EXP'!$B$1="MEDIA GEOMETRICA",'PUNTAJE EXP'!G42,IF('PUNTAJE EXP'!$B$1="MEDIA ARITMETICA ALTA",'PUNTAJE EXP'!I42,IF('PUNTAJE EXP'!$B$1="MEDIA ARITMETICA BAJA",'PUNTAJE EXP'!#REF!,)))),"INHABILITADO")</f>
        <v>INHABILITADO</v>
      </c>
      <c r="E46" s="184" t="str">
        <f>IF(C46="HABILITADO",VLOOKUP(B46,PUNTAJE!$B$15:$AD$199,14,FALSE),"INHABILITADO")</f>
        <v>INHABILITADO</v>
      </c>
      <c r="F46" s="185" t="str">
        <f>IF(C46="HABILITADO",VLOOKUP(B46,PUNTAJE!$B$15:$AD$199,19,FALSE),"INHABILITADO")</f>
        <v>INHABILITADO</v>
      </c>
      <c r="G46" s="185" t="str">
        <f>IF(C46="HABILITADO",VLOOKUP(B46,PUNTAJE!$B$15:$AD$199,9,FALSE),"INHABILITADO")</f>
        <v>INHABILITADO</v>
      </c>
      <c r="H46" s="185" t="str">
        <f>IF(C46="HABILITADO",VLOOKUP(B46,PUNTAJE!$B$15:$AD$199,25,FALSE),"INHABILITADO")</f>
        <v>INHABILITADO</v>
      </c>
      <c r="I46" s="185"/>
      <c r="J46" s="185" t="str">
        <f>IF(C46="HABILITADO",PUNTAJE!Q190,"INHABILITADO")</f>
        <v>INHABILITADO</v>
      </c>
      <c r="K46" s="185" t="str">
        <f>IF(C46="HABILITADO",VLOOKUP(B46,PUNTAJE!$B$15:$AG$199,31,FALSE),"INHABILITADO")</f>
        <v>INHABILITADO</v>
      </c>
      <c r="L46" s="186">
        <f t="shared" si="1"/>
        <v>0</v>
      </c>
      <c r="M46" s="18">
        <f t="shared" si="2"/>
        <v>24</v>
      </c>
    </row>
    <row r="47" spans="1:13" ht="23.25" customHeight="1" x14ac:dyDescent="0.25">
      <c r="A47" s="34">
        <v>37</v>
      </c>
      <c r="B47" s="17" t="str">
        <f>+PROPONENTES!B46</f>
        <v>JCB CONSULTORIA S.A.S</v>
      </c>
      <c r="C47" s="18" t="str">
        <f>CONSOLIDADO!I47</f>
        <v>HABILITADO</v>
      </c>
      <c r="D47" s="184">
        <f>IF(C47="HABILITADO",IF('PUNTAJE EXP'!$B$1="MEDIANA CON VALOR ABSOLUTO",'PUNTAJE EXP'!E43,IF('PUNTAJE EXP'!$B$1="MEDIA GEOMETRICA",'PUNTAJE EXP'!G43,IF('PUNTAJE EXP'!$B$1="MEDIA ARITMETICA ALTA",'PUNTAJE EXP'!I43,IF('PUNTAJE EXP'!$B$1="MEDIA ARITMETICA BAJA",'PUNTAJE EXP'!#REF!,)))),"INHABILITADO")</f>
        <v>49.751812468493895</v>
      </c>
      <c r="E47" s="184">
        <f>IF(C47="HABILITADO",VLOOKUP(B47,PUNTAJE!$B$15:$AD$199,14,FALSE),"INHABILITADO")</f>
        <v>10</v>
      </c>
      <c r="F47" s="185">
        <f>IF(C47="HABILITADO",VLOOKUP(B47,PUNTAJE!$B$15:$AD$199,19,FALSE),"INHABILITADO")</f>
        <v>20</v>
      </c>
      <c r="G47" s="185">
        <f>IF(C47="HABILITADO",VLOOKUP(B47,PUNTAJE!$B$15:$AD$199,9,FALSE),"INHABILITADO")</f>
        <v>1</v>
      </c>
      <c r="H47" s="185">
        <f>IF(C47="HABILITADO",VLOOKUP(B47,PUNTAJE!$B$15:$AD$199,25,FALSE),"INHABILITADO")</f>
        <v>0.25</v>
      </c>
      <c r="I47" s="185"/>
      <c r="J47" s="185" t="str">
        <f>IF(C47="HABILITADO",PUNTAJE!Q195,"INHABILITADO")</f>
        <v>0</v>
      </c>
      <c r="K47" s="185">
        <f>IF(C47="HABILITADO",VLOOKUP(B47,PUNTAJE!$B$15:$AG$199,31,FALSE),"INHABILITADO")</f>
        <v>1</v>
      </c>
      <c r="L47" s="186">
        <f t="shared" si="1"/>
        <v>82.001812468493895</v>
      </c>
      <c r="M47" s="18">
        <f t="shared" si="2"/>
        <v>15</v>
      </c>
    </row>
    <row r="48" spans="1:13" ht="23.25" customHeight="1" x14ac:dyDescent="0.25">
      <c r="B48" s="15"/>
      <c r="D48" s="32"/>
      <c r="E48" s="32"/>
      <c r="F48" s="16"/>
      <c r="G48" s="16"/>
      <c r="H48" s="16"/>
      <c r="I48" s="16"/>
      <c r="J48" s="16"/>
      <c r="K48" s="16"/>
      <c r="L48" s="16"/>
      <c r="M48" s="22"/>
    </row>
    <row r="49" spans="3:3" ht="6.75" customHeight="1" x14ac:dyDescent="0.25"/>
    <row r="50" spans="3:3" ht="5.25" customHeight="1" x14ac:dyDescent="0.25"/>
    <row r="51" spans="3:3" x14ac:dyDescent="0.25">
      <c r="C51" s="67"/>
    </row>
  </sheetData>
  <mergeCells count="11">
    <mergeCell ref="C4:D4"/>
    <mergeCell ref="C5:D5"/>
    <mergeCell ref="A8:M8"/>
    <mergeCell ref="A6:M6"/>
    <mergeCell ref="A1:M1"/>
    <mergeCell ref="A2:M2"/>
    <mergeCell ref="A3:M3"/>
    <mergeCell ref="A4:B5"/>
    <mergeCell ref="A7:M7"/>
    <mergeCell ref="F4:M4"/>
    <mergeCell ref="F5:L5"/>
  </mergeCells>
  <conditionalFormatting sqref="C11:C47 M11:M48">
    <cfRule type="containsText" dxfId="9" priority="3" operator="containsText" text="INHABILITADO">
      <formula>NOT(ISERROR(SEARCH("INHABILITADO",C11)))</formula>
    </cfRule>
    <cfRule type="containsText" dxfId="8" priority="4" operator="containsText" text="HABILITADO">
      <formula>NOT(ISERROR(SEARCH("HABILITADO",C11)))</formula>
    </cfRule>
  </conditionalFormatting>
  <conditionalFormatting sqref="F11:L47">
    <cfRule type="cellIs" dxfId="7" priority="5" operator="equal">
      <formula>"CUMPLE"</formula>
    </cfRule>
    <cfRule type="cellIs" dxfId="6" priority="6" operator="equal">
      <formula>"NO CUMPLE"</formula>
    </cfRule>
    <cfRule type="cellIs" dxfId="5" priority="7" operator="equal">
      <formula>"""CUMPLE"""</formula>
    </cfRule>
  </conditionalFormatting>
  <conditionalFormatting sqref="F48:L48">
    <cfRule type="containsText" dxfId="4" priority="10" operator="containsText" text="NO CUMPLE">
      <formula>NOT(ISERROR(SEARCH("NO CUMPLE",F48)))</formula>
    </cfRule>
    <cfRule type="containsText" dxfId="3" priority="11" operator="containsText" text="CUMPLE">
      <formula>NOT(ISERROR(SEARCH("CUMPLE",F48)))</formula>
    </cfRule>
  </conditionalFormatting>
  <pageMargins left="0.7" right="0.7" top="0.75" bottom="0.75" header="0.3" footer="0.3"/>
  <pageSetup scale="40" orientation="landscape" r:id="rId1"/>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2200-000000000000}">
          <x14:formula1>
            <xm:f>'DATOS INICIALES'!$A$45:$A$46</xm:f>
          </x14:formula1>
          <xm:sqref>M48</xm:sqref>
        </x14:dataValidation>
        <x14:dataValidation type="list" allowBlank="1" showInputMessage="1" showErrorMessage="1" xr:uid="{00000000-0002-0000-2200-000001000000}">
          <x14:formula1>
            <xm:f>'DATOS INICIALES'!$A$50:$A$51</xm:f>
          </x14:formula1>
          <xm:sqref>L48</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K160"/>
  <sheetViews>
    <sheetView tabSelected="1" zoomScale="70" zoomScaleNormal="70" workbookViewId="0">
      <selection activeCell="K9" sqref="K9"/>
    </sheetView>
    <sheetView workbookViewId="1"/>
  </sheetViews>
  <sheetFormatPr baseColWidth="10" defaultColWidth="11.42578125" defaultRowHeight="15" x14ac:dyDescent="0.25"/>
  <cols>
    <col min="2" max="2" width="56.7109375" bestFit="1" customWidth="1"/>
    <col min="3" max="3" width="19.85546875" style="14" customWidth="1"/>
    <col min="4" max="4" width="17" style="181" customWidth="1"/>
    <col min="5" max="5" width="66.140625" style="183" customWidth="1"/>
    <col min="6" max="6" width="33.28515625" style="183" customWidth="1"/>
    <col min="7" max="7" width="36.85546875" hidden="1" customWidth="1"/>
    <col min="8" max="8" width="39.7109375" hidden="1" customWidth="1"/>
    <col min="9" max="10" width="19.140625" hidden="1" customWidth="1"/>
  </cols>
  <sheetData>
    <row r="1" spans="1:11" s="14" customFormat="1" ht="24.95" customHeight="1" x14ac:dyDescent="0.25">
      <c r="A1" s="150" t="s">
        <v>147</v>
      </c>
      <c r="B1" s="463" t="str">
        <f>IF(AND(A5&gt;=0,A5&lt;=0.33),"MEDIANA CON VALOR ABSOLUTO",IF(AND(A5&gt;=0.34,A5&lt;=0.66),"MEDIA GEOMETRICA",IF(AND(A5&gt;=0.67,A5&lt;=0.99),"MEDIA ARITMETICA ALTA",)))</f>
        <v>MEDIANA CON VALOR ABSOLUTO</v>
      </c>
      <c r="C1" s="463"/>
      <c r="D1" s="463"/>
      <c r="E1" s="464" t="str">
        <f>CONCATENATE("PUNTAJE EXPERIENCIA DEL PROPONENTE",'DATOS INICIALES'!G4)</f>
        <v>PUNTAJE EXPERIENCIA DEL PROPONENTE FDLK-CMA-003-2024</v>
      </c>
      <c r="F1" s="464"/>
      <c r="G1" s="464"/>
      <c r="H1" s="464"/>
      <c r="I1" s="464"/>
      <c r="J1" s="464"/>
    </row>
    <row r="2" spans="1:11" ht="24.95" customHeight="1" x14ac:dyDescent="0.25">
      <c r="A2" s="68" t="s">
        <v>148</v>
      </c>
      <c r="B2" s="398"/>
      <c r="C2" s="398"/>
      <c r="D2" s="398"/>
      <c r="E2" s="68" t="s">
        <v>149</v>
      </c>
      <c r="F2" s="151">
        <f>MEDIAN(D7:D43)</f>
        <v>865.55642499999999</v>
      </c>
      <c r="G2" s="68" t="s">
        <v>150</v>
      </c>
      <c r="H2" s="152">
        <f>GEOMEAN(D7:D43)</f>
        <v>906.3347962379579</v>
      </c>
      <c r="I2" s="68" t="s">
        <v>151</v>
      </c>
      <c r="J2" s="152">
        <f>AVERAGE(D7:D43)</f>
        <v>954.5034052898551</v>
      </c>
    </row>
    <row r="3" spans="1:11" ht="24.95" customHeight="1" x14ac:dyDescent="0.25">
      <c r="A3" s="154">
        <v>4341.32</v>
      </c>
      <c r="B3" s="398"/>
      <c r="C3" s="398"/>
      <c r="D3" s="398"/>
      <c r="E3" s="68" t="s">
        <v>152</v>
      </c>
      <c r="F3" s="151" cm="1">
        <f t="array" ref="F3">MAX(IF(D7:D43&lt;$F$2,D7:D43))</f>
        <v>853.05</v>
      </c>
      <c r="G3" s="68" t="s">
        <v>153</v>
      </c>
      <c r="H3" s="155">
        <f>VLOOKUP(MIN(C7:C43),C7:D43,2,FALSE)</f>
        <v>912.01900000000001</v>
      </c>
      <c r="I3" s="68" t="s">
        <v>193</v>
      </c>
      <c r="J3" s="152">
        <f>MAX(D7:D43)</f>
        <v>1970.3520000000003</v>
      </c>
    </row>
    <row r="4" spans="1:11" ht="24.95" customHeight="1" x14ac:dyDescent="0.25">
      <c r="A4" s="68" t="s">
        <v>154</v>
      </c>
      <c r="B4" s="398"/>
      <c r="C4" s="398"/>
      <c r="D4" s="398"/>
      <c r="E4" s="27">
        <f>COUNT(D7:D43)</f>
        <v>23</v>
      </c>
      <c r="F4" s="29" t="str">
        <f>IF(ISODD(E4),"IMPAR","PAR")</f>
        <v>IMPAR</v>
      </c>
      <c r="G4" s="398"/>
      <c r="H4" s="398"/>
      <c r="I4" s="68" t="s">
        <v>194</v>
      </c>
      <c r="J4" s="153">
        <f>AVERAGE(J2:J3)</f>
        <v>1462.4277026449276</v>
      </c>
    </row>
    <row r="5" spans="1:11" ht="24.95" customHeight="1" x14ac:dyDescent="0.25">
      <c r="A5" s="154">
        <v>0.32</v>
      </c>
      <c r="B5" s="398"/>
      <c r="C5" s="398"/>
      <c r="D5" s="398"/>
      <c r="E5" s="68" t="s">
        <v>155</v>
      </c>
      <c r="F5" s="33">
        <v>67.75</v>
      </c>
      <c r="G5" s="68" t="s">
        <v>155</v>
      </c>
      <c r="H5" s="33">
        <v>68.5</v>
      </c>
      <c r="I5" s="68" t="s">
        <v>155</v>
      </c>
      <c r="J5" s="33">
        <v>68.5</v>
      </c>
    </row>
    <row r="6" spans="1:11" ht="60" customHeight="1" x14ac:dyDescent="0.25">
      <c r="A6" s="68" t="s">
        <v>156</v>
      </c>
      <c r="B6" s="68" t="s">
        <v>157</v>
      </c>
      <c r="C6" s="68" t="s">
        <v>158</v>
      </c>
      <c r="D6" s="68" t="s">
        <v>195</v>
      </c>
      <c r="E6" s="239" t="s">
        <v>159</v>
      </c>
      <c r="F6" s="239"/>
      <c r="G6" s="239" t="s">
        <v>160</v>
      </c>
      <c r="H6" s="239"/>
      <c r="I6" s="239" t="s">
        <v>196</v>
      </c>
      <c r="J6" s="239"/>
    </row>
    <row r="7" spans="1:11" x14ac:dyDescent="0.25">
      <c r="A7" s="156">
        <v>1</v>
      </c>
      <c r="B7" s="177" t="str">
        <f>+PROPONENTES!B10</f>
        <v>SOLIUN INGENIERIA SAS</v>
      </c>
      <c r="C7" s="178">
        <f t="shared" ref="C7:C43" si="0">IF(D7="","",ABS(D7-$H$2))</f>
        <v>239.42479623795793</v>
      </c>
      <c r="D7" s="179">
        <f>IF(CONSOLIDADO!I11="HABILITADO",'1'!$L$16,"")</f>
        <v>666.91</v>
      </c>
      <c r="E7" s="462">
        <f>IF(D7="","",IF($F$4="IMPAR",IF(D7=$F$2,$F$5,((1-ABS(($F$2-D7)/$F$2))*$F$5)),IF(D7=$F$3,$F$5,((1-ABS((($F$3-D7)/$F$3)))*$F$5))))</f>
        <v>52.201279078946243</v>
      </c>
      <c r="F7" s="462"/>
      <c r="G7" s="462">
        <f>IF(D7="","",IF(D7=$H$3,$H$5,$H$5*(1-((ABS($H$2-D7))/$H$2))))</f>
        <v>50.404480981667895</v>
      </c>
      <c r="H7" s="462"/>
      <c r="I7" s="462">
        <f>IF(D7="","",IF(D7&lt;=$J$4,$J$5*(1-(($J$4-D7)/$J$4)),$J$5*(1-(2*((ABS($J$4-D7))/$J$4)))))</f>
        <v>31.23801259876144</v>
      </c>
      <c r="J7" s="462"/>
    </row>
    <row r="8" spans="1:11" x14ac:dyDescent="0.25">
      <c r="A8" s="156">
        <v>2</v>
      </c>
      <c r="B8" s="177" t="str">
        <f>+PROPONENTES!B11</f>
        <v>VELNEC S.A.</v>
      </c>
      <c r="C8" s="178">
        <f t="shared" si="0"/>
        <v>226.20187042870873</v>
      </c>
      <c r="D8" s="179">
        <f>IF(CONSOLIDADO!I12="HABILITADO",'2'!$L$16,"")</f>
        <v>1132.5366666666666</v>
      </c>
      <c r="E8" s="462">
        <f t="shared" ref="E8:E25" si="1">IF(D8="","",IF($F$4="IMPAR",IF(D8=$F$2,$F$5,((1-ABS(($F$2-D8)/$F$2))*$F$5)),IF(D8=$F$3,$F$5,((1-ABS((($F$3-D8)/$F$3)))*$F$5))))</f>
        <v>46.852562409011448</v>
      </c>
      <c r="F8" s="462"/>
      <c r="G8" s="462">
        <f t="shared" ref="G8:G43" si="2">IF(D8="","",IF(D8=$H$3,$H$5,$H$5*(1-((ABS($H$2-D8))/$H$2))))</f>
        <v>51.403858277666316</v>
      </c>
      <c r="H8" s="462"/>
      <c r="I8" s="462">
        <f t="shared" ref="I8:I43" si="3">IF(D8="","",IF(D8&lt;=$J$4,$J$5*(1-(($J$4-D8)/$J$4)),$J$5*(1-(2*((ABS($J$4-D8))/$J$4)))))</f>
        <v>53.047929498571953</v>
      </c>
      <c r="J8" s="462"/>
    </row>
    <row r="9" spans="1:11" x14ac:dyDescent="0.25">
      <c r="A9" s="156">
        <v>3</v>
      </c>
      <c r="B9" s="177" t="str">
        <f>+PROPONENTES!B12</f>
        <v>ARQUITECTURA URBANA LTDA</v>
      </c>
      <c r="C9" s="178">
        <f t="shared" si="0"/>
        <v>18.085203762042056</v>
      </c>
      <c r="D9" s="179">
        <f>IF(CONSOLIDADO!I13="HABILITADO",'3'!$L$16,"")</f>
        <v>924.42</v>
      </c>
      <c r="E9" s="462">
        <f t="shared" si="1"/>
        <v>63.142550859696989</v>
      </c>
      <c r="F9" s="462"/>
      <c r="G9" s="462">
        <f t="shared" si="2"/>
        <v>67.133135941771101</v>
      </c>
      <c r="H9" s="462"/>
      <c r="I9" s="462">
        <f t="shared" si="3"/>
        <v>43.299760997056651</v>
      </c>
      <c r="J9" s="462"/>
    </row>
    <row r="10" spans="1:11" x14ac:dyDescent="0.25">
      <c r="A10" s="205">
        <v>4</v>
      </c>
      <c r="B10" s="206" t="str">
        <f>+PROPONENTES!B13</f>
        <v>ABDO JOSÉ SALGADO AYOLA</v>
      </c>
      <c r="C10" s="207" t="str">
        <f t="shared" si="0"/>
        <v/>
      </c>
      <c r="D10" s="208"/>
      <c r="E10" s="461" t="str">
        <f t="shared" si="1"/>
        <v/>
      </c>
      <c r="F10" s="461"/>
      <c r="G10" s="462" t="str">
        <f t="shared" si="2"/>
        <v/>
      </c>
      <c r="H10" s="462"/>
      <c r="I10" s="462" t="str">
        <f t="shared" si="3"/>
        <v/>
      </c>
      <c r="J10" s="462"/>
    </row>
    <row r="11" spans="1:11" x14ac:dyDescent="0.25">
      <c r="A11" s="156">
        <v>5</v>
      </c>
      <c r="B11" s="177" t="str">
        <f>+PROPONENTES!B14</f>
        <v>PRODEINCOL S.A.S.</v>
      </c>
      <c r="C11" s="178">
        <f t="shared" si="0"/>
        <v>220.4597962379579</v>
      </c>
      <c r="D11" s="179">
        <f>IF(CONSOLIDADO!I15="HABILITADO",'5'!$L$16,"")</f>
        <v>685.875</v>
      </c>
      <c r="E11" s="462">
        <f t="shared" si="1"/>
        <v>53.685733139812349</v>
      </c>
      <c r="F11" s="462"/>
      <c r="G11" s="462">
        <f t="shared" si="2"/>
        <v>51.837839278615512</v>
      </c>
      <c r="H11" s="462"/>
      <c r="I11" s="462">
        <f t="shared" si="3"/>
        <v>32.126331725683379</v>
      </c>
      <c r="J11" s="462"/>
    </row>
    <row r="12" spans="1:11" x14ac:dyDescent="0.25">
      <c r="A12" s="156">
        <v>6</v>
      </c>
      <c r="B12" s="177" t="str">
        <f>+PROPONENTES!B15</f>
        <v>CONSORCIO INTERVEP KM</v>
      </c>
      <c r="C12" s="178">
        <f t="shared" si="0"/>
        <v>414.52353709537545</v>
      </c>
      <c r="D12" s="179">
        <f>IF(CONSOLIDADO!I16="HABILITADO",'6'!$L$16,"")</f>
        <v>1320.8583333333333</v>
      </c>
      <c r="E12" s="462">
        <f t="shared" si="1"/>
        <v>32.11199489873426</v>
      </c>
      <c r="F12" s="462"/>
      <c r="G12" s="462">
        <f t="shared" si="2"/>
        <v>37.17066959263235</v>
      </c>
      <c r="H12" s="462"/>
      <c r="I12" s="462">
        <f t="shared" si="3"/>
        <v>61.868901737634324</v>
      </c>
      <c r="J12" s="462"/>
    </row>
    <row r="13" spans="1:11" x14ac:dyDescent="0.25">
      <c r="A13" s="156">
        <v>7</v>
      </c>
      <c r="B13" s="177" t="str">
        <f>+PROPONENTES!B16</f>
        <v>CONSULTORES DEL OCCIDENTE SAS</v>
      </c>
      <c r="C13" s="178">
        <f t="shared" si="0"/>
        <v>87.697703762042124</v>
      </c>
      <c r="D13" s="179">
        <f>IF(CONSOLIDADO!I17="HABILITADO",'7'!$L$16,"")</f>
        <v>994.03250000000003</v>
      </c>
      <c r="E13" s="462">
        <f t="shared" si="1"/>
        <v>57.693747363148503</v>
      </c>
      <c r="F13" s="462"/>
      <c r="G13" s="462">
        <f t="shared" si="2"/>
        <v>61.87188340044414</v>
      </c>
      <c r="H13" s="462"/>
      <c r="I13" s="462">
        <f t="shared" si="3"/>
        <v>46.560405090009645</v>
      </c>
      <c r="J13" s="462"/>
    </row>
    <row r="14" spans="1:11" x14ac:dyDescent="0.25">
      <c r="A14" s="156">
        <v>8</v>
      </c>
      <c r="B14" s="177" t="str">
        <f>+PROPONENTES!B17</f>
        <v>CONSULTORES DONOVAN SAS</v>
      </c>
      <c r="C14" s="178" t="str">
        <f t="shared" si="0"/>
        <v/>
      </c>
      <c r="D14" s="179" t="str">
        <f>IF(CONSOLIDADO!I18="HABILITADO",'8'!$L$16,"")</f>
        <v/>
      </c>
      <c r="E14" s="462" t="str">
        <f t="shared" si="1"/>
        <v/>
      </c>
      <c r="F14" s="462"/>
      <c r="G14" s="462" t="str">
        <f t="shared" si="2"/>
        <v/>
      </c>
      <c r="H14" s="462"/>
      <c r="I14" s="462" t="str">
        <f t="shared" si="3"/>
        <v/>
      </c>
      <c r="J14" s="462"/>
    </row>
    <row r="15" spans="1:11" x14ac:dyDescent="0.25">
      <c r="A15" s="156">
        <v>9</v>
      </c>
      <c r="B15" s="177" t="str">
        <f>+PROPONENTES!B18</f>
        <v>JESAK SAS</v>
      </c>
      <c r="C15" s="178">
        <f t="shared" si="0"/>
        <v>330.61020376204226</v>
      </c>
      <c r="D15" s="179">
        <f>IF(CONSOLIDADO!I19="HABILITADO",'9'!$L$16,"")</f>
        <v>1236.9450000000002</v>
      </c>
      <c r="E15" s="462">
        <f t="shared" si="1"/>
        <v>38.680172511572529</v>
      </c>
      <c r="F15" s="462"/>
      <c r="G15" s="462">
        <f t="shared" si="2"/>
        <v>43.51276674833305</v>
      </c>
      <c r="H15" s="462"/>
      <c r="I15" s="462">
        <f t="shared" si="3"/>
        <v>57.938407722143879</v>
      </c>
      <c r="J15" s="462"/>
      <c r="K15" s="180"/>
    </row>
    <row r="16" spans="1:11" x14ac:dyDescent="0.25">
      <c r="A16" s="156">
        <v>10</v>
      </c>
      <c r="B16" s="177" t="str">
        <f>+PROPONENTES!B19</f>
        <v xml:space="preserve">R&amp;M CONSTRUCCIONES E INTERVENTORIAS SAS </v>
      </c>
      <c r="C16" s="178">
        <f t="shared" si="0"/>
        <v>5.6842037620421024</v>
      </c>
      <c r="D16" s="179">
        <f>IF(CONSOLIDADO!I20="HABILITADO",'10'!$L$16,"")</f>
        <v>912.01900000000001</v>
      </c>
      <c r="E16" s="462">
        <f t="shared" si="1"/>
        <v>64.113218658737352</v>
      </c>
      <c r="F16" s="462"/>
      <c r="G16" s="462">
        <f t="shared" si="2"/>
        <v>68.5</v>
      </c>
      <c r="H16" s="462"/>
      <c r="I16" s="462">
        <f t="shared" si="3"/>
        <v>42.718899120285812</v>
      </c>
      <c r="J16" s="462"/>
    </row>
    <row r="17" spans="1:10" x14ac:dyDescent="0.25">
      <c r="A17" s="156">
        <v>11</v>
      </c>
      <c r="B17" s="177" t="str">
        <f>+PROPONENTES!B20</f>
        <v>CONSORCIO INTERVENTORÍA DSG</v>
      </c>
      <c r="C17" s="178" t="str">
        <f t="shared" si="0"/>
        <v/>
      </c>
      <c r="D17" s="179"/>
      <c r="E17" s="462" t="str">
        <f t="shared" si="1"/>
        <v/>
      </c>
      <c r="F17" s="462"/>
      <c r="G17" s="462" t="str">
        <f t="shared" si="2"/>
        <v/>
      </c>
      <c r="H17" s="462"/>
      <c r="I17" s="462" t="str">
        <f t="shared" si="3"/>
        <v/>
      </c>
      <c r="J17" s="462"/>
    </row>
    <row r="18" spans="1:10" x14ac:dyDescent="0.25">
      <c r="A18" s="156">
        <v>12</v>
      </c>
      <c r="B18" s="177" t="str">
        <f>+PROPONENTES!B21</f>
        <v>INGENIEROS CONSTRUCTORES Y ASESORES SAS</v>
      </c>
      <c r="C18" s="178">
        <f t="shared" si="0"/>
        <v>124.54979623795793</v>
      </c>
      <c r="D18" s="179">
        <f>IF(CONSOLIDADO!I22="HABILITADO",'12'!$L$16,"")</f>
        <v>781.78499999999997</v>
      </c>
      <c r="E18" s="462">
        <f t="shared" si="1"/>
        <v>61.192930027640884</v>
      </c>
      <c r="F18" s="462"/>
      <c r="G18" s="462">
        <f t="shared" si="2"/>
        <v>59.086634124924259</v>
      </c>
      <c r="H18" s="462"/>
      <c r="I18" s="462">
        <f t="shared" si="3"/>
        <v>36.618748676017319</v>
      </c>
      <c r="J18" s="462"/>
    </row>
    <row r="19" spans="1:10" x14ac:dyDescent="0.25">
      <c r="A19" s="205">
        <v>13</v>
      </c>
      <c r="B19" s="206" t="str">
        <f>+PROPONENTES!B22</f>
        <v>CONSORCIO INTERVENTOR ANFAO</v>
      </c>
      <c r="C19" s="207" t="str">
        <f t="shared" si="0"/>
        <v/>
      </c>
      <c r="D19" s="208"/>
      <c r="E19" s="461" t="str">
        <f t="shared" si="1"/>
        <v/>
      </c>
      <c r="F19" s="461"/>
      <c r="G19" s="462" t="str">
        <f t="shared" si="2"/>
        <v/>
      </c>
      <c r="H19" s="462"/>
      <c r="I19" s="462" t="str">
        <f t="shared" si="3"/>
        <v/>
      </c>
      <c r="J19" s="462"/>
    </row>
    <row r="20" spans="1:10" x14ac:dyDescent="0.25">
      <c r="A20" s="156">
        <v>14</v>
      </c>
      <c r="B20" s="177" t="str">
        <f>+PROPONENTES!B23</f>
        <v>GRUPO METRO COLOMBIA SAS</v>
      </c>
      <c r="C20" s="178">
        <f t="shared" si="0"/>
        <v>1064.0172037620423</v>
      </c>
      <c r="D20" s="179">
        <f>IF(CONSOLIDADO!I24="HABILITADO",'14'!$L$16,"")</f>
        <v>1970.3520000000003</v>
      </c>
      <c r="E20" s="462">
        <f t="shared" si="1"/>
        <v>-18.726049445592206</v>
      </c>
      <c r="F20" s="462"/>
      <c r="G20" s="462">
        <f t="shared" si="2"/>
        <v>-11.917499979294538</v>
      </c>
      <c r="H20" s="462"/>
      <c r="I20" s="462">
        <f t="shared" si="3"/>
        <v>20.917730728299734</v>
      </c>
      <c r="J20" s="462"/>
    </row>
    <row r="21" spans="1:10" x14ac:dyDescent="0.25">
      <c r="A21" s="205">
        <v>15</v>
      </c>
      <c r="B21" s="206" t="str">
        <f>+PROPONENTES!B24</f>
        <v>CONSORCIO INTERPROYECTOS CAREN</v>
      </c>
      <c r="C21" s="207" t="str">
        <f t="shared" si="0"/>
        <v/>
      </c>
      <c r="D21" s="208" t="str">
        <f>IF(CONSOLIDADO!I25="HABILITADO",'15'!$L$16,"")</f>
        <v/>
      </c>
      <c r="E21" s="461" t="str">
        <f t="shared" si="1"/>
        <v/>
      </c>
      <c r="F21" s="461"/>
      <c r="G21" s="462" t="str">
        <f t="shared" si="2"/>
        <v/>
      </c>
      <c r="H21" s="462"/>
      <c r="I21" s="462" t="str">
        <f t="shared" si="3"/>
        <v/>
      </c>
      <c r="J21" s="462"/>
    </row>
    <row r="22" spans="1:10" x14ac:dyDescent="0.25">
      <c r="A22" s="205">
        <v>16</v>
      </c>
      <c r="B22" s="206" t="str">
        <f>+PROPONENTES!B25</f>
        <v>CONSORCIO INTER PARQUES IYC 2024</v>
      </c>
      <c r="C22" s="207" t="str">
        <f t="shared" si="0"/>
        <v/>
      </c>
      <c r="D22" s="208" t="str">
        <f>IF(CONSOLIDADO!I26="HABILITADO",'16'!$L$16,"")</f>
        <v/>
      </c>
      <c r="E22" s="461" t="str">
        <f t="shared" si="1"/>
        <v/>
      </c>
      <c r="F22" s="461"/>
      <c r="G22" s="462" t="str">
        <f t="shared" si="2"/>
        <v/>
      </c>
      <c r="H22" s="462"/>
      <c r="I22" s="462" t="str">
        <f t="shared" si="3"/>
        <v/>
      </c>
      <c r="J22" s="462"/>
    </row>
    <row r="23" spans="1:10" x14ac:dyDescent="0.25">
      <c r="A23" s="156">
        <v>17</v>
      </c>
      <c r="B23" s="177" t="str">
        <f>+PROPONENTES!B26</f>
        <v>CONSORCIO-INTER-P-KENEDY</v>
      </c>
      <c r="C23" s="178" t="str">
        <f t="shared" si="0"/>
        <v/>
      </c>
      <c r="D23" s="179" t="str">
        <f>IF(CONSOLIDADO!I27="HABILITADO",'17'!$L$16,"")</f>
        <v/>
      </c>
      <c r="E23" s="462" t="str">
        <f t="shared" si="1"/>
        <v/>
      </c>
      <c r="F23" s="462"/>
      <c r="G23" s="462" t="str">
        <f t="shared" si="2"/>
        <v/>
      </c>
      <c r="H23" s="462"/>
      <c r="I23" s="462" t="str">
        <f t="shared" si="3"/>
        <v/>
      </c>
      <c r="J23" s="462"/>
    </row>
    <row r="24" spans="1:10" x14ac:dyDescent="0.25">
      <c r="A24" s="205">
        <v>18</v>
      </c>
      <c r="B24" s="206" t="str">
        <f>+PROPONENTES!B27</f>
        <v>CONSORCIO INTERPARQUES BOGOTÁ</v>
      </c>
      <c r="C24" s="207" t="str">
        <f t="shared" si="0"/>
        <v/>
      </c>
      <c r="D24" s="208" t="str">
        <f>IF(CONSOLIDADO!I28="HABILITADO",'18'!$L$16,"")</f>
        <v/>
      </c>
      <c r="E24" s="461" t="str">
        <f t="shared" si="1"/>
        <v/>
      </c>
      <c r="F24" s="461"/>
      <c r="G24" s="462" t="str">
        <f t="shared" si="2"/>
        <v/>
      </c>
      <c r="H24" s="462"/>
      <c r="I24" s="462" t="str">
        <f t="shared" si="3"/>
        <v/>
      </c>
      <c r="J24" s="462"/>
    </row>
    <row r="25" spans="1:10" x14ac:dyDescent="0.25">
      <c r="A25" s="156">
        <v>19</v>
      </c>
      <c r="B25" s="177" t="str">
        <f>+PROPONENTES!B28</f>
        <v xml:space="preserve">CONSORCIO PARQUES VECINALES 2025 </v>
      </c>
      <c r="C25" s="178" t="str">
        <f t="shared" si="0"/>
        <v/>
      </c>
      <c r="D25" s="179" t="str">
        <f>IF(CONSOLIDADO!I29="HABILITADO",'19'!$L$16,"")</f>
        <v/>
      </c>
      <c r="E25" s="462" t="str">
        <f t="shared" si="1"/>
        <v/>
      </c>
      <c r="F25" s="462"/>
      <c r="G25" s="462" t="str">
        <f t="shared" si="2"/>
        <v/>
      </c>
      <c r="H25" s="462"/>
      <c r="I25" s="462" t="str">
        <f t="shared" si="3"/>
        <v/>
      </c>
      <c r="J25" s="462"/>
    </row>
    <row r="26" spans="1:10" x14ac:dyDescent="0.25">
      <c r="A26" s="156">
        <v>20</v>
      </c>
      <c r="B26" s="177" t="str">
        <f>+PROPONENTES!B29</f>
        <v>DF CONSULTORIA SAS</v>
      </c>
      <c r="C26" s="178" t="str">
        <f t="shared" si="0"/>
        <v/>
      </c>
      <c r="D26" s="179" t="str">
        <f>IF(CONSOLIDADO!I30="HABILITADO",'20'!$L$16,"")</f>
        <v/>
      </c>
      <c r="E26" s="462" t="str">
        <f t="shared" ref="E26:E33" si="4">IF(D26="","",IF($F$4="IMPAR",IF(D26=$F$2,$F$5,((1-ABS(($F$2-D26)/$F$2))*$F$5)),IF(D26=$F$3,$F$5,((1-ABS((($F$3-D26)/$F$3)))*$F$5))))</f>
        <v/>
      </c>
      <c r="F26" s="462"/>
      <c r="G26" s="462" t="str">
        <f t="shared" si="2"/>
        <v/>
      </c>
      <c r="H26" s="462"/>
      <c r="I26" s="462" t="str">
        <f t="shared" si="3"/>
        <v/>
      </c>
      <c r="J26" s="462"/>
    </row>
    <row r="27" spans="1:10" x14ac:dyDescent="0.25">
      <c r="A27" s="156">
        <v>21</v>
      </c>
      <c r="B27" s="177" t="str">
        <f>+PROPONENTES!B30</f>
        <v>CONSORCIO COMODORO</v>
      </c>
      <c r="C27" s="178">
        <f t="shared" si="0"/>
        <v>209.28931623795791</v>
      </c>
      <c r="D27" s="179">
        <f>IF(CONSOLIDADO!I31="HABILITADO",'21'!$L$16,"")</f>
        <v>697.04548</v>
      </c>
      <c r="E27" s="462">
        <f t="shared" si="4"/>
        <v>54.560084017630622</v>
      </c>
      <c r="F27" s="462"/>
      <c r="G27" s="462">
        <f t="shared" si="2"/>
        <v>52.682094495535488</v>
      </c>
      <c r="H27" s="462"/>
      <c r="I27" s="462">
        <f t="shared" si="3"/>
        <v>32.64955614123302</v>
      </c>
      <c r="J27" s="462"/>
    </row>
    <row r="28" spans="1:10" x14ac:dyDescent="0.25">
      <c r="A28" s="156">
        <v>22</v>
      </c>
      <c r="B28" s="177" t="str">
        <f>+PROPONENTES!B31</f>
        <v>CONSORCIO PRO_CARING</v>
      </c>
      <c r="C28" s="178" t="str">
        <f t="shared" si="0"/>
        <v/>
      </c>
      <c r="D28" s="179" t="str">
        <f>IF(CONSOLIDADO!I32="HABILITADO",'22'!$L$16,"")</f>
        <v/>
      </c>
      <c r="E28" s="462" t="str">
        <f t="shared" si="4"/>
        <v/>
      </c>
      <c r="F28" s="462"/>
      <c r="G28" s="462" t="str">
        <f t="shared" si="2"/>
        <v/>
      </c>
      <c r="H28" s="462"/>
      <c r="I28" s="462" t="str">
        <f t="shared" si="3"/>
        <v/>
      </c>
      <c r="J28" s="462"/>
    </row>
    <row r="29" spans="1:10" x14ac:dyDescent="0.25">
      <c r="A29" s="156">
        <v>23</v>
      </c>
      <c r="B29" s="177" t="str">
        <f>+PROPONENTES!B32</f>
        <v xml:space="preserve"> SOLUCIONES PARA LA INGENIERÍA S.A.S.</v>
      </c>
      <c r="C29" s="178">
        <f t="shared" si="0"/>
        <v>77.609796237957994</v>
      </c>
      <c r="D29" s="179">
        <f>IF(CONSOLIDADO!I33="HABILITADO",'23'!$L$16,"")</f>
        <v>828.72499999999991</v>
      </c>
      <c r="E29" s="462">
        <f t="shared" si="4"/>
        <v>64.86708102247637</v>
      </c>
      <c r="F29" s="462"/>
      <c r="G29" s="462">
        <f t="shared" si="2"/>
        <v>62.634318725964114</v>
      </c>
      <c r="H29" s="462"/>
      <c r="I29" s="462">
        <f t="shared" si="3"/>
        <v>38.817414630022903</v>
      </c>
      <c r="J29" s="462"/>
    </row>
    <row r="30" spans="1:10" x14ac:dyDescent="0.25">
      <c r="A30" s="156">
        <v>24</v>
      </c>
      <c r="B30" s="177" t="str">
        <f>+PROPONENTES!B33</f>
        <v>CONSORCIO ARALEP 003</v>
      </c>
      <c r="C30" s="178" t="str">
        <f t="shared" si="0"/>
        <v/>
      </c>
      <c r="D30" s="179" t="str">
        <f>IF(CONSOLIDADO!I34="HABILITADO",'24'!$L$16,"")</f>
        <v/>
      </c>
      <c r="E30" s="462" t="str">
        <f t="shared" si="4"/>
        <v/>
      </c>
      <c r="F30" s="462"/>
      <c r="G30" s="462" t="str">
        <f t="shared" si="2"/>
        <v/>
      </c>
      <c r="H30" s="462"/>
      <c r="I30" s="462" t="str">
        <f t="shared" si="3"/>
        <v/>
      </c>
      <c r="J30" s="462"/>
    </row>
    <row r="31" spans="1:10" x14ac:dyDescent="0.25">
      <c r="A31" s="156">
        <v>25</v>
      </c>
      <c r="B31" s="177" t="str">
        <f>+PROPONENTES!B34</f>
        <v>PRAN CONSTRUCCIONES S.A.S.</v>
      </c>
      <c r="C31" s="178">
        <f t="shared" si="0"/>
        <v>334.30479623795793</v>
      </c>
      <c r="D31" s="179">
        <f>IF(CONSOLIDADO!I35="HABILITADO",'25'!$L$16,"")</f>
        <v>572.03</v>
      </c>
      <c r="E31" s="462">
        <f t="shared" si="4"/>
        <v>44.774703740429167</v>
      </c>
      <c r="F31" s="462"/>
      <c r="G31" s="462">
        <f t="shared" si="2"/>
        <v>43.233532644499988</v>
      </c>
      <c r="H31" s="462"/>
      <c r="I31" s="462">
        <f t="shared" si="3"/>
        <v>26.793840768423788</v>
      </c>
      <c r="J31" s="462"/>
    </row>
    <row r="32" spans="1:10" x14ac:dyDescent="0.25">
      <c r="A32" s="156">
        <v>26</v>
      </c>
      <c r="B32" s="177" t="str">
        <f>+PROPONENTES!B35</f>
        <v>CONSORCIO PROYECTOS 2024</v>
      </c>
      <c r="C32" s="178">
        <f t="shared" si="0"/>
        <v>64.830496237957846</v>
      </c>
      <c r="D32" s="179">
        <f>IF(CONSOLIDADO!I36="HABILITADO",'26'!$L$16,"")</f>
        <v>841.50430000000006</v>
      </c>
      <c r="E32" s="462">
        <f t="shared" si="4"/>
        <v>65.867359629385234</v>
      </c>
      <c r="F32" s="462"/>
      <c r="G32" s="462">
        <f t="shared" si="2"/>
        <v>63.600167166996691</v>
      </c>
      <c r="H32" s="462"/>
      <c r="I32" s="462">
        <f t="shared" si="3"/>
        <v>39.415996049409863</v>
      </c>
      <c r="J32" s="462"/>
    </row>
    <row r="33" spans="1:10" x14ac:dyDescent="0.25">
      <c r="A33" s="156">
        <v>27</v>
      </c>
      <c r="B33" s="177" t="str">
        <f>+PROPONENTES!B36</f>
        <v>CONSORCIO KENNEDY JINT 3</v>
      </c>
      <c r="C33" s="178">
        <f t="shared" si="0"/>
        <v>53.284796237957949</v>
      </c>
      <c r="D33" s="179">
        <f>IF(CONSOLIDADO!I37="HABILITADO",'27'!$L$16,"")</f>
        <v>853.05</v>
      </c>
      <c r="E33" s="462">
        <f t="shared" si="4"/>
        <v>66.771080233157534</v>
      </c>
      <c r="F33" s="462"/>
      <c r="G33" s="462">
        <f t="shared" si="2"/>
        <v>64.472781186984449</v>
      </c>
      <c r="H33" s="462"/>
      <c r="I33" s="462">
        <f t="shared" si="3"/>
        <v>39.956795740614844</v>
      </c>
      <c r="J33" s="462"/>
    </row>
    <row r="34" spans="1:10" x14ac:dyDescent="0.25">
      <c r="A34" s="156">
        <v>28</v>
      </c>
      <c r="B34" s="177" t="str">
        <f>+PROPONENTES!B37</f>
        <v>CABA INTERVENTORÍA SAS</v>
      </c>
      <c r="C34" s="178">
        <f t="shared" si="0"/>
        <v>148.0885370953755</v>
      </c>
      <c r="D34" s="179">
        <f>IF(CONSOLIDADO!I38="HABILITADO",'28'!$L$16,"")</f>
        <v>1054.4233333333334</v>
      </c>
      <c r="E34" s="462">
        <f t="shared" ref="E34:E43" si="5">IF(D34="","",IF($F$4="IMPAR",IF(D34=$F$2,$F$5,((1-ABS(($F$2-D34)/$F$2))*$F$5)),IF(D34=$F$3,$F$5,((1-ABS((($F$3-D34)/$F$3)))*$F$5))))</f>
        <v>52.966754598542394</v>
      </c>
      <c r="F34" s="462"/>
      <c r="G34" s="462">
        <f t="shared" si="2"/>
        <v>57.307596449855488</v>
      </c>
      <c r="H34" s="462"/>
      <c r="I34" s="462">
        <f t="shared" si="3"/>
        <v>49.389107032575168</v>
      </c>
      <c r="J34" s="462"/>
    </row>
    <row r="35" spans="1:10" x14ac:dyDescent="0.25">
      <c r="A35" s="156">
        <v>29</v>
      </c>
      <c r="B35" s="177" t="str">
        <f>+PROPONENTES!B38</f>
        <v>MIRS LATINOAMERICA S.A.S</v>
      </c>
      <c r="C35" s="178">
        <f t="shared" si="0"/>
        <v>87.917703762042152</v>
      </c>
      <c r="D35" s="179">
        <f>IF(CONSOLIDADO!I39="HABILITADO",'29'!$L$16,"")</f>
        <v>994.25250000000005</v>
      </c>
      <c r="E35" s="462">
        <f t="shared" si="5"/>
        <v>57.676527226402364</v>
      </c>
      <c r="F35" s="462"/>
      <c r="G35" s="462">
        <f t="shared" si="2"/>
        <v>61.855255990724736</v>
      </c>
      <c r="H35" s="462"/>
      <c r="I35" s="462">
        <f t="shared" si="3"/>
        <v>46.570709872921476</v>
      </c>
      <c r="J35" s="462"/>
    </row>
    <row r="36" spans="1:10" x14ac:dyDescent="0.25">
      <c r="A36" s="156">
        <v>30</v>
      </c>
      <c r="B36" s="177" t="str">
        <f>+PROPONENTES!B39</f>
        <v>CONSORCIO MULTIPARK KENNEDY</v>
      </c>
      <c r="C36" s="178">
        <f t="shared" si="0"/>
        <v>389.55109623795795</v>
      </c>
      <c r="D36" s="179">
        <f>IF(CONSOLIDADO!I40="HABILITADO",'30'!$L$16,"")</f>
        <v>516.78369999999995</v>
      </c>
      <c r="E36" s="462">
        <f t="shared" si="5"/>
        <v>40.450390828073395</v>
      </c>
      <c r="F36" s="462"/>
      <c r="G36" s="462">
        <f t="shared" si="2"/>
        <v>39.058065073677056</v>
      </c>
      <c r="H36" s="462"/>
      <c r="I36" s="462">
        <f t="shared" si="3"/>
        <v>24.206108367597654</v>
      </c>
      <c r="J36" s="462"/>
    </row>
    <row r="37" spans="1:10" x14ac:dyDescent="0.25">
      <c r="A37" s="156">
        <v>31</v>
      </c>
      <c r="B37" s="177" t="str">
        <f>+PROPONENTES!B40</f>
        <v>CONSORCIO PRO-TEV 20</v>
      </c>
      <c r="C37" s="178">
        <f t="shared" si="0"/>
        <v>155.69479623795792</v>
      </c>
      <c r="D37" s="179">
        <f>IF(CONSOLIDADO!I41="HABILITADO",'31'!$L$16,"")</f>
        <v>750.64</v>
      </c>
      <c r="E37" s="462">
        <f t="shared" si="5"/>
        <v>58.755106577829402</v>
      </c>
      <c r="F37" s="462"/>
      <c r="G37" s="462">
        <f t="shared" si="2"/>
        <v>56.732721962602433</v>
      </c>
      <c r="H37" s="462"/>
      <c r="I37" s="462">
        <f t="shared" si="3"/>
        <v>35.159919295158701</v>
      </c>
      <c r="J37" s="462"/>
    </row>
    <row r="38" spans="1:10" x14ac:dyDescent="0.25">
      <c r="A38" s="156">
        <v>32</v>
      </c>
      <c r="B38" s="177" t="str">
        <f>+PROPONENTES!B41</f>
        <v>LOGIA 3 ASOCIADOS S.A.S – BIC</v>
      </c>
      <c r="C38" s="178">
        <f t="shared" si="0"/>
        <v>40.778371237957913</v>
      </c>
      <c r="D38" s="179">
        <f>IF(CONSOLIDADO!I42="HABILITADO",'32'!$L$16,"")</f>
        <v>865.55642499999999</v>
      </c>
      <c r="E38" s="462">
        <f t="shared" si="5"/>
        <v>67.75</v>
      </c>
      <c r="F38" s="462"/>
      <c r="G38" s="462">
        <f t="shared" si="2"/>
        <v>65.418005971529823</v>
      </c>
      <c r="H38" s="462"/>
      <c r="I38" s="462">
        <f t="shared" si="3"/>
        <v>40.542595716196949</v>
      </c>
      <c r="J38" s="462"/>
    </row>
    <row r="39" spans="1:10" x14ac:dyDescent="0.25">
      <c r="A39" s="156">
        <v>33</v>
      </c>
      <c r="B39" s="177" t="str">
        <f>+PROPONENTES!B42</f>
        <v xml:space="preserve">CONSORCIO AL PARK 003 </v>
      </c>
      <c r="C39" s="178">
        <f t="shared" si="0"/>
        <v>679.06270376204213</v>
      </c>
      <c r="D39" s="179">
        <f>IF(CONSOLIDADO!I43="HABILITADO",'33'!$L$16,"")</f>
        <v>1585.3975</v>
      </c>
      <c r="E39" s="462">
        <f t="shared" si="5"/>
        <v>11.405628422780172</v>
      </c>
      <c r="F39" s="462"/>
      <c r="G39" s="462">
        <f t="shared" si="2"/>
        <v>17.177028179013906</v>
      </c>
      <c r="H39" s="462"/>
      <c r="I39" s="462">
        <f t="shared" si="3"/>
        <v>56.980208486767651</v>
      </c>
      <c r="J39" s="462"/>
    </row>
    <row r="40" spans="1:10" x14ac:dyDescent="0.25">
      <c r="A40" s="156">
        <v>34</v>
      </c>
      <c r="B40" s="177" t="str">
        <f>+PROPONENTES!B43</f>
        <v>CONSORCIO INT PARQUES KENNEDY 2024</v>
      </c>
      <c r="C40" s="178" t="str">
        <f t="shared" si="0"/>
        <v/>
      </c>
      <c r="D40" s="179"/>
      <c r="E40" s="462" t="str">
        <f t="shared" si="5"/>
        <v/>
      </c>
      <c r="F40" s="462"/>
      <c r="G40" s="462" t="str">
        <f t="shared" si="2"/>
        <v/>
      </c>
      <c r="H40" s="462"/>
      <c r="I40" s="462" t="str">
        <f t="shared" si="3"/>
        <v/>
      </c>
      <c r="J40" s="462"/>
    </row>
    <row r="41" spans="1:10" x14ac:dyDescent="0.25">
      <c r="A41" s="156">
        <v>35</v>
      </c>
      <c r="B41" s="177" t="str">
        <f>+PROPONENTES!B44</f>
        <v>CONSORCIO INTERKENNEDY EYD</v>
      </c>
      <c r="C41" s="178">
        <f t="shared" si="0"/>
        <v>226.48553709537543</v>
      </c>
      <c r="D41" s="179">
        <f>IF(CONSOLIDADO!I45="HABILITADO",'35'!$L$16,"")</f>
        <v>1132.8203333333333</v>
      </c>
      <c r="E41" s="462">
        <f t="shared" si="5"/>
        <v>46.830358869055431</v>
      </c>
      <c r="F41" s="462"/>
      <c r="G41" s="462">
        <f t="shared" si="2"/>
        <v>51.382418996346296</v>
      </c>
      <c r="H41" s="462"/>
      <c r="I41" s="462">
        <f t="shared" si="3"/>
        <v>53.061216423205231</v>
      </c>
      <c r="J41" s="462"/>
    </row>
    <row r="42" spans="1:10" x14ac:dyDescent="0.25">
      <c r="A42" s="205">
        <v>36</v>
      </c>
      <c r="B42" s="206" t="str">
        <f>+PROPONENTES!B45</f>
        <v>CONSORCIO INTER KENNEDY PARQUES</v>
      </c>
      <c r="C42" s="207"/>
      <c r="D42" s="208" t="str">
        <f>IF(CONSOLIDADO!I46="HABILITADO",'36'!$L$16,"")</f>
        <v/>
      </c>
      <c r="E42" s="461" t="str">
        <f t="shared" si="5"/>
        <v/>
      </c>
      <c r="F42" s="461"/>
      <c r="G42" s="462" t="str">
        <f t="shared" si="2"/>
        <v/>
      </c>
      <c r="H42" s="462"/>
      <c r="I42" s="462" t="str">
        <f t="shared" si="3"/>
        <v/>
      </c>
      <c r="J42" s="462"/>
    </row>
    <row r="43" spans="1:10" x14ac:dyDescent="0.25">
      <c r="A43" s="156">
        <v>37</v>
      </c>
      <c r="B43" s="177" t="str">
        <f>+PROPONENTES!B46</f>
        <v>JCB CONSULTORIA S.A.S</v>
      </c>
      <c r="C43" s="178">
        <f t="shared" si="0"/>
        <v>270.71854623795787</v>
      </c>
      <c r="D43" s="179">
        <f>IF(CONSOLIDADO!I47="HABILITADO",'37'!$L$16,"")</f>
        <v>635.61625000000004</v>
      </c>
      <c r="E43" s="462">
        <f t="shared" si="5"/>
        <v>49.751812468493895</v>
      </c>
      <c r="F43" s="462"/>
      <c r="G43" s="462">
        <f t="shared" si="2"/>
        <v>48.039326423001704</v>
      </c>
      <c r="H43" s="462"/>
      <c r="I43" s="462">
        <f t="shared" si="3"/>
        <v>29.772215779456754</v>
      </c>
      <c r="J43" s="462"/>
    </row>
    <row r="44" spans="1:10" x14ac:dyDescent="0.25">
      <c r="C44"/>
      <c r="D44"/>
      <c r="E44"/>
      <c r="F44"/>
    </row>
    <row r="45" spans="1:10" x14ac:dyDescent="0.25">
      <c r="C45"/>
      <c r="D45"/>
      <c r="E45"/>
      <c r="F45"/>
    </row>
    <row r="46" spans="1:10" x14ac:dyDescent="0.25">
      <c r="C46"/>
      <c r="D46"/>
      <c r="E46"/>
      <c r="F46"/>
    </row>
    <row r="47" spans="1:10" x14ac:dyDescent="0.25">
      <c r="C47"/>
      <c r="D47"/>
      <c r="E47"/>
      <c r="F47"/>
    </row>
    <row r="48" spans="1:10" x14ac:dyDescent="0.25">
      <c r="C48"/>
      <c r="D48"/>
      <c r="E48"/>
      <c r="F48"/>
    </row>
    <row r="49" customFormat="1" x14ac:dyDescent="0.25"/>
    <row r="50" customFormat="1" x14ac:dyDescent="0.25"/>
    <row r="51" customFormat="1" x14ac:dyDescent="0.25"/>
    <row r="52" customFormat="1" x14ac:dyDescent="0.25"/>
    <row r="53" customFormat="1" x14ac:dyDescent="0.25"/>
    <row r="54" customFormat="1" x14ac:dyDescent="0.25"/>
    <row r="55" customFormat="1" x14ac:dyDescent="0.25"/>
    <row r="56" customFormat="1" x14ac:dyDescent="0.25"/>
    <row r="57" customFormat="1" x14ac:dyDescent="0.25"/>
    <row r="58" customFormat="1" x14ac:dyDescent="0.25"/>
    <row r="59" customFormat="1" x14ac:dyDescent="0.25"/>
    <row r="60" customFormat="1" x14ac:dyDescent="0.25"/>
    <row r="61" customFormat="1" x14ac:dyDescent="0.25"/>
    <row r="62" customFormat="1" x14ac:dyDescent="0.25"/>
    <row r="63" customFormat="1" x14ac:dyDescent="0.25"/>
    <row r="64" customFormat="1" x14ac:dyDescent="0.25"/>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spans="3:6" x14ac:dyDescent="0.25">
      <c r="C129"/>
      <c r="D129"/>
      <c r="E129"/>
      <c r="F129"/>
    </row>
    <row r="130" spans="3:6" x14ac:dyDescent="0.25">
      <c r="C130"/>
      <c r="D130"/>
      <c r="E130"/>
      <c r="F130"/>
    </row>
    <row r="131" spans="3:6" x14ac:dyDescent="0.25">
      <c r="E131" s="182"/>
      <c r="F131" s="182"/>
    </row>
    <row r="132" spans="3:6" x14ac:dyDescent="0.25">
      <c r="E132" s="182"/>
      <c r="F132" s="182"/>
    </row>
    <row r="133" spans="3:6" x14ac:dyDescent="0.25">
      <c r="E133" s="182"/>
      <c r="F133" s="182"/>
    </row>
    <row r="134" spans="3:6" x14ac:dyDescent="0.25">
      <c r="E134" s="182"/>
      <c r="F134" s="182"/>
    </row>
    <row r="135" spans="3:6" x14ac:dyDescent="0.25">
      <c r="E135" s="182"/>
      <c r="F135" s="182"/>
    </row>
    <row r="136" spans="3:6" x14ac:dyDescent="0.25">
      <c r="E136" s="182"/>
      <c r="F136" s="182"/>
    </row>
    <row r="137" spans="3:6" x14ac:dyDescent="0.25">
      <c r="E137" s="182"/>
      <c r="F137" s="182"/>
    </row>
    <row r="138" spans="3:6" x14ac:dyDescent="0.25">
      <c r="E138" s="182"/>
      <c r="F138" s="182"/>
    </row>
    <row r="139" spans="3:6" x14ac:dyDescent="0.25">
      <c r="E139" s="182"/>
      <c r="F139" s="182"/>
    </row>
    <row r="140" spans="3:6" x14ac:dyDescent="0.25">
      <c r="E140" s="182"/>
      <c r="F140" s="182"/>
    </row>
    <row r="141" spans="3:6" x14ac:dyDescent="0.25">
      <c r="E141" s="182"/>
      <c r="F141" s="182"/>
    </row>
    <row r="142" spans="3:6" x14ac:dyDescent="0.25">
      <c r="E142" s="182"/>
      <c r="F142" s="182"/>
    </row>
    <row r="143" spans="3:6" x14ac:dyDescent="0.25">
      <c r="E143" s="182"/>
      <c r="F143" s="182"/>
    </row>
    <row r="144" spans="3:6" x14ac:dyDescent="0.25">
      <c r="E144" s="182"/>
      <c r="F144" s="182"/>
    </row>
    <row r="145" spans="5:6" x14ac:dyDescent="0.25">
      <c r="E145" s="182"/>
      <c r="F145" s="182"/>
    </row>
    <row r="146" spans="5:6" x14ac:dyDescent="0.25">
      <c r="E146" s="182"/>
      <c r="F146" s="182"/>
    </row>
    <row r="147" spans="5:6" x14ac:dyDescent="0.25">
      <c r="E147" s="182"/>
      <c r="F147" s="182"/>
    </row>
    <row r="148" spans="5:6" x14ac:dyDescent="0.25">
      <c r="E148" s="182"/>
      <c r="F148" s="182"/>
    </row>
    <row r="149" spans="5:6" x14ac:dyDescent="0.25">
      <c r="E149" s="182"/>
      <c r="F149" s="182"/>
    </row>
    <row r="150" spans="5:6" x14ac:dyDescent="0.25">
      <c r="E150" s="182"/>
      <c r="F150" s="182"/>
    </row>
    <row r="151" spans="5:6" x14ac:dyDescent="0.25">
      <c r="E151" s="182"/>
      <c r="F151" s="182"/>
    </row>
    <row r="152" spans="5:6" x14ac:dyDescent="0.25">
      <c r="E152" s="182"/>
      <c r="F152" s="182"/>
    </row>
    <row r="153" spans="5:6" x14ac:dyDescent="0.25">
      <c r="E153" s="182"/>
      <c r="F153" s="182"/>
    </row>
    <row r="154" spans="5:6" x14ac:dyDescent="0.25">
      <c r="E154" s="182"/>
      <c r="F154" s="182"/>
    </row>
    <row r="155" spans="5:6" x14ac:dyDescent="0.25">
      <c r="E155" s="182"/>
      <c r="F155" s="182"/>
    </row>
    <row r="156" spans="5:6" x14ac:dyDescent="0.25">
      <c r="E156" s="182"/>
      <c r="F156" s="182"/>
    </row>
    <row r="157" spans="5:6" x14ac:dyDescent="0.25">
      <c r="E157" s="182"/>
      <c r="F157" s="182"/>
    </row>
    <row r="158" spans="5:6" x14ac:dyDescent="0.25">
      <c r="E158" s="182"/>
      <c r="F158" s="182"/>
    </row>
    <row r="159" spans="5:6" x14ac:dyDescent="0.25">
      <c r="E159" s="182"/>
      <c r="F159" s="182"/>
    </row>
    <row r="160" spans="5:6" x14ac:dyDescent="0.25">
      <c r="E160" s="182"/>
      <c r="F160" s="182"/>
    </row>
  </sheetData>
  <sheetProtection formatCells="0" formatColumns="0" formatRows="0"/>
  <mergeCells count="118">
    <mergeCell ref="I43:J43"/>
    <mergeCell ref="I29:J29"/>
    <mergeCell ref="I30:J30"/>
    <mergeCell ref="I31:J31"/>
    <mergeCell ref="I32:J32"/>
    <mergeCell ref="I33:J33"/>
    <mergeCell ref="E43:F43"/>
    <mergeCell ref="G26:H26"/>
    <mergeCell ref="G27:H27"/>
    <mergeCell ref="G28:H28"/>
    <mergeCell ref="G29:H29"/>
    <mergeCell ref="G30:H30"/>
    <mergeCell ref="G31:H31"/>
    <mergeCell ref="G32:H32"/>
    <mergeCell ref="G33:H33"/>
    <mergeCell ref="G43:H43"/>
    <mergeCell ref="E29:F29"/>
    <mergeCell ref="E30:F30"/>
    <mergeCell ref="E31:F31"/>
    <mergeCell ref="E32:F32"/>
    <mergeCell ref="E33:F33"/>
    <mergeCell ref="E34:F34"/>
    <mergeCell ref="G34:H34"/>
    <mergeCell ref="I34:J34"/>
    <mergeCell ref="B1:D1"/>
    <mergeCell ref="B2:D5"/>
    <mergeCell ref="G4:H4"/>
    <mergeCell ref="E6:F6"/>
    <mergeCell ref="G6:H6"/>
    <mergeCell ref="I6:J6"/>
    <mergeCell ref="E1:J1"/>
    <mergeCell ref="E26:F26"/>
    <mergeCell ref="E27:F27"/>
    <mergeCell ref="I26:J26"/>
    <mergeCell ref="I27:J27"/>
    <mergeCell ref="E7:F7"/>
    <mergeCell ref="G7:H7"/>
    <mergeCell ref="I7:J7"/>
    <mergeCell ref="E8:F8"/>
    <mergeCell ref="G8:H8"/>
    <mergeCell ref="I8:J8"/>
    <mergeCell ref="E9:F9"/>
    <mergeCell ref="G9:H9"/>
    <mergeCell ref="E12:F12"/>
    <mergeCell ref="G12:H12"/>
    <mergeCell ref="I12:J12"/>
    <mergeCell ref="E13:F13"/>
    <mergeCell ref="G13:H13"/>
    <mergeCell ref="I13:J13"/>
    <mergeCell ref="I9:J9"/>
    <mergeCell ref="E10:F10"/>
    <mergeCell ref="G10:H10"/>
    <mergeCell ref="I10:J10"/>
    <mergeCell ref="E11:F11"/>
    <mergeCell ref="G11:H11"/>
    <mergeCell ref="I11:J11"/>
    <mergeCell ref="E16:F16"/>
    <mergeCell ref="G16:H16"/>
    <mergeCell ref="I16:J16"/>
    <mergeCell ref="E17:F17"/>
    <mergeCell ref="G17:H17"/>
    <mergeCell ref="I17:J17"/>
    <mergeCell ref="E14:F14"/>
    <mergeCell ref="G14:H14"/>
    <mergeCell ref="I14:J14"/>
    <mergeCell ref="E15:F15"/>
    <mergeCell ref="G15:H15"/>
    <mergeCell ref="I15:J15"/>
    <mergeCell ref="E20:F20"/>
    <mergeCell ref="G20:H20"/>
    <mergeCell ref="I20:J20"/>
    <mergeCell ref="E21:F21"/>
    <mergeCell ref="G21:H21"/>
    <mergeCell ref="I21:J21"/>
    <mergeCell ref="E18:F18"/>
    <mergeCell ref="G18:H18"/>
    <mergeCell ref="I18:J18"/>
    <mergeCell ref="E19:F19"/>
    <mergeCell ref="G19:H19"/>
    <mergeCell ref="I19:J19"/>
    <mergeCell ref="E35:F35"/>
    <mergeCell ref="G35:H35"/>
    <mergeCell ref="I35:J35"/>
    <mergeCell ref="E22:F22"/>
    <mergeCell ref="G22:H22"/>
    <mergeCell ref="I22:J22"/>
    <mergeCell ref="E25:F25"/>
    <mergeCell ref="G25:H25"/>
    <mergeCell ref="I25:J25"/>
    <mergeCell ref="E23:F23"/>
    <mergeCell ref="G23:H23"/>
    <mergeCell ref="I23:J23"/>
    <mergeCell ref="E24:F24"/>
    <mergeCell ref="G24:H24"/>
    <mergeCell ref="I24:J24"/>
    <mergeCell ref="E28:F28"/>
    <mergeCell ref="I28:J28"/>
    <mergeCell ref="E38:F38"/>
    <mergeCell ref="G38:H38"/>
    <mergeCell ref="I38:J38"/>
    <mergeCell ref="E39:F39"/>
    <mergeCell ref="G39:H39"/>
    <mergeCell ref="I39:J39"/>
    <mergeCell ref="E36:F36"/>
    <mergeCell ref="G36:H36"/>
    <mergeCell ref="I36:J36"/>
    <mergeCell ref="E37:F37"/>
    <mergeCell ref="G37:H37"/>
    <mergeCell ref="I37:J37"/>
    <mergeCell ref="E42:F42"/>
    <mergeCell ref="G42:H42"/>
    <mergeCell ref="I42:J42"/>
    <mergeCell ref="E40:F40"/>
    <mergeCell ref="G40:H40"/>
    <mergeCell ref="I40:J40"/>
    <mergeCell ref="E41:F41"/>
    <mergeCell ref="G41:H41"/>
    <mergeCell ref="I41:J41"/>
  </mergeCells>
  <conditionalFormatting sqref="E7:I43">
    <cfRule type="cellIs" dxfId="2" priority="4" operator="equal">
      <formula>69</formula>
    </cfRule>
    <cfRule type="cellIs" dxfId="1" priority="5" operator="equal">
      <formula>70</formula>
    </cfRule>
  </conditionalFormatting>
  <conditionalFormatting sqref="L7:L43">
    <cfRule type="cellIs" dxfId="0" priority="1" operator="equal">
      <formula>"MENOR"</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45</vt:i4>
      </vt:variant>
      <vt:variant>
        <vt:lpstr>Rangos con nombre</vt:lpstr>
      </vt:variant>
      <vt:variant>
        <vt:i4>41</vt:i4>
      </vt:variant>
    </vt:vector>
  </HeadingPairs>
  <TitlesOfParts>
    <vt:vector size="86" baseType="lpstr">
      <vt:lpstr>DATOS INICIALES</vt:lpstr>
      <vt:lpstr>PROPONENTES</vt:lpstr>
      <vt:lpstr>1</vt:lpstr>
      <vt:lpstr>K RESIDUAL DOCUMENTOS</vt:lpstr>
      <vt:lpstr>K RESIDUAL CALCULO</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CONSOLIDADO</vt:lpstr>
      <vt:lpstr>PUNTAJE</vt:lpstr>
      <vt:lpstr>PONDERACION</vt:lpstr>
      <vt:lpstr>PUNTAJE EXP</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'34'!Área_de_impresión</vt:lpstr>
      <vt:lpstr>'35'!Área_de_impresión</vt:lpstr>
      <vt:lpstr>'36'!Área_de_impresión</vt:lpstr>
      <vt:lpstr>'37'!Área_de_impresión</vt:lpstr>
      <vt:lpstr>'4'!Área_de_impresión</vt:lpstr>
      <vt:lpstr>'5'!Área_de_impresión</vt:lpstr>
      <vt:lpstr>'6'!Área_de_impresión</vt:lpstr>
      <vt:lpstr>'7'!Área_de_impresión</vt:lpstr>
      <vt:lpstr>'8'!Área_de_impresión</vt:lpstr>
      <vt:lpstr>'9'!Área_de_impresión</vt:lpstr>
      <vt:lpstr>CONSOLIDADO!Área_de_impresión</vt:lpstr>
      <vt:lpstr>'DATOS INICIALES'!Área_de_impresión</vt:lpstr>
      <vt:lpstr>PROPONENTES!Área_de_impresión</vt:lpstr>
      <vt:lpstr>PUNTAJE!Área_de_impresión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Perez Bejarano Marcela Carolina</cp:lastModifiedBy>
  <cp:revision/>
  <cp:lastPrinted>2022-07-27T03:16:54Z</cp:lastPrinted>
  <dcterms:created xsi:type="dcterms:W3CDTF">2020-12-10T19:47:01Z</dcterms:created>
  <dcterms:modified xsi:type="dcterms:W3CDTF">2024-12-17T03:56:47Z</dcterms:modified>
  <cp:category/>
  <cp:contentStatus/>
</cp:coreProperties>
</file>