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ia\OneDrive - Consejo Superior de la Judicatura\VIGILANCIA\PROCESO CONTRACTUAL 2023 A 2024\1.5 MODIFICATORIO 2025\"/>
    </mc:Choice>
  </mc:AlternateContent>
  <bookViews>
    <workbookView xWindow="-120" yWindow="-120" windowWidth="20730" windowHeight="11160"/>
  </bookViews>
  <sheets>
    <sheet name=" ene 2025" sheetId="53" r:id="rId1"/>
    <sheet name="Calendario2025" sheetId="58" r:id="rId2"/>
    <sheet name="proyeccion ene feb SM2025" sheetId="54" state="hidden" r:id="rId3"/>
    <sheet name="formato serv personal 2023" sheetId="46" state="hidden" r:id="rId4"/>
    <sheet name="formato serv personal 2024 " sheetId="50" state="hidden" r:id="rId5"/>
  </sheets>
  <definedNames>
    <definedName name="_xlnm._FilterDatabase" localSheetId="0" hidden="1">' ene 2025'!$A$3:$L$21</definedName>
    <definedName name="_xlnm._FilterDatabase" localSheetId="3" hidden="1">'formato serv personal 2023'!$A$3:$N$22</definedName>
    <definedName name="_xlnm._FilterDatabase" localSheetId="4" hidden="1">'formato serv personal 2024 '!$A$3:$Z$22</definedName>
    <definedName name="_xlnm._FilterDatabase" localSheetId="2" hidden="1">'proyeccion ene feb SM2025'!$A$3:$L$20</definedName>
    <definedName name="_xlnm.Print_Area" localSheetId="0">' ene 2025'!$A$1:$K$19</definedName>
    <definedName name="_xlnm.Print_Area" localSheetId="3">'formato serv personal 2023'!$A$1:$N$16</definedName>
    <definedName name="_xlnm.Print_Area" localSheetId="4">'formato serv personal 2024 '!$A$1:$Z$16</definedName>
    <definedName name="_xlnm.Print_Area" localSheetId="2">'proyeccion ene feb SM2025'!$A$1:$K$18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53" l="1"/>
  <c r="E18" i="53"/>
  <c r="R34" i="54" l="1"/>
  <c r="R32" i="54"/>
  <c r="R30" i="54"/>
  <c r="R26" i="54"/>
  <c r="R27" i="54" s="1"/>
  <c r="Q28" i="54" s="1"/>
  <c r="D4" i="54"/>
  <c r="E14" i="54" s="1"/>
  <c r="N19" i="54"/>
  <c r="E13" i="54"/>
  <c r="E9" i="54"/>
  <c r="F4" i="54"/>
  <c r="F17" i="54" s="1"/>
  <c r="E10" i="54" l="1"/>
  <c r="E15" i="54"/>
  <c r="E11" i="54"/>
  <c r="E16" i="54"/>
  <c r="E12" i="54"/>
  <c r="E6" i="54"/>
  <c r="E5" i="54"/>
  <c r="E7" i="54"/>
  <c r="E8" i="54"/>
  <c r="E17" i="54"/>
  <c r="G17" i="54" s="1"/>
  <c r="H17" i="54" s="1"/>
  <c r="F6" i="54"/>
  <c r="F8" i="54"/>
  <c r="G8" i="54" s="1"/>
  <c r="F10" i="54"/>
  <c r="G10" i="54" s="1"/>
  <c r="F12" i="54"/>
  <c r="G12" i="54" s="1"/>
  <c r="F14" i="54"/>
  <c r="G14" i="54" s="1"/>
  <c r="F16" i="54"/>
  <c r="F5" i="54"/>
  <c r="F7" i="54"/>
  <c r="G7" i="54" s="1"/>
  <c r="F9" i="54"/>
  <c r="G9" i="54" s="1"/>
  <c r="F11" i="54"/>
  <c r="F13" i="54"/>
  <c r="G13" i="54" s="1"/>
  <c r="F15" i="54"/>
  <c r="G15" i="54" s="1"/>
  <c r="G11" i="54" l="1"/>
  <c r="H11" i="54" s="1"/>
  <c r="G16" i="54"/>
  <c r="G6" i="54"/>
  <c r="G5" i="54"/>
  <c r="H16" i="54"/>
  <c r="I16" i="54" s="1"/>
  <c r="J16" i="54" s="1"/>
  <c r="K16" i="54" s="1"/>
  <c r="H8" i="54"/>
  <c r="I8" i="54" s="1"/>
  <c r="J8" i="54" s="1"/>
  <c r="K8" i="54" s="1"/>
  <c r="H12" i="54"/>
  <c r="H14" i="54"/>
  <c r="I14" i="54" s="1"/>
  <c r="J14" i="54" s="1"/>
  <c r="K14" i="54" s="1"/>
  <c r="H6" i="54"/>
  <c r="I6" i="54" s="1"/>
  <c r="J6" i="54" s="1"/>
  <c r="K6" i="54" s="1"/>
  <c r="I12" i="54"/>
  <c r="J12" i="54" s="1"/>
  <c r="K12" i="54" s="1"/>
  <c r="I11" i="54"/>
  <c r="J11" i="54" s="1"/>
  <c r="K11" i="54" s="1"/>
  <c r="H13" i="54"/>
  <c r="H10" i="54"/>
  <c r="H15" i="54"/>
  <c r="H9" i="54"/>
  <c r="I17" i="54"/>
  <c r="J17" i="54" s="1"/>
  <c r="K17" i="54" s="1"/>
  <c r="H7" i="54"/>
  <c r="H5" i="54"/>
  <c r="E17" i="53"/>
  <c r="E16" i="53"/>
  <c r="E15" i="53"/>
  <c r="E14" i="53"/>
  <c r="E13" i="53"/>
  <c r="E12" i="53"/>
  <c r="E11" i="53"/>
  <c r="E10" i="53"/>
  <c r="E9" i="53"/>
  <c r="E8" i="53"/>
  <c r="E7" i="53"/>
  <c r="E5" i="53"/>
  <c r="F4" i="53"/>
  <c r="F10" i="53" l="1"/>
  <c r="F5" i="53"/>
  <c r="G5" i="53" s="1"/>
  <c r="H5" i="53" s="1"/>
  <c r="F17" i="53"/>
  <c r="G17" i="53" s="1"/>
  <c r="H17" i="53" s="1"/>
  <c r="F18" i="53"/>
  <c r="L8" i="54"/>
  <c r="M8" i="54"/>
  <c r="L12" i="54"/>
  <c r="M12" i="54"/>
  <c r="M11" i="54"/>
  <c r="L11" i="54"/>
  <c r="L6" i="54"/>
  <c r="M6" i="54"/>
  <c r="L14" i="54"/>
  <c r="M14" i="54"/>
  <c r="L16" i="54"/>
  <c r="M16" i="54"/>
  <c r="I5" i="54"/>
  <c r="J5" i="54" s="1"/>
  <c r="K5" i="54" s="1"/>
  <c r="I7" i="54"/>
  <c r="J7" i="54" s="1"/>
  <c r="K7" i="54" s="1"/>
  <c r="I15" i="54"/>
  <c r="J15" i="54" s="1"/>
  <c r="K15" i="54" s="1"/>
  <c r="I9" i="54"/>
  <c r="J9" i="54" s="1"/>
  <c r="K9" i="54" s="1"/>
  <c r="M17" i="54"/>
  <c r="L17" i="54"/>
  <c r="I10" i="54"/>
  <c r="J10" i="54" s="1"/>
  <c r="K10" i="54" s="1"/>
  <c r="I13" i="54"/>
  <c r="J13" i="54" s="1"/>
  <c r="K13" i="54" s="1"/>
  <c r="F8" i="53"/>
  <c r="G8" i="53" s="1"/>
  <c r="H8" i="53" s="1"/>
  <c r="F7" i="53"/>
  <c r="G7" i="53" s="1"/>
  <c r="F9" i="53"/>
  <c r="G9" i="53" s="1"/>
  <c r="F13" i="53"/>
  <c r="G13" i="53" s="1"/>
  <c r="H13" i="53" s="1"/>
  <c r="F15" i="53"/>
  <c r="F14" i="53"/>
  <c r="F16" i="53"/>
  <c r="G16" i="53" s="1"/>
  <c r="F11" i="53"/>
  <c r="F6" i="53"/>
  <c r="G6" i="53" s="1"/>
  <c r="F12" i="53"/>
  <c r="G10" i="53"/>
  <c r="H10" i="53" s="1"/>
  <c r="H9" i="53" l="1"/>
  <c r="G15" i="53"/>
  <c r="H15" i="53" s="1"/>
  <c r="I15" i="53" s="1"/>
  <c r="J15" i="53" s="1"/>
  <c r="K15" i="53" s="1"/>
  <c r="L15" i="53" s="1"/>
  <c r="G12" i="53"/>
  <c r="H12" i="53" s="1"/>
  <c r="I12" i="53" s="1"/>
  <c r="J12" i="53" s="1"/>
  <c r="K12" i="53" s="1"/>
  <c r="L12" i="53" s="1"/>
  <c r="H16" i="53"/>
  <c r="H7" i="53"/>
  <c r="G14" i="53"/>
  <c r="H14" i="53" s="1"/>
  <c r="I10" i="53"/>
  <c r="J10" i="53" s="1"/>
  <c r="K10" i="53" s="1"/>
  <c r="I5" i="53"/>
  <c r="J5" i="53" s="1"/>
  <c r="K5" i="53" s="1"/>
  <c r="L5" i="53" s="1"/>
  <c r="N11" i="54"/>
  <c r="G18" i="53"/>
  <c r="H18" i="53" s="1"/>
  <c r="H6" i="53"/>
  <c r="N17" i="54"/>
  <c r="M13" i="54"/>
  <c r="L13" i="54"/>
  <c r="L10" i="54"/>
  <c r="M10" i="54"/>
  <c r="M15" i="54"/>
  <c r="L15" i="54"/>
  <c r="M7" i="54"/>
  <c r="L7" i="54"/>
  <c r="N16" i="54"/>
  <c r="N6" i="54"/>
  <c r="N12" i="54"/>
  <c r="M5" i="54"/>
  <c r="L5" i="54"/>
  <c r="K18" i="54"/>
  <c r="M9" i="54"/>
  <c r="L9" i="54"/>
  <c r="N14" i="54"/>
  <c r="N8" i="54"/>
  <c r="G11" i="53"/>
  <c r="H11" i="53" s="1"/>
  <c r="I13" i="53"/>
  <c r="J13" i="53" s="1"/>
  <c r="K13" i="53" s="1"/>
  <c r="L13" i="53" s="1"/>
  <c r="I9" i="53"/>
  <c r="J9" i="53" s="1"/>
  <c r="K9" i="53" s="1"/>
  <c r="L9" i="53" s="1"/>
  <c r="I8" i="53"/>
  <c r="J8" i="53" s="1"/>
  <c r="K8" i="53" s="1"/>
  <c r="L8" i="53" s="1"/>
  <c r="I17" i="53"/>
  <c r="J17" i="53" s="1"/>
  <c r="K17" i="53" s="1"/>
  <c r="L17" i="53" s="1"/>
  <c r="I6" i="53" l="1"/>
  <c r="J6" i="53" s="1"/>
  <c r="K6" i="53"/>
  <c r="I16" i="53"/>
  <c r="J16" i="53" s="1"/>
  <c r="K16" i="53" s="1"/>
  <c r="I14" i="53"/>
  <c r="J14" i="53" s="1"/>
  <c r="I7" i="53"/>
  <c r="J7" i="53" s="1"/>
  <c r="K7" i="53" s="1"/>
  <c r="I18" i="53"/>
  <c r="J18" i="53" s="1"/>
  <c r="N15" i="54"/>
  <c r="N13" i="54"/>
  <c r="N9" i="54"/>
  <c r="M18" i="54"/>
  <c r="M20" i="54" s="1"/>
  <c r="N7" i="54"/>
  <c r="N10" i="54"/>
  <c r="N5" i="54"/>
  <c r="L18" i="54"/>
  <c r="L20" i="54" s="1"/>
  <c r="I11" i="53"/>
  <c r="J11" i="53" s="1"/>
  <c r="K11" i="53" s="1"/>
  <c r="L11" i="53" s="1"/>
  <c r="L10" i="53"/>
  <c r="L16" i="53" l="1"/>
  <c r="L7" i="53"/>
  <c r="K14" i="53"/>
  <c r="K18" i="53"/>
  <c r="L18" i="53" s="1"/>
  <c r="L6" i="53"/>
  <c r="N18" i="54"/>
  <c r="N20" i="54" s="1"/>
  <c r="Q35" i="54" s="1"/>
  <c r="K19" i="53"/>
  <c r="L14" i="53" l="1"/>
  <c r="R36" i="54"/>
  <c r="R37" i="54" s="1"/>
  <c r="Q37" i="54"/>
  <c r="L19" i="53" l="1"/>
  <c r="L21" i="53" s="1"/>
  <c r="H14" i="50"/>
  <c r="H10" i="50"/>
  <c r="H9" i="50"/>
  <c r="H8" i="50"/>
  <c r="L25" i="53" l="1"/>
  <c r="L23" i="53"/>
  <c r="L24" i="53"/>
  <c r="I8" i="50"/>
  <c r="J8" i="50" s="1"/>
  <c r="K8" i="50" s="1"/>
  <c r="H5" i="50"/>
  <c r="H6" i="50"/>
  <c r="H7" i="50"/>
  <c r="I10" i="50"/>
  <c r="J10" i="50" s="1"/>
  <c r="K10" i="50" s="1"/>
  <c r="H12" i="50"/>
  <c r="H13" i="50"/>
  <c r="I9" i="50"/>
  <c r="J9" i="50" s="1"/>
  <c r="K9" i="50" s="1"/>
  <c r="I14" i="50"/>
  <c r="J14" i="50" s="1"/>
  <c r="K14" i="50" s="1"/>
  <c r="H11" i="50"/>
  <c r="H15" i="50"/>
  <c r="L26" i="53" l="1"/>
  <c r="I11" i="50"/>
  <c r="J11" i="50" s="1"/>
  <c r="K11" i="50" s="1"/>
  <c r="I7" i="50"/>
  <c r="J7" i="50" s="1"/>
  <c r="K7" i="50" s="1"/>
  <c r="I15" i="50"/>
  <c r="J15" i="50" s="1"/>
  <c r="K15" i="50" s="1"/>
  <c r="L10" i="50"/>
  <c r="M10" i="50" s="1"/>
  <c r="L8" i="50"/>
  <c r="M8" i="50" s="1"/>
  <c r="L14" i="50"/>
  <c r="M14" i="50" s="1"/>
  <c r="L9" i="50"/>
  <c r="M9" i="50" s="1"/>
  <c r="I12" i="50"/>
  <c r="J12" i="50" s="1"/>
  <c r="K12" i="50" s="1"/>
  <c r="I5" i="50"/>
  <c r="J5" i="50" s="1"/>
  <c r="K5" i="50" s="1"/>
  <c r="L5" i="50" s="1"/>
  <c r="I13" i="50"/>
  <c r="J13" i="50" s="1"/>
  <c r="K13" i="50" s="1"/>
  <c r="I6" i="50"/>
  <c r="J6" i="50" s="1"/>
  <c r="K6" i="50" s="1"/>
  <c r="L6" i="50" l="1"/>
  <c r="M6" i="50" s="1"/>
  <c r="K16" i="50"/>
  <c r="M5" i="50"/>
  <c r="Y14" i="50"/>
  <c r="W14" i="50"/>
  <c r="U14" i="50"/>
  <c r="S14" i="50"/>
  <c r="Q14" i="50"/>
  <c r="O14" i="50"/>
  <c r="X14" i="50"/>
  <c r="V14" i="50"/>
  <c r="T14" i="50"/>
  <c r="R14" i="50"/>
  <c r="P14" i="50"/>
  <c r="N14" i="50"/>
  <c r="Y10" i="50"/>
  <c r="W10" i="50"/>
  <c r="U10" i="50"/>
  <c r="S10" i="50"/>
  <c r="Q10" i="50"/>
  <c r="O10" i="50"/>
  <c r="X10" i="50"/>
  <c r="V10" i="50"/>
  <c r="T10" i="50"/>
  <c r="R10" i="50"/>
  <c r="P10" i="50"/>
  <c r="N10" i="50"/>
  <c r="L7" i="50"/>
  <c r="M7" i="50" s="1"/>
  <c r="L13" i="50"/>
  <c r="M13" i="50" s="1"/>
  <c r="L12" i="50"/>
  <c r="M12" i="50" s="1"/>
  <c r="X8" i="50"/>
  <c r="Y8" i="50"/>
  <c r="W8" i="50"/>
  <c r="U8" i="50"/>
  <c r="S8" i="50"/>
  <c r="Q8" i="50"/>
  <c r="O8" i="50"/>
  <c r="V8" i="50"/>
  <c r="R8" i="50"/>
  <c r="N8" i="50"/>
  <c r="T8" i="50"/>
  <c r="P8" i="50"/>
  <c r="L15" i="50"/>
  <c r="M15" i="50" s="1"/>
  <c r="L11" i="50"/>
  <c r="M11" i="50" s="1"/>
  <c r="X9" i="50"/>
  <c r="V9" i="50"/>
  <c r="T9" i="50"/>
  <c r="R9" i="50"/>
  <c r="P9" i="50"/>
  <c r="N9" i="50"/>
  <c r="Y9" i="50"/>
  <c r="W9" i="50"/>
  <c r="U9" i="50"/>
  <c r="S9" i="50"/>
  <c r="Q9" i="50"/>
  <c r="O9" i="50"/>
  <c r="Z14" i="50" l="1"/>
  <c r="Z10" i="50"/>
  <c r="X15" i="50"/>
  <c r="V15" i="50"/>
  <c r="T15" i="50"/>
  <c r="R15" i="50"/>
  <c r="P15" i="50"/>
  <c r="N15" i="50"/>
  <c r="Y15" i="50"/>
  <c r="W15" i="50"/>
  <c r="U15" i="50"/>
  <c r="S15" i="50"/>
  <c r="Q15" i="50"/>
  <c r="O15" i="50"/>
  <c r="X13" i="50"/>
  <c r="V13" i="50"/>
  <c r="T13" i="50"/>
  <c r="R13" i="50"/>
  <c r="P13" i="50"/>
  <c r="N13" i="50"/>
  <c r="Y13" i="50"/>
  <c r="W13" i="50"/>
  <c r="U13" i="50"/>
  <c r="S13" i="50"/>
  <c r="Q13" i="50"/>
  <c r="O13" i="50"/>
  <c r="X11" i="50"/>
  <c r="V11" i="50"/>
  <c r="T11" i="50"/>
  <c r="R11" i="50"/>
  <c r="P11" i="50"/>
  <c r="N11" i="50"/>
  <c r="Y11" i="50"/>
  <c r="W11" i="50"/>
  <c r="U11" i="50"/>
  <c r="S11" i="50"/>
  <c r="Q11" i="50"/>
  <c r="O11" i="50"/>
  <c r="X12" i="50"/>
  <c r="V12" i="50"/>
  <c r="T12" i="50"/>
  <c r="R12" i="50"/>
  <c r="P12" i="50"/>
  <c r="N12" i="50"/>
  <c r="Y12" i="50"/>
  <c r="W12" i="50"/>
  <c r="U12" i="50"/>
  <c r="S12" i="50"/>
  <c r="Q12" i="50"/>
  <c r="O12" i="50"/>
  <c r="M16" i="50"/>
  <c r="Y5" i="50"/>
  <c r="W5" i="50"/>
  <c r="U5" i="50"/>
  <c r="S5" i="50"/>
  <c r="Q5" i="50"/>
  <c r="O5" i="50"/>
  <c r="X5" i="50"/>
  <c r="V5" i="50"/>
  <c r="T5" i="50"/>
  <c r="R5" i="50"/>
  <c r="P5" i="50"/>
  <c r="N5" i="50"/>
  <c r="Y6" i="50"/>
  <c r="W6" i="50"/>
  <c r="U6" i="50"/>
  <c r="S6" i="50"/>
  <c r="Q6" i="50"/>
  <c r="O6" i="50"/>
  <c r="X6" i="50"/>
  <c r="V6" i="50"/>
  <c r="T6" i="50"/>
  <c r="R6" i="50"/>
  <c r="P6" i="50"/>
  <c r="N6" i="50"/>
  <c r="Z9" i="50"/>
  <c r="Z8" i="50"/>
  <c r="X7" i="50"/>
  <c r="V7" i="50"/>
  <c r="T7" i="50"/>
  <c r="R7" i="50"/>
  <c r="P7" i="50"/>
  <c r="N7" i="50"/>
  <c r="Y7" i="50"/>
  <c r="W7" i="50"/>
  <c r="U7" i="50"/>
  <c r="S7" i="50"/>
  <c r="Q7" i="50"/>
  <c r="O7" i="50"/>
  <c r="L16" i="50"/>
  <c r="Z6" i="50" l="1"/>
  <c r="P16" i="50"/>
  <c r="T16" i="50"/>
  <c r="X16" i="50"/>
  <c r="Q16" i="50"/>
  <c r="U16" i="50"/>
  <c r="Y16" i="50"/>
  <c r="Z12" i="50"/>
  <c r="Z11" i="50"/>
  <c r="Z13" i="50"/>
  <c r="Z15" i="50"/>
  <c r="Z7" i="50"/>
  <c r="N16" i="50"/>
  <c r="Z5" i="50"/>
  <c r="R16" i="50"/>
  <c r="V16" i="50"/>
  <c r="O16" i="50"/>
  <c r="S16" i="50"/>
  <c r="W16" i="50"/>
  <c r="Z16" i="50" l="1"/>
  <c r="H15" i="46" l="1"/>
  <c r="H14" i="46"/>
  <c r="H13" i="46"/>
  <c r="H12" i="46"/>
  <c r="H9" i="46"/>
  <c r="H8" i="46"/>
  <c r="H7" i="46"/>
  <c r="H6" i="46"/>
  <c r="H5" i="46"/>
  <c r="I12" i="46" l="1"/>
  <c r="J12" i="46" s="1"/>
  <c r="K12" i="46" s="1"/>
  <c r="I9" i="46"/>
  <c r="J9" i="46" s="1"/>
  <c r="K9" i="46" s="1"/>
  <c r="I7" i="46"/>
  <c r="J7" i="46" s="1"/>
  <c r="K7" i="46" s="1"/>
  <c r="I15" i="46"/>
  <c r="J15" i="46" s="1"/>
  <c r="K15" i="46" s="1"/>
  <c r="M15" i="46" s="1"/>
  <c r="I14" i="46"/>
  <c r="J14" i="46" s="1"/>
  <c r="K14" i="46" s="1"/>
  <c r="I13" i="46"/>
  <c r="J13" i="46" s="1"/>
  <c r="K13" i="46" s="1"/>
  <c r="I6" i="46"/>
  <c r="J6" i="46" s="1"/>
  <c r="K6" i="46" s="1"/>
  <c r="I5" i="46"/>
  <c r="J5" i="46" s="1"/>
  <c r="K5" i="46" s="1"/>
  <c r="L6" i="46" l="1"/>
  <c r="H10" i="46"/>
  <c r="H11" i="46"/>
  <c r="I11" i="46" l="1"/>
  <c r="J11" i="46" s="1"/>
  <c r="K11" i="46" s="1"/>
  <c r="M11" i="46" s="1"/>
  <c r="L5" i="46"/>
  <c r="M5" i="46" l="1"/>
  <c r="M12" i="46"/>
  <c r="L12" i="46"/>
  <c r="L9" i="46"/>
  <c r="M9" i="46"/>
  <c r="I8" i="46"/>
  <c r="J8" i="46" s="1"/>
  <c r="K8" i="46" s="1"/>
  <c r="N5" i="46" l="1"/>
  <c r="N12" i="46"/>
  <c r="M13" i="46"/>
  <c r="L13" i="46"/>
  <c r="N13" i="46" s="1"/>
  <c r="L11" i="46"/>
  <c r="N11" i="46" s="1"/>
  <c r="N9" i="46"/>
  <c r="I10" i="46"/>
  <c r="J10" i="46" s="1"/>
  <c r="K10" i="46" s="1"/>
  <c r="P7" i="46"/>
  <c r="L10" i="46" l="1"/>
  <c r="M10" i="46"/>
  <c r="L15" i="46"/>
  <c r="M14" i="46"/>
  <c r="L14" i="46"/>
  <c r="L8" i="46"/>
  <c r="M8" i="46"/>
  <c r="L7" i="46"/>
  <c r="M7" i="46"/>
  <c r="M6" i="46"/>
  <c r="K16" i="46"/>
  <c r="M16" i="46" l="1"/>
  <c r="L16" i="46"/>
  <c r="N10" i="46"/>
  <c r="N14" i="46"/>
  <c r="N15" i="46"/>
  <c r="N8" i="46"/>
  <c r="N7" i="46"/>
  <c r="N6" i="46"/>
  <c r="N16" i="46" l="1"/>
</calcChain>
</file>

<file path=xl/sharedStrings.xml><?xml version="1.0" encoding="utf-8"?>
<sst xmlns="http://schemas.openxmlformats.org/spreadsheetml/2006/main" count="154" uniqueCount="90">
  <si>
    <t>CONSEJO SUPERIOR DE LA JUDICATURA
DIRECCION SECCIONAL DE ADMINISTRACION JUDICIAL DE ARMENIA QUINDÍO
FORMATO DE COTIZACION SERVICIO DE VIGILANCIA CIRCULAR EXTERNA No.20221300000675 29/12/2022
NOVIEMBRE Y DICIEMBRE  DE 2023</t>
  </si>
  <si>
    <t>SERVICIO</t>
  </si>
  <si>
    <t>CANTIDAD DE SERVICIOS</t>
  </si>
  <si>
    <t>No. DE GUARDAS</t>
  </si>
  <si>
    <t>SMMV 2023
$1.160.000
TARIFA 
9,06</t>
  </si>
  <si>
    <t xml:space="preserve">VALOR DEL SERVICIO </t>
  </si>
  <si>
    <t>VALOR PRIMA SEGURO DE VIDA</t>
  </si>
  <si>
    <t>PORCENTAJE GASTOS DE ADMINISTRACIÓN 
Y SUPERVISIÓN</t>
  </si>
  <si>
    <t xml:space="preserve">SUBTOTAL </t>
  </si>
  <si>
    <t>AIU</t>
  </si>
  <si>
    <t xml:space="preserve">IVA </t>
  </si>
  <si>
    <t xml:space="preserve">COSTO SERVICIO UNITARIO CIRCULAR CIRCULAR  
EXTERNA  Nº    20221300000675 </t>
  </si>
  <si>
    <t>2023
DICIEMBRE</t>
  </si>
  <si>
    <t>8% ó 10%</t>
  </si>
  <si>
    <r>
      <t xml:space="preserve">SERVICIO DE VIGILANCIA Y SEGURIDAD FISICA CON MEDIO HUMANO, </t>
    </r>
    <r>
      <rPr>
        <b/>
        <u/>
        <sz val="11"/>
        <rFont val="Arial Narrow"/>
        <family val="2"/>
      </rPr>
      <t xml:space="preserve"> CON ARMA,</t>
    </r>
    <r>
      <rPr>
        <sz val="11"/>
        <rFont val="Arial Narrow"/>
        <family val="2"/>
      </rPr>
      <t xml:space="preserve"> SIN CANINO, CON MEDIO DE COMUNICACIÓN IDONEO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>MES/12 HORAS DIURNAS DE LUNES A VIERNES SIN FESTIVOS (PALACIO DE JUSTICIA - ARMENIA)
1 SERVICIO DE RONDERO</t>
    </r>
  </si>
  <si>
    <r>
      <t xml:space="preserve">SERVICIO DE VIGILANCIA Y SEGURIDAD FISICA CON MEDIO HUMANO, </t>
    </r>
    <r>
      <rPr>
        <b/>
        <u/>
        <sz val="11"/>
        <rFont val="Arial Narrow"/>
        <family val="2"/>
      </rPr>
      <t>CON ARMA</t>
    </r>
    <r>
      <rPr>
        <sz val="11"/>
        <rFont val="Arial Narrow"/>
        <family val="2"/>
      </rPr>
      <t xml:space="preserve">, SIN CANINO, CON MEDIO DE COMUNICACIÓN IDONEO 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>MES/24 HORAS DE DOMINGO A DOMINGO (EDIFICIO GOMEZ)
1 SERVICIO PARA PUERTA PRINCIPAL</t>
    </r>
  </si>
  <si>
    <r>
      <t>SERVICIO DE VIGILANCIA Y SEGURIDAD FISICA CON MEDIO HUMANO,</t>
    </r>
    <r>
      <rPr>
        <b/>
        <u/>
        <sz val="11"/>
        <rFont val="Arial Narrow"/>
        <family val="2"/>
      </rPr>
      <t xml:space="preserve"> CON ARMA</t>
    </r>
    <r>
      <rPr>
        <sz val="11"/>
        <rFont val="Arial Narrow"/>
        <family val="2"/>
      </rPr>
      <t>, SIN CANINO, CON MEDIO DE COMUNICACIÓN IDONEO  (RADIO DE COMUNICACIONES, CELULAR Ó COMUNICACIÓN SATELITAL O TRUNKING DIGITAL), CON DETECTOR MANUAL DE METALES, JORNADA LABORAL</t>
    </r>
    <r>
      <rPr>
        <b/>
        <sz val="11"/>
        <rFont val="Arial Narrow"/>
        <family val="2"/>
      </rPr>
      <t xml:space="preserve"> MES/12 HORAS DIURNAS DE LUNES A VIERNES SIN FESTIVOS (EDIFICIO GOMEZ-BIOMETRICO). 
1 SERVICIO PARA EL BIOMETRICO 
</t>
    </r>
    <r>
      <rPr>
        <sz val="11"/>
        <rFont val="Arial Narrow"/>
        <family val="2"/>
      </rPr>
      <t xml:space="preserve">ESTE SERVICIO NO SE CONTRATA DURANTE LAS SIGUIENTES FECHAS: </t>
    </r>
    <r>
      <rPr>
        <b/>
        <sz val="11"/>
        <rFont val="Arial Narrow"/>
        <family val="2"/>
      </rPr>
      <t xml:space="preserve">
</t>
    </r>
    <r>
      <rPr>
        <b/>
        <u/>
        <sz val="11"/>
        <color rgb="FF0070C0"/>
        <rFont val="Arial Narrow"/>
        <family val="2"/>
      </rPr>
      <t>VIGENCIA 2023</t>
    </r>
    <r>
      <rPr>
        <b/>
        <sz val="11"/>
        <color rgb="FF0070C0"/>
        <rFont val="Arial Narrow"/>
        <family val="2"/>
      </rPr>
      <t>:</t>
    </r>
    <r>
      <rPr>
        <sz val="11"/>
        <color rgb="FF0070C0"/>
        <rFont val="Arial Narrow"/>
        <family val="2"/>
      </rPr>
      <t xml:space="preserve"> DEL 20 DE DICIEMBRE DE 2023 Y HASTA EL DÍA 31 DE  DICIEMBRE DE 2023 (VACANCIA JUDICIAL)</t>
    </r>
    <r>
      <rPr>
        <b/>
        <sz val="11"/>
        <rFont val="Arial Narrow"/>
        <family val="2"/>
      </rPr>
      <t xml:space="preserve">
</t>
    </r>
    <r>
      <rPr>
        <b/>
        <u/>
        <sz val="11"/>
        <rFont val="Arial Narrow"/>
        <family val="2"/>
      </rPr>
      <t/>
    </r>
  </si>
  <si>
    <r>
      <t xml:space="preserve">SERVICIO DE VIGILANCIA Y SEGURIDAD FISICA CON MEDIO HUMANO, </t>
    </r>
    <r>
      <rPr>
        <b/>
        <u/>
        <sz val="11"/>
        <rFont val="Arial Narrow"/>
        <family val="2"/>
      </rPr>
      <t>CON ARMA</t>
    </r>
    <r>
      <rPr>
        <sz val="11"/>
        <rFont val="Arial Narrow"/>
        <family val="2"/>
      </rPr>
      <t xml:space="preserve">, SIN CANINO, CON MEDIO DE COMUNICACIÓN IDONEO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 xml:space="preserve">MES/12 HORAS DIURNAS DE LUNES A VIERNES SIN FESTIVOS (EDIFICIO CERVANTES)
1 SERVICIO PARA PUERTA PRINCIPAL
</t>
    </r>
    <r>
      <rPr>
        <sz val="11"/>
        <rFont val="Arial Narrow"/>
        <family val="2"/>
      </rPr>
      <t>ESTE SERVICIO NO SE CONTRATA DURANTE LAS SIGUIENTES FECHAS:</t>
    </r>
    <r>
      <rPr>
        <b/>
        <sz val="11"/>
        <rFont val="Arial Narrow"/>
        <family val="2"/>
      </rPr>
      <t xml:space="preserve">
</t>
    </r>
    <r>
      <rPr>
        <b/>
        <u/>
        <sz val="11"/>
        <color rgb="FF0070C0"/>
        <rFont val="Arial Narrow"/>
        <family val="2"/>
      </rPr>
      <t>VIGENCIA 2023</t>
    </r>
    <r>
      <rPr>
        <sz val="11"/>
        <color rgb="FF0070C0"/>
        <rFont val="Arial Narrow"/>
        <family val="2"/>
      </rPr>
      <t>: DEL 20 DE DICIEMBRE DE 2023 Y HASTA EL 31 DE DICIEMBRE DE 2023 (VACANCIA JUDICIAL)</t>
    </r>
    <r>
      <rPr>
        <b/>
        <sz val="11"/>
        <rFont val="Arial Narrow"/>
        <family val="2"/>
      </rPr>
      <t xml:space="preserve">
</t>
    </r>
    <r>
      <rPr>
        <b/>
        <sz val="11"/>
        <rFont val="Arial Narrow"/>
        <family val="2"/>
      </rPr>
      <t xml:space="preserve">
</t>
    </r>
  </si>
  <si>
    <r>
      <t xml:space="preserve">SERVICIO DE VIGILANCIA Y SEGURIDAD FISICA CON MEDIO HUMANO, </t>
    </r>
    <r>
      <rPr>
        <b/>
        <u/>
        <sz val="11"/>
        <rFont val="Arial Narrow"/>
        <family val="2"/>
      </rPr>
      <t>CON ARMA</t>
    </r>
    <r>
      <rPr>
        <sz val="11"/>
        <rFont val="Arial Narrow"/>
        <family val="2"/>
      </rPr>
      <t xml:space="preserve">, SIN CANINO, CON MEDIO DE COMUNICACIÓN IDONEO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>MES/24 HORAS DE DOMINGO A DOMINGO (PALACIO DE JUSTICIA CALARCA) 
1 SERVICIO PARA PUERTA PRINCIPAL</t>
    </r>
  </si>
  <si>
    <r>
      <t xml:space="preserve">SERVICIO DE VIGILANCIA Y SEGURIDAD FISICA CON MEDIO HUMANO, </t>
    </r>
    <r>
      <rPr>
        <b/>
        <u/>
        <sz val="11"/>
        <rFont val="Arial Narrow"/>
        <family val="2"/>
      </rPr>
      <t>SIN ARMA</t>
    </r>
    <r>
      <rPr>
        <sz val="11"/>
        <rFont val="Arial Narrow"/>
        <family val="2"/>
      </rPr>
      <t xml:space="preserve">, SIN CANINO, CON MEDIO DE COMUNICACIÓN IDONEO 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>MES/24 HORAS DE DOMINGO A DOMINGO (PALACIO DE JUSTICIA CALARCA) 
1 SERVICIO PARA CUARTO DE MONITOREO</t>
    </r>
  </si>
  <si>
    <t>TOTAL SERVICIO DE VIGILANCIA</t>
  </si>
  <si>
    <t xml:space="preserve">CONSEJO SUPERIOR DE LA JUDICATURA
DIRECCION SECCIONAL DE ADMINISTRACION JUDICIAL DE ARMENIA QUINDÍO
FORMATO DE COTIZACION SERVICIO DE VIGILANCIA 2024 INCREMENTO 3% CON BASE CIRCULAR EXTERNA No.20221300000675 29/12/2022
</t>
  </si>
  <si>
    <t xml:space="preserve">SEGÚN CIRCULAR DEAJC23-7  
INCREMENTO  2024
 3% </t>
  </si>
  <si>
    <t xml:space="preserve">COSTO SERVICIO UNITARIO
INCLUIDO INCREMENTO  </t>
  </si>
  <si>
    <t xml:space="preserve">ENERO 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</si>
  <si>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</si>
  <si>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</si>
  <si>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</si>
  <si>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</si>
  <si>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</si>
  <si>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</si>
  <si>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</si>
  <si>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</si>
  <si>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</si>
  <si>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r>
      <t>SERVICIO DE VIGILANCIA Y SEGURIDAD FISICA CON MEDIO HUMANO,</t>
    </r>
    <r>
      <rPr>
        <b/>
        <u/>
        <sz val="11"/>
        <rFont val="Arial Narrow"/>
        <family val="2"/>
      </rPr>
      <t xml:space="preserve"> CON ARMA</t>
    </r>
    <r>
      <rPr>
        <sz val="11"/>
        <rFont val="Arial Narrow"/>
        <family val="2"/>
      </rPr>
      <t xml:space="preserve">, SIN CANINO, CON MEDIO DE COMUNICACIÓN IDONEO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 xml:space="preserve">MES/24 HORAS DE DOMINGO A DOMINGO (PALACIO DE JUSTICIA - ARMENIA)
1 SERVICIO PARA PUERTA PRINCIPAL
1 SERVICIO PARA SOTANO UNO (1) 
</t>
    </r>
  </si>
  <si>
    <r>
      <t xml:space="preserve">SERVICIO DE VIGILANCIA Y SEGURIDAD FISICA CON MEDIO HUMANO, </t>
    </r>
    <r>
      <rPr>
        <b/>
        <sz val="11"/>
        <rFont val="Arial Narrow"/>
        <family val="2"/>
      </rPr>
      <t>CON ARMA</t>
    </r>
    <r>
      <rPr>
        <sz val="11"/>
        <rFont val="Arial Narrow"/>
        <family val="2"/>
      </rPr>
      <t xml:space="preserve">, SIN CANINO, CON MEDIO DE COMUNICACIÓN IDONEO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>MES/12 HORAS DIURNAS DE LUNES A VIERNES SIN FESTIVOS (PALACIO DE JUSTICIA - ARMENIA</t>
    </r>
    <r>
      <rPr>
        <sz val="11"/>
        <rFont val="Arial Narrow"/>
        <family val="2"/>
      </rPr>
      <t xml:space="preserve">) 
</t>
    </r>
    <r>
      <rPr>
        <b/>
        <sz val="11"/>
        <rFont val="Arial Narrow"/>
        <family val="2"/>
      </rPr>
      <t>1 SERVICIO PARA EL SÓTANO 2</t>
    </r>
  </si>
  <si>
    <r>
      <t>SERVICIO DE VIGILANCIA Y SEGURIDAD FISICA CON MEDIO HUMANO,</t>
    </r>
    <r>
      <rPr>
        <b/>
        <u/>
        <sz val="11"/>
        <rFont val="Arial Narrow"/>
        <family val="2"/>
      </rPr>
      <t xml:space="preserve"> SIN ARMA,</t>
    </r>
    <r>
      <rPr>
        <sz val="11"/>
        <rFont val="Arial Narrow"/>
        <family val="2"/>
      </rPr>
      <t xml:space="preserve"> SIN CANINO, CON MEDIO DE COMUNICACIÓN IDONEO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>MES/24 HORAS DE DOMINGO A DOMINGO (PALACIO DE JUSTICIA - ARMENIA)
1 SERVICIO PARA CUARTO DE MONITOREO</t>
    </r>
  </si>
  <si>
    <r>
      <t xml:space="preserve">SERVICIO DE VIGILANCIA Y SEGURIDAD FISICA CON MEDIO HUMANO, </t>
    </r>
    <r>
      <rPr>
        <b/>
        <u/>
        <sz val="11"/>
        <rFont val="Arial Narrow"/>
        <family val="2"/>
      </rPr>
      <t>CON ARMA</t>
    </r>
    <r>
      <rPr>
        <sz val="11"/>
        <rFont val="Arial Narrow"/>
        <family val="2"/>
      </rPr>
      <t xml:space="preserve">, SIN CANINO, CON MEDIO DE COMUNICACIÓN IDONEO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>MES/12 HORAS DIURNAS DE LUNES A VIERNES SIN FESTIVOS (PALACIO DE JUSTICIA - ARMENIA) 
1 SERVICIO PARA EL BIOMETRICO</t>
    </r>
  </si>
  <si>
    <r>
      <t>SERVICIO DE VIGILANCIA Y SEGURIDAD FISICA CON MEDIO HUMANO,</t>
    </r>
    <r>
      <rPr>
        <b/>
        <u/>
        <sz val="11"/>
        <rFont val="Arial Narrow"/>
        <family val="2"/>
      </rPr>
      <t xml:space="preserve"> CON ARMA</t>
    </r>
    <r>
      <rPr>
        <sz val="11"/>
        <rFont val="Arial Narrow"/>
        <family val="2"/>
      </rPr>
      <t xml:space="preserve">, SIN CANINO, CON MEDIO DE COMUNICACIÓN IDONEO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>MES/12 HORAS DIURNAS DE LUNES A VIERNES SIN FESTIVOS (PALACIO DE JUSTICIA CALARCA) RONDERO
1 SERVICIO DE RONDERO</t>
    </r>
  </si>
  <si>
    <t>MEDIOS TECNOLOGICOS</t>
  </si>
  <si>
    <t>C.C Nº 42.136.429 de Pereira</t>
  </si>
  <si>
    <t xml:space="preserve">REPRESENTANTE LEGAL </t>
  </si>
  <si>
    <t>UNIÓN TEMPORAL RAMA E&amp;C 2023</t>
  </si>
  <si>
    <t>2023
NOVIEMBRE</t>
  </si>
  <si>
    <t xml:space="preserve">2023
SUBTOTAL         </t>
  </si>
  <si>
    <r>
      <t>SERVICIO DE VIGILANCIA Y SEGURIDAD FISICA CON MEDIO HUMANO,</t>
    </r>
    <r>
      <rPr>
        <b/>
        <u/>
        <sz val="11"/>
        <rFont val="Arial Narrow"/>
        <family val="2"/>
      </rPr>
      <t xml:space="preserve"> CON ARMA</t>
    </r>
    <r>
      <rPr>
        <sz val="11"/>
        <rFont val="Arial Narrow"/>
        <family val="2"/>
      </rPr>
      <t xml:space="preserve">, SIN CANINO, CON MEDIO DE COMUNICACIÓN IDONEO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>MES/24 HORAS DE DOMINGO A DOMINGO (PALACIO DE JUSTICIA - ARMENIA)
1 SERVICIO PARA PUERTA PRINCIPAL
1 SERVICIO PARA SOTANO UNO (1) 
1 SERVICIO PARA SOTANO DOS (2)</t>
    </r>
  </si>
  <si>
    <r>
      <t>SERVICIO DE VIGILANCIA Y SEGURIDAD FISICA CON MEDIO HUMANO,</t>
    </r>
    <r>
      <rPr>
        <b/>
        <u/>
        <sz val="11"/>
        <rFont val="Arial Narrow"/>
        <family val="2"/>
      </rPr>
      <t xml:space="preserve"> CON ARMA</t>
    </r>
    <r>
      <rPr>
        <sz val="11"/>
        <rFont val="Arial Narrow"/>
        <family val="2"/>
      </rPr>
      <t xml:space="preserve">, SIN CANINO, CON MEDIO DE COMUNICACIÓN IDONEO 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 xml:space="preserve">MES/12 HORAS DIURNAS DE LUNES A VIERNES SIN FESTIVOS
1 SERVICIO PARA LA TEBAIDA
1 SERVICIO PARA MONTENEGRO
1 SERVICIO PARA QUIMBAYA
1 SERVICIO PARA CIRCASIA
1 SERVICIO PARA FILANDIA
1 SERVICIO PARA SALENTO
</t>
    </r>
    <r>
      <rPr>
        <sz val="11"/>
        <rFont val="Arial Narrow"/>
        <family val="2"/>
      </rPr>
      <t xml:space="preserve">ESTE SERVICIO NO SE CONTRATA DURANTE LAS SIGUIENTES FECHAS: </t>
    </r>
    <r>
      <rPr>
        <b/>
        <sz val="11"/>
        <rFont val="Arial Narrow"/>
        <family val="2"/>
      </rPr>
      <t xml:space="preserve">
</t>
    </r>
    <r>
      <rPr>
        <b/>
        <u/>
        <sz val="11"/>
        <color rgb="FF0070C0"/>
        <rFont val="Arial Narrow"/>
        <family val="2"/>
      </rPr>
      <t>VIGENCIA 2023</t>
    </r>
    <r>
      <rPr>
        <b/>
        <sz val="11"/>
        <color rgb="FF0070C0"/>
        <rFont val="Arial Narrow"/>
        <family val="2"/>
      </rPr>
      <t xml:space="preserve">: </t>
    </r>
    <r>
      <rPr>
        <sz val="11"/>
        <color rgb="FF0070C0"/>
        <rFont val="Arial Narrow"/>
        <family val="2"/>
      </rPr>
      <t>DEL 20 DE DICIEMBRE DE 2023 Y HASTA EL DÍA 31 DE DICIEMBRE DE 2023 (VACANCIA JUDICIAL)</t>
    </r>
    <r>
      <rPr>
        <b/>
        <sz val="11"/>
        <rFont val="Arial Narrow"/>
        <family val="2"/>
      </rPr>
      <t xml:space="preserve">
</t>
    </r>
    <r>
      <rPr>
        <b/>
        <sz val="11"/>
        <rFont val="Arial Narrow"/>
        <family val="2"/>
      </rPr>
      <t xml:space="preserve">
</t>
    </r>
  </si>
  <si>
    <t>NOVIEMBRE</t>
  </si>
  <si>
    <t xml:space="preserve">
DICIEMBRE</t>
  </si>
  <si>
    <t xml:space="preserve">
SUBTOTAL         </t>
  </si>
  <si>
    <r>
      <t>SERVICIO DE VIGILANCIA Y SEGURIDAD FISICA CON MEDIO HUMANO,</t>
    </r>
    <r>
      <rPr>
        <b/>
        <u/>
        <sz val="11"/>
        <rFont val="Arial Narrow"/>
        <family val="2"/>
      </rPr>
      <t xml:space="preserve"> CON ARMA</t>
    </r>
    <r>
      <rPr>
        <sz val="11"/>
        <rFont val="Arial Narrow"/>
        <family val="2"/>
      </rPr>
      <t>, SIN CANINO, CON MEDIO DE COMUNICACIÓN IDONEO  (RADIO DE COMUNICACIONES, CELULAR Ó COMUNICACIÓN SATELITAL O TRUNKING DIGITAL), CON DETECTOR MANUAL DE METALES, JORNADA LABORAL</t>
    </r>
    <r>
      <rPr>
        <b/>
        <sz val="11"/>
        <rFont val="Arial Narrow"/>
        <family val="2"/>
      </rPr>
      <t xml:space="preserve"> MES/12 HORAS DIURNAS DE LUNES A VIERNES SIN FESTIVOS (EDIFICIO GOMEZ-BIOMETRICO). 
1 SERVICIO PARA EL BIOMETRICO 
</t>
    </r>
    <r>
      <rPr>
        <sz val="11"/>
        <rFont val="Arial Narrow"/>
        <family val="2"/>
      </rPr>
      <t xml:space="preserve">ESTE SERVICIO NO SE CONTRATA DURANTE LAS SIGUIENTES FECHAS: </t>
    </r>
    <r>
      <rPr>
        <b/>
        <sz val="11"/>
        <rFont val="Arial Narrow"/>
        <family val="2"/>
      </rPr>
      <t xml:space="preserve">
</t>
    </r>
    <r>
      <rPr>
        <b/>
        <u/>
        <sz val="11"/>
        <rFont val="Arial Narrow"/>
        <family val="2"/>
      </rPr>
      <t>VIGENCIA 2024:</t>
    </r>
    <r>
      <rPr>
        <b/>
        <sz val="11"/>
        <rFont val="Arial Narrow"/>
        <family val="2"/>
      </rPr>
      <t xml:space="preserve">  </t>
    </r>
    <r>
      <rPr>
        <sz val="11"/>
        <rFont val="Arial Narrow"/>
        <family val="2"/>
      </rPr>
      <t>DEL 01 DE ENERO AL 10 DE</t>
    </r>
    <r>
      <rPr>
        <b/>
        <sz val="11"/>
        <rFont val="Arial Narrow"/>
        <family val="2"/>
      </rPr>
      <t xml:space="preserve"> ENERO</t>
    </r>
    <r>
      <rPr>
        <sz val="11"/>
        <rFont val="Arial Narrow"/>
        <family val="2"/>
      </rPr>
      <t xml:space="preserve"> DE 2024  (VACANCIA JUDICIAL)</t>
    </r>
    <r>
      <rPr>
        <b/>
        <sz val="11"/>
        <rFont val="Arial Narrow"/>
        <family val="2"/>
      </rPr>
      <t xml:space="preserve">
</t>
    </r>
    <r>
      <rPr>
        <sz val="11"/>
        <rFont val="Arial Narrow"/>
        <family val="2"/>
      </rPr>
      <t xml:space="preserve">DEL 25 AL 29 DE </t>
    </r>
    <r>
      <rPr>
        <b/>
        <sz val="11"/>
        <rFont val="Arial Narrow"/>
        <family val="2"/>
      </rPr>
      <t>MARZO</t>
    </r>
    <r>
      <rPr>
        <sz val="11"/>
        <rFont val="Arial Narrow"/>
        <family val="2"/>
      </rPr>
      <t xml:space="preserve"> DE 2024 (SEMANA SANTA).
DEL 20 AL 31 DE </t>
    </r>
    <r>
      <rPr>
        <b/>
        <sz val="11"/>
        <rFont val="Arial Narrow"/>
        <family val="2"/>
      </rPr>
      <t>DICIEMBRE</t>
    </r>
    <r>
      <rPr>
        <sz val="11"/>
        <rFont val="Arial Narrow"/>
        <family val="2"/>
      </rPr>
      <t xml:space="preserve"> DE 2024</t>
    </r>
  </si>
  <si>
    <r>
      <t xml:space="preserve">SERVICIO DE VIGILANCIA Y SEGURIDAD FISICA CON MEDIO HUMANO, </t>
    </r>
    <r>
      <rPr>
        <b/>
        <u/>
        <sz val="11"/>
        <rFont val="Arial Narrow"/>
        <family val="2"/>
      </rPr>
      <t>CON ARMA</t>
    </r>
    <r>
      <rPr>
        <sz val="11"/>
        <rFont val="Arial Narrow"/>
        <family val="2"/>
      </rPr>
      <t xml:space="preserve">, SIN CANINO, CON MEDIO DE COMUNICACIÓN IDONEO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 xml:space="preserve">MES/12 HORAS DIURNAS DE LUNES A VIERNES SIN FESTIVOS (EDIFICIO CERVANTES)
1 SERVICIO PARA PUERTA PRINCIPAL
</t>
    </r>
    <r>
      <rPr>
        <sz val="11"/>
        <rFont val="Arial Narrow"/>
        <family val="2"/>
      </rPr>
      <t>ESTE SERVICIO NO SE CONTRATA DURANTE LAS SIGUIENTES FECHAS:</t>
    </r>
    <r>
      <rPr>
        <b/>
        <sz val="11"/>
        <rFont val="Arial Narrow"/>
        <family val="2"/>
      </rPr>
      <t xml:space="preserve">
</t>
    </r>
    <r>
      <rPr>
        <b/>
        <u/>
        <sz val="11"/>
        <rFont val="Arial Narrow"/>
        <family val="2"/>
      </rPr>
      <t>VIGENCIA 2024:</t>
    </r>
    <r>
      <rPr>
        <b/>
        <sz val="11"/>
        <rFont val="Arial Narrow"/>
        <family val="2"/>
      </rPr>
      <t xml:space="preserve"> </t>
    </r>
    <r>
      <rPr>
        <sz val="11"/>
        <rFont val="Arial Narrow"/>
        <family val="2"/>
      </rPr>
      <t xml:space="preserve"> DEL 01 DE ENERO AL 10 DE ENERO DE 2024  (VACANCIA JUDICIAL) Y
DEL 25 AL 29 DE MARZO DE 2024 (SEMANA SANTA).
DEL 20 AL 31 DE </t>
    </r>
    <r>
      <rPr>
        <b/>
        <sz val="11"/>
        <rFont val="Arial Narrow"/>
        <family val="2"/>
      </rPr>
      <t>DICIEMBRE</t>
    </r>
    <r>
      <rPr>
        <sz val="11"/>
        <rFont val="Arial Narrow"/>
        <family val="2"/>
      </rPr>
      <t xml:space="preserve"> DE 2024</t>
    </r>
    <r>
      <rPr>
        <b/>
        <sz val="11"/>
        <rFont val="Arial Narrow"/>
        <family val="2"/>
      </rPr>
      <t xml:space="preserve">
</t>
    </r>
  </si>
  <si>
    <r>
      <t>SERVICIO DE VIGILANCIA Y SEGURIDAD FISICA CON MEDIO HUMANO,</t>
    </r>
    <r>
      <rPr>
        <b/>
        <u/>
        <sz val="11"/>
        <rFont val="Arial Narrow"/>
        <family val="2"/>
      </rPr>
      <t xml:space="preserve"> CON ARMA</t>
    </r>
    <r>
      <rPr>
        <sz val="11"/>
        <rFont val="Arial Narrow"/>
        <family val="2"/>
      </rPr>
      <t xml:space="preserve">, SIN CANINO, CON MEDIO DE COMUNICACIÓN IDONEO 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 xml:space="preserve">MES/12 HORAS DIURNAS DE LUNES A VIERNES SIN FESTIVOS
1 SERVICIO PARA LA TEBAIDA
1 SERVICIO PARA MONTENEGRO
1 SERVICIO PARA QUIMBAYA
1 SERVICIO PARA CIRCASIA
1 SERVICIO PARA FILANDIA
1 SERVICIO PARA SALENTO
</t>
    </r>
    <r>
      <rPr>
        <sz val="11"/>
        <rFont val="Arial Narrow"/>
        <family val="2"/>
      </rPr>
      <t xml:space="preserve">ESTE SERVICIO NO SE CONTRATA DURANTE LAS SIGUIENTES FECHAS: </t>
    </r>
    <r>
      <rPr>
        <b/>
        <sz val="11"/>
        <rFont val="Arial Narrow"/>
        <family val="2"/>
      </rPr>
      <t xml:space="preserve">
</t>
    </r>
    <r>
      <rPr>
        <b/>
        <u/>
        <sz val="11"/>
        <rFont val="Arial Narrow"/>
        <family val="2"/>
      </rPr>
      <t xml:space="preserve">VIGENCIA 2024: </t>
    </r>
    <r>
      <rPr>
        <sz val="11"/>
        <rFont val="Arial Narrow"/>
        <family val="2"/>
      </rPr>
      <t xml:space="preserve"> DEL 01 DE ENERO AL 10 DE ENERO DE 2024  (VACANCIA JUDICIAL) Y
DEL 25 AL 29 DE MARZO DE 2024 (SEMANA SANTA).
DEL 20 AL 31 DE </t>
    </r>
    <r>
      <rPr>
        <b/>
        <sz val="11"/>
        <rFont val="Arial Narrow"/>
        <family val="2"/>
      </rPr>
      <t>DICIEMBRE</t>
    </r>
    <r>
      <rPr>
        <sz val="11"/>
        <rFont val="Arial Narrow"/>
        <family val="2"/>
      </rPr>
      <t xml:space="preserve"> DE 2024</t>
    </r>
    <r>
      <rPr>
        <b/>
        <sz val="11"/>
        <rFont val="Arial Narrow"/>
        <family val="2"/>
      </rPr>
      <t xml:space="preserve">
</t>
    </r>
  </si>
  <si>
    <r>
      <t xml:space="preserve">SERVICIO DE VIGILANCIA Y SEGURIDAD FISICA CON MEDIO HUMANO, CON ARMA, SIN CANINO, CON MEDIO DE COMUNICACIÓN IDONEO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>MES/24 HORAS DE DOMINGO A DOMINGO (UNIDAD DE INFANCA Y ADOLESCENCIA - ARMENIA)</t>
    </r>
  </si>
  <si>
    <t xml:space="preserve">VR contrato expresado en SMMLV </t>
  </si>
  <si>
    <t>VR del 50% del contrato en SMMLV</t>
  </si>
  <si>
    <t xml:space="preserve">VALOR CONTRATO en pesos </t>
  </si>
  <si>
    <t>Valor SMMLV 2024</t>
  </si>
  <si>
    <t xml:space="preserve">VR Adición UIA en pesos </t>
  </si>
  <si>
    <t xml:space="preserve">VR Adición UIA en SMMLV </t>
  </si>
  <si>
    <t>en SMMLV 2024</t>
  </si>
  <si>
    <t>VR reajuste 2024 en pesos</t>
  </si>
  <si>
    <t>VR reajuste 2024 en SMMLV</t>
  </si>
  <si>
    <t>VR del 50% del contrato en pesos</t>
  </si>
  <si>
    <t>SMMV 2024
$1.300.000
TARIFA 
9,14</t>
  </si>
  <si>
    <t xml:space="preserve">COSTO SERVICIO UNITARIO CIRCULAR CIRCULAR  
EXTERNA  Nº    20231300001105 </t>
  </si>
  <si>
    <t xml:space="preserve">CONSEJO SUPERIOR DE LA JUDICATURA
DIRECCION SECCIONAL DE ADMINISTRACION JUDICIAL DE ARMENIA QUINDÍO
MODIFICATORIO No.3 SERVICIO DE VIGILANCIA CON SMMLV 2024 Y CIRCULAR EXTERNA No.20231300001105 
</t>
  </si>
  <si>
    <r>
      <t>SERVICIO DE VIGILANCIA Y SEGURIDAD FISICA CON MEDIO HUMANO,</t>
    </r>
    <r>
      <rPr>
        <b/>
        <u/>
        <sz val="11"/>
        <rFont val="Arial Narrow"/>
        <family val="2"/>
      </rPr>
      <t xml:space="preserve"> CON ARMA</t>
    </r>
    <r>
      <rPr>
        <sz val="11"/>
        <rFont val="Arial Narrow"/>
        <family val="2"/>
      </rPr>
      <t>, SIN CANINO, CON MEDIO DE COMUNICACIÓN IDONEO  (RADIO DE COMUNICACIONES, CELULAR Ó COMUNICACIÓN SATELITAL O TRUNKING DIGITAL), CON DETECTOR MANUAL DE METALES, JORNADA LABORAL</t>
    </r>
    <r>
      <rPr>
        <b/>
        <sz val="11"/>
        <rFont val="Arial Narrow"/>
        <family val="2"/>
      </rPr>
      <t xml:space="preserve"> MES/12 HORAS DIURNAS DE LUNES A VIERNES SIN FESTIVOS (EDIFICIO GOMEZ-BIOMETRICO). 
1 SERVICIO PARA EL BIOMETRICO 
</t>
    </r>
    <r>
      <rPr>
        <sz val="11"/>
        <rFont val="Arial Narrow"/>
        <family val="2"/>
      </rPr>
      <t xml:space="preserve">ESTE SERVICIO NO SE CONTRATA DURANTE LAS SIGUIENTES FECHAS: </t>
    </r>
    <r>
      <rPr>
        <b/>
        <sz val="11"/>
        <rFont val="Arial Narrow"/>
        <family val="2"/>
      </rPr>
      <t xml:space="preserve">
</t>
    </r>
    <r>
      <rPr>
        <b/>
        <u/>
        <sz val="11"/>
        <color rgb="FF00B0F0"/>
        <rFont val="Arial Narrow"/>
        <family val="2"/>
      </rPr>
      <t>2024:</t>
    </r>
    <r>
      <rPr>
        <b/>
        <sz val="11"/>
        <color rgb="FF00B0F0"/>
        <rFont val="Arial Narrow"/>
        <family val="2"/>
      </rPr>
      <t xml:space="preserve">  DEL 20 DE DICIEMBRE AL 30 DE DICIEMBRE DE 2024  (VACANCIA JUDICIAL) </t>
    </r>
  </si>
  <si>
    <r>
      <t xml:space="preserve">SERVICIO DE VIGILANCIA Y SEGURIDAD FISICA CON MEDIO HUMANO, </t>
    </r>
    <r>
      <rPr>
        <b/>
        <u/>
        <sz val="11"/>
        <rFont val="Arial Narrow"/>
        <family val="2"/>
      </rPr>
      <t>CON ARMA</t>
    </r>
    <r>
      <rPr>
        <sz val="11"/>
        <rFont val="Arial Narrow"/>
        <family val="2"/>
      </rPr>
      <t xml:space="preserve">, SIN CANINO, CON MEDIO DE COMUNICACIÓN IDONEO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 xml:space="preserve">MES/12 HORAS DIURNAS DE LUNES A VIERNES SIN FESTIVOS (EDIFICIO CERVANTES)
1 SERVICIO PARA PUERTA PRINCIPAL
</t>
    </r>
    <r>
      <rPr>
        <sz val="11"/>
        <rFont val="Arial Narrow"/>
        <family val="2"/>
      </rPr>
      <t>ESTE SERVICIO NO SE CONTRATA DURANTE LAS SIGUIENTES FECHAS:</t>
    </r>
    <r>
      <rPr>
        <b/>
        <sz val="11"/>
        <rFont val="Arial Narrow"/>
        <family val="2"/>
      </rPr>
      <t xml:space="preserve">
</t>
    </r>
    <r>
      <rPr>
        <b/>
        <sz val="11"/>
        <color rgb="FF00B0F0"/>
        <rFont val="Arial Narrow"/>
        <family val="2"/>
      </rPr>
      <t xml:space="preserve">2024:  DEL 20 DE DICIEMBRE AL 30 DE DICIEMBRE DE 2024  (VACANCIA JUDICIAL) </t>
    </r>
    <r>
      <rPr>
        <b/>
        <sz val="11"/>
        <rFont val="Arial Narrow"/>
        <family val="2"/>
      </rPr>
      <t xml:space="preserve">
</t>
    </r>
  </si>
  <si>
    <r>
      <t>SERVICIO DE VIGILANCIA Y SEGURIDAD FISICA CON MEDIO HUMANO,</t>
    </r>
    <r>
      <rPr>
        <b/>
        <u/>
        <sz val="11"/>
        <rFont val="Arial Narrow"/>
        <family val="2"/>
      </rPr>
      <t xml:space="preserve"> CON ARMA</t>
    </r>
    <r>
      <rPr>
        <sz val="11"/>
        <rFont val="Arial Narrow"/>
        <family val="2"/>
      </rPr>
      <t xml:space="preserve">, SIN CANINO, CON MEDIO DE COMUNICACIÓN IDONEO 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 xml:space="preserve">MES/12 HORAS DIURNAS DE LUNES A VIERNES SIN FESTIVOS
1 SERVICIO PARA LA TEBAIDA
1 SERVICIO PARA MONTENEGRO
1 SERVICIO PARA QUIMBAYA
1 SERVICIO PARA CIRCASIA
</t>
    </r>
    <r>
      <rPr>
        <sz val="11"/>
        <rFont val="Arial Narrow"/>
        <family val="2"/>
      </rPr>
      <t xml:space="preserve">ESTE SERVICIO NO SE CONTRATA DURANTE LA SIGUIENTE FECHA: </t>
    </r>
    <r>
      <rPr>
        <b/>
        <sz val="11"/>
        <rFont val="Arial Narrow"/>
        <family val="2"/>
      </rPr>
      <t xml:space="preserve">
</t>
    </r>
    <r>
      <rPr>
        <b/>
        <sz val="11"/>
        <color rgb="FF00B0F0"/>
        <rFont val="Arial Narrow"/>
        <family val="2"/>
      </rPr>
      <t xml:space="preserve">2024:  DEL 20 DE DICIEMBRE AL 30 DE DICIEMBRE DE 2024  (VACANCIA JUDICIAL) </t>
    </r>
  </si>
  <si>
    <t>ENERO</t>
  </si>
  <si>
    <t>Adición del 18/11/2024 al 31/12/2024</t>
  </si>
  <si>
    <t>TOTAL 2025</t>
  </si>
  <si>
    <t xml:space="preserve">Expresado en pesos </t>
  </si>
  <si>
    <t>VR Adición del 18/11/2024 al 31/12/2024 en SMMLV</t>
  </si>
  <si>
    <t>Adición del 01/01/2025 al 31/01/2025 en SMMLV</t>
  </si>
  <si>
    <t>INCREMENTO SMMLV 2025</t>
  </si>
  <si>
    <t>Adición del 01/01/2025 al 28/02/2025</t>
  </si>
  <si>
    <t>SMMV 2025
TARIFA 
9,14</t>
  </si>
  <si>
    <t xml:space="preserve">CONSEJO SUPERIOR DE LA JUDICATURA
DIRECCION SECCIONAL DE ADMINISTRACION JUDICIAL DE ARMENIA QUINDÍO
MODIFICATORIO No.5 SERVICIO DE VIGILANCIA CON SMMLV 2024 Y CIRCULAR EXTERNA No.20231300001105 
VIGENCIA 2025
</t>
  </si>
  <si>
    <r>
      <t>SERVICIO DE VIGILANCIA Y SEGURIDAD FISICA CON MEDIO HUMANO,</t>
    </r>
    <r>
      <rPr>
        <b/>
        <u/>
        <sz val="11"/>
        <rFont val="Arial Narrow"/>
        <family val="2"/>
      </rPr>
      <t xml:space="preserve"> CON ARMA</t>
    </r>
    <r>
      <rPr>
        <sz val="11"/>
        <rFont val="Arial Narrow"/>
        <family val="2"/>
      </rPr>
      <t xml:space="preserve">, SIN CANINO, CON MEDIO DE COMUNICACIÓN IDONEO 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 xml:space="preserve">MES/12 HORAS DIURNAS DE LUNES A VIERNES SIN FESTIVOS
1 SERVICIO PARA LA TEBAIDA
1 SERVICIO PARA MONTENEGRO
1 SERVICIO PARA QUIMBAYA
1 SERVICIO PARA CIRCASIA
</t>
    </r>
    <r>
      <rPr>
        <b/>
        <sz val="11"/>
        <color rgb="FF00B0F0"/>
        <rFont val="Arial Narrow"/>
        <family val="2"/>
      </rPr>
      <t xml:space="preserve">
ESTE SERVICIO INICIA A PARTIR DEL 13 DE ENERO DE 2025 </t>
    </r>
    <r>
      <rPr>
        <b/>
        <sz val="11"/>
        <rFont val="Arial Narrow"/>
        <family val="2"/>
      </rPr>
      <t xml:space="preserve">
</t>
    </r>
  </si>
  <si>
    <r>
      <t>SERVICIO DE VIGILANCIA Y SEGURIDAD FISICA CON MEDIO HUMANO,</t>
    </r>
    <r>
      <rPr>
        <b/>
        <u/>
        <sz val="11"/>
        <rFont val="Arial Narrow"/>
        <family val="2"/>
      </rPr>
      <t xml:space="preserve"> CON ARMA</t>
    </r>
    <r>
      <rPr>
        <sz val="11"/>
        <rFont val="Arial Narrow"/>
        <family val="2"/>
      </rPr>
      <t>, SIN CANINO, CON MEDIO DE COMUNICACIÓN IDONEO  (RADIO DE COMUNICACIONES, CELULAR Ó COMUNICACIÓN SATELITAL O TRUNKING DIGITAL), CON DETECTOR MANUAL DE METALES, JORNADA LABORAL</t>
    </r>
    <r>
      <rPr>
        <b/>
        <sz val="11"/>
        <rFont val="Arial Narrow"/>
        <family val="2"/>
      </rPr>
      <t xml:space="preserve"> MES/12 HORAS DIURNAS DE LUNES A VIERNES SIN FESTIVOS (EDIFICIO GOMEZ-BIOMETRICO). 
1 SERVICIO PARA EL BIOMETRICO 
</t>
    </r>
    <r>
      <rPr>
        <b/>
        <sz val="11"/>
        <color rgb="FF00B0F0"/>
        <rFont val="Arial Narrow"/>
        <family val="2"/>
      </rPr>
      <t>ESTE SERVICIO SE CONTRATA A PARTIR DEL 13 DE ENERO DE 2025</t>
    </r>
    <r>
      <rPr>
        <b/>
        <sz val="11"/>
        <rFont val="Arial Narrow"/>
        <family val="2"/>
      </rPr>
      <t xml:space="preserve"> 
</t>
    </r>
    <r>
      <rPr>
        <sz val="11"/>
        <rFont val="Arial Narrow"/>
        <family val="2"/>
      </rPr>
      <t/>
    </r>
  </si>
  <si>
    <r>
      <t xml:space="preserve">SERVICIO DE VIGILANCIA Y SEGURIDAD FISICA CON MEDIO HUMANO, </t>
    </r>
    <r>
      <rPr>
        <b/>
        <u/>
        <sz val="11"/>
        <rFont val="Arial Narrow"/>
        <family val="2"/>
      </rPr>
      <t>CON ARMA</t>
    </r>
    <r>
      <rPr>
        <sz val="11"/>
        <rFont val="Arial Narrow"/>
        <family val="2"/>
      </rPr>
      <t xml:space="preserve">, SIN CANINO, CON MEDIO DE COMUNICACIÓN IDONEO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 xml:space="preserve">MES/12 HORAS DIURNAS DE LUNES A VIERNES SIN FESTIVOS (EDIFICIO </t>
    </r>
    <r>
      <rPr>
        <b/>
        <sz val="11"/>
        <color rgb="FF00B0F0"/>
        <rFont val="Arial Narrow"/>
        <family val="2"/>
      </rPr>
      <t>SAN MARTIN</t>
    </r>
    <r>
      <rPr>
        <b/>
        <sz val="11"/>
        <rFont val="Arial Narrow"/>
        <family val="2"/>
      </rPr>
      <t xml:space="preserve">)
1 SERVICIO PARA PUERTA PRINCIPAL
</t>
    </r>
    <r>
      <rPr>
        <b/>
        <sz val="11"/>
        <color rgb="FF00B0F0"/>
        <rFont val="Arial Narrow"/>
        <family val="2"/>
      </rPr>
      <t xml:space="preserve">ESTE SERVICIO SE CONTRATA  A PARTIR DEL 13 DE ENERO DE 2025 </t>
    </r>
    <r>
      <rPr>
        <b/>
        <sz val="11"/>
        <rFont val="Arial Narrow"/>
        <family val="2"/>
      </rPr>
      <t xml:space="preserve">
</t>
    </r>
  </si>
  <si>
    <r>
      <t xml:space="preserve">SERVICIO DE VIGILANCIA Y SEGURIDAD FISICA CON MEDIO HUMANO, </t>
    </r>
    <r>
      <rPr>
        <b/>
        <u/>
        <sz val="11"/>
        <rFont val="Arial Narrow"/>
        <family val="2"/>
      </rPr>
      <t>CON ARMA</t>
    </r>
    <r>
      <rPr>
        <sz val="11"/>
        <rFont val="Arial Narrow"/>
        <family val="2"/>
      </rPr>
      <t xml:space="preserve">, SIN CANINO, CON MEDIO DE COMUNICACIÓN IDONEO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>MES/24 HORAS DE DOMINGO A DOMINGO (UNIDAD DE INFANCIA Y ADOLESCENCIA - ARMENIA)</t>
    </r>
  </si>
  <si>
    <r>
      <t xml:space="preserve">SERVICIO DE VIGILANCIA Y SEGURIDAD FISICA CON MEDIO HUMANO, </t>
    </r>
    <r>
      <rPr>
        <b/>
        <u/>
        <sz val="11"/>
        <rFont val="Arial Narrow"/>
        <family val="2"/>
      </rPr>
      <t>CON ARMA</t>
    </r>
    <r>
      <rPr>
        <sz val="11"/>
        <rFont val="Arial Narrow"/>
        <family val="2"/>
      </rPr>
      <t xml:space="preserve">, SIN CANINO, CON MEDIO DE COMUNICACIÓN IDONEO (RADIO DE COMUNICACIONES, CELULAR Ó COMUNICACIÓN SATELITAL O TRUNKING DIGITAL), CON DETECTOR MANUAL DE METALES, JORNADA LABORAL </t>
    </r>
    <r>
      <rPr>
        <b/>
        <sz val="11"/>
        <rFont val="Arial Narrow"/>
        <family val="2"/>
      </rPr>
      <t>MES/24 HORAS DE DOMINGO A DOMINGO</t>
    </r>
    <r>
      <rPr>
        <sz val="11"/>
        <rFont val="Arial Narrow"/>
        <family val="2"/>
      </rPr>
      <t xml:space="preserve"> (</t>
    </r>
    <r>
      <rPr>
        <b/>
        <sz val="11"/>
        <color rgb="FF00B0F0"/>
        <rFont val="Arial Narrow"/>
        <family val="2"/>
      </rPr>
      <t>SEDE SAN MARTIN</t>
    </r>
    <r>
      <rPr>
        <sz val="11"/>
        <rFont val="Arial Narrow"/>
        <family val="2"/>
      </rPr>
      <t xml:space="preserve">)
</t>
    </r>
    <r>
      <rPr>
        <b/>
        <sz val="11"/>
        <color rgb="FF00B0F0"/>
        <rFont val="Arial Narrow"/>
        <family val="2"/>
      </rPr>
      <t>ESTE SERVICIO SOLO SE CONTRATA DEL 01 DE ENERO 2025 AL 06 DE ENERO 2025</t>
    </r>
  </si>
  <si>
    <t>27-01-02-019</t>
  </si>
  <si>
    <t>27-01-08-019</t>
  </si>
  <si>
    <t>27-01-09-019</t>
  </si>
  <si>
    <t xml:space="preserve">VALOR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</si>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</sst>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u/>
      <sz val="11"/>
      <name val="Arial Narrow"/>
      <family val="2"/>
    </font>
    <font>
      <sz val="11"/>
      <color theme="1"/>
      <name val="Arial"/>
      <family val="2"/>
    </font>
    <font>
      <b/>
      <sz val="9"/>
      <color theme="1"/>
      <name val="Arial Narrow"/>
      <family val="2"/>
    </font>
    <font>
      <sz val="11"/>
      <color rgb="FF0070C0"/>
      <name val="Arial Narrow"/>
      <family val="2"/>
    </font>
    <font>
      <b/>
      <u/>
      <sz val="11"/>
      <color rgb="FF0070C0"/>
      <name val="Arial Narrow"/>
      <family val="2"/>
    </font>
    <font>
      <b/>
      <sz val="11"/>
      <color rgb="FF0070C0"/>
      <name val="Arial Narrow"/>
      <family val="2"/>
    </font>
    <font>
      <b/>
      <u/>
      <sz val="11"/>
      <color rgb="FF00B0F0"/>
      <name val="Arial Narrow"/>
      <family val="2"/>
    </font>
    <font>
      <b/>
      <sz val="11"/>
      <color rgb="FF00B0F0"/>
      <name val="Arial Narrow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4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3" fillId="0" borderId="1" xfId="0" quotePrefix="1" applyFont="1" applyBorder="1" applyAlignment="1">
      <alignment horizontal="center" vertical="center"/>
    </xf>
    <xf numFmtId="4" fontId="3" fillId="0" borderId="1" xfId="0" quotePrefix="1" applyNumberFormat="1" applyFont="1" applyBorder="1" applyAlignment="1">
      <alignment horizontal="center" vertical="center"/>
    </xf>
    <xf numFmtId="4" fontId="3" fillId="0" borderId="0" xfId="0" applyNumberFormat="1" applyFont="1"/>
    <xf numFmtId="43" fontId="3" fillId="0" borderId="0" xfId="0" applyNumberFormat="1" applyFont="1"/>
    <xf numFmtId="44" fontId="3" fillId="0" borderId="0" xfId="0" applyNumberFormat="1" applyFont="1"/>
    <xf numFmtId="0" fontId="6" fillId="0" borderId="0" xfId="0" applyFont="1"/>
    <xf numFmtId="4" fontId="8" fillId="0" borderId="0" xfId="0" applyNumberFormat="1" applyFont="1"/>
    <xf numFmtId="0" fontId="4" fillId="0" borderId="0" xfId="0" applyFont="1" applyAlignment="1">
      <alignment horizontal="left"/>
    </xf>
    <xf numFmtId="4" fontId="3" fillId="0" borderId="5" xfId="0" applyNumberFormat="1" applyFont="1" applyBorder="1" applyAlignment="1">
      <alignment horizontal="right" vertical="center"/>
    </xf>
    <xf numFmtId="0" fontId="4" fillId="0" borderId="0" xfId="0" applyFont="1"/>
    <xf numFmtId="4" fontId="3" fillId="0" borderId="0" xfId="0" applyNumberFormat="1" applyFont="1" applyAlignment="1">
      <alignment horizontal="right" vertical="center"/>
    </xf>
    <xf numFmtId="4" fontId="6" fillId="0" borderId="1" xfId="0" applyNumberFormat="1" applyFont="1" applyBorder="1" applyAlignment="1">
      <alignment horizontal="justify" vertical="top" wrapText="1"/>
    </xf>
    <xf numFmtId="4" fontId="6" fillId="0" borderId="1" xfId="0" applyNumberFormat="1" applyFont="1" applyBorder="1" applyAlignment="1">
      <alignment horizontal="center" vertical="center"/>
    </xf>
    <xf numFmtId="4" fontId="6" fillId="0" borderId="1" xfId="0" quotePrefix="1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right" vertical="center"/>
    </xf>
    <xf numFmtId="4" fontId="6" fillId="0" borderId="0" xfId="0" applyNumberFormat="1" applyFont="1"/>
    <xf numFmtId="0" fontId="6" fillId="0" borderId="1" xfId="0" quotePrefix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/>
    </xf>
    <xf numFmtId="0" fontId="15" fillId="0" borderId="0" xfId="0" applyFont="1" applyAlignment="1">
      <alignment horizontal="center"/>
    </xf>
    <xf numFmtId="9" fontId="3" fillId="0" borderId="0" xfId="0" applyNumberFormat="1" applyFont="1"/>
    <xf numFmtId="4" fontId="3" fillId="4" borderId="0" xfId="0" applyNumberFormat="1" applyFont="1" applyFill="1"/>
    <xf numFmtId="49" fontId="4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4" fontId="0" fillId="0" borderId="1" xfId="0" applyNumberFormat="1" applyBorder="1"/>
    <xf numFmtId="0" fontId="16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2" fontId="0" fillId="0" borderId="1" xfId="0" applyNumberFormat="1" applyBorder="1"/>
    <xf numFmtId="0" fontId="0" fillId="5" borderId="1" xfId="0" applyFill="1" applyBorder="1"/>
    <xf numFmtId="2" fontId="0" fillId="5" borderId="1" xfId="0" applyNumberFormat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2" borderId="1" xfId="0" applyFill="1" applyBorder="1" applyAlignment="1">
      <alignment wrapText="1"/>
    </xf>
    <xf numFmtId="4" fontId="0" fillId="4" borderId="1" xfId="0" applyNumberFormat="1" applyFill="1" applyBorder="1"/>
    <xf numFmtId="4" fontId="17" fillId="6" borderId="0" xfId="0" applyNumberFormat="1" applyFont="1" applyFill="1"/>
    <xf numFmtId="0" fontId="3" fillId="0" borderId="0" xfId="0" applyFont="1" applyAlignment="1">
      <alignment wrapText="1"/>
    </xf>
    <xf numFmtId="3" fontId="3" fillId="3" borderId="1" xfId="0" applyNumberFormat="1" applyFont="1" applyFill="1" applyBorder="1" applyAlignment="1">
      <alignment horizontal="center" vertical="center"/>
    </xf>
    <xf numFmtId="10" fontId="3" fillId="0" borderId="0" xfId="0" applyNumberFormat="1" applyFont="1"/>
    <xf numFmtId="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" fontId="4" fillId="0" borderId="1" xfId="0" applyNumberFormat="1" applyFont="1" applyBorder="1"/>
    <xf numFmtId="0" fontId="3" fillId="0" borderId="0" xfId="0" applyFont="1" applyBorder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justify" vertical="top" wrapText="1"/>
    </xf>
    <xf numFmtId="4" fontId="6" fillId="0" borderId="1" xfId="0" applyNumberFormat="1" applyFont="1" applyFill="1" applyBorder="1" applyAlignment="1">
      <alignment horizontal="center" vertical="center"/>
    </xf>
    <xf numFmtId="4" fontId="6" fillId="0" borderId="1" xfId="0" quotePrefix="1" applyNumberFormat="1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right" vertical="center"/>
    </xf>
    <xf numFmtId="4" fontId="4" fillId="0" borderId="1" xfId="0" applyNumberFormat="1" applyFont="1" applyFill="1" applyBorder="1" applyAlignment="1">
      <alignment horizontal="right" vertical="center"/>
    </xf>
    <xf numFmtId="0" fontId="6" fillId="0" borderId="0" xfId="0" applyFont="1" applyFill="1"/>
    <xf numFmtId="0" fontId="6" fillId="0" borderId="1" xfId="0" quotePrefix="1" applyFont="1" applyFill="1" applyBorder="1" applyAlignment="1">
      <alignment horizontal="center" vertical="center"/>
    </xf>
  </cellXfs>
  <cellStyles count="4">
    <cellStyle name="Millares" xfId="1" builtinId="3"/>
    <cellStyle name="Millares 2" xfId="2"/>
    <cellStyle name="Moneda 2" xfId="3"/>
    <cellStyle name="Normal" xfId="0" builtinId="0"/>
  </cellStyles>
  <dxfs count="0"/>
  <tableStyles count="0" defaultTableStyle="TableStyleMedium2" defaultPivotStyle="PivotStyleLight16"/>
  <colors>
    <mruColors>
      <color rgb="FFFF99FF"/>
      <color rgb="FFCCFFCC"/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525756</xdr:colOff>
      <xdr:row>30</xdr:row>
      <xdr:rowOff>67482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853DDDA-942A-4A70-BB0F-FA468479F1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479756" cy="57824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17" zoomScale="90" zoomScaleNormal="90" zoomScaleSheetLayoutView="100" workbookViewId="0">
      <selection activeCell="B32" sqref="B32"/>
    </sheetView>
  </sheetViews>
  <sheetFormatPr baseColWidth="10" defaultColWidth="11.42578125" defaultRowHeight="16.5" x14ac:dyDescent="0.3"/>
  <cols>
    <col min="1" max="1" width="55.28515625" style="1" customWidth="1"/>
    <col min="2" max="3" width="16.42578125" style="1" customWidth="1"/>
    <col min="4" max="4" width="18.28515625" style="1" customWidth="1"/>
    <col min="5" max="6" width="18.5703125" style="1" customWidth="1"/>
    <col min="7" max="7" width="20.28515625" style="1" customWidth="1"/>
    <col min="8" max="8" width="15.42578125" style="1" customWidth="1"/>
    <col min="9" max="9" width="16.5703125" style="1" customWidth="1"/>
    <col min="10" max="10" width="14.85546875" style="1" customWidth="1"/>
    <col min="11" max="11" width="19.42578125" style="1" customWidth="1"/>
    <col min="12" max="12" width="18.5703125" style="1" customWidth="1"/>
    <col min="13" max="16384" width="11.42578125" style="1"/>
  </cols>
  <sheetData>
    <row r="1" spans="1:12" ht="74.25" customHeight="1" x14ac:dyDescent="0.3">
      <c r="A1" s="58" t="s">
        <v>79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2" ht="18" customHeight="1" x14ac:dyDescent="0.3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ht="75.75" customHeight="1" x14ac:dyDescent="0.3">
      <c r="A3" s="2" t="s">
        <v>1</v>
      </c>
      <c r="B3" s="3" t="s">
        <v>2</v>
      </c>
      <c r="C3" s="3" t="s">
        <v>3</v>
      </c>
      <c r="D3" s="3" t="s">
        <v>64</v>
      </c>
      <c r="E3" s="3" t="s">
        <v>5</v>
      </c>
      <c r="F3" s="3" t="s">
        <v>6</v>
      </c>
      <c r="G3" s="3" t="s">
        <v>7</v>
      </c>
      <c r="H3" s="2" t="s">
        <v>8</v>
      </c>
      <c r="I3" s="2" t="s">
        <v>9</v>
      </c>
      <c r="J3" s="2" t="s">
        <v>10</v>
      </c>
      <c r="K3" s="32" t="s">
        <v>65</v>
      </c>
      <c r="L3" s="37" t="s">
        <v>70</v>
      </c>
    </row>
    <row r="4" spans="1:12" ht="31.5" customHeight="1" x14ac:dyDescent="0.3">
      <c r="A4" s="4"/>
      <c r="B4" s="5"/>
      <c r="C4" s="5"/>
      <c r="D4" s="6">
        <v>1300000</v>
      </c>
      <c r="E4" s="4"/>
      <c r="F4" s="4">
        <f>500*1.03</f>
        <v>515</v>
      </c>
      <c r="G4" s="7" t="s">
        <v>13</v>
      </c>
      <c r="H4" s="6"/>
      <c r="I4" s="7">
        <v>0.1</v>
      </c>
      <c r="J4" s="7">
        <v>0.19</v>
      </c>
      <c r="K4" s="8"/>
      <c r="L4" s="8"/>
    </row>
    <row r="5" spans="1:12" ht="167.25" customHeight="1" x14ac:dyDescent="0.3">
      <c r="A5" s="23" t="s">
        <v>34</v>
      </c>
      <c r="B5" s="9">
        <v>2</v>
      </c>
      <c r="C5" s="9">
        <v>6</v>
      </c>
      <c r="D5" s="24">
        <v>9.14</v>
      </c>
      <c r="E5" s="10">
        <f>ROUND((D4*D5),0)</f>
        <v>11882000</v>
      </c>
      <c r="F5" s="10">
        <f>+$F$4*C5</f>
        <v>3090</v>
      </c>
      <c r="G5" s="10">
        <f>ROUND((E5+F5)*10%,0)</f>
        <v>1188509</v>
      </c>
      <c r="H5" s="10">
        <f>ROUND((E5+F5+G5),0)</f>
        <v>13073599</v>
      </c>
      <c r="I5" s="10">
        <f>ROUND((H5*10%),0)</f>
        <v>1307360</v>
      </c>
      <c r="J5" s="10">
        <f>ROUND((I5*19%),0)</f>
        <v>248398</v>
      </c>
      <c r="K5" s="11">
        <f>ROUND(H5+J5,0)</f>
        <v>13321997</v>
      </c>
      <c r="L5" s="10">
        <f>ROUND((K5*B5),0)</f>
        <v>26643994</v>
      </c>
    </row>
    <row r="6" spans="1:12" ht="150.75" customHeight="1" x14ac:dyDescent="0.3">
      <c r="A6" s="23" t="s">
        <v>35</v>
      </c>
      <c r="B6" s="9">
        <v>1</v>
      </c>
      <c r="C6" s="9">
        <v>1</v>
      </c>
      <c r="D6" s="24">
        <v>55.97</v>
      </c>
      <c r="E6" s="10">
        <f>ROUND((((($D$4*$D$5)*55.97%)/30*20)/15*12),0)</f>
        <v>3546856</v>
      </c>
      <c r="F6" s="10">
        <f t="shared" ref="F6:F18" si="0">+$F$4*C6</f>
        <v>515</v>
      </c>
      <c r="G6" s="10">
        <f>ROUND((E6+F6)*10%,0)</f>
        <v>354737</v>
      </c>
      <c r="H6" s="10">
        <f>ROUND((E6+F6+G6),0)</f>
        <v>3902108</v>
      </c>
      <c r="I6" s="10">
        <f t="shared" ref="I6:I17" si="1">ROUND((H6*10%),0)</f>
        <v>390211</v>
      </c>
      <c r="J6" s="10">
        <f>ROUND((I6*19%),0)</f>
        <v>74140</v>
      </c>
      <c r="K6" s="11">
        <f>ROUND(H6+J6,0)</f>
        <v>3976248</v>
      </c>
      <c r="L6" s="10">
        <f>ROUND((K6*B6),0)</f>
        <v>3976248</v>
      </c>
    </row>
    <row r="7" spans="1:12" ht="151.5" customHeight="1" x14ac:dyDescent="0.3">
      <c r="A7" s="23" t="s">
        <v>36</v>
      </c>
      <c r="B7" s="9">
        <v>1</v>
      </c>
      <c r="C7" s="9">
        <v>3</v>
      </c>
      <c r="D7" s="24">
        <v>9.14</v>
      </c>
      <c r="E7" s="10">
        <f>ROUND((D4*D7),0)</f>
        <v>11882000</v>
      </c>
      <c r="F7" s="10">
        <f t="shared" si="0"/>
        <v>1545</v>
      </c>
      <c r="G7" s="10">
        <f>ROUND((E7+F7)*8%,0)</f>
        <v>950684</v>
      </c>
      <c r="H7" s="10">
        <f>ROUND((E7+F7+G7),0)</f>
        <v>12834229</v>
      </c>
      <c r="I7" s="10">
        <f>ROUND((H7*10%),0)</f>
        <v>1283423</v>
      </c>
      <c r="J7" s="10">
        <f>ROUND((I7*19%),0)</f>
        <v>243850</v>
      </c>
      <c r="K7" s="11">
        <f>ROUND(H7+J7,0)</f>
        <v>13078079</v>
      </c>
      <c r="L7" s="10">
        <f>ROUND((K7*B7),0)</f>
        <v>13078079</v>
      </c>
    </row>
    <row r="8" spans="1:12" ht="151.5" customHeight="1" x14ac:dyDescent="0.3">
      <c r="A8" s="23" t="s">
        <v>14</v>
      </c>
      <c r="B8" s="9">
        <v>1</v>
      </c>
      <c r="C8" s="9">
        <v>1</v>
      </c>
      <c r="D8" s="12">
        <v>55.97</v>
      </c>
      <c r="E8" s="10">
        <f>ROUND((((($D$4*$D$5)*55.97%)/30*20)/15*12),0)</f>
        <v>3546856</v>
      </c>
      <c r="F8" s="10">
        <f t="shared" si="0"/>
        <v>515</v>
      </c>
      <c r="G8" s="10">
        <f t="shared" ref="G8:G13" si="2">ROUND((E8+F8)*10%,0)</f>
        <v>354737</v>
      </c>
      <c r="H8" s="10">
        <f t="shared" ref="H8:H15" si="3">ROUND((E8+F8+G8),0)</f>
        <v>3902108</v>
      </c>
      <c r="I8" s="10">
        <f t="shared" si="1"/>
        <v>390211</v>
      </c>
      <c r="J8" s="10">
        <f t="shared" ref="J8:J18" si="4">ROUND((I8*19%),0)</f>
        <v>74140</v>
      </c>
      <c r="K8" s="11">
        <f t="shared" ref="K8:K17" si="5">ROUND(H8+J8,0)</f>
        <v>3976248</v>
      </c>
      <c r="L8" s="10">
        <f>ROUND((K8*B8),0)</f>
        <v>3976248</v>
      </c>
    </row>
    <row r="9" spans="1:12" ht="153.75" customHeight="1" x14ac:dyDescent="0.3">
      <c r="A9" s="23" t="s">
        <v>37</v>
      </c>
      <c r="B9" s="9">
        <v>1</v>
      </c>
      <c r="C9" s="9">
        <v>1</v>
      </c>
      <c r="D9" s="13">
        <v>55.97</v>
      </c>
      <c r="E9" s="10">
        <f>ROUND((((($D$4*$D$5)*55.97%)/30*20)/15*12),0)</f>
        <v>3546856</v>
      </c>
      <c r="F9" s="10">
        <f t="shared" si="0"/>
        <v>515</v>
      </c>
      <c r="G9" s="10">
        <f>ROUND((E9+F9)*10%,0)</f>
        <v>354737</v>
      </c>
      <c r="H9" s="10">
        <f t="shared" si="3"/>
        <v>3902108</v>
      </c>
      <c r="I9" s="10">
        <f t="shared" si="1"/>
        <v>390211</v>
      </c>
      <c r="J9" s="10">
        <f t="shared" si="4"/>
        <v>74140</v>
      </c>
      <c r="K9" s="11">
        <f t="shared" si="5"/>
        <v>3976248</v>
      </c>
      <c r="L9" s="10">
        <f>ROUND((K9*B9),0)</f>
        <v>3976248</v>
      </c>
    </row>
    <row r="10" spans="1:12" ht="133.5" customHeight="1" x14ac:dyDescent="0.3">
      <c r="A10" s="23" t="s">
        <v>15</v>
      </c>
      <c r="B10" s="9">
        <v>1</v>
      </c>
      <c r="C10" s="9">
        <v>3</v>
      </c>
      <c r="D10" s="9">
        <v>9.14</v>
      </c>
      <c r="E10" s="10">
        <f>ROUND((D4*D10),0)</f>
        <v>11882000</v>
      </c>
      <c r="F10" s="10">
        <f>+$F$4*C10</f>
        <v>1545</v>
      </c>
      <c r="G10" s="10">
        <f t="shared" si="2"/>
        <v>1188355</v>
      </c>
      <c r="H10" s="10">
        <f>ROUND((E10+F10+G10),0)</f>
        <v>13071900</v>
      </c>
      <c r="I10" s="10">
        <f>ROUND((H10*10%),0)</f>
        <v>1307190</v>
      </c>
      <c r="J10" s="10">
        <f>ROUND((I10*19%),0)</f>
        <v>248366</v>
      </c>
      <c r="K10" s="11">
        <f>ROUND(H10+J10,0)</f>
        <v>13320266</v>
      </c>
      <c r="L10" s="10">
        <f t="shared" ref="L10" si="6">ROUND((K10*B10),0)</f>
        <v>13320266</v>
      </c>
    </row>
    <row r="11" spans="1:12" s="17" customFormat="1" ht="190.5" customHeight="1" x14ac:dyDescent="0.3">
      <c r="A11" s="23" t="s">
        <v>81</v>
      </c>
      <c r="B11" s="24">
        <v>1</v>
      </c>
      <c r="C11" s="24">
        <v>1</v>
      </c>
      <c r="D11" s="25">
        <v>55.97</v>
      </c>
      <c r="E11" s="26">
        <f>ROUND((((($D$4*$D$5)*55.97%)/30*20)/15*12),0)</f>
        <v>3546856</v>
      </c>
      <c r="F11" s="10">
        <f t="shared" si="0"/>
        <v>515</v>
      </c>
      <c r="G11" s="26">
        <f t="shared" si="2"/>
        <v>354737</v>
      </c>
      <c r="H11" s="10">
        <f t="shared" si="3"/>
        <v>3902108</v>
      </c>
      <c r="I11" s="26">
        <f t="shared" si="1"/>
        <v>390211</v>
      </c>
      <c r="J11" s="26">
        <f t="shared" si="4"/>
        <v>74140</v>
      </c>
      <c r="K11" s="11">
        <f t="shared" si="5"/>
        <v>3976248</v>
      </c>
      <c r="L11" s="10">
        <f>ROUND((K11*B11)/20*15,0)</f>
        <v>2982186</v>
      </c>
    </row>
    <row r="12" spans="1:12" s="69" customFormat="1" ht="183.75" customHeight="1" x14ac:dyDescent="0.3">
      <c r="A12" s="63" t="s">
        <v>82</v>
      </c>
      <c r="B12" s="64">
        <v>1</v>
      </c>
      <c r="C12" s="64">
        <v>1</v>
      </c>
      <c r="D12" s="65">
        <v>55.97</v>
      </c>
      <c r="E12" s="66">
        <f>ROUND((((($D$4*$D$5)*55.97%)/30*20)/15*12),0)</f>
        <v>3546856</v>
      </c>
      <c r="F12" s="67">
        <f t="shared" si="0"/>
        <v>515</v>
      </c>
      <c r="G12" s="66">
        <f>ROUND((E12+F12)*10%,0)</f>
        <v>354737</v>
      </c>
      <c r="H12" s="67">
        <f t="shared" si="3"/>
        <v>3902108</v>
      </c>
      <c r="I12" s="66">
        <f t="shared" si="1"/>
        <v>390211</v>
      </c>
      <c r="J12" s="66">
        <f t="shared" si="4"/>
        <v>74140</v>
      </c>
      <c r="K12" s="68">
        <f t="shared" si="5"/>
        <v>3976248</v>
      </c>
      <c r="L12" s="67">
        <f>ROUND((K12*B12)/20*15,0)</f>
        <v>2982186</v>
      </c>
    </row>
    <row r="13" spans="1:12" ht="153.75" customHeight="1" x14ac:dyDescent="0.3">
      <c r="A13" s="23" t="s">
        <v>18</v>
      </c>
      <c r="B13" s="9">
        <v>1</v>
      </c>
      <c r="C13" s="9">
        <v>3</v>
      </c>
      <c r="D13" s="9">
        <v>9.14</v>
      </c>
      <c r="E13" s="10">
        <f>ROUND((D4*D13),0)</f>
        <v>11882000</v>
      </c>
      <c r="F13" s="10">
        <f t="shared" si="0"/>
        <v>1545</v>
      </c>
      <c r="G13" s="10">
        <f t="shared" si="2"/>
        <v>1188355</v>
      </c>
      <c r="H13" s="10">
        <f t="shared" si="3"/>
        <v>13071900</v>
      </c>
      <c r="I13" s="10">
        <f t="shared" si="1"/>
        <v>1307190</v>
      </c>
      <c r="J13" s="10">
        <f t="shared" si="4"/>
        <v>248366</v>
      </c>
      <c r="K13" s="11">
        <f t="shared" si="5"/>
        <v>13320266</v>
      </c>
      <c r="L13" s="10">
        <f>ROUND((K13*B13),0)</f>
        <v>13320266</v>
      </c>
    </row>
    <row r="14" spans="1:12" ht="152.25" customHeight="1" x14ac:dyDescent="0.3">
      <c r="A14" s="23" t="s">
        <v>19</v>
      </c>
      <c r="B14" s="9">
        <v>1</v>
      </c>
      <c r="C14" s="9">
        <v>3</v>
      </c>
      <c r="D14" s="9">
        <v>9.14</v>
      </c>
      <c r="E14" s="10">
        <f>ROUND((D4*D14),0)</f>
        <v>11882000</v>
      </c>
      <c r="F14" s="10">
        <f t="shared" si="0"/>
        <v>1545</v>
      </c>
      <c r="G14" s="10">
        <f>ROUND((E14+F14)*8%,0)</f>
        <v>950684</v>
      </c>
      <c r="H14" s="10">
        <f t="shared" si="3"/>
        <v>12834229</v>
      </c>
      <c r="I14" s="10">
        <f t="shared" si="1"/>
        <v>1283423</v>
      </c>
      <c r="J14" s="10">
        <f t="shared" si="4"/>
        <v>243850</v>
      </c>
      <c r="K14" s="11">
        <f>ROUND(H14+J14,0)</f>
        <v>13078079</v>
      </c>
      <c r="L14" s="10">
        <f>ROUND((K14*B14),0)</f>
        <v>13078079</v>
      </c>
    </row>
    <row r="15" spans="1:12" ht="152.25" customHeight="1" x14ac:dyDescent="0.3">
      <c r="A15" s="23" t="s">
        <v>38</v>
      </c>
      <c r="B15" s="9">
        <v>1</v>
      </c>
      <c r="C15" s="9">
        <v>1</v>
      </c>
      <c r="D15" s="12">
        <v>55.97</v>
      </c>
      <c r="E15" s="10">
        <f>ROUND((((($D$4*$D$5)*55.97%)/30*20)/15*12),0)</f>
        <v>3546856</v>
      </c>
      <c r="F15" s="10">
        <f t="shared" si="0"/>
        <v>515</v>
      </c>
      <c r="G15" s="10">
        <f>ROUND((E15+F15)*10%,0)</f>
        <v>354737</v>
      </c>
      <c r="H15" s="10">
        <f t="shared" si="3"/>
        <v>3902108</v>
      </c>
      <c r="I15" s="10">
        <f t="shared" si="1"/>
        <v>390211</v>
      </c>
      <c r="J15" s="10">
        <f t="shared" si="4"/>
        <v>74140</v>
      </c>
      <c r="K15" s="11">
        <f t="shared" si="5"/>
        <v>3976248</v>
      </c>
      <c r="L15" s="10">
        <f>ROUND((K15*B15),0)</f>
        <v>3976248</v>
      </c>
    </row>
    <row r="16" spans="1:12" s="17" customFormat="1" ht="219.75" customHeight="1" x14ac:dyDescent="0.3">
      <c r="A16" s="23" t="s">
        <v>80</v>
      </c>
      <c r="B16" s="24">
        <v>4</v>
      </c>
      <c r="C16" s="24">
        <v>4</v>
      </c>
      <c r="D16" s="28">
        <v>55.97</v>
      </c>
      <c r="E16" s="10">
        <f>ROUND((((($D$4*$D$5)*55.97%)/30*20)/15*12),0)</f>
        <v>3546856</v>
      </c>
      <c r="F16" s="10">
        <f t="shared" si="0"/>
        <v>2060</v>
      </c>
      <c r="G16" s="10">
        <f>ROUND((E16+F16)*10%,0)</f>
        <v>354892</v>
      </c>
      <c r="H16" s="10">
        <f>ROUND((E16+F16+G16),0)</f>
        <v>3903808</v>
      </c>
      <c r="I16" s="26">
        <f>ROUND((H16*10%),0)</f>
        <v>390381</v>
      </c>
      <c r="J16" s="26">
        <f>ROUND((I16*19%),0)</f>
        <v>74172</v>
      </c>
      <c r="K16" s="11">
        <f>ROUND(H16+J16,0)</f>
        <v>3977980</v>
      </c>
      <c r="L16" s="10">
        <f>ROUND((K16*B16)/20*15,0)</f>
        <v>11933940</v>
      </c>
    </row>
    <row r="17" spans="1:12" s="17" customFormat="1" ht="129" customHeight="1" x14ac:dyDescent="0.3">
      <c r="A17" s="23" t="s">
        <v>83</v>
      </c>
      <c r="B17" s="24">
        <v>1</v>
      </c>
      <c r="C17" s="24">
        <v>3</v>
      </c>
      <c r="D17" s="28">
        <v>9.14</v>
      </c>
      <c r="E17" s="10">
        <f>ROUND((D4*D17),0)</f>
        <v>11882000</v>
      </c>
      <c r="F17" s="10">
        <f t="shared" si="0"/>
        <v>1545</v>
      </c>
      <c r="G17" s="10">
        <f>ROUND((E17+F17)*10%,0)</f>
        <v>1188355</v>
      </c>
      <c r="H17" s="10">
        <f>ROUND((E17+F17+G17),0)</f>
        <v>13071900</v>
      </c>
      <c r="I17" s="26">
        <f t="shared" si="1"/>
        <v>1307190</v>
      </c>
      <c r="J17" s="26">
        <f t="shared" si="4"/>
        <v>248366</v>
      </c>
      <c r="K17" s="11">
        <f t="shared" si="5"/>
        <v>13320266</v>
      </c>
      <c r="L17" s="10">
        <f>ROUND((K17*B17),0)</f>
        <v>13320266</v>
      </c>
    </row>
    <row r="18" spans="1:12" s="69" customFormat="1" ht="156" customHeight="1" x14ac:dyDescent="0.3">
      <c r="A18" s="63" t="s">
        <v>84</v>
      </c>
      <c r="B18" s="64">
        <v>1</v>
      </c>
      <c r="C18" s="64">
        <v>3</v>
      </c>
      <c r="D18" s="70">
        <v>9.14</v>
      </c>
      <c r="E18" s="67">
        <f>ROUND((D4*D18),0)</f>
        <v>11882000</v>
      </c>
      <c r="F18" s="67">
        <f t="shared" si="0"/>
        <v>1545</v>
      </c>
      <c r="G18" s="67">
        <f>ROUND((E18+F18)*10%,0)</f>
        <v>1188355</v>
      </c>
      <c r="H18" s="67">
        <f>ROUND((E18+F18+G18),0)</f>
        <v>13071900</v>
      </c>
      <c r="I18" s="66">
        <f>ROUND((H18*10%),0)</f>
        <v>1307190</v>
      </c>
      <c r="J18" s="66">
        <f t="shared" si="4"/>
        <v>248366</v>
      </c>
      <c r="K18" s="68">
        <f>ROUND(H18+J18,0)</f>
        <v>13320266</v>
      </c>
      <c r="L18" s="67">
        <f>ROUND((K18*B18)/30*6,0)</f>
        <v>2664053</v>
      </c>
    </row>
    <row r="19" spans="1:12" ht="33.75" customHeight="1" x14ac:dyDescent="0.3">
      <c r="A19" s="60" t="s">
        <v>20</v>
      </c>
      <c r="B19" s="61"/>
      <c r="C19" s="61"/>
      <c r="D19" s="61"/>
      <c r="E19" s="61"/>
      <c r="F19" s="61"/>
      <c r="G19" s="61"/>
      <c r="H19" s="61"/>
      <c r="I19" s="61"/>
      <c r="J19" s="62"/>
      <c r="K19" s="31">
        <f>SUM(K5:K17)</f>
        <v>107274421</v>
      </c>
      <c r="L19" s="31">
        <f>SUM(L5:L18)</f>
        <v>129228307</v>
      </c>
    </row>
    <row r="20" spans="1:12" x14ac:dyDescent="0.3">
      <c r="D20" s="1" t="s">
        <v>39</v>
      </c>
      <c r="K20" s="19"/>
      <c r="L20" s="22">
        <v>6386388</v>
      </c>
    </row>
    <row r="21" spans="1:12" x14ac:dyDescent="0.3">
      <c r="L21" s="14">
        <f>+L19+L20</f>
        <v>135614695</v>
      </c>
    </row>
    <row r="22" spans="1:12" x14ac:dyDescent="0.3">
      <c r="I22" s="14"/>
      <c r="K22" s="54" t="s">
        <v>70</v>
      </c>
      <c r="L22" s="55" t="s">
        <v>88</v>
      </c>
    </row>
    <row r="23" spans="1:12" x14ac:dyDescent="0.3">
      <c r="J23" s="35">
        <v>0.1</v>
      </c>
      <c r="K23" s="8" t="s">
        <v>85</v>
      </c>
      <c r="L23" s="53">
        <f>ROUND(($L$21*J23),0)</f>
        <v>13561470</v>
      </c>
    </row>
    <row r="24" spans="1:12" x14ac:dyDescent="0.3">
      <c r="J24" s="52">
        <v>0.88629999999999998</v>
      </c>
      <c r="K24" s="8" t="s">
        <v>86</v>
      </c>
      <c r="L24" s="53">
        <f>ROUND(($L$21*J24),0)</f>
        <v>120195304</v>
      </c>
    </row>
    <row r="25" spans="1:12" x14ac:dyDescent="0.3">
      <c r="J25" s="52">
        <v>1.37E-2</v>
      </c>
      <c r="K25" s="8" t="s">
        <v>87</v>
      </c>
      <c r="L25" s="53">
        <f>ROUND(($L$21*J25),0)</f>
        <v>1857921</v>
      </c>
    </row>
    <row r="26" spans="1:12" x14ac:dyDescent="0.3">
      <c r="K26" s="8" t="s">
        <v>89</v>
      </c>
      <c r="L26" s="56">
        <f>SUM(L23:L25)</f>
        <v>135614695</v>
      </c>
    </row>
    <row r="27" spans="1:12" x14ac:dyDescent="0.3">
      <c r="D27" s="14"/>
    </row>
    <row r="28" spans="1:12" x14ac:dyDescent="0.3">
      <c r="K28" s="57"/>
      <c r="L28" s="57"/>
    </row>
    <row r="29" spans="1:12" x14ac:dyDescent="0.3">
      <c r="K29" s="57"/>
      <c r="L29" s="57"/>
    </row>
    <row r="30" spans="1:12" x14ac:dyDescent="0.3">
      <c r="A30" s="34"/>
      <c r="K30" s="57"/>
      <c r="L30" s="57"/>
    </row>
    <row r="31" spans="1:12" x14ac:dyDescent="0.3">
      <c r="A31" s="34"/>
      <c r="K31" s="57"/>
      <c r="L31" s="57"/>
    </row>
    <row r="32" spans="1:12" x14ac:dyDescent="0.3">
      <c r="A32" s="34"/>
      <c r="K32" s="57"/>
      <c r="L32" s="57"/>
    </row>
    <row r="33" spans="11:12" x14ac:dyDescent="0.3">
      <c r="K33" s="57"/>
      <c r="L33" s="57"/>
    </row>
  </sheetData>
  <autoFilter ref="A3:L21"/>
  <mergeCells count="2">
    <mergeCell ref="A1:K1"/>
    <mergeCell ref="A19:J19"/>
  </mergeCells>
  <printOptions horizontalCentered="1" verticalCentered="1"/>
  <pageMargins left="0.43307086614173229" right="0.43307086614173229" top="0.74803149606299213" bottom="0.74803149606299213" header="0.31496062992125984" footer="0.31496062992125984"/>
  <pageSetup scale="2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35" sqref="I3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37"/>
  <sheetViews>
    <sheetView topLeftCell="A4" zoomScale="90" zoomScaleNormal="90" zoomScaleSheetLayoutView="100" workbookViewId="0">
      <selection activeCell="Q37" sqref="Q37"/>
    </sheetView>
  </sheetViews>
  <sheetFormatPr baseColWidth="10" defaultColWidth="11.42578125" defaultRowHeight="16.5" x14ac:dyDescent="0.3"/>
  <cols>
    <col min="1" max="1" width="55.28515625" style="1" customWidth="1"/>
    <col min="2" max="3" width="16.42578125" style="1" customWidth="1"/>
    <col min="4" max="4" width="18.28515625" style="1" customWidth="1"/>
    <col min="5" max="6" width="18.5703125" style="1" customWidth="1"/>
    <col min="7" max="7" width="20.28515625" style="1" customWidth="1"/>
    <col min="8" max="8" width="15.42578125" style="1" customWidth="1"/>
    <col min="9" max="9" width="16.5703125" style="1" customWidth="1"/>
    <col min="10" max="10" width="14.85546875" style="1" customWidth="1"/>
    <col min="11" max="11" width="19.42578125" style="1" customWidth="1"/>
    <col min="12" max="12" width="18.5703125" style="1" customWidth="1"/>
    <col min="13" max="13" width="20" style="1" customWidth="1"/>
    <col min="14" max="14" width="17.85546875" style="1" customWidth="1"/>
    <col min="15" max="15" width="11.42578125" style="1"/>
    <col min="16" max="16" width="33" style="1" customWidth="1"/>
    <col min="17" max="17" width="18.5703125" style="1" customWidth="1"/>
    <col min="18" max="16384" width="11.42578125" style="1"/>
  </cols>
  <sheetData>
    <row r="1" spans="1:14" ht="74.25" customHeight="1" x14ac:dyDescent="0.3">
      <c r="A1" s="58" t="s">
        <v>66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4" ht="18" customHeight="1" x14ac:dyDescent="0.3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4" ht="75.75" customHeight="1" x14ac:dyDescent="0.3">
      <c r="A3" s="2" t="s">
        <v>1</v>
      </c>
      <c r="B3" s="3" t="s">
        <v>2</v>
      </c>
      <c r="C3" s="3" t="s">
        <v>3</v>
      </c>
      <c r="D3" s="3" t="s">
        <v>78</v>
      </c>
      <c r="E3" s="3" t="s">
        <v>5</v>
      </c>
      <c r="F3" s="3" t="s">
        <v>6</v>
      </c>
      <c r="G3" s="3" t="s">
        <v>7</v>
      </c>
      <c r="H3" s="2" t="s">
        <v>8</v>
      </c>
      <c r="I3" s="2" t="s">
        <v>9</v>
      </c>
      <c r="J3" s="2" t="s">
        <v>10</v>
      </c>
      <c r="K3" s="32" t="s">
        <v>65</v>
      </c>
      <c r="L3" s="37" t="s">
        <v>70</v>
      </c>
      <c r="M3" s="37" t="s">
        <v>25</v>
      </c>
      <c r="N3" s="2" t="s">
        <v>72</v>
      </c>
    </row>
    <row r="4" spans="1:14" ht="31.5" customHeight="1" x14ac:dyDescent="0.3">
      <c r="A4" s="4"/>
      <c r="B4" s="5"/>
      <c r="C4" s="5"/>
      <c r="D4" s="51">
        <f>1300000*1.13</f>
        <v>1468999.9999999998</v>
      </c>
      <c r="E4" s="4"/>
      <c r="F4" s="4">
        <f>500*1.03</f>
        <v>515</v>
      </c>
      <c r="G4" s="7" t="s">
        <v>13</v>
      </c>
      <c r="H4" s="6"/>
      <c r="I4" s="7">
        <v>0.1</v>
      </c>
      <c r="J4" s="7">
        <v>0.19</v>
      </c>
      <c r="K4" s="8"/>
      <c r="L4" s="8"/>
      <c r="M4" s="8"/>
      <c r="N4" s="8"/>
    </row>
    <row r="5" spans="1:14" ht="167.25" customHeight="1" x14ac:dyDescent="0.3">
      <c r="A5" s="23" t="s">
        <v>34</v>
      </c>
      <c r="B5" s="9">
        <v>2</v>
      </c>
      <c r="C5" s="9">
        <v>6</v>
      </c>
      <c r="D5" s="24">
        <v>9.14</v>
      </c>
      <c r="E5" s="10">
        <f>ROUND((D4*D5),0)</f>
        <v>13426660</v>
      </c>
      <c r="F5" s="10">
        <f>+$F$4*C5</f>
        <v>3090</v>
      </c>
      <c r="G5" s="10">
        <f>ROUND((E5+F5)*10%,0)</f>
        <v>1342975</v>
      </c>
      <c r="H5" s="10">
        <f>ROUND((E5+F5+G5),0)</f>
        <v>14772725</v>
      </c>
      <c r="I5" s="10">
        <f>ROUND((H5*10%),0)</f>
        <v>1477273</v>
      </c>
      <c r="J5" s="10">
        <f>ROUND((I5*19%),0)</f>
        <v>280682</v>
      </c>
      <c r="K5" s="11">
        <f t="shared" ref="K5:K17" si="0">ROUND(H5+J5,0)</f>
        <v>15053407</v>
      </c>
      <c r="L5" s="10">
        <f>ROUND((K5*B5),0)</f>
        <v>30106814</v>
      </c>
      <c r="M5" s="10">
        <f>ROUND((K5*B5),0)</f>
        <v>30106814</v>
      </c>
      <c r="N5" s="10">
        <f>+L5+M5</f>
        <v>60213628</v>
      </c>
    </row>
    <row r="6" spans="1:14" ht="150.75" customHeight="1" x14ac:dyDescent="0.3">
      <c r="A6" s="23" t="s">
        <v>35</v>
      </c>
      <c r="B6" s="9">
        <v>1</v>
      </c>
      <c r="C6" s="9">
        <v>1</v>
      </c>
      <c r="D6" s="24">
        <v>55.97</v>
      </c>
      <c r="E6" s="10">
        <f>ROUND((((($D$4*$D$5)*55.97%)/30*20)/15*12),0)</f>
        <v>4007948</v>
      </c>
      <c r="F6" s="10">
        <f t="shared" ref="F6:F17" si="1">+$F$4*C6</f>
        <v>515</v>
      </c>
      <c r="G6" s="10">
        <f>ROUND((E6+F6)*10%,0)</f>
        <v>400846</v>
      </c>
      <c r="H6" s="10">
        <f>ROUND((E6+F6+G6),0)</f>
        <v>4409309</v>
      </c>
      <c r="I6" s="10">
        <f t="shared" ref="I6:I17" si="2">ROUND((H6*10%),0)</f>
        <v>440931</v>
      </c>
      <c r="J6" s="10">
        <f t="shared" ref="J6:J17" si="3">ROUND((I6*19%),0)</f>
        <v>83777</v>
      </c>
      <c r="K6" s="11">
        <f t="shared" si="0"/>
        <v>4493086</v>
      </c>
      <c r="L6" s="10">
        <f>ROUND((K6*B6),0)</f>
        <v>4493086</v>
      </c>
      <c r="M6" s="10">
        <f t="shared" ref="M6:M17" si="4">ROUND((K6*B6),0)</f>
        <v>4493086</v>
      </c>
      <c r="N6" s="10">
        <f t="shared" ref="N6:N17" si="5">+L6+M6</f>
        <v>8986172</v>
      </c>
    </row>
    <row r="7" spans="1:14" ht="151.5" customHeight="1" x14ac:dyDescent="0.3">
      <c r="A7" s="23" t="s">
        <v>36</v>
      </c>
      <c r="B7" s="9">
        <v>1</v>
      </c>
      <c r="C7" s="9">
        <v>3</v>
      </c>
      <c r="D7" s="24">
        <v>9.14</v>
      </c>
      <c r="E7" s="10">
        <f>ROUND((D4*D7),0)</f>
        <v>13426660</v>
      </c>
      <c r="F7" s="10">
        <f t="shared" si="1"/>
        <v>1545</v>
      </c>
      <c r="G7" s="10">
        <f>ROUND((E7+F7)*8%,0)</f>
        <v>1074256</v>
      </c>
      <c r="H7" s="10">
        <f t="shared" ref="H7:H16" si="6">ROUND((E7+F7+G7),0)</f>
        <v>14502461</v>
      </c>
      <c r="I7" s="10">
        <f t="shared" si="2"/>
        <v>1450246</v>
      </c>
      <c r="J7" s="10">
        <f t="shared" si="3"/>
        <v>275547</v>
      </c>
      <c r="K7" s="11">
        <f t="shared" si="0"/>
        <v>14778008</v>
      </c>
      <c r="L7" s="10">
        <f>ROUND((K7*B7),0)</f>
        <v>14778008</v>
      </c>
      <c r="M7" s="10">
        <f t="shared" si="4"/>
        <v>14778008</v>
      </c>
      <c r="N7" s="10">
        <f t="shared" si="5"/>
        <v>29556016</v>
      </c>
    </row>
    <row r="8" spans="1:14" ht="151.5" customHeight="1" x14ac:dyDescent="0.3">
      <c r="A8" s="23" t="s">
        <v>14</v>
      </c>
      <c r="B8" s="9">
        <v>1</v>
      </c>
      <c r="C8" s="9">
        <v>1</v>
      </c>
      <c r="D8" s="12">
        <v>55.97</v>
      </c>
      <c r="E8" s="10">
        <f>ROUND((((($D$4*$D$5)*55.97%)/30*20)/15*12),0)</f>
        <v>4007948</v>
      </c>
      <c r="F8" s="10">
        <f t="shared" si="1"/>
        <v>515</v>
      </c>
      <c r="G8" s="10">
        <f t="shared" ref="G8:G13" si="7">ROUND((E8+F8)*10%,0)</f>
        <v>400846</v>
      </c>
      <c r="H8" s="10">
        <f t="shared" si="6"/>
        <v>4409309</v>
      </c>
      <c r="I8" s="10">
        <f t="shared" si="2"/>
        <v>440931</v>
      </c>
      <c r="J8" s="10">
        <f t="shared" si="3"/>
        <v>83777</v>
      </c>
      <c r="K8" s="11">
        <f t="shared" si="0"/>
        <v>4493086</v>
      </c>
      <c r="L8" s="10">
        <f>ROUND((K8*B8),0)</f>
        <v>4493086</v>
      </c>
      <c r="M8" s="10">
        <f t="shared" si="4"/>
        <v>4493086</v>
      </c>
      <c r="N8" s="10">
        <f t="shared" si="5"/>
        <v>8986172</v>
      </c>
    </row>
    <row r="9" spans="1:14" ht="153.75" customHeight="1" x14ac:dyDescent="0.3">
      <c r="A9" s="23" t="s">
        <v>37</v>
      </c>
      <c r="B9" s="9">
        <v>1</v>
      </c>
      <c r="C9" s="9">
        <v>1</v>
      </c>
      <c r="D9" s="13">
        <v>55.97</v>
      </c>
      <c r="E9" s="10">
        <f>ROUND((((($D$4*$D$5)*55.97%)/30*20)/15*12),0)</f>
        <v>4007948</v>
      </c>
      <c r="F9" s="10">
        <f t="shared" si="1"/>
        <v>515</v>
      </c>
      <c r="G9" s="10">
        <f t="shared" si="7"/>
        <v>400846</v>
      </c>
      <c r="H9" s="10">
        <f t="shared" si="6"/>
        <v>4409309</v>
      </c>
      <c r="I9" s="10">
        <f t="shared" si="2"/>
        <v>440931</v>
      </c>
      <c r="J9" s="10">
        <f t="shared" si="3"/>
        <v>83777</v>
      </c>
      <c r="K9" s="11">
        <f t="shared" si="0"/>
        <v>4493086</v>
      </c>
      <c r="L9" s="10">
        <f>ROUND((K9*B9),0)</f>
        <v>4493086</v>
      </c>
      <c r="M9" s="10">
        <f t="shared" si="4"/>
        <v>4493086</v>
      </c>
      <c r="N9" s="10">
        <f t="shared" si="5"/>
        <v>8986172</v>
      </c>
    </row>
    <row r="10" spans="1:14" ht="133.5" customHeight="1" x14ac:dyDescent="0.3">
      <c r="A10" s="23" t="s">
        <v>15</v>
      </c>
      <c r="B10" s="9">
        <v>1</v>
      </c>
      <c r="C10" s="9">
        <v>3</v>
      </c>
      <c r="D10" s="9">
        <v>9.14</v>
      </c>
      <c r="E10" s="10">
        <f>ROUND((D4*D10),0)</f>
        <v>13426660</v>
      </c>
      <c r="F10" s="10">
        <f t="shared" si="1"/>
        <v>1545</v>
      </c>
      <c r="G10" s="10">
        <f t="shared" si="7"/>
        <v>1342821</v>
      </c>
      <c r="H10" s="10">
        <f t="shared" si="6"/>
        <v>14771026</v>
      </c>
      <c r="I10" s="10">
        <f t="shared" si="2"/>
        <v>1477103</v>
      </c>
      <c r="J10" s="10">
        <f t="shared" si="3"/>
        <v>280650</v>
      </c>
      <c r="K10" s="11">
        <f t="shared" si="0"/>
        <v>15051676</v>
      </c>
      <c r="L10" s="10">
        <f t="shared" ref="L10" si="8">ROUND((K10*B10),0)</f>
        <v>15051676</v>
      </c>
      <c r="M10" s="10">
        <f t="shared" si="4"/>
        <v>15051676</v>
      </c>
      <c r="N10" s="10">
        <f t="shared" si="5"/>
        <v>30103352</v>
      </c>
    </row>
    <row r="11" spans="1:14" s="17" customFormat="1" ht="237.75" customHeight="1" x14ac:dyDescent="0.3">
      <c r="A11" s="23" t="s">
        <v>67</v>
      </c>
      <c r="B11" s="24">
        <v>1</v>
      </c>
      <c r="C11" s="24">
        <v>1</v>
      </c>
      <c r="D11" s="25">
        <v>55.97</v>
      </c>
      <c r="E11" s="26">
        <f>ROUND((((($D$4*$D$5)*55.97%)/30*20)/15*12),0)</f>
        <v>4007948</v>
      </c>
      <c r="F11" s="10">
        <f t="shared" si="1"/>
        <v>515</v>
      </c>
      <c r="G11" s="26">
        <f t="shared" si="7"/>
        <v>400846</v>
      </c>
      <c r="H11" s="10">
        <f t="shared" si="6"/>
        <v>4409309</v>
      </c>
      <c r="I11" s="26">
        <f t="shared" si="2"/>
        <v>440931</v>
      </c>
      <c r="J11" s="26">
        <f t="shared" si="3"/>
        <v>83777</v>
      </c>
      <c r="K11" s="11">
        <f t="shared" si="0"/>
        <v>4493086</v>
      </c>
      <c r="L11" s="10">
        <f>ROUND((K11*B11)/20*15,0)</f>
        <v>3369815</v>
      </c>
      <c r="M11" s="10">
        <f t="shared" si="4"/>
        <v>4493086</v>
      </c>
      <c r="N11" s="10">
        <f t="shared" si="5"/>
        <v>7862901</v>
      </c>
    </row>
    <row r="12" spans="1:14" s="17" customFormat="1" ht="243" customHeight="1" x14ac:dyDescent="0.3">
      <c r="A12" s="23" t="s">
        <v>68</v>
      </c>
      <c r="B12" s="24">
        <v>1</v>
      </c>
      <c r="C12" s="24">
        <v>1</v>
      </c>
      <c r="D12" s="25">
        <v>55.97</v>
      </c>
      <c r="E12" s="26">
        <f>ROUND((((($D$4*$D$5)*55.97%)/30*20)/15*12),0)</f>
        <v>4007948</v>
      </c>
      <c r="F12" s="10">
        <f t="shared" si="1"/>
        <v>515</v>
      </c>
      <c r="G12" s="26">
        <f t="shared" si="7"/>
        <v>400846</v>
      </c>
      <c r="H12" s="10">
        <f t="shared" si="6"/>
        <v>4409309</v>
      </c>
      <c r="I12" s="26">
        <f t="shared" si="2"/>
        <v>440931</v>
      </c>
      <c r="J12" s="26">
        <f t="shared" si="3"/>
        <v>83777</v>
      </c>
      <c r="K12" s="11">
        <f t="shared" si="0"/>
        <v>4493086</v>
      </c>
      <c r="L12" s="10">
        <f>ROUND((K12*B12)/20*15,0)</f>
        <v>3369815</v>
      </c>
      <c r="M12" s="10">
        <f t="shared" si="4"/>
        <v>4493086</v>
      </c>
      <c r="N12" s="10">
        <f t="shared" si="5"/>
        <v>7862901</v>
      </c>
    </row>
    <row r="13" spans="1:14" ht="153.75" customHeight="1" x14ac:dyDescent="0.3">
      <c r="A13" s="23" t="s">
        <v>18</v>
      </c>
      <c r="B13" s="9">
        <v>1</v>
      </c>
      <c r="C13" s="9">
        <v>3</v>
      </c>
      <c r="D13" s="9">
        <v>9.14</v>
      </c>
      <c r="E13" s="10">
        <f>ROUND((D4*D13),0)</f>
        <v>13426660</v>
      </c>
      <c r="F13" s="10">
        <f t="shared" si="1"/>
        <v>1545</v>
      </c>
      <c r="G13" s="10">
        <f t="shared" si="7"/>
        <v>1342821</v>
      </c>
      <c r="H13" s="10">
        <f t="shared" si="6"/>
        <v>14771026</v>
      </c>
      <c r="I13" s="10">
        <f t="shared" si="2"/>
        <v>1477103</v>
      </c>
      <c r="J13" s="10">
        <f t="shared" si="3"/>
        <v>280650</v>
      </c>
      <c r="K13" s="11">
        <f t="shared" si="0"/>
        <v>15051676</v>
      </c>
      <c r="L13" s="10">
        <f>ROUND((K13*B13),0)</f>
        <v>15051676</v>
      </c>
      <c r="M13" s="10">
        <f t="shared" si="4"/>
        <v>15051676</v>
      </c>
      <c r="N13" s="10">
        <f t="shared" si="5"/>
        <v>30103352</v>
      </c>
    </row>
    <row r="14" spans="1:14" ht="152.25" customHeight="1" x14ac:dyDescent="0.3">
      <c r="A14" s="23" t="s">
        <v>19</v>
      </c>
      <c r="B14" s="9">
        <v>1</v>
      </c>
      <c r="C14" s="9">
        <v>3</v>
      </c>
      <c r="D14" s="9">
        <v>9.14</v>
      </c>
      <c r="E14" s="10">
        <f>ROUND((D4*D14),0)</f>
        <v>13426660</v>
      </c>
      <c r="F14" s="10">
        <f t="shared" si="1"/>
        <v>1545</v>
      </c>
      <c r="G14" s="10">
        <f>ROUND((E14+F14)*8%,0)</f>
        <v>1074256</v>
      </c>
      <c r="H14" s="10">
        <f t="shared" si="6"/>
        <v>14502461</v>
      </c>
      <c r="I14" s="10">
        <f t="shared" si="2"/>
        <v>1450246</v>
      </c>
      <c r="J14" s="10">
        <f t="shared" si="3"/>
        <v>275547</v>
      </c>
      <c r="K14" s="11">
        <f t="shared" si="0"/>
        <v>14778008</v>
      </c>
      <c r="L14" s="10">
        <f>ROUND((K14*B14),0)</f>
        <v>14778008</v>
      </c>
      <c r="M14" s="10">
        <f t="shared" si="4"/>
        <v>14778008</v>
      </c>
      <c r="N14" s="10">
        <f t="shared" si="5"/>
        <v>29556016</v>
      </c>
    </row>
    <row r="15" spans="1:14" ht="152.25" customHeight="1" x14ac:dyDescent="0.3">
      <c r="A15" s="23" t="s">
        <v>38</v>
      </c>
      <c r="B15" s="9">
        <v>1</v>
      </c>
      <c r="C15" s="9">
        <v>1</v>
      </c>
      <c r="D15" s="12">
        <v>55.97</v>
      </c>
      <c r="E15" s="10">
        <f>ROUND((((($D$4*$D$5)*55.97%)/30*20)/15*12),0)</f>
        <v>4007948</v>
      </c>
      <c r="F15" s="10">
        <f t="shared" si="1"/>
        <v>515</v>
      </c>
      <c r="G15" s="10">
        <f>ROUND((E15+F15)*10%,0)</f>
        <v>400846</v>
      </c>
      <c r="H15" s="10">
        <f t="shared" si="6"/>
        <v>4409309</v>
      </c>
      <c r="I15" s="10">
        <f t="shared" si="2"/>
        <v>440931</v>
      </c>
      <c r="J15" s="10">
        <f t="shared" si="3"/>
        <v>83777</v>
      </c>
      <c r="K15" s="11">
        <f t="shared" si="0"/>
        <v>4493086</v>
      </c>
      <c r="L15" s="10">
        <f>ROUND((K15*B15),0)</f>
        <v>4493086</v>
      </c>
      <c r="M15" s="10">
        <f t="shared" si="4"/>
        <v>4493086</v>
      </c>
      <c r="N15" s="10">
        <f t="shared" si="5"/>
        <v>8986172</v>
      </c>
    </row>
    <row r="16" spans="1:14" s="17" customFormat="1" ht="270.75" customHeight="1" x14ac:dyDescent="0.3">
      <c r="A16" s="23" t="s">
        <v>69</v>
      </c>
      <c r="B16" s="24">
        <v>4</v>
      </c>
      <c r="C16" s="24">
        <v>4</v>
      </c>
      <c r="D16" s="28">
        <v>55.97</v>
      </c>
      <c r="E16" s="10">
        <f>ROUND((((($D$4*$D$5)*55.97%)/30*20)/15*12),0)</f>
        <v>4007948</v>
      </c>
      <c r="F16" s="10">
        <f t="shared" si="1"/>
        <v>2060</v>
      </c>
      <c r="G16" s="10">
        <f>ROUND((E16+F16)*10%,0)</f>
        <v>401001</v>
      </c>
      <c r="H16" s="10">
        <f t="shared" si="6"/>
        <v>4411009</v>
      </c>
      <c r="I16" s="26">
        <f t="shared" si="2"/>
        <v>441101</v>
      </c>
      <c r="J16" s="26">
        <f t="shared" si="3"/>
        <v>83809</v>
      </c>
      <c r="K16" s="11">
        <f t="shared" si="0"/>
        <v>4494818</v>
      </c>
      <c r="L16" s="10">
        <f>ROUND((K16*B16)/20*15,0)</f>
        <v>13484454</v>
      </c>
      <c r="M16" s="10">
        <f t="shared" si="4"/>
        <v>17979272</v>
      </c>
      <c r="N16" s="10">
        <f t="shared" si="5"/>
        <v>31463726</v>
      </c>
    </row>
    <row r="17" spans="1:18" s="17" customFormat="1" ht="129" customHeight="1" x14ac:dyDescent="0.3">
      <c r="A17" s="23" t="s">
        <v>53</v>
      </c>
      <c r="B17" s="24">
        <v>1</v>
      </c>
      <c r="C17" s="24">
        <v>3</v>
      </c>
      <c r="D17" s="28">
        <v>9.14</v>
      </c>
      <c r="E17" s="10">
        <f>ROUND((D4*D17),0)</f>
        <v>13426660</v>
      </c>
      <c r="F17" s="10">
        <f t="shared" si="1"/>
        <v>1545</v>
      </c>
      <c r="G17" s="10">
        <f>ROUND((E17+F17)*10%,0)</f>
        <v>1342821</v>
      </c>
      <c r="H17" s="10">
        <f>ROUND((E17+F17+G17),0)</f>
        <v>14771026</v>
      </c>
      <c r="I17" s="26">
        <f t="shared" si="2"/>
        <v>1477103</v>
      </c>
      <c r="J17" s="26">
        <f t="shared" si="3"/>
        <v>280650</v>
      </c>
      <c r="K17" s="11">
        <f t="shared" si="0"/>
        <v>15051676</v>
      </c>
      <c r="L17" s="10">
        <f>ROUND((K17*B17),0)</f>
        <v>15051676</v>
      </c>
      <c r="M17" s="10">
        <f t="shared" si="4"/>
        <v>15051676</v>
      </c>
      <c r="N17" s="10">
        <f t="shared" si="5"/>
        <v>30103352</v>
      </c>
    </row>
    <row r="18" spans="1:18" ht="33.75" customHeight="1" x14ac:dyDescent="0.3">
      <c r="A18" s="60" t="s">
        <v>20</v>
      </c>
      <c r="B18" s="61"/>
      <c r="C18" s="61"/>
      <c r="D18" s="61"/>
      <c r="E18" s="61"/>
      <c r="F18" s="61"/>
      <c r="G18" s="61"/>
      <c r="H18" s="61"/>
      <c r="I18" s="61"/>
      <c r="J18" s="62"/>
      <c r="K18" s="31">
        <f>SUM(K5:K17)</f>
        <v>121217785</v>
      </c>
      <c r="L18" s="31">
        <f>SUM(L5:L17)</f>
        <v>143014286</v>
      </c>
      <c r="M18" s="31">
        <f>SUM(M5:M17)</f>
        <v>149755646</v>
      </c>
      <c r="N18" s="31">
        <f>SUM(N5:N17)</f>
        <v>292769932</v>
      </c>
    </row>
    <row r="19" spans="1:18" x14ac:dyDescent="0.3">
      <c r="D19" s="1" t="s">
        <v>39</v>
      </c>
      <c r="K19" s="19"/>
      <c r="L19" s="22">
        <v>6386388</v>
      </c>
      <c r="M19" s="22">
        <v>6386388</v>
      </c>
      <c r="N19" s="14">
        <f>+L19+M19</f>
        <v>12772776</v>
      </c>
    </row>
    <row r="20" spans="1:18" x14ac:dyDescent="0.3">
      <c r="L20" s="14">
        <f>+L18+L19</f>
        <v>149400674</v>
      </c>
      <c r="M20" s="14">
        <f>+M18+M19</f>
        <v>156142034</v>
      </c>
      <c r="N20" s="36">
        <f>+N18+N19</f>
        <v>305542708</v>
      </c>
      <c r="P20" s="14"/>
    </row>
    <row r="22" spans="1:18" x14ac:dyDescent="0.3">
      <c r="N22" s="16"/>
    </row>
    <row r="23" spans="1:18" ht="30.75" x14ac:dyDescent="0.3">
      <c r="P23" s="38"/>
      <c r="Q23" s="40" t="s">
        <v>73</v>
      </c>
      <c r="R23" s="41" t="s">
        <v>60</v>
      </c>
    </row>
    <row r="24" spans="1:18" x14ac:dyDescent="0.3">
      <c r="P24" s="38" t="s">
        <v>56</v>
      </c>
      <c r="Q24" s="39">
        <v>1244903316.5799999</v>
      </c>
      <c r="R24" s="38"/>
    </row>
    <row r="25" spans="1:18" x14ac:dyDescent="0.3">
      <c r="P25" s="38" t="s">
        <v>57</v>
      </c>
      <c r="Q25" s="39">
        <v>1300000</v>
      </c>
      <c r="R25" s="38"/>
    </row>
    <row r="26" spans="1:18" x14ac:dyDescent="0.3">
      <c r="P26" s="43" t="s">
        <v>54</v>
      </c>
      <c r="Q26" s="43"/>
      <c r="R26" s="44">
        <f>+Q24/Q25</f>
        <v>957.61793583076917</v>
      </c>
    </row>
    <row r="27" spans="1:18" x14ac:dyDescent="0.3">
      <c r="P27" s="45" t="s">
        <v>55</v>
      </c>
      <c r="Q27" s="45"/>
      <c r="R27" s="46">
        <f>+R26*50%</f>
        <v>478.80896791538459</v>
      </c>
    </row>
    <row r="28" spans="1:18" x14ac:dyDescent="0.3">
      <c r="P28" s="38" t="s">
        <v>63</v>
      </c>
      <c r="Q28" s="39">
        <f>+Q25*R27</f>
        <v>622451658.28999996</v>
      </c>
      <c r="R28" s="42"/>
    </row>
    <row r="29" spans="1:18" ht="33" x14ac:dyDescent="0.3">
      <c r="A29" s="34" t="s">
        <v>40</v>
      </c>
      <c r="M29" s="50" t="s">
        <v>76</v>
      </c>
      <c r="N29" s="35">
        <v>0.13</v>
      </c>
      <c r="P29" s="38" t="s">
        <v>58</v>
      </c>
      <c r="Q29" s="39">
        <v>36852736</v>
      </c>
      <c r="R29" s="42"/>
    </row>
    <row r="30" spans="1:18" x14ac:dyDescent="0.3">
      <c r="A30" s="34" t="s">
        <v>41</v>
      </c>
      <c r="N30" s="14"/>
      <c r="P30" s="45" t="s">
        <v>59</v>
      </c>
      <c r="Q30" s="38"/>
      <c r="R30" s="42">
        <f>+Q29/Q25</f>
        <v>28.34825846153846</v>
      </c>
    </row>
    <row r="31" spans="1:18" x14ac:dyDescent="0.3">
      <c r="A31" s="34" t="s">
        <v>42</v>
      </c>
      <c r="P31" s="38" t="s">
        <v>61</v>
      </c>
      <c r="Q31" s="48">
        <v>100918223.2</v>
      </c>
      <c r="R31" s="42"/>
    </row>
    <row r="32" spans="1:18" x14ac:dyDescent="0.3">
      <c r="P32" s="45" t="s">
        <v>62</v>
      </c>
      <c r="Q32" s="38"/>
      <c r="R32" s="42">
        <f>+Q31/Q25</f>
        <v>77.629402461538461</v>
      </c>
    </row>
    <row r="33" spans="13:18" x14ac:dyDescent="0.3">
      <c r="P33" s="38" t="s">
        <v>71</v>
      </c>
      <c r="Q33" s="39">
        <v>195670371</v>
      </c>
      <c r="R33" s="42"/>
    </row>
    <row r="34" spans="13:18" ht="36" customHeight="1" x14ac:dyDescent="0.3">
      <c r="P34" s="47" t="s">
        <v>74</v>
      </c>
      <c r="Q34" s="39"/>
      <c r="R34" s="42">
        <f>+Q33/Q25</f>
        <v>150.51567</v>
      </c>
    </row>
    <row r="35" spans="13:18" x14ac:dyDescent="0.3">
      <c r="P35" s="38" t="s">
        <v>77</v>
      </c>
      <c r="Q35" s="48">
        <f>+N20</f>
        <v>305542708</v>
      </c>
      <c r="R35" s="38"/>
    </row>
    <row r="36" spans="13:18" ht="23.25" customHeight="1" x14ac:dyDescent="0.3">
      <c r="M36" s="14"/>
      <c r="P36" s="47" t="s">
        <v>75</v>
      </c>
      <c r="Q36" s="39"/>
      <c r="R36" s="42">
        <f>+Q35/Q25</f>
        <v>235.03285230769231</v>
      </c>
    </row>
    <row r="37" spans="13:18" x14ac:dyDescent="0.3">
      <c r="P37"/>
      <c r="Q37" s="49">
        <f>+Q28-Q29-Q31-Q33-Q35</f>
        <v>-16532379.910000026</v>
      </c>
      <c r="R37" s="42">
        <f>+R30+R32+R34+R36</f>
        <v>491.52618323076922</v>
      </c>
    </row>
  </sheetData>
  <mergeCells count="2">
    <mergeCell ref="A1:K1"/>
    <mergeCell ref="A18:J18"/>
  </mergeCells>
  <printOptions horizontalCentered="1" verticalCentered="1"/>
  <pageMargins left="0.43307086614173229" right="0.43307086614173229" top="0.74803149606299213" bottom="0.74803149606299213" header="0.31496062992125984" footer="0.31496062992125984"/>
  <pageSetup scale="2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="90" zoomScaleNormal="90" zoomScaleSheetLayoutView="100" workbookViewId="0">
      <pane ySplit="3" topLeftCell="A4" activePane="bottomLeft" state="frozen"/>
      <selection pane="bottomLeft" activeCell="F6" sqref="F6"/>
    </sheetView>
  </sheetViews>
  <sheetFormatPr baseColWidth="10" defaultColWidth="11.42578125" defaultRowHeight="16.5" x14ac:dyDescent="0.3"/>
  <cols>
    <col min="1" max="1" width="55.28515625" style="1" customWidth="1"/>
    <col min="2" max="3" width="16.42578125" style="1" customWidth="1"/>
    <col min="4" max="4" width="18.28515625" style="1" customWidth="1"/>
    <col min="5" max="6" width="18.5703125" style="1" customWidth="1"/>
    <col min="7" max="7" width="20.28515625" style="1" customWidth="1"/>
    <col min="8" max="8" width="15.42578125" style="1" customWidth="1"/>
    <col min="9" max="9" width="16.5703125" style="1" customWidth="1"/>
    <col min="10" max="10" width="14.85546875" style="1" customWidth="1"/>
    <col min="11" max="11" width="19.42578125" style="1" customWidth="1"/>
    <col min="12" max="13" width="19.5703125" style="1" customWidth="1"/>
    <col min="14" max="14" width="23" style="1" customWidth="1"/>
    <col min="15" max="15" width="13.28515625" style="1" bestFit="1" customWidth="1"/>
    <col min="16" max="16384" width="11.42578125" style="1"/>
  </cols>
  <sheetData>
    <row r="1" spans="1:17" ht="88.5" customHeight="1" x14ac:dyDescent="0.3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7" ht="18" customHeight="1" x14ac:dyDescent="0.3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7" ht="75.75" customHeight="1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2" t="s">
        <v>8</v>
      </c>
      <c r="I3" s="2" t="s">
        <v>9</v>
      </c>
      <c r="J3" s="2" t="s">
        <v>10</v>
      </c>
      <c r="K3" s="32" t="s">
        <v>11</v>
      </c>
      <c r="L3" s="3" t="s">
        <v>43</v>
      </c>
      <c r="M3" s="3" t="s">
        <v>12</v>
      </c>
      <c r="N3" s="3" t="s">
        <v>44</v>
      </c>
    </row>
    <row r="4" spans="1:17" ht="31.5" customHeight="1" x14ac:dyDescent="0.3">
      <c r="A4" s="4"/>
      <c r="B4" s="5"/>
      <c r="C4" s="5"/>
      <c r="D4" s="6">
        <v>1160000</v>
      </c>
      <c r="E4" s="4"/>
      <c r="F4" s="4"/>
      <c r="G4" s="7" t="s">
        <v>13</v>
      </c>
      <c r="H4" s="6"/>
      <c r="I4" s="7">
        <v>0.1</v>
      </c>
      <c r="J4" s="7">
        <v>0.19</v>
      </c>
      <c r="K4" s="8"/>
      <c r="L4" s="8"/>
      <c r="M4" s="8"/>
      <c r="N4" s="8"/>
      <c r="O4" s="14"/>
    </row>
    <row r="5" spans="1:17" ht="183" customHeight="1" x14ac:dyDescent="0.3">
      <c r="A5" s="23" t="s">
        <v>45</v>
      </c>
      <c r="B5" s="9">
        <v>3</v>
      </c>
      <c r="C5" s="9">
        <v>9</v>
      </c>
      <c r="D5" s="24">
        <v>9.06</v>
      </c>
      <c r="E5" s="10"/>
      <c r="F5" s="10"/>
      <c r="G5" s="10"/>
      <c r="H5" s="10">
        <f t="shared" ref="H5:H15" si="0">ROUND((E5+F5+G5),0)</f>
        <v>0</v>
      </c>
      <c r="I5" s="10">
        <f t="shared" ref="I5:I15" si="1">ROUND((H5*10%),0)</f>
        <v>0</v>
      </c>
      <c r="J5" s="10">
        <f t="shared" ref="J5:J15" si="2">ROUND((I5*19%),0)</f>
        <v>0</v>
      </c>
      <c r="K5" s="11">
        <f t="shared" ref="K5:K15" si="3">ROUND(H5+J5,0)</f>
        <v>0</v>
      </c>
      <c r="L5" s="10">
        <f t="shared" ref="L5:L15" si="4">ROUND((K5*B5),0)</f>
        <v>0</v>
      </c>
      <c r="M5" s="10">
        <f t="shared" ref="M5:M14" si="5">ROUND((K5*B5),0)</f>
        <v>0</v>
      </c>
      <c r="N5" s="10">
        <f t="shared" ref="N5:N15" si="6">SUM(L5:M5)</f>
        <v>0</v>
      </c>
      <c r="O5" s="14"/>
      <c r="Q5" s="14"/>
    </row>
    <row r="6" spans="1:17" ht="151.5" customHeight="1" x14ac:dyDescent="0.3">
      <c r="A6" s="23" t="s">
        <v>36</v>
      </c>
      <c r="B6" s="9">
        <v>1</v>
      </c>
      <c r="C6" s="9">
        <v>3</v>
      </c>
      <c r="D6" s="24">
        <v>9.06</v>
      </c>
      <c r="E6" s="10"/>
      <c r="F6" s="10"/>
      <c r="G6" s="10"/>
      <c r="H6" s="10">
        <f t="shared" si="0"/>
        <v>0</v>
      </c>
      <c r="I6" s="10">
        <f t="shared" si="1"/>
        <v>0</v>
      </c>
      <c r="J6" s="10">
        <f t="shared" si="2"/>
        <v>0</v>
      </c>
      <c r="K6" s="11">
        <f t="shared" si="3"/>
        <v>0</v>
      </c>
      <c r="L6" s="10">
        <f t="shared" si="4"/>
        <v>0</v>
      </c>
      <c r="M6" s="10">
        <f t="shared" si="5"/>
        <v>0</v>
      </c>
      <c r="N6" s="10">
        <f t="shared" si="6"/>
        <v>0</v>
      </c>
      <c r="O6" s="14"/>
    </row>
    <row r="7" spans="1:17" ht="151.5" customHeight="1" x14ac:dyDescent="0.3">
      <c r="A7" s="23" t="s">
        <v>14</v>
      </c>
      <c r="B7" s="9">
        <v>1</v>
      </c>
      <c r="C7" s="9">
        <v>1</v>
      </c>
      <c r="D7" s="12">
        <v>55.97</v>
      </c>
      <c r="E7" s="10"/>
      <c r="F7" s="10"/>
      <c r="G7" s="10"/>
      <c r="H7" s="10">
        <f t="shared" si="0"/>
        <v>0</v>
      </c>
      <c r="I7" s="10">
        <f t="shared" si="1"/>
        <v>0</v>
      </c>
      <c r="J7" s="10">
        <f t="shared" si="2"/>
        <v>0</v>
      </c>
      <c r="K7" s="11">
        <f t="shared" si="3"/>
        <v>0</v>
      </c>
      <c r="L7" s="10">
        <f t="shared" si="4"/>
        <v>0</v>
      </c>
      <c r="M7" s="10">
        <f t="shared" si="5"/>
        <v>0</v>
      </c>
      <c r="N7" s="10">
        <f t="shared" si="6"/>
        <v>0</v>
      </c>
      <c r="O7" s="14">
        <v>3516639</v>
      </c>
      <c r="P7" s="14">
        <f>+K7-O7</f>
        <v>-3516639</v>
      </c>
    </row>
    <row r="8" spans="1:17" ht="153.75" customHeight="1" x14ac:dyDescent="0.3">
      <c r="A8" s="23" t="s">
        <v>37</v>
      </c>
      <c r="B8" s="9">
        <v>1</v>
      </c>
      <c r="C8" s="9">
        <v>1</v>
      </c>
      <c r="D8" s="13">
        <v>55.97</v>
      </c>
      <c r="E8" s="10"/>
      <c r="F8" s="10"/>
      <c r="G8" s="10"/>
      <c r="H8" s="10">
        <f t="shared" si="0"/>
        <v>0</v>
      </c>
      <c r="I8" s="10">
        <f t="shared" si="1"/>
        <v>0</v>
      </c>
      <c r="J8" s="10">
        <f t="shared" si="2"/>
        <v>0</v>
      </c>
      <c r="K8" s="11">
        <f t="shared" si="3"/>
        <v>0</v>
      </c>
      <c r="L8" s="10">
        <f t="shared" si="4"/>
        <v>0</v>
      </c>
      <c r="M8" s="10">
        <f t="shared" si="5"/>
        <v>0</v>
      </c>
      <c r="N8" s="10">
        <f t="shared" si="6"/>
        <v>0</v>
      </c>
      <c r="O8" s="14"/>
    </row>
    <row r="9" spans="1:17" ht="133.5" customHeight="1" x14ac:dyDescent="0.3">
      <c r="A9" s="23" t="s">
        <v>15</v>
      </c>
      <c r="B9" s="9">
        <v>1</v>
      </c>
      <c r="C9" s="9">
        <v>3</v>
      </c>
      <c r="D9" s="9">
        <v>9.06</v>
      </c>
      <c r="E9" s="10"/>
      <c r="F9" s="10"/>
      <c r="G9" s="10"/>
      <c r="H9" s="10">
        <f t="shared" si="0"/>
        <v>0</v>
      </c>
      <c r="I9" s="10">
        <f t="shared" si="1"/>
        <v>0</v>
      </c>
      <c r="J9" s="10">
        <f t="shared" si="2"/>
        <v>0</v>
      </c>
      <c r="K9" s="11">
        <f t="shared" si="3"/>
        <v>0</v>
      </c>
      <c r="L9" s="10">
        <f t="shared" si="4"/>
        <v>0</v>
      </c>
      <c r="M9" s="10">
        <f t="shared" si="5"/>
        <v>0</v>
      </c>
      <c r="N9" s="10">
        <f t="shared" si="6"/>
        <v>0</v>
      </c>
      <c r="O9" s="14"/>
    </row>
    <row r="10" spans="1:17" s="17" customFormat="1" ht="236.25" customHeight="1" x14ac:dyDescent="0.3">
      <c r="A10" s="23" t="s">
        <v>16</v>
      </c>
      <c r="B10" s="24">
        <v>1</v>
      </c>
      <c r="C10" s="24">
        <v>1</v>
      </c>
      <c r="D10" s="25">
        <v>55.97</v>
      </c>
      <c r="E10" s="26"/>
      <c r="F10" s="10"/>
      <c r="G10" s="26"/>
      <c r="H10" s="10">
        <f t="shared" si="0"/>
        <v>0</v>
      </c>
      <c r="I10" s="26">
        <f t="shared" si="1"/>
        <v>0</v>
      </c>
      <c r="J10" s="26">
        <f t="shared" si="2"/>
        <v>0</v>
      </c>
      <c r="K10" s="11">
        <f t="shared" si="3"/>
        <v>0</v>
      </c>
      <c r="L10" s="10">
        <f>ROUND((K10*B10),0)</f>
        <v>0</v>
      </c>
      <c r="M10" s="10">
        <f>ROUND((K10*B10)/20*12,0)</f>
        <v>0</v>
      </c>
      <c r="N10" s="10">
        <f t="shared" si="6"/>
        <v>0</v>
      </c>
      <c r="O10" s="14"/>
    </row>
    <row r="11" spans="1:17" s="17" customFormat="1" ht="237.75" customHeight="1" x14ac:dyDescent="0.3">
      <c r="A11" s="23" t="s">
        <v>17</v>
      </c>
      <c r="B11" s="24">
        <v>1</v>
      </c>
      <c r="C11" s="24">
        <v>1</v>
      </c>
      <c r="D11" s="25">
        <v>55.97</v>
      </c>
      <c r="E11" s="26"/>
      <c r="F11" s="10"/>
      <c r="G11" s="26"/>
      <c r="H11" s="10">
        <f t="shared" si="0"/>
        <v>0</v>
      </c>
      <c r="I11" s="26">
        <f t="shared" si="1"/>
        <v>0</v>
      </c>
      <c r="J11" s="26">
        <f t="shared" si="2"/>
        <v>0</v>
      </c>
      <c r="K11" s="11">
        <f t="shared" si="3"/>
        <v>0</v>
      </c>
      <c r="L11" s="10">
        <f t="shared" si="4"/>
        <v>0</v>
      </c>
      <c r="M11" s="10">
        <f>ROUND((K11*B11)/20*12,0)</f>
        <v>0</v>
      </c>
      <c r="N11" s="10">
        <f>SUM(L11:M11)</f>
        <v>0</v>
      </c>
      <c r="O11" s="14"/>
    </row>
    <row r="12" spans="1:17" ht="153.75" customHeight="1" x14ac:dyDescent="0.3">
      <c r="A12" s="23" t="s">
        <v>18</v>
      </c>
      <c r="B12" s="9">
        <v>1</v>
      </c>
      <c r="C12" s="9">
        <v>3</v>
      </c>
      <c r="D12" s="9">
        <v>9.06</v>
      </c>
      <c r="E12" s="10"/>
      <c r="F12" s="10"/>
      <c r="G12" s="10"/>
      <c r="H12" s="10">
        <f t="shared" si="0"/>
        <v>0</v>
      </c>
      <c r="I12" s="10">
        <f t="shared" si="1"/>
        <v>0</v>
      </c>
      <c r="J12" s="10">
        <f t="shared" si="2"/>
        <v>0</v>
      </c>
      <c r="K12" s="11">
        <f t="shared" si="3"/>
        <v>0</v>
      </c>
      <c r="L12" s="10">
        <f t="shared" si="4"/>
        <v>0</v>
      </c>
      <c r="M12" s="10">
        <f t="shared" si="5"/>
        <v>0</v>
      </c>
      <c r="N12" s="10">
        <f t="shared" si="6"/>
        <v>0</v>
      </c>
      <c r="O12" s="14"/>
    </row>
    <row r="13" spans="1:17" ht="152.25" customHeight="1" x14ac:dyDescent="0.3">
      <c r="A13" s="23" t="s">
        <v>19</v>
      </c>
      <c r="B13" s="9">
        <v>1</v>
      </c>
      <c r="C13" s="9">
        <v>3</v>
      </c>
      <c r="D13" s="9">
        <v>9.06</v>
      </c>
      <c r="E13" s="10"/>
      <c r="F13" s="10"/>
      <c r="G13" s="10"/>
      <c r="H13" s="10">
        <f t="shared" si="0"/>
        <v>0</v>
      </c>
      <c r="I13" s="10">
        <f t="shared" si="1"/>
        <v>0</v>
      </c>
      <c r="J13" s="10">
        <f t="shared" si="2"/>
        <v>0</v>
      </c>
      <c r="K13" s="11">
        <f t="shared" si="3"/>
        <v>0</v>
      </c>
      <c r="L13" s="10">
        <f t="shared" si="4"/>
        <v>0</v>
      </c>
      <c r="M13" s="10">
        <f t="shared" si="5"/>
        <v>0</v>
      </c>
      <c r="N13" s="10">
        <f t="shared" si="6"/>
        <v>0</v>
      </c>
      <c r="O13" s="14"/>
    </row>
    <row r="14" spans="1:17" ht="152.25" customHeight="1" x14ac:dyDescent="0.3">
      <c r="A14" s="23" t="s">
        <v>38</v>
      </c>
      <c r="B14" s="9">
        <v>1</v>
      </c>
      <c r="C14" s="9">
        <v>1</v>
      </c>
      <c r="D14" s="12">
        <v>55.97</v>
      </c>
      <c r="E14" s="10"/>
      <c r="F14" s="10"/>
      <c r="G14" s="10"/>
      <c r="H14" s="10">
        <f t="shared" si="0"/>
        <v>0</v>
      </c>
      <c r="I14" s="10">
        <f t="shared" si="1"/>
        <v>0</v>
      </c>
      <c r="J14" s="10">
        <f t="shared" si="2"/>
        <v>0</v>
      </c>
      <c r="K14" s="11">
        <f t="shared" si="3"/>
        <v>0</v>
      </c>
      <c r="L14" s="10">
        <f t="shared" si="4"/>
        <v>0</v>
      </c>
      <c r="M14" s="10">
        <f t="shared" si="5"/>
        <v>0</v>
      </c>
      <c r="N14" s="10">
        <f t="shared" si="6"/>
        <v>0</v>
      </c>
      <c r="O14" s="14"/>
    </row>
    <row r="15" spans="1:17" s="17" customFormat="1" ht="306" customHeight="1" x14ac:dyDescent="0.3">
      <c r="A15" s="23" t="s">
        <v>46</v>
      </c>
      <c r="B15" s="24">
        <v>6</v>
      </c>
      <c r="C15" s="24">
        <v>6</v>
      </c>
      <c r="D15" s="28">
        <v>55.97</v>
      </c>
      <c r="E15" s="10"/>
      <c r="F15" s="10"/>
      <c r="G15" s="10"/>
      <c r="H15" s="10">
        <f t="shared" si="0"/>
        <v>0</v>
      </c>
      <c r="I15" s="26">
        <f t="shared" si="1"/>
        <v>0</v>
      </c>
      <c r="J15" s="26">
        <f t="shared" si="2"/>
        <v>0</v>
      </c>
      <c r="K15" s="11">
        <f t="shared" si="3"/>
        <v>0</v>
      </c>
      <c r="L15" s="10">
        <f t="shared" si="4"/>
        <v>0</v>
      </c>
      <c r="M15" s="10">
        <f>ROUND((K15*B15)/20*12,0)</f>
        <v>0</v>
      </c>
      <c r="N15" s="10">
        <f t="shared" si="6"/>
        <v>0</v>
      </c>
      <c r="O15" s="14"/>
      <c r="Q15" s="27"/>
    </row>
    <row r="16" spans="1:17" ht="33.75" customHeight="1" x14ac:dyDescent="0.3">
      <c r="A16" s="60" t="s">
        <v>20</v>
      </c>
      <c r="B16" s="61"/>
      <c r="C16" s="61"/>
      <c r="D16" s="61"/>
      <c r="E16" s="61"/>
      <c r="F16" s="61"/>
      <c r="G16" s="61"/>
      <c r="H16" s="61"/>
      <c r="I16" s="61"/>
      <c r="J16" s="62"/>
      <c r="K16" s="31">
        <f>SUM(K5:K15)</f>
        <v>0</v>
      </c>
      <c r="L16" s="10">
        <f>SUM(L5:L15)</f>
        <v>0</v>
      </c>
      <c r="M16" s="31">
        <f>SUM(M5:M15)</f>
        <v>0</v>
      </c>
      <c r="N16" s="31">
        <f>SUM(N5:N15)</f>
        <v>0</v>
      </c>
      <c r="O16" s="14"/>
    </row>
    <row r="17" spans="11:14" x14ac:dyDescent="0.3">
      <c r="K17" s="19"/>
      <c r="L17" s="20"/>
      <c r="M17" s="14"/>
      <c r="N17" s="15"/>
    </row>
    <row r="18" spans="11:14" x14ac:dyDescent="0.3">
      <c r="K18" s="21"/>
      <c r="L18" s="22"/>
      <c r="M18" s="14"/>
      <c r="N18" s="16"/>
    </row>
    <row r="19" spans="11:14" x14ac:dyDescent="0.3">
      <c r="L19" s="18"/>
      <c r="N19" s="14"/>
    </row>
    <row r="20" spans="11:14" x14ac:dyDescent="0.3">
      <c r="L20" s="18"/>
      <c r="N20" s="16"/>
    </row>
    <row r="21" spans="11:14" x14ac:dyDescent="0.3">
      <c r="L21" s="18"/>
      <c r="N21" s="16"/>
    </row>
    <row r="22" spans="11:14" x14ac:dyDescent="0.3">
      <c r="L22" s="18"/>
      <c r="N22" s="16"/>
    </row>
    <row r="23" spans="11:14" x14ac:dyDescent="0.3">
      <c r="N23" s="16"/>
    </row>
  </sheetData>
  <mergeCells count="2">
    <mergeCell ref="A1:N1"/>
    <mergeCell ref="A16:J16"/>
  </mergeCells>
  <printOptions horizontalCentered="1" verticalCentered="1"/>
  <pageMargins left="0.43307086614173229" right="0.43307086614173229" top="0.74803149606299213" bottom="0.74803149606299213" header="0.31496062992125984" footer="0.31496062992125984"/>
  <pageSetup scale="2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23"/>
  <sheetViews>
    <sheetView zoomScale="90" zoomScaleNormal="90" zoomScaleSheetLayoutView="100" workbookViewId="0">
      <pane ySplit="3" topLeftCell="A4" activePane="bottomLeft" state="frozen"/>
      <selection activeCell="Y15" sqref="Y15"/>
      <selection pane="bottomLeft" activeCell="Y15" sqref="Y15"/>
    </sheetView>
  </sheetViews>
  <sheetFormatPr baseColWidth="10" defaultColWidth="11.42578125" defaultRowHeight="16.5" x14ac:dyDescent="0.3"/>
  <cols>
    <col min="1" max="1" width="55.28515625" style="1" customWidth="1"/>
    <col min="2" max="3" width="16.42578125" style="1" customWidth="1"/>
    <col min="4" max="4" width="18.28515625" style="1" customWidth="1"/>
    <col min="5" max="6" width="18.5703125" style="1" customWidth="1"/>
    <col min="7" max="7" width="20.28515625" style="1" customWidth="1"/>
    <col min="8" max="8" width="15.42578125" style="1" customWidth="1"/>
    <col min="9" max="9" width="16.5703125" style="1" customWidth="1"/>
    <col min="10" max="10" width="14.85546875" style="1" customWidth="1"/>
    <col min="11" max="13" width="19.42578125" style="1" customWidth="1"/>
    <col min="14" max="14" width="17.85546875" style="1" customWidth="1"/>
    <col min="15" max="15" width="17.28515625" style="1" customWidth="1"/>
    <col min="16" max="16" width="17" style="1" customWidth="1"/>
    <col min="17" max="17" width="17.140625" style="1" customWidth="1"/>
    <col min="18" max="18" width="16.42578125" style="1" customWidth="1"/>
    <col min="19" max="19" width="17.28515625" style="1" customWidth="1"/>
    <col min="20" max="20" width="15.7109375" style="1" customWidth="1"/>
    <col min="21" max="21" width="15.85546875" style="1" customWidth="1"/>
    <col min="22" max="22" width="17" style="1" customWidth="1"/>
    <col min="23" max="24" width="15.7109375" style="1" customWidth="1"/>
    <col min="25" max="25" width="16.7109375" style="1" customWidth="1"/>
    <col min="26" max="26" width="18.7109375" style="1" customWidth="1"/>
    <col min="27" max="27" width="13.28515625" style="1" bestFit="1" customWidth="1"/>
    <col min="28" max="16384" width="11.42578125" style="1"/>
  </cols>
  <sheetData>
    <row r="1" spans="1:29" ht="74.25" customHeight="1" x14ac:dyDescent="0.3">
      <c r="A1" s="58" t="s">
        <v>21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</row>
    <row r="2" spans="1:29" ht="18" customHeight="1" x14ac:dyDescent="0.3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</row>
    <row r="3" spans="1:29" ht="75.75" customHeight="1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2" t="s">
        <v>8</v>
      </c>
      <c r="I3" s="2" t="s">
        <v>9</v>
      </c>
      <c r="J3" s="2" t="s">
        <v>10</v>
      </c>
      <c r="K3" s="32" t="s">
        <v>11</v>
      </c>
      <c r="L3" s="3" t="s">
        <v>22</v>
      </c>
      <c r="M3" s="3" t="s">
        <v>23</v>
      </c>
      <c r="N3" s="3" t="s">
        <v>24</v>
      </c>
      <c r="O3" s="3" t="s">
        <v>25</v>
      </c>
      <c r="P3" s="3" t="s">
        <v>26</v>
      </c>
      <c r="Q3" s="3" t="s">
        <v>27</v>
      </c>
      <c r="R3" s="3" t="s">
        <v>28</v>
      </c>
      <c r="S3" s="3" t="s">
        <v>29</v>
      </c>
      <c r="T3" s="3" t="s">
        <v>30</v>
      </c>
      <c r="U3" s="3" t="s">
        <v>31</v>
      </c>
      <c r="V3" s="3" t="s">
        <v>32</v>
      </c>
      <c r="W3" s="3" t="s">
        <v>33</v>
      </c>
      <c r="X3" s="3" t="s">
        <v>47</v>
      </c>
      <c r="Y3" s="3" t="s">
        <v>48</v>
      </c>
      <c r="Z3" s="3" t="s">
        <v>49</v>
      </c>
    </row>
    <row r="4" spans="1:29" ht="31.5" customHeight="1" x14ac:dyDescent="0.3">
      <c r="A4" s="4"/>
      <c r="B4" s="5"/>
      <c r="C4" s="5"/>
      <c r="D4" s="6">
        <v>1160000</v>
      </c>
      <c r="E4" s="4"/>
      <c r="F4" s="4"/>
      <c r="G4" s="7" t="s">
        <v>13</v>
      </c>
      <c r="H4" s="6"/>
      <c r="I4" s="7">
        <v>0.1</v>
      </c>
      <c r="J4" s="7">
        <v>0.19</v>
      </c>
      <c r="K4" s="8"/>
      <c r="L4" s="33">
        <v>0.03</v>
      </c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14"/>
    </row>
    <row r="5" spans="1:29" ht="183" customHeight="1" x14ac:dyDescent="0.3">
      <c r="A5" s="23" t="s">
        <v>45</v>
      </c>
      <c r="B5" s="9">
        <v>3</v>
      </c>
      <c r="C5" s="9">
        <v>9</v>
      </c>
      <c r="D5" s="24">
        <v>9.06</v>
      </c>
      <c r="E5" s="10"/>
      <c r="F5" s="10"/>
      <c r="G5" s="10"/>
      <c r="H5" s="10">
        <f t="shared" ref="H5:H15" si="0">ROUND((E5+F5+G5),0)</f>
        <v>0</v>
      </c>
      <c r="I5" s="10">
        <f t="shared" ref="I5:I15" si="1">ROUND((H5*10%),0)</f>
        <v>0</v>
      </c>
      <c r="J5" s="10">
        <f t="shared" ref="J5:J15" si="2">ROUND((I5*19%),0)</f>
        <v>0</v>
      </c>
      <c r="K5" s="11">
        <f t="shared" ref="K5:K15" si="3">ROUND(H5+J5,0)</f>
        <v>0</v>
      </c>
      <c r="L5" s="10">
        <f>ROUND((K5*$L$4),0)</f>
        <v>0</v>
      </c>
      <c r="M5" s="11">
        <f>+K5+L5</f>
        <v>0</v>
      </c>
      <c r="N5" s="10">
        <f>ROUND((M5*B5),0)</f>
        <v>0</v>
      </c>
      <c r="O5" s="10">
        <f>ROUND((M5*B5),0)</f>
        <v>0</v>
      </c>
      <c r="P5" s="10">
        <f>ROUND((M5*B5),0)</f>
        <v>0</v>
      </c>
      <c r="Q5" s="10">
        <f>ROUND((M5*B5),0)</f>
        <v>0</v>
      </c>
      <c r="R5" s="10">
        <f>ROUND((M5*B5),0)</f>
        <v>0</v>
      </c>
      <c r="S5" s="10">
        <f>ROUND((M5*B5),0)</f>
        <v>0</v>
      </c>
      <c r="T5" s="10">
        <f>ROUND((M5*B5),0)</f>
        <v>0</v>
      </c>
      <c r="U5" s="10">
        <f>ROUND((M5*B5),0)</f>
        <v>0</v>
      </c>
      <c r="V5" s="10">
        <f>ROUND((M5*B5),0)</f>
        <v>0</v>
      </c>
      <c r="W5" s="10">
        <f>ROUND((M5*B5),0)</f>
        <v>0</v>
      </c>
      <c r="X5" s="10">
        <f>ROUND((M5*B5),0)</f>
        <v>0</v>
      </c>
      <c r="Y5" s="10">
        <f>ROUND((M5*B5),0)</f>
        <v>0</v>
      </c>
      <c r="Z5" s="10">
        <f>SUM(N5:Y5)</f>
        <v>0</v>
      </c>
      <c r="AA5" s="14"/>
      <c r="AC5" s="14"/>
    </row>
    <row r="6" spans="1:29" ht="151.5" customHeight="1" x14ac:dyDescent="0.3">
      <c r="A6" s="23" t="s">
        <v>36</v>
      </c>
      <c r="B6" s="9">
        <v>1</v>
      </c>
      <c r="C6" s="9">
        <v>3</v>
      </c>
      <c r="D6" s="24">
        <v>9.06</v>
      </c>
      <c r="E6" s="10"/>
      <c r="F6" s="10"/>
      <c r="G6" s="10"/>
      <c r="H6" s="10">
        <f t="shared" si="0"/>
        <v>0</v>
      </c>
      <c r="I6" s="10">
        <f t="shared" si="1"/>
        <v>0</v>
      </c>
      <c r="J6" s="10">
        <f t="shared" si="2"/>
        <v>0</v>
      </c>
      <c r="K6" s="11">
        <f t="shared" si="3"/>
        <v>0</v>
      </c>
      <c r="L6" s="10">
        <f t="shared" ref="L6:L11" si="4">ROUND((K6*$L$4),0)</f>
        <v>0</v>
      </c>
      <c r="M6" s="11">
        <f t="shared" ref="M6:M15" si="5">+K6+L6</f>
        <v>0</v>
      </c>
      <c r="N6" s="10">
        <f t="shared" ref="N6:N14" si="6">ROUND((M6*B6),0)</f>
        <v>0</v>
      </c>
      <c r="O6" s="10">
        <f t="shared" ref="O6:O15" si="7">ROUND((M6*B6),0)</f>
        <v>0</v>
      </c>
      <c r="P6" s="10">
        <f t="shared" ref="P6:P14" si="8">ROUND((M6*B6),0)</f>
        <v>0</v>
      </c>
      <c r="Q6" s="10">
        <f>ROUND((M6*B6),0)</f>
        <v>0</v>
      </c>
      <c r="R6" s="10">
        <f t="shared" ref="R6:R15" si="9">ROUND((M6*B6),0)</f>
        <v>0</v>
      </c>
      <c r="S6" s="10">
        <f t="shared" ref="S6:S15" si="10">ROUND((M6*B6),0)</f>
        <v>0</v>
      </c>
      <c r="T6" s="10">
        <f t="shared" ref="T6:T15" si="11">ROUND((M6*B6),0)</f>
        <v>0</v>
      </c>
      <c r="U6" s="10">
        <f t="shared" ref="U6:U15" si="12">ROUND((M6*B6),0)</f>
        <v>0</v>
      </c>
      <c r="V6" s="10">
        <f t="shared" ref="V6:V15" si="13">ROUND((M6*B6),0)</f>
        <v>0</v>
      </c>
      <c r="W6" s="10">
        <f t="shared" ref="W6:W15" si="14">ROUND((M6*B6),0)</f>
        <v>0</v>
      </c>
      <c r="X6" s="10">
        <f t="shared" ref="X6:X15" si="15">ROUND((M6*B6),0)</f>
        <v>0</v>
      </c>
      <c r="Y6" s="10">
        <f t="shared" ref="Y6:Y14" si="16">ROUND((M6*B6),0)</f>
        <v>0</v>
      </c>
      <c r="Z6" s="10">
        <f t="shared" ref="Z6:Z15" si="17">SUM(N6:Y6)</f>
        <v>0</v>
      </c>
      <c r="AA6" s="14"/>
    </row>
    <row r="7" spans="1:29" ht="151.5" customHeight="1" x14ac:dyDescent="0.3">
      <c r="A7" s="23" t="s">
        <v>14</v>
      </c>
      <c r="B7" s="9">
        <v>1</v>
      </c>
      <c r="C7" s="9">
        <v>1</v>
      </c>
      <c r="D7" s="12">
        <v>55.97</v>
      </c>
      <c r="E7" s="10"/>
      <c r="F7" s="10"/>
      <c r="G7" s="10"/>
      <c r="H7" s="10">
        <f t="shared" si="0"/>
        <v>0</v>
      </c>
      <c r="I7" s="10">
        <f t="shared" si="1"/>
        <v>0</v>
      </c>
      <c r="J7" s="10">
        <f t="shared" si="2"/>
        <v>0</v>
      </c>
      <c r="K7" s="11">
        <f t="shared" si="3"/>
        <v>0</v>
      </c>
      <c r="L7" s="10">
        <f t="shared" si="4"/>
        <v>0</v>
      </c>
      <c r="M7" s="11">
        <f t="shared" si="5"/>
        <v>0</v>
      </c>
      <c r="N7" s="10">
        <f t="shared" si="6"/>
        <v>0</v>
      </c>
      <c r="O7" s="10">
        <f t="shared" si="7"/>
        <v>0</v>
      </c>
      <c r="P7" s="10">
        <f t="shared" si="8"/>
        <v>0</v>
      </c>
      <c r="Q7" s="10">
        <f t="shared" ref="Q7:Q15" si="18">ROUND((M7*B7),0)</f>
        <v>0</v>
      </c>
      <c r="R7" s="10">
        <f t="shared" si="9"/>
        <v>0</v>
      </c>
      <c r="S7" s="10">
        <f t="shared" si="10"/>
        <v>0</v>
      </c>
      <c r="T7" s="10">
        <f t="shared" si="11"/>
        <v>0</v>
      </c>
      <c r="U7" s="10">
        <f t="shared" si="12"/>
        <v>0</v>
      </c>
      <c r="V7" s="10">
        <f t="shared" si="13"/>
        <v>0</v>
      </c>
      <c r="W7" s="10">
        <f t="shared" si="14"/>
        <v>0</v>
      </c>
      <c r="X7" s="10">
        <f t="shared" si="15"/>
        <v>0</v>
      </c>
      <c r="Y7" s="10">
        <f t="shared" si="16"/>
        <v>0</v>
      </c>
      <c r="Z7" s="10">
        <f t="shared" si="17"/>
        <v>0</v>
      </c>
      <c r="AA7" s="14"/>
      <c r="AB7" s="14"/>
    </row>
    <row r="8" spans="1:29" ht="153.75" customHeight="1" x14ac:dyDescent="0.3">
      <c r="A8" s="23" t="s">
        <v>37</v>
      </c>
      <c r="B8" s="9">
        <v>1</v>
      </c>
      <c r="C8" s="9">
        <v>1</v>
      </c>
      <c r="D8" s="13">
        <v>55.97</v>
      </c>
      <c r="E8" s="10"/>
      <c r="F8" s="10"/>
      <c r="G8" s="10"/>
      <c r="H8" s="10">
        <f t="shared" si="0"/>
        <v>0</v>
      </c>
      <c r="I8" s="10">
        <f t="shared" si="1"/>
        <v>0</v>
      </c>
      <c r="J8" s="10">
        <f t="shared" si="2"/>
        <v>0</v>
      </c>
      <c r="K8" s="11">
        <f t="shared" si="3"/>
        <v>0</v>
      </c>
      <c r="L8" s="10">
        <f t="shared" si="4"/>
        <v>0</v>
      </c>
      <c r="M8" s="11">
        <f t="shared" si="5"/>
        <v>0</v>
      </c>
      <c r="N8" s="10">
        <f t="shared" si="6"/>
        <v>0</v>
      </c>
      <c r="O8" s="10">
        <f t="shared" si="7"/>
        <v>0</v>
      </c>
      <c r="P8" s="10">
        <f t="shared" si="8"/>
        <v>0</v>
      </c>
      <c r="Q8" s="10">
        <f t="shared" si="18"/>
        <v>0</v>
      </c>
      <c r="R8" s="10">
        <f t="shared" si="9"/>
        <v>0</v>
      </c>
      <c r="S8" s="10">
        <f t="shared" si="10"/>
        <v>0</v>
      </c>
      <c r="T8" s="10">
        <f t="shared" si="11"/>
        <v>0</v>
      </c>
      <c r="U8" s="10">
        <f t="shared" si="12"/>
        <v>0</v>
      </c>
      <c r="V8" s="10">
        <f t="shared" si="13"/>
        <v>0</v>
      </c>
      <c r="W8" s="10">
        <f t="shared" si="14"/>
        <v>0</v>
      </c>
      <c r="X8" s="10">
        <f t="shared" si="15"/>
        <v>0</v>
      </c>
      <c r="Y8" s="10">
        <f t="shared" si="16"/>
        <v>0</v>
      </c>
      <c r="Z8" s="10">
        <f t="shared" si="17"/>
        <v>0</v>
      </c>
      <c r="AA8" s="14"/>
    </row>
    <row r="9" spans="1:29" ht="133.5" customHeight="1" x14ac:dyDescent="0.3">
      <c r="A9" s="23" t="s">
        <v>15</v>
      </c>
      <c r="B9" s="9">
        <v>1</v>
      </c>
      <c r="C9" s="9">
        <v>3</v>
      </c>
      <c r="D9" s="9">
        <v>9.06</v>
      </c>
      <c r="E9" s="10"/>
      <c r="F9" s="10"/>
      <c r="G9" s="10"/>
      <c r="H9" s="10">
        <f t="shared" si="0"/>
        <v>0</v>
      </c>
      <c r="I9" s="10">
        <f t="shared" si="1"/>
        <v>0</v>
      </c>
      <c r="J9" s="10">
        <f t="shared" si="2"/>
        <v>0</v>
      </c>
      <c r="K9" s="11">
        <f t="shared" si="3"/>
        <v>0</v>
      </c>
      <c r="L9" s="10">
        <f t="shared" si="4"/>
        <v>0</v>
      </c>
      <c r="M9" s="11">
        <f t="shared" si="5"/>
        <v>0</v>
      </c>
      <c r="N9" s="10">
        <f t="shared" si="6"/>
        <v>0</v>
      </c>
      <c r="O9" s="10">
        <f t="shared" si="7"/>
        <v>0</v>
      </c>
      <c r="P9" s="10">
        <f t="shared" si="8"/>
        <v>0</v>
      </c>
      <c r="Q9" s="10">
        <f t="shared" si="18"/>
        <v>0</v>
      </c>
      <c r="R9" s="10">
        <f t="shared" si="9"/>
        <v>0</v>
      </c>
      <c r="S9" s="10">
        <f t="shared" si="10"/>
        <v>0</v>
      </c>
      <c r="T9" s="10">
        <f t="shared" si="11"/>
        <v>0</v>
      </c>
      <c r="U9" s="10">
        <f t="shared" si="12"/>
        <v>0</v>
      </c>
      <c r="V9" s="10">
        <f t="shared" si="13"/>
        <v>0</v>
      </c>
      <c r="W9" s="10">
        <f t="shared" si="14"/>
        <v>0</v>
      </c>
      <c r="X9" s="10">
        <f t="shared" si="15"/>
        <v>0</v>
      </c>
      <c r="Y9" s="10">
        <f t="shared" si="16"/>
        <v>0</v>
      </c>
      <c r="Z9" s="10">
        <f t="shared" si="17"/>
        <v>0</v>
      </c>
      <c r="AA9" s="14"/>
    </row>
    <row r="10" spans="1:29" s="17" customFormat="1" ht="273" customHeight="1" x14ac:dyDescent="0.3">
      <c r="A10" s="23" t="s">
        <v>50</v>
      </c>
      <c r="B10" s="24">
        <v>1</v>
      </c>
      <c r="C10" s="24">
        <v>1</v>
      </c>
      <c r="D10" s="25">
        <v>55.97</v>
      </c>
      <c r="E10" s="26"/>
      <c r="F10" s="10"/>
      <c r="G10" s="26"/>
      <c r="H10" s="10">
        <f t="shared" si="0"/>
        <v>0</v>
      </c>
      <c r="I10" s="26">
        <f t="shared" si="1"/>
        <v>0</v>
      </c>
      <c r="J10" s="26">
        <f t="shared" si="2"/>
        <v>0</v>
      </c>
      <c r="K10" s="11">
        <f t="shared" si="3"/>
        <v>0</v>
      </c>
      <c r="L10" s="10">
        <f t="shared" si="4"/>
        <v>0</v>
      </c>
      <c r="M10" s="11">
        <f t="shared" si="5"/>
        <v>0</v>
      </c>
      <c r="N10" s="10">
        <f>ROUND((M10*B10)/20*14,0)</f>
        <v>0</v>
      </c>
      <c r="O10" s="10">
        <f t="shared" si="7"/>
        <v>0</v>
      </c>
      <c r="P10" s="10">
        <f>ROUND((M10*B10)/20*15,0)</f>
        <v>0</v>
      </c>
      <c r="Q10" s="10">
        <f t="shared" si="18"/>
        <v>0</v>
      </c>
      <c r="R10" s="10">
        <f t="shared" si="9"/>
        <v>0</v>
      </c>
      <c r="S10" s="10">
        <f t="shared" si="10"/>
        <v>0</v>
      </c>
      <c r="T10" s="10">
        <f t="shared" si="11"/>
        <v>0</v>
      </c>
      <c r="U10" s="10">
        <f t="shared" si="12"/>
        <v>0</v>
      </c>
      <c r="V10" s="10">
        <f t="shared" si="13"/>
        <v>0</v>
      </c>
      <c r="W10" s="10">
        <f t="shared" si="14"/>
        <v>0</v>
      </c>
      <c r="X10" s="10">
        <f t="shared" si="15"/>
        <v>0</v>
      </c>
      <c r="Y10" s="10">
        <f>ROUND((M10*B10)/20*14,0)</f>
        <v>0</v>
      </c>
      <c r="Z10" s="10">
        <f t="shared" si="17"/>
        <v>0</v>
      </c>
      <c r="AA10" s="14"/>
    </row>
    <row r="11" spans="1:29" s="17" customFormat="1" ht="274.5" customHeight="1" x14ac:dyDescent="0.3">
      <c r="A11" s="23" t="s">
        <v>51</v>
      </c>
      <c r="B11" s="24">
        <v>1</v>
      </c>
      <c r="C11" s="24">
        <v>1</v>
      </c>
      <c r="D11" s="25">
        <v>55.97</v>
      </c>
      <c r="E11" s="26"/>
      <c r="F11" s="10"/>
      <c r="G11" s="26"/>
      <c r="H11" s="10">
        <f t="shared" si="0"/>
        <v>0</v>
      </c>
      <c r="I11" s="26">
        <f t="shared" si="1"/>
        <v>0</v>
      </c>
      <c r="J11" s="26">
        <f t="shared" si="2"/>
        <v>0</v>
      </c>
      <c r="K11" s="11">
        <f t="shared" si="3"/>
        <v>0</v>
      </c>
      <c r="L11" s="10">
        <f t="shared" si="4"/>
        <v>0</v>
      </c>
      <c r="M11" s="11">
        <f t="shared" si="5"/>
        <v>0</v>
      </c>
      <c r="N11" s="10">
        <f>ROUND((M11*B11)/20*14,0)</f>
        <v>0</v>
      </c>
      <c r="O11" s="10">
        <f t="shared" si="7"/>
        <v>0</v>
      </c>
      <c r="P11" s="10">
        <f>ROUND((M11*B11)/20*15,0)</f>
        <v>0</v>
      </c>
      <c r="Q11" s="10">
        <f t="shared" si="18"/>
        <v>0</v>
      </c>
      <c r="R11" s="10">
        <f t="shared" si="9"/>
        <v>0</v>
      </c>
      <c r="S11" s="10">
        <f t="shared" si="10"/>
        <v>0</v>
      </c>
      <c r="T11" s="10">
        <f t="shared" si="11"/>
        <v>0</v>
      </c>
      <c r="U11" s="10">
        <f t="shared" si="12"/>
        <v>0</v>
      </c>
      <c r="V11" s="10">
        <f t="shared" si="13"/>
        <v>0</v>
      </c>
      <c r="W11" s="10">
        <f t="shared" si="14"/>
        <v>0</v>
      </c>
      <c r="X11" s="10">
        <f t="shared" si="15"/>
        <v>0</v>
      </c>
      <c r="Y11" s="10">
        <f>ROUND((M11*B11)/20*14,0)</f>
        <v>0</v>
      </c>
      <c r="Z11" s="10">
        <f t="shared" si="17"/>
        <v>0</v>
      </c>
      <c r="AA11" s="14"/>
    </row>
    <row r="12" spans="1:29" ht="153.75" customHeight="1" x14ac:dyDescent="0.3">
      <c r="A12" s="23" t="s">
        <v>18</v>
      </c>
      <c r="B12" s="9">
        <v>1</v>
      </c>
      <c r="C12" s="9">
        <v>3</v>
      </c>
      <c r="D12" s="9">
        <v>9.06</v>
      </c>
      <c r="E12" s="10"/>
      <c r="F12" s="10"/>
      <c r="G12" s="10"/>
      <c r="H12" s="10">
        <f t="shared" si="0"/>
        <v>0</v>
      </c>
      <c r="I12" s="10">
        <f t="shared" si="1"/>
        <v>0</v>
      </c>
      <c r="J12" s="10">
        <f t="shared" si="2"/>
        <v>0</v>
      </c>
      <c r="K12" s="11">
        <f t="shared" si="3"/>
        <v>0</v>
      </c>
      <c r="L12" s="10">
        <f>ROUND((K12*$L$4),0)</f>
        <v>0</v>
      </c>
      <c r="M12" s="11">
        <f t="shared" si="5"/>
        <v>0</v>
      </c>
      <c r="N12" s="10">
        <f t="shared" si="6"/>
        <v>0</v>
      </c>
      <c r="O12" s="10">
        <f t="shared" si="7"/>
        <v>0</v>
      </c>
      <c r="P12" s="10">
        <f t="shared" si="8"/>
        <v>0</v>
      </c>
      <c r="Q12" s="10">
        <f t="shared" si="18"/>
        <v>0</v>
      </c>
      <c r="R12" s="10">
        <f t="shared" si="9"/>
        <v>0</v>
      </c>
      <c r="S12" s="10">
        <f t="shared" si="10"/>
        <v>0</v>
      </c>
      <c r="T12" s="10">
        <f t="shared" si="11"/>
        <v>0</v>
      </c>
      <c r="U12" s="10">
        <f t="shared" si="12"/>
        <v>0</v>
      </c>
      <c r="V12" s="10">
        <f t="shared" si="13"/>
        <v>0</v>
      </c>
      <c r="W12" s="10">
        <f t="shared" si="14"/>
        <v>0</v>
      </c>
      <c r="X12" s="10">
        <f t="shared" si="15"/>
        <v>0</v>
      </c>
      <c r="Y12" s="10">
        <f t="shared" si="16"/>
        <v>0</v>
      </c>
      <c r="Z12" s="10">
        <f t="shared" si="17"/>
        <v>0</v>
      </c>
      <c r="AA12" s="14"/>
    </row>
    <row r="13" spans="1:29" ht="152.25" customHeight="1" x14ac:dyDescent="0.3">
      <c r="A13" s="23" t="s">
        <v>19</v>
      </c>
      <c r="B13" s="9">
        <v>1</v>
      </c>
      <c r="C13" s="9">
        <v>3</v>
      </c>
      <c r="D13" s="9">
        <v>9.06</v>
      </c>
      <c r="E13" s="10"/>
      <c r="F13" s="10"/>
      <c r="G13" s="10"/>
      <c r="H13" s="10">
        <f t="shared" si="0"/>
        <v>0</v>
      </c>
      <c r="I13" s="10">
        <f t="shared" si="1"/>
        <v>0</v>
      </c>
      <c r="J13" s="10">
        <f t="shared" si="2"/>
        <v>0</v>
      </c>
      <c r="K13" s="11">
        <f t="shared" si="3"/>
        <v>0</v>
      </c>
      <c r="L13" s="10">
        <f>ROUND((K13*$L$4),0)</f>
        <v>0</v>
      </c>
      <c r="M13" s="11">
        <f t="shared" si="5"/>
        <v>0</v>
      </c>
      <c r="N13" s="10">
        <f t="shared" si="6"/>
        <v>0</v>
      </c>
      <c r="O13" s="10">
        <f t="shared" si="7"/>
        <v>0</v>
      </c>
      <c r="P13" s="10">
        <f t="shared" si="8"/>
        <v>0</v>
      </c>
      <c r="Q13" s="10">
        <f t="shared" si="18"/>
        <v>0</v>
      </c>
      <c r="R13" s="10">
        <f t="shared" si="9"/>
        <v>0</v>
      </c>
      <c r="S13" s="10">
        <f t="shared" si="10"/>
        <v>0</v>
      </c>
      <c r="T13" s="10">
        <f t="shared" si="11"/>
        <v>0</v>
      </c>
      <c r="U13" s="10">
        <f t="shared" si="12"/>
        <v>0</v>
      </c>
      <c r="V13" s="10">
        <f t="shared" si="13"/>
        <v>0</v>
      </c>
      <c r="W13" s="10">
        <f t="shared" si="14"/>
        <v>0</v>
      </c>
      <c r="X13" s="10">
        <f t="shared" si="15"/>
        <v>0</v>
      </c>
      <c r="Y13" s="10">
        <f t="shared" si="16"/>
        <v>0</v>
      </c>
      <c r="Z13" s="10">
        <f t="shared" si="17"/>
        <v>0</v>
      </c>
      <c r="AA13" s="14"/>
    </row>
    <row r="14" spans="1:29" ht="152.25" customHeight="1" x14ac:dyDescent="0.3">
      <c r="A14" s="23" t="s">
        <v>38</v>
      </c>
      <c r="B14" s="9">
        <v>1</v>
      </c>
      <c r="C14" s="9">
        <v>1</v>
      </c>
      <c r="D14" s="12">
        <v>55.97</v>
      </c>
      <c r="E14" s="10"/>
      <c r="F14" s="10"/>
      <c r="G14" s="10"/>
      <c r="H14" s="10">
        <f t="shared" si="0"/>
        <v>0</v>
      </c>
      <c r="I14" s="10">
        <f t="shared" si="1"/>
        <v>0</v>
      </c>
      <c r="J14" s="10">
        <f t="shared" si="2"/>
        <v>0</v>
      </c>
      <c r="K14" s="11">
        <f t="shared" si="3"/>
        <v>0</v>
      </c>
      <c r="L14" s="10">
        <f>ROUND((K14*$L$4),0)</f>
        <v>0</v>
      </c>
      <c r="M14" s="11">
        <f t="shared" si="5"/>
        <v>0</v>
      </c>
      <c r="N14" s="10">
        <f t="shared" si="6"/>
        <v>0</v>
      </c>
      <c r="O14" s="10">
        <f t="shared" si="7"/>
        <v>0</v>
      </c>
      <c r="P14" s="10">
        <f t="shared" si="8"/>
        <v>0</v>
      </c>
      <c r="Q14" s="10">
        <f t="shared" si="18"/>
        <v>0</v>
      </c>
      <c r="R14" s="10">
        <f t="shared" si="9"/>
        <v>0</v>
      </c>
      <c r="S14" s="10">
        <f t="shared" si="10"/>
        <v>0</v>
      </c>
      <c r="T14" s="10">
        <f t="shared" si="11"/>
        <v>0</v>
      </c>
      <c r="U14" s="10">
        <f t="shared" si="12"/>
        <v>0</v>
      </c>
      <c r="V14" s="10">
        <f t="shared" si="13"/>
        <v>0</v>
      </c>
      <c r="W14" s="10">
        <f t="shared" si="14"/>
        <v>0</v>
      </c>
      <c r="X14" s="10">
        <f t="shared" si="15"/>
        <v>0</v>
      </c>
      <c r="Y14" s="10">
        <f t="shared" si="16"/>
        <v>0</v>
      </c>
      <c r="Z14" s="10">
        <f t="shared" si="17"/>
        <v>0</v>
      </c>
      <c r="AA14" s="14"/>
    </row>
    <row r="15" spans="1:29" s="17" customFormat="1" ht="336" customHeight="1" x14ac:dyDescent="0.3">
      <c r="A15" s="23" t="s">
        <v>52</v>
      </c>
      <c r="B15" s="24">
        <v>6</v>
      </c>
      <c r="C15" s="24">
        <v>6</v>
      </c>
      <c r="D15" s="28">
        <v>55.97</v>
      </c>
      <c r="E15" s="10"/>
      <c r="F15" s="10"/>
      <c r="G15" s="10"/>
      <c r="H15" s="10">
        <f t="shared" si="0"/>
        <v>0</v>
      </c>
      <c r="I15" s="26">
        <f t="shared" si="1"/>
        <v>0</v>
      </c>
      <c r="J15" s="26">
        <f t="shared" si="2"/>
        <v>0</v>
      </c>
      <c r="K15" s="11">
        <f t="shared" si="3"/>
        <v>0</v>
      </c>
      <c r="L15" s="10">
        <f>ROUND((K15*$L$4),0)</f>
        <v>0</v>
      </c>
      <c r="M15" s="11">
        <f t="shared" si="5"/>
        <v>0</v>
      </c>
      <c r="N15" s="10">
        <f>ROUND((M15*B15)/20*14,0)</f>
        <v>0</v>
      </c>
      <c r="O15" s="10">
        <f t="shared" si="7"/>
        <v>0</v>
      </c>
      <c r="P15" s="10">
        <f>ROUND((M15*B15)/20*15,0)</f>
        <v>0</v>
      </c>
      <c r="Q15" s="10">
        <f t="shared" si="18"/>
        <v>0</v>
      </c>
      <c r="R15" s="10">
        <f t="shared" si="9"/>
        <v>0</v>
      </c>
      <c r="S15" s="10">
        <f t="shared" si="10"/>
        <v>0</v>
      </c>
      <c r="T15" s="10">
        <f t="shared" si="11"/>
        <v>0</v>
      </c>
      <c r="U15" s="10">
        <f t="shared" si="12"/>
        <v>0</v>
      </c>
      <c r="V15" s="10">
        <f t="shared" si="13"/>
        <v>0</v>
      </c>
      <c r="W15" s="10">
        <f t="shared" si="14"/>
        <v>0</v>
      </c>
      <c r="X15" s="10">
        <f t="shared" si="15"/>
        <v>0</v>
      </c>
      <c r="Y15" s="10">
        <f>ROUND((M15*B15)/20*14,0)</f>
        <v>0</v>
      </c>
      <c r="Z15" s="10">
        <f t="shared" si="17"/>
        <v>0</v>
      </c>
      <c r="AA15" s="14"/>
      <c r="AC15" s="27"/>
    </row>
    <row r="16" spans="1:29" ht="33.75" customHeight="1" x14ac:dyDescent="0.3">
      <c r="A16" s="60" t="s">
        <v>20</v>
      </c>
      <c r="B16" s="61"/>
      <c r="C16" s="61"/>
      <c r="D16" s="61"/>
      <c r="E16" s="61"/>
      <c r="F16" s="61"/>
      <c r="G16" s="61"/>
      <c r="H16" s="61"/>
      <c r="I16" s="61"/>
      <c r="J16" s="62"/>
      <c r="K16" s="31">
        <f t="shared" ref="K16:Z16" si="19">SUM(K5:K15)</f>
        <v>0</v>
      </c>
      <c r="L16" s="31">
        <f t="shared" si="19"/>
        <v>0</v>
      </c>
      <c r="M16" s="31">
        <f t="shared" si="19"/>
        <v>0</v>
      </c>
      <c r="N16" s="11">
        <f t="shared" si="19"/>
        <v>0</v>
      </c>
      <c r="O16" s="11">
        <f t="shared" si="19"/>
        <v>0</v>
      </c>
      <c r="P16" s="11">
        <f t="shared" si="19"/>
        <v>0</v>
      </c>
      <c r="Q16" s="11">
        <f t="shared" si="19"/>
        <v>0</v>
      </c>
      <c r="R16" s="11">
        <f t="shared" si="19"/>
        <v>0</v>
      </c>
      <c r="S16" s="11">
        <f t="shared" si="19"/>
        <v>0</v>
      </c>
      <c r="T16" s="11">
        <f t="shared" si="19"/>
        <v>0</v>
      </c>
      <c r="U16" s="11">
        <f t="shared" si="19"/>
        <v>0</v>
      </c>
      <c r="V16" s="11">
        <f t="shared" si="19"/>
        <v>0</v>
      </c>
      <c r="W16" s="11">
        <f t="shared" si="19"/>
        <v>0</v>
      </c>
      <c r="X16" s="11">
        <f t="shared" si="19"/>
        <v>0</v>
      </c>
      <c r="Y16" s="31">
        <f t="shared" si="19"/>
        <v>0</v>
      </c>
      <c r="Z16" s="31">
        <f t="shared" si="19"/>
        <v>0</v>
      </c>
      <c r="AA16" s="14"/>
    </row>
    <row r="17" spans="11:26" x14ac:dyDescent="0.3">
      <c r="K17" s="19"/>
      <c r="L17" s="19"/>
      <c r="M17" s="19"/>
      <c r="N17" s="20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14"/>
      <c r="Z17" s="15"/>
    </row>
    <row r="18" spans="11:26" x14ac:dyDescent="0.3">
      <c r="K18" s="21"/>
      <c r="L18" s="21"/>
      <c r="M18" s="21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14"/>
      <c r="Z18" s="16"/>
    </row>
    <row r="19" spans="11:26" x14ac:dyDescent="0.3"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Z19" s="14"/>
    </row>
    <row r="20" spans="11:26" x14ac:dyDescent="0.3"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Z20" s="16"/>
    </row>
    <row r="21" spans="11:26" x14ac:dyDescent="0.3"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Z21" s="16"/>
    </row>
    <row r="22" spans="11:26" x14ac:dyDescent="0.3"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Z22" s="16"/>
    </row>
    <row r="23" spans="11:26" x14ac:dyDescent="0.3">
      <c r="Z23" s="16"/>
    </row>
  </sheetData>
  <mergeCells count="2">
    <mergeCell ref="A1:Z1"/>
    <mergeCell ref="A16:J16"/>
  </mergeCells>
  <printOptions horizontalCentered="1" verticalCentered="1"/>
  <pageMargins left="0.43307086614173229" right="0.43307086614173229" top="0.74803149606299213" bottom="0.74803149606299213" header="0.31496062992125984" footer="0.31496062992125984"/>
  <pageSetup scale="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 ene 2025</vt:lpstr>
      <vt:lpstr>Calendario2025</vt:lpstr>
      <vt:lpstr>proyeccion ene feb SM2025</vt:lpstr>
      <vt:lpstr>formato serv personal 2023</vt:lpstr>
      <vt:lpstr>formato serv personal 2024 </vt:lpstr>
      <vt:lpstr>' ene 2025'!Área_de_impresión</vt:lpstr>
      <vt:lpstr>'formato serv personal 2023'!Área_de_impresión</vt:lpstr>
      <vt:lpstr>'formato serv personal 2024 '!Área_de_impresión</vt:lpstr>
      <vt:lpstr>'proyeccion ene feb SM2025'!Área_de_impresión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Comercial4 Asistente</dc:creator>
  <cp:keywords/>
  <dc:description/>
  <cp:lastModifiedBy>Maria</cp:lastModifiedBy>
  <cp:revision/>
  <dcterms:created xsi:type="dcterms:W3CDTF">2020-07-24T22:34:22Z</dcterms:created>
  <dcterms:modified xsi:type="dcterms:W3CDTF">2024-12-26T21:31:24Z</dcterms:modified>
  <cp:category/>
  <cp:contentStatus/>
</cp:coreProperties>
</file>